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OLD Desk\Barrido\Datos muy finos\"/>
    </mc:Choice>
  </mc:AlternateContent>
  <xr:revisionPtr revIDLastSave="0" documentId="13_ncr:1_{12430393-4103-41E6-B0AF-980215674FD0}" xr6:coauthVersionLast="47" xr6:coauthVersionMax="47" xr10:uidLastSave="{00000000-0000-0000-0000-000000000000}"/>
  <bookViews>
    <workbookView xWindow="-120" yWindow="-120" windowWidth="38640" windowHeight="21120" firstSheet="1" activeTab="10" xr2:uid="{00000000-000D-0000-FFFF-FFFF00000000}"/>
  </bookViews>
  <sheets>
    <sheet name="Datos_sucios (No fiables)" sheetId="1" r:id="rId1"/>
    <sheet name="1Hz" sheetId="2" r:id="rId2"/>
    <sheet name="5Hz" sheetId="4" r:id="rId3"/>
    <sheet name="20Hz" sheetId="13" r:id="rId4"/>
    <sheet name="50Hz" sheetId="15" r:id="rId5"/>
    <sheet name="100Hz" sheetId="16" r:id="rId6"/>
    <sheet name="1Hz (magnitude)" sheetId="18" r:id="rId7"/>
    <sheet name="5Hz (magnitude)" sheetId="19" r:id="rId8"/>
    <sheet name="20Hz (magnitude)" sheetId="20" r:id="rId9"/>
    <sheet name="50Hz (magnitude)" sheetId="21" r:id="rId10"/>
    <sheet name="100Hz (magnitude)" sheetId="1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4" l="1"/>
  <c r="AW3" i="13"/>
  <c r="AV3" i="13"/>
  <c r="BE4" i="13"/>
  <c r="BA4" i="13"/>
  <c r="BO4" i="13"/>
  <c r="BM4" i="13"/>
  <c r="S6" i="20"/>
  <c r="Q6" i="20"/>
  <c r="BO4" i="15"/>
  <c r="BM4" i="15"/>
  <c r="BK4" i="15"/>
  <c r="BE4" i="15"/>
  <c r="BC4" i="15"/>
  <c r="BA4" i="15"/>
  <c r="AV3" i="15"/>
  <c r="S6" i="21"/>
  <c r="Q6" i="21"/>
  <c r="G5" i="21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AL12" i="17" l="1"/>
  <c r="AL11" i="17"/>
  <c r="AL12" i="18"/>
  <c r="AL11" i="18"/>
  <c r="AG5" i="21"/>
  <c r="AD5" i="21"/>
  <c r="S5" i="21"/>
  <c r="M5" i="21"/>
  <c r="L5" i="21"/>
  <c r="G5" i="20"/>
  <c r="G5" i="19"/>
  <c r="AG5" i="20"/>
  <c r="AD5" i="20"/>
  <c r="M5" i="20"/>
  <c r="L5" i="20"/>
  <c r="F5" i="20"/>
  <c r="E18" i="20"/>
  <c r="E16" i="20"/>
  <c r="E17" i="20"/>
  <c r="BI3" i="4"/>
  <c r="M5" i="19" s="1"/>
  <c r="N5" i="19" s="1"/>
  <c r="P5" i="19" s="1"/>
  <c r="S5" i="19"/>
  <c r="L5" i="19"/>
  <c r="F5" i="19"/>
  <c r="E16" i="19"/>
  <c r="E17" i="19"/>
  <c r="E18" i="19"/>
  <c r="E19" i="19"/>
  <c r="E20" i="19"/>
  <c r="AG5" i="18"/>
  <c r="AF5" i="18"/>
  <c r="U5" i="18"/>
  <c r="S5" i="18"/>
  <c r="M5" i="18"/>
  <c r="L5" i="18"/>
  <c r="E14" i="18"/>
  <c r="E15" i="18"/>
  <c r="E16" i="18"/>
  <c r="E17" i="18"/>
  <c r="E18" i="18"/>
  <c r="E19" i="18"/>
  <c r="E20" i="18"/>
  <c r="E21" i="18"/>
  <c r="E22" i="18"/>
  <c r="E6" i="18"/>
  <c r="E7" i="18"/>
  <c r="E8" i="18"/>
  <c r="E9" i="18"/>
  <c r="E10" i="18"/>
  <c r="E11" i="18"/>
  <c r="E12" i="18"/>
  <c r="E13" i="18"/>
  <c r="E15" i="21"/>
  <c r="E14" i="21"/>
  <c r="E13" i="21"/>
  <c r="E12" i="21"/>
  <c r="E11" i="21"/>
  <c r="E10" i="21"/>
  <c r="E9" i="21"/>
  <c r="E8" i="21"/>
  <c r="E7" i="21"/>
  <c r="E6" i="21"/>
  <c r="E5" i="21"/>
  <c r="E15" i="20"/>
  <c r="E14" i="20"/>
  <c r="E13" i="20"/>
  <c r="E12" i="20"/>
  <c r="E11" i="20"/>
  <c r="E10" i="20"/>
  <c r="E9" i="20"/>
  <c r="E8" i="20"/>
  <c r="E7" i="20"/>
  <c r="E6" i="20"/>
  <c r="E5" i="20"/>
  <c r="E15" i="19"/>
  <c r="E14" i="19"/>
  <c r="E13" i="19"/>
  <c r="E12" i="19"/>
  <c r="E11" i="19"/>
  <c r="E10" i="19"/>
  <c r="E9" i="19"/>
  <c r="E8" i="19"/>
  <c r="E7" i="19"/>
  <c r="E6" i="19"/>
  <c r="E5" i="19"/>
  <c r="E5" i="18"/>
  <c r="AJ5" i="17"/>
  <c r="AI5" i="17"/>
  <c r="AH5" i="17"/>
  <c r="AG5" i="17"/>
  <c r="AF5" i="17"/>
  <c r="AE5" i="17"/>
  <c r="AD5" i="17"/>
  <c r="W5" i="17"/>
  <c r="V5" i="17"/>
  <c r="U5" i="17"/>
  <c r="S5" i="17"/>
  <c r="Q5" i="17"/>
  <c r="T5" i="17"/>
  <c r="R5" i="17"/>
  <c r="N5" i="17"/>
  <c r="P5" i="17" s="1"/>
  <c r="K5" i="17"/>
  <c r="I5" i="17"/>
  <c r="H5" i="17"/>
  <c r="G5" i="17"/>
  <c r="F5" i="17"/>
  <c r="E6" i="17"/>
  <c r="E7" i="17"/>
  <c r="E8" i="17"/>
  <c r="E9" i="17"/>
  <c r="E10" i="17"/>
  <c r="E11" i="17"/>
  <c r="E12" i="17"/>
  <c r="E13" i="17"/>
  <c r="E14" i="17"/>
  <c r="E15" i="17"/>
  <c r="E5" i="17"/>
  <c r="M5" i="17"/>
  <c r="L5" i="17"/>
  <c r="AF3" i="16"/>
  <c r="AJ3" i="16" s="1"/>
  <c r="AC3" i="16"/>
  <c r="AE3" i="16" s="1"/>
  <c r="AB81" i="1"/>
  <c r="AV79" i="1" s="1"/>
  <c r="AA78" i="1"/>
  <c r="AA79" i="1" s="1"/>
  <c r="AV3" i="16"/>
  <c r="AW3" i="16" s="1"/>
  <c r="BC3" i="16" s="1"/>
  <c r="AU3" i="16"/>
  <c r="AZ3" i="16" s="1"/>
  <c r="AD3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AZ3" i="15"/>
  <c r="AY3" i="15"/>
  <c r="AW3" i="15"/>
  <c r="AU3" i="13"/>
  <c r="AU3" i="15"/>
  <c r="AF3" i="15"/>
  <c r="AK3" i="15" s="1"/>
  <c r="AE3" i="15"/>
  <c r="AD3" i="15"/>
  <c r="AC3" i="15"/>
  <c r="AA58" i="1"/>
  <c r="AA59" i="1" s="1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AF3" i="13"/>
  <c r="AK3" i="13" s="1"/>
  <c r="BH52" i="1"/>
  <c r="BM55" i="1" s="1"/>
  <c r="BH34" i="1"/>
  <c r="AC3" i="13"/>
  <c r="AD3" i="13"/>
  <c r="BK3" i="2"/>
  <c r="BJ3" i="2"/>
  <c r="AC3" i="4"/>
  <c r="AE3" i="4" s="1"/>
  <c r="BL34" i="1"/>
  <c r="BL16" i="1"/>
  <c r="AY30" i="1"/>
  <c r="AY12" i="1"/>
  <c r="AY28" i="1"/>
  <c r="BN17" i="1"/>
  <c r="BM12" i="1" s="1"/>
  <c r="U3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AV3" i="4"/>
  <c r="BC3" i="4" s="1"/>
  <c r="AU3" i="4"/>
  <c r="AF3" i="4"/>
  <c r="AK3" i="4" s="1"/>
  <c r="AD3" i="4"/>
  <c r="AZ3" i="2"/>
  <c r="AY3" i="2"/>
  <c r="AW3" i="2"/>
  <c r="AU3" i="2"/>
  <c r="AF3" i="2"/>
  <c r="BB3" i="2" s="1"/>
  <c r="AE3" i="2"/>
  <c r="U3" i="2"/>
  <c r="AW3" i="1"/>
  <c r="BD3" i="2"/>
  <c r="AV3" i="2"/>
  <c r="AK3" i="2"/>
  <c r="AC3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AS2" i="1"/>
  <c r="AS61" i="1"/>
  <c r="AW61" i="1" s="1"/>
  <c r="AW59" i="1" s="1"/>
  <c r="AS41" i="1"/>
  <c r="AS38" i="1"/>
  <c r="AS23" i="1"/>
  <c r="AS5" i="1"/>
  <c r="AW5" i="1" s="1"/>
  <c r="AV2" i="1"/>
  <c r="AW39" i="1"/>
  <c r="AV39" i="1"/>
  <c r="AI12" i="1"/>
  <c r="BK21" i="1"/>
  <c r="AC2" i="1"/>
  <c r="AV3" i="1"/>
  <c r="AH12" i="1"/>
  <c r="AH10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7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5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8" i="1"/>
  <c r="R20" i="1"/>
  <c r="R2" i="1"/>
  <c r="AA2" i="1"/>
  <c r="AS81" i="1"/>
  <c r="AW81" i="1" s="1"/>
  <c r="AS78" i="1"/>
  <c r="AB23" i="1"/>
  <c r="AV21" i="1" s="1"/>
  <c r="BM70" i="1"/>
  <c r="BK72" i="1"/>
  <c r="AV59" i="1"/>
  <c r="AS58" i="1"/>
  <c r="AZ64" i="1" s="1"/>
  <c r="AZ44" i="1"/>
  <c r="BK52" i="1" s="1"/>
  <c r="AS20" i="1"/>
  <c r="AB41" i="1"/>
  <c r="AH46" i="1"/>
  <c r="AB61" i="1"/>
  <c r="AH66" i="1" s="1"/>
  <c r="AA38" i="1"/>
  <c r="AA39" i="1" s="1"/>
  <c r="AA20" i="1"/>
  <c r="AO4" i="1"/>
  <c r="AP4" i="1"/>
  <c r="AQ4" i="1"/>
  <c r="AN4" i="1"/>
  <c r="AB5" i="1"/>
  <c r="H5" i="21" l="1"/>
  <c r="Q5" i="21" s="1"/>
  <c r="F5" i="21"/>
  <c r="K5" i="21" s="1"/>
  <c r="N5" i="21" s="1"/>
  <c r="H5" i="20"/>
  <c r="Q5" i="20" s="1"/>
  <c r="AG5" i="19"/>
  <c r="AD5" i="19"/>
  <c r="H5" i="19"/>
  <c r="Q5" i="19" s="1"/>
  <c r="F5" i="18"/>
  <c r="K5" i="18" s="1"/>
  <c r="N5" i="18" s="1"/>
  <c r="G5" i="18"/>
  <c r="H5" i="18" s="1"/>
  <c r="Q5" i="18" s="1"/>
  <c r="T5" i="20"/>
  <c r="K5" i="20"/>
  <c r="N5" i="20" s="1"/>
  <c r="R5" i="20"/>
  <c r="T5" i="19"/>
  <c r="K5" i="19"/>
  <c r="AK3" i="16"/>
  <c r="AH88" i="1"/>
  <c r="AH86" i="1"/>
  <c r="AV78" i="1"/>
  <c r="AW79" i="1"/>
  <c r="AY3" i="16"/>
  <c r="BC3" i="15"/>
  <c r="AY3" i="13"/>
  <c r="BI3" i="13" s="1"/>
  <c r="BM48" i="1"/>
  <c r="AZ3" i="13"/>
  <c r="AE3" i="13"/>
  <c r="BA3" i="13" s="1"/>
  <c r="BC3" i="13"/>
  <c r="BC4" i="13" s="1"/>
  <c r="AJ3" i="4"/>
  <c r="AY3" i="4"/>
  <c r="AZ3" i="4"/>
  <c r="BB3" i="16"/>
  <c r="BD3" i="16"/>
  <c r="AG3" i="16"/>
  <c r="AG3" i="15"/>
  <c r="BB3" i="15"/>
  <c r="BD3" i="15"/>
  <c r="AJ3" i="15"/>
  <c r="BB3" i="13"/>
  <c r="BD3" i="13"/>
  <c r="AJ3" i="13"/>
  <c r="BD3" i="4"/>
  <c r="BB3" i="4"/>
  <c r="AL3" i="4"/>
  <c r="AM3" i="4" s="1"/>
  <c r="BM3" i="4" s="1"/>
  <c r="BA3" i="4"/>
  <c r="AG3" i="4"/>
  <c r="BC3" i="2"/>
  <c r="AJ3" i="2"/>
  <c r="AD3" i="2"/>
  <c r="AW23" i="1"/>
  <c r="AW2" i="1"/>
  <c r="AY10" i="1" s="1"/>
  <c r="AC7" i="1"/>
  <c r="AW41" i="1"/>
  <c r="AC20" i="1"/>
  <c r="AZ84" i="1"/>
  <c r="AH28" i="1"/>
  <c r="AW21" i="1"/>
  <c r="AY26" i="1"/>
  <c r="AY84" i="1"/>
  <c r="BK73" i="1"/>
  <c r="AV58" i="1"/>
  <c r="AY64" i="1"/>
  <c r="BH72" i="1" s="1"/>
  <c r="BK53" i="1"/>
  <c r="AV38" i="1"/>
  <c r="AY44" i="1"/>
  <c r="AV20" i="1"/>
  <c r="AZ26" i="1"/>
  <c r="AZ8" i="1"/>
  <c r="AY8" i="1"/>
  <c r="BH16" i="1" s="1"/>
  <c r="AH48" i="1"/>
  <c r="AC78" i="1"/>
  <c r="AI88" i="1" s="1"/>
  <c r="AJ89" i="1" s="1"/>
  <c r="AC58" i="1"/>
  <c r="AC63" i="1" s="1"/>
  <c r="AH68" i="1"/>
  <c r="AC38" i="1"/>
  <c r="AC43" i="1" s="1"/>
  <c r="AC25" i="1"/>
  <c r="AA21" i="1"/>
  <c r="AH30" i="1"/>
  <c r="AI30" i="1" s="1"/>
  <c r="R5" i="21" l="1"/>
  <c r="I5" i="21"/>
  <c r="T5" i="21"/>
  <c r="I5" i="20"/>
  <c r="I5" i="19"/>
  <c r="R5" i="18"/>
  <c r="AD5" i="18"/>
  <c r="P5" i="18"/>
  <c r="I5" i="18"/>
  <c r="P5" i="21"/>
  <c r="AE5" i="21"/>
  <c r="P5" i="20"/>
  <c r="AE5" i="20"/>
  <c r="AE5" i="19"/>
  <c r="R5" i="19"/>
  <c r="AE5" i="18"/>
  <c r="T5" i="18"/>
  <c r="BH92" i="1"/>
  <c r="BM90" i="1" s="1"/>
  <c r="BI3" i="16"/>
  <c r="BF3" i="13"/>
  <c r="BK3" i="13" s="1"/>
  <c r="BK4" i="13" s="1"/>
  <c r="AG3" i="13"/>
  <c r="AL3" i="13"/>
  <c r="AM3" i="13" s="1"/>
  <c r="BL3" i="4"/>
  <c r="BN3" i="4"/>
  <c r="BF3" i="4"/>
  <c r="BK3" i="4" s="1"/>
  <c r="BJ3" i="4"/>
  <c r="BN3" i="16"/>
  <c r="BL3" i="16"/>
  <c r="BJ3" i="16"/>
  <c r="AL3" i="16"/>
  <c r="AM3" i="16" s="1"/>
  <c r="BM3" i="16" s="1"/>
  <c r="BA3" i="16"/>
  <c r="BF3" i="16" s="1"/>
  <c r="BK3" i="16" s="1"/>
  <c r="BN3" i="15"/>
  <c r="BL3" i="15"/>
  <c r="BJ3" i="15"/>
  <c r="BI3" i="15"/>
  <c r="AL3" i="15"/>
  <c r="AM3" i="15" s="1"/>
  <c r="BM3" i="15" s="1"/>
  <c r="BA3" i="15"/>
  <c r="BF3" i="15" s="1"/>
  <c r="BK3" i="15" s="1"/>
  <c r="AN3" i="15"/>
  <c r="BL3" i="13"/>
  <c r="BJ3" i="13"/>
  <c r="BN3" i="13"/>
  <c r="AN3" i="4"/>
  <c r="BN3" i="2"/>
  <c r="BL3" i="2"/>
  <c r="BI3" i="2"/>
  <c r="BA3" i="2"/>
  <c r="BF3" i="2" s="1"/>
  <c r="BG3" i="2" s="1"/>
  <c r="AL3" i="2"/>
  <c r="AM3" i="2" s="1"/>
  <c r="AG3" i="2"/>
  <c r="BK16" i="1"/>
  <c r="BK17" i="1"/>
  <c r="BL17" i="1" s="1"/>
  <c r="AC83" i="1"/>
  <c r="AJ13" i="1"/>
  <c r="BK92" i="1"/>
  <c r="BK93" i="1"/>
  <c r="BL93" i="1" s="1"/>
  <c r="BK34" i="1"/>
  <c r="AW20" i="1"/>
  <c r="BB31" i="1" s="1"/>
  <c r="AJ31" i="1"/>
  <c r="AW38" i="1"/>
  <c r="AW58" i="1"/>
  <c r="AW78" i="1"/>
  <c r="AY86" i="1" s="1"/>
  <c r="AY88" i="1" s="1"/>
  <c r="BK35" i="1"/>
  <c r="BL35" i="1" s="1"/>
  <c r="AI48" i="1"/>
  <c r="AJ49" i="1" s="1"/>
  <c r="AI68" i="1"/>
  <c r="AJ69" i="1" s="1"/>
  <c r="BM3" i="13" l="1"/>
  <c r="BP3" i="13" s="1"/>
  <c r="S5" i="20"/>
  <c r="V5" i="18"/>
  <c r="BL92" i="1"/>
  <c r="BB69" i="1"/>
  <c r="AY66" i="1"/>
  <c r="AY68" i="1" s="1"/>
  <c r="BL72" i="1" s="1"/>
  <c r="BG3" i="13"/>
  <c r="AN3" i="13"/>
  <c r="AN3" i="16"/>
  <c r="BP3" i="16"/>
  <c r="BR10" i="16" s="1"/>
  <c r="BG3" i="16"/>
  <c r="BG3" i="15"/>
  <c r="BP3" i="15"/>
  <c r="BG3" i="4"/>
  <c r="BP3" i="4"/>
  <c r="BM3" i="2"/>
  <c r="AN3" i="2"/>
  <c r="BP3" i="2"/>
  <c r="AY46" i="1"/>
  <c r="AY48" i="1" s="1"/>
  <c r="BL52" i="1" s="1"/>
  <c r="BN35" i="1"/>
  <c r="BM30" i="1" s="1"/>
  <c r="BL73" i="1"/>
  <c r="BN93" i="1"/>
  <c r="BB89" i="1"/>
  <c r="BL53" i="1"/>
  <c r="BB13" i="1"/>
  <c r="BQ3" i="4" l="1"/>
  <c r="AF5" i="19"/>
  <c r="U5" i="19"/>
  <c r="V5" i="19" s="1"/>
  <c r="AH5" i="19" s="1"/>
  <c r="AI5" i="19" s="1"/>
  <c r="BR11" i="15"/>
  <c r="U5" i="21"/>
  <c r="AF5" i="21"/>
  <c r="BR11" i="13"/>
  <c r="AF5" i="20"/>
  <c r="AF6" i="20" s="1"/>
  <c r="U5" i="20"/>
  <c r="BQ3" i="13"/>
  <c r="AH5" i="18"/>
  <c r="AI5" i="18" s="1"/>
  <c r="AJ5" i="18" s="1"/>
  <c r="W5" i="18"/>
  <c r="BM88" i="1"/>
  <c r="BM95" i="1"/>
  <c r="BR11" i="16"/>
  <c r="BQ3" i="16"/>
  <c r="BN73" i="1"/>
  <c r="BM75" i="1" s="1"/>
  <c r="BQ3" i="15"/>
  <c r="BQ3" i="2"/>
  <c r="BR11" i="2"/>
  <c r="BR10" i="2"/>
  <c r="BR11" i="4"/>
  <c r="BR10" i="4"/>
  <c r="BR10" i="15"/>
  <c r="BR10" i="13"/>
  <c r="BN53" i="1"/>
  <c r="BB49" i="1"/>
  <c r="BO90" i="1"/>
  <c r="AJ5" i="19" l="1"/>
  <c r="AL18" i="19"/>
  <c r="AL19" i="19"/>
  <c r="W5" i="19"/>
  <c r="V5" i="20"/>
  <c r="W5" i="20" s="1"/>
  <c r="U6" i="20"/>
  <c r="U6" i="21"/>
  <c r="V5" i="21"/>
  <c r="AF6" i="21"/>
  <c r="BM68" i="1"/>
  <c r="BO70" i="1"/>
  <c r="AH5" i="20" l="1"/>
  <c r="AH6" i="20" s="1"/>
  <c r="AI5" i="20"/>
  <c r="AJ5" i="20" s="1"/>
  <c r="AH5" i="21"/>
  <c r="W5" i="21"/>
  <c r="AL12" i="20"/>
  <c r="AL11" i="20"/>
  <c r="AH6" i="21" l="1"/>
  <c r="AI5" i="21"/>
  <c r="AL12" i="21" l="1"/>
  <c r="AL11" i="21"/>
  <c r="AJ5" i="21"/>
</calcChain>
</file>

<file path=xl/sharedStrings.xml><?xml version="1.0" encoding="utf-8"?>
<sst xmlns="http://schemas.openxmlformats.org/spreadsheetml/2006/main" count="2432" uniqueCount="289">
  <si>
    <t>Column_1</t>
  </si>
  <si>
    <t>Column_2</t>
  </si>
  <si>
    <t>Column_3</t>
  </si>
  <si>
    <t>Column_4</t>
  </si>
  <si>
    <t>Column_5</t>
  </si>
  <si>
    <t>Column_6</t>
  </si>
  <si>
    <t>Column_7</t>
  </si>
  <si>
    <t>Column_8</t>
  </si>
  <si>
    <t>Column_9</t>
  </si>
  <si>
    <t>Column_10</t>
  </si>
  <si>
    <t>Column_11</t>
  </si>
  <si>
    <t>Column_12</t>
  </si>
  <si>
    <t>Column_13</t>
  </si>
  <si>
    <t>Column_14</t>
  </si>
  <si>
    <t>Column_15</t>
  </si>
  <si>
    <t>Column_16</t>
  </si>
  <si>
    <t>Unnamed: 17</t>
  </si>
  <si>
    <t>Unnamed: 18</t>
  </si>
  <si>
    <t>Unnamed: 19</t>
  </si>
  <si>
    <t>Peor timestep (Error A)</t>
  </si>
  <si>
    <t>Unnamed: 21</t>
  </si>
  <si>
    <t>Unnamed: 22</t>
  </si>
  <si>
    <t>Unnamed: 23</t>
  </si>
  <si>
    <t>Unnamed: 24</t>
  </si>
  <si>
    <t>Unnamed: 25</t>
  </si>
  <si>
    <t>Error A</t>
  </si>
  <si>
    <t>Unnamed: 27</t>
  </si>
  <si>
    <t>Error C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</si>
  <si>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</si>
  <si>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</si>
  <si>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</si>
  <si>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</si>
  <si>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</si>
  <si>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</si>
  <si>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</si>
  <si>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</si>
  <si>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</si>
  <si>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</si>
  <si>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Phase (time)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</si>
  <si>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</si>
  <si>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</si>
  <si>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</si>
  <si>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</si>
  <si>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</si>
  <si>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</si>
  <si>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</si>
  <si>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</si>
  <si>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</si>
  <si>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</si>
  <si>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</si>
  <si>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</si>
  <si>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</si>
  <si>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</si>
  <si>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</si>
  <si>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</si>
  <si>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</si>
  <si>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</si>
  <si>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</si>
  <si>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</si>
  <si>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</si>
  <si>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</si>
  <si>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</si>
  <si>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</si>
  <si>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</si>
  <si>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1Hz_0_VinPeriods</t>
  </si>
  <si>
    <t xml:space="preserve"> </t>
  </si>
  <si>
    <t>Frecuencias (Cruces cero 2 a 2)</t>
  </si>
  <si>
    <t>Max timestep variation</t>
  </si>
  <si>
    <t>1Hz_0_IoutPeriods</t>
  </si>
  <si>
    <t>1Hz_1_VinPeriods</t>
  </si>
  <si>
    <t>1Hz_1_IoutPeriods</t>
  </si>
  <si>
    <t>1Hz_2_VinPeriods</t>
  </si>
  <si>
    <t>1Hz_2_IoutPeriods</t>
  </si>
  <si>
    <t>Frecuencia</t>
  </si>
  <si>
    <t>1Hz_3_VinPeriods</t>
  </si>
  <si>
    <t>L=</t>
  </si>
  <si>
    <t>1Hz_3_IoutPeriods</t>
  </si>
  <si>
    <t>Error tcross(voltage+current)</t>
  </si>
  <si>
    <t>1Hz_4_VinPeriods</t>
  </si>
  <si>
    <t>fnominal</t>
  </si>
  <si>
    <t>1Hz_4_IoutPeriods</t>
  </si>
  <si>
    <t>Error T (periodo)</t>
  </si>
  <si>
    <t>PHASE</t>
  </si>
  <si>
    <t>1Hz_5_VinPeriods</t>
  </si>
  <si>
    <t>1Hz_5_IoutPeriods</t>
  </si>
  <si>
    <t>1Hz_6_VinPeriods</t>
  </si>
  <si>
    <t>1Hz_6_IoutPeriods</t>
  </si>
  <si>
    <t>1Hz_7_VinPeriods</t>
  </si>
  <si>
    <t>1Hz_7_IoutPeriods</t>
  </si>
  <si>
    <t>1Hz_8_VinPeriods</t>
  </si>
  <si>
    <t>1Hz_8_IoutPeriods</t>
  </si>
  <si>
    <t>5Hz_0_VinPeriods</t>
  </si>
  <si>
    <t>5Hz_1_VinPeriods</t>
  </si>
  <si>
    <t>5Hz_0_IoutPeriods</t>
  </si>
  <si>
    <t>5Hz_1_IoutPeriods</t>
  </si>
  <si>
    <t>MEDIA</t>
  </si>
  <si>
    <t>5Hz_2_VinPeriods</t>
  </si>
  <si>
    <t>5Hz_2_IoutPeriods</t>
  </si>
  <si>
    <t>5Hz_3_VinPeriods</t>
  </si>
  <si>
    <t>5Hz_3_IoutPeriods</t>
  </si>
  <si>
    <t>5Hz_4_VinPeriods</t>
  </si>
  <si>
    <t>5Hz_4_IoutPeriods</t>
  </si>
  <si>
    <t>5Hz_5_VinPeriods</t>
  </si>
  <si>
    <t>5Hz_5_IoutPeriods</t>
  </si>
  <si>
    <t>5Hz_6_VinPeriods</t>
  </si>
  <si>
    <t>5Hz_6_IoutPeriods</t>
  </si>
  <si>
    <t>5Hz_7_VinPeriods</t>
  </si>
  <si>
    <t>5Hz_7_IoutPeriods</t>
  </si>
  <si>
    <t>5Hz_8_VinPeriods</t>
  </si>
  <si>
    <t>5Hz_8_IoutPeriods</t>
  </si>
  <si>
    <t>20Hz_0_VinPeriods</t>
  </si>
  <si>
    <t>20Hz_0_IoutPeriods</t>
  </si>
  <si>
    <t>20Hz_1_VinPeriods</t>
  </si>
  <si>
    <t>20Hz_1_IoutPeriods</t>
  </si>
  <si>
    <t>20Hz_2_VinPeriods</t>
  </si>
  <si>
    <t>20Hz_2_IoutPeriods</t>
  </si>
  <si>
    <t>20Hz_3_VinPeriods</t>
  </si>
  <si>
    <t>20Hz_3_IoutPeriods</t>
  </si>
  <si>
    <t>20Hz_4_VinPeriods</t>
  </si>
  <si>
    <t>20Hz_4_IoutPeriods</t>
  </si>
  <si>
    <t>20Hz_5_VinPeriods</t>
  </si>
  <si>
    <t>20Hz_5_IoutPeriods</t>
  </si>
  <si>
    <t>20Hz_6_VinPeriods</t>
  </si>
  <si>
    <t>20Hz_6_IoutPeriods</t>
  </si>
  <si>
    <t>20Hz_7_VinPeriods</t>
  </si>
  <si>
    <t>20Hz_7_IoutPeriods</t>
  </si>
  <si>
    <t>20Hz_8_VinPeriods</t>
  </si>
  <si>
    <t>20Hz_8_IoutPeriods</t>
  </si>
  <si>
    <t>20Hz_9_VinPeriods</t>
  </si>
  <si>
    <t>20Hz_9_IoutPeriods</t>
  </si>
  <si>
    <t>50Hz_0_VinPeriods</t>
  </si>
  <si>
    <t>50Hz_0_IoutPeriods</t>
  </si>
  <si>
    <t>50Hz_1_VinPeriods</t>
  </si>
  <si>
    <t>50Hz_1_IoutPeriods</t>
  </si>
  <si>
    <t>50Hz_2_VinPeriods</t>
  </si>
  <si>
    <t>50Hz_2_IoutPeriods</t>
  </si>
  <si>
    <t>50Hz_3_VinPeriods</t>
  </si>
  <si>
    <t>50Hz_3_IoutPeriods</t>
  </si>
  <si>
    <t>50Hz_4_VinPeriods</t>
  </si>
  <si>
    <t>50Hz_4_IoutPeriods</t>
  </si>
  <si>
    <t>50Hz_5_VinPeriods</t>
  </si>
  <si>
    <t>50Hz_5_IoutPeriods</t>
  </si>
  <si>
    <t>50Hz_6_VinPeriods</t>
  </si>
  <si>
    <t>50Hz_6_IoutPeriods</t>
  </si>
  <si>
    <t>50Hz_7_VinPeriods</t>
  </si>
  <si>
    <t>50Hz_7_IoutPeriods</t>
  </si>
  <si>
    <t>50Hz_8_VinPeriods</t>
  </si>
  <si>
    <t>50Hz_8_IoutPeriods</t>
  </si>
  <si>
    <t>50Hz_9_VinPeriods</t>
  </si>
  <si>
    <t>50Hz_9_IoutPeriods</t>
  </si>
  <si>
    <t>100Hz_0_VinPeriods</t>
  </si>
  <si>
    <t>100Hz_0_IoutPeriods</t>
  </si>
  <si>
    <t>100Hz_1_VinPeriods</t>
  </si>
  <si>
    <t>100Hz_1_IoutPeriods</t>
  </si>
  <si>
    <t>100Hz_2_VinPeriods</t>
  </si>
  <si>
    <t>100Hz_2_IoutPeriods</t>
  </si>
  <si>
    <t>100Hz_3_VinPeriods</t>
  </si>
  <si>
    <t>100Hz_3_IoutPeriods</t>
  </si>
  <si>
    <t>100Hz_4_VinPeriods</t>
  </si>
  <si>
    <t>100Hz_4_IoutPeriods</t>
  </si>
  <si>
    <t>100Hz_5_VinPeriods</t>
  </si>
  <si>
    <t>Error en dL/df</t>
  </si>
  <si>
    <t>100Hz_5_IoutPeriods</t>
  </si>
  <si>
    <t>-55,7308832158535 ± 0,0133094044529441</t>
  </si>
  <si>
    <t>100Hz_6_VinPeriods</t>
  </si>
  <si>
    <t>100Hz_6_IoutPeriods</t>
  </si>
  <si>
    <t>Error en dL/dPhase</t>
  </si>
  <si>
    <t>100Hz_7_VinPeriods</t>
  </si>
  <si>
    <t>100Hz_7_IoutPeriods</t>
  </si>
  <si>
    <t>100Hz_8_VinPeriods</t>
  </si>
  <si>
    <t>100Hz_8_IoutPeriods</t>
  </si>
  <si>
    <t>100Hz_9_VinPeriods</t>
  </si>
  <si>
    <t>100Hz_9_IoutPeriods</t>
  </si>
  <si>
    <t>100Hz_10_VinPeriods</t>
  </si>
  <si>
    <t>100Hz_10_IoutPeriods</t>
  </si>
  <si>
    <t>Comprobación</t>
  </si>
  <si>
    <t>df</t>
  </si>
  <si>
    <t>dT</t>
  </si>
  <si>
    <t>dt</t>
  </si>
  <si>
    <t>L/R=</t>
  </si>
  <si>
    <t>Dlr/dphase</t>
  </si>
  <si>
    <t>dLR/df</t>
  </si>
  <si>
    <t>±</t>
  </si>
  <si>
    <t>0,99983 +- 0,00053</t>
  </si>
  <si>
    <t>v</t>
  </si>
  <si>
    <t>i</t>
  </si>
  <si>
    <t>Ub</t>
  </si>
  <si>
    <t>osciloscopio</t>
  </si>
  <si>
    <t>Ua</t>
  </si>
  <si>
    <t>EstDevS/SQRT(N)</t>
  </si>
  <si>
    <t>q</t>
  </si>
  <si>
    <t>Se adquieren manualmente datos con osciloscopio. El tiempo de captura es de al menos 2 periodos de la señal. En ocasiones este tiempo no coincide para obtener 4 pasos por 0, por tanto no se determinan 2 periodos.</t>
  </si>
  <si>
    <t>Distancia temporal entre valores  consecutivos (t)</t>
  </si>
  <si>
    <t>Determinación de periodos (T)</t>
  </si>
  <si>
    <t>1er paso por 0 (s)</t>
  </si>
  <si>
    <t>2º paso por 0 (s)</t>
  </si>
  <si>
    <t>3er paso por 0 (s)</t>
  </si>
  <si>
    <t>4º paso por 0 (s)</t>
  </si>
  <si>
    <t>1er periodo (3er paso - 1er paso) (s)</t>
  </si>
  <si>
    <t>2º periodo (4º paso - 2º paso) (s)</t>
  </si>
  <si>
    <t>Variación máxima (Estimada datasheet Osciloscopio TBS 2000) (s)</t>
  </si>
  <si>
    <t>Valor estándar (s)</t>
  </si>
  <si>
    <t>Error tipo A</t>
  </si>
  <si>
    <t>Error tipo B</t>
  </si>
  <si>
    <t>Cálculo error T</t>
  </si>
  <si>
    <t>Error tipo C</t>
  </si>
  <si>
    <t>T medio (s)</t>
  </si>
  <si>
    <t>Expresión T con error (s)</t>
  </si>
  <si>
    <t>Frequency (Hz)</t>
  </si>
  <si>
    <t>Valor nominal (Hz)</t>
  </si>
  <si>
    <t xml:space="preserve">δf </t>
  </si>
  <si>
    <t>df/dT</t>
  </si>
  <si>
    <t>δT</t>
  </si>
  <si>
    <t>Expresión f con error (s)</t>
  </si>
  <si>
    <t>1er desfase</t>
  </si>
  <si>
    <t>3er desfase</t>
  </si>
  <si>
    <t>2º desfase</t>
  </si>
  <si>
    <t>4º desfase</t>
  </si>
  <si>
    <t>Desfase (valor medio) (s)</t>
  </si>
  <si>
    <t>Error Tipo A</t>
  </si>
  <si>
    <t>Error Tipo C</t>
  </si>
  <si>
    <t>dΦ/dtdelay</t>
  </si>
  <si>
    <t>dΦ/dT</t>
  </si>
  <si>
    <t>δtdelay</t>
  </si>
  <si>
    <t>δΦ</t>
  </si>
  <si>
    <t>dΦ/dπ</t>
  </si>
  <si>
    <t>δπ (última cifra significativa de PI() en excel)</t>
  </si>
  <si>
    <t>Desfase - Φ (º)</t>
  </si>
  <si>
    <t xml:space="preserve">Desfase temporal V/I - timedelay - evaluados en pases por 0 (s) </t>
  </si>
  <si>
    <t>Ratio L/R</t>
  </si>
  <si>
    <t>Valor nominal (Ohm/Henrio)</t>
  </si>
  <si>
    <t>d(L/R)/dπ</t>
  </si>
  <si>
    <t>Expresión L/R con error  (Ohm/Henrio)</t>
  </si>
  <si>
    <t>d(L/R)/df</t>
  </si>
  <si>
    <t>δf</t>
  </si>
  <si>
    <t>Diferentes adquisiones (Se tratan V e I de igual forma por mismo origen señales eléctricas)</t>
  </si>
  <si>
    <t>Valor medio desfase (rad)</t>
  </si>
  <si>
    <t>Expresión Φ con error (rad)</t>
  </si>
  <si>
    <t>d(L/R)/dΦ</t>
  </si>
  <si>
    <t>RANGO DE CONFIANZA</t>
  </si>
  <si>
    <t>L/Rmin=</t>
  </si>
  <si>
    <t>L/Rmax=</t>
  </si>
  <si>
    <t>No cae dentro del valor esperado (2,2e-3 o similar)</t>
  </si>
  <si>
    <t>RANGO DE CONFIANZA (1,96*δΦ)</t>
  </si>
  <si>
    <t>100Hz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</si>
  <si>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</si>
  <si>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</si>
  <si>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</si>
  <si>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</si>
  <si>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</si>
  <si>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</si>
  <si>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</si>
  <si>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</si>
  <si>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</si>
  <si>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</si>
  <si>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</si>
  <si>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Peak value (Voltage)</t>
  </si>
  <si>
    <t>Peak value (Current)</t>
  </si>
  <si>
    <t>Z^2</t>
  </si>
  <si>
    <t>W^2</t>
  </si>
  <si>
    <t>(L^2)/(R^2)</t>
  </si>
  <si>
    <t>Resolución voltage Osciloscopio (Error tipo B)</t>
  </si>
  <si>
    <t>Determinación Z</t>
  </si>
  <si>
    <t>Determinación  R</t>
  </si>
  <si>
    <t>Valor nominal (Ohm)</t>
  </si>
  <si>
    <t>Error en R</t>
  </si>
  <si>
    <t>δz</t>
  </si>
  <si>
    <t>d(R)/dw</t>
  </si>
  <si>
    <t>δ(L/R)</t>
  </si>
  <si>
    <t>δw (*)</t>
  </si>
  <si>
    <t>* Tomo en error en w como el error en f multiplicado por 2*π. CREO QUE LA APORTACIÓN DE LOS DECIMALES DE π A AL ERROR SERÁ DESPRECIABLE.</t>
  </si>
  <si>
    <t>δ(L/R) (Henrio/Ohm)</t>
  </si>
  <si>
    <t>Valor medio Z (Ohm)</t>
  </si>
  <si>
    <t>Valor con error (Ohm)</t>
  </si>
  <si>
    <t>δ(R) (Ohm)</t>
  </si>
  <si>
    <t>Ya tenemos ratio L/R y tenemos R, obtenemos L con error</t>
  </si>
  <si>
    <t>Valor nominal R con error (Ohm)</t>
  </si>
  <si>
    <t>Valor nominal (Henrio)</t>
  </si>
  <si>
    <t>d(L)/d(L/R)</t>
  </si>
  <si>
    <t>d(L)/d(R)</t>
  </si>
  <si>
    <t>δL (Henrio)</t>
  </si>
  <si>
    <t>δR (Ohm)</t>
  </si>
  <si>
    <t>dR/d(L/R)</t>
  </si>
  <si>
    <t>dR/dZ</t>
  </si>
  <si>
    <t>Valor nominal L con error (Henrio)</t>
  </si>
  <si>
    <t>Determinación L</t>
  </si>
  <si>
    <t>Un valor muy malo en L/R desvirtúa todo, valor incorecto de L</t>
  </si>
  <si>
    <t>Lmin=</t>
  </si>
  <si>
    <t>Lmax=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</si>
</sst>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00000000"/>
    <numFmt numFmtId="165" formatCode="0.00000E+00"/>
    <numFmt numFmtId="166" formatCode="0.0000000000000000000000E+00"/>
    <numFmt numFmtId="167" formatCode="0.000000E+00"/>
    <numFmt numFmtId="168" formatCode="0.000E+00"/>
    <numFmt numFmtId="169" formatCode="0.00000"/>
    <numFmt numFmtId="170" formatCode="0.0000000"/>
    <numFmt numFmtId="171" formatCode="0.00000000"/>
    <numFmt numFmtId="172" formatCode="0.000000000"/>
    <numFmt numFmtId="173" formatCode="0.00000000000000"/>
    <numFmt numFmtId="174" formatCode="0.0000000000000000000000"/>
    <numFmt numFmtId="175" formatCode="0.0000E+00"/>
    <numFmt numFmtId="176" formatCode="0.000000000000000E+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vertical="center"/>
    </xf>
    <xf numFmtId="49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3" fillId="0" borderId="4" xfId="0" applyFont="1" applyBorder="1"/>
    <xf numFmtId="49" fontId="0" fillId="0" borderId="4" xfId="0" applyNumberFormat="1" applyBorder="1"/>
    <xf numFmtId="0" fontId="2" fillId="0" borderId="3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5" fontId="0" fillId="0" borderId="0" xfId="0" applyNumberFormat="1"/>
    <xf numFmtId="176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0" borderId="0" xfId="0" quotePrefix="1"/>
    <xf numFmtId="175" fontId="2" fillId="8" borderId="0" xfId="0" applyNumberFormat="1" applyFont="1" applyFill="1"/>
    <xf numFmtId="0" fontId="0" fillId="8" borderId="0" xfId="0" applyFill="1"/>
    <xf numFmtId="0" fontId="4" fillId="0" borderId="3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3" borderId="2" xfId="0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7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75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400050</xdr:colOff>
      <xdr:row>12</xdr:row>
      <xdr:rowOff>123825</xdr:rowOff>
    </xdr:from>
    <xdr:to>
      <xdr:col>34</xdr:col>
      <xdr:colOff>600358</xdr:colOff>
      <xdr:row>16</xdr:row>
      <xdr:rowOff>38194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38CD6D-BD8E-4818-F1E8-4659287D2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69800" y="2409825"/>
          <a:ext cx="2029108" cy="676369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30</xdr:row>
      <xdr:rowOff>19050</xdr:rowOff>
    </xdr:from>
    <xdr:to>
      <xdr:col>34</xdr:col>
      <xdr:colOff>343183</xdr:colOff>
      <xdr:row>33</xdr:row>
      <xdr:rowOff>123919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0BEC81-21F0-5107-6BF8-9880C1A10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12625" y="5734050"/>
          <a:ext cx="2029108" cy="676369"/>
        </a:xfrm>
        <a:prstGeom prst="rect">
          <a:avLst/>
        </a:prstGeom>
      </xdr:spPr>
    </xdr:pic>
    <xdr:clientData/>
  </xdr:twoCellAnchor>
  <xdr:twoCellAnchor editAs="oneCell">
    <xdr:from>
      <xdr:col>55</xdr:col>
      <xdr:colOff>276225</xdr:colOff>
      <xdr:row>1</xdr:row>
      <xdr:rowOff>180975</xdr:rowOff>
    </xdr:from>
    <xdr:to>
      <xdr:col>61</xdr:col>
      <xdr:colOff>114812</xdr:colOff>
      <xdr:row>6</xdr:row>
      <xdr:rowOff>38213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9D9313-BC38-2A61-FFC2-0EDB6FF3C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05050" y="371475"/>
          <a:ext cx="3658111" cy="809738"/>
        </a:xfrm>
        <a:prstGeom prst="rect">
          <a:avLst/>
        </a:prstGeom>
      </xdr:spPr>
    </xdr:pic>
    <xdr:clientData/>
  </xdr:twoCellAnchor>
  <xdr:twoCellAnchor editAs="oneCell">
    <xdr:from>
      <xdr:col>57</xdr:col>
      <xdr:colOff>285750</xdr:colOff>
      <xdr:row>7</xdr:row>
      <xdr:rowOff>85725</xdr:rowOff>
    </xdr:from>
    <xdr:to>
      <xdr:col>60</xdr:col>
      <xdr:colOff>428922</xdr:colOff>
      <xdr:row>14</xdr:row>
      <xdr:rowOff>95437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6F23C0E-58DA-3C24-7037-AF71D2672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33775" y="1419225"/>
          <a:ext cx="2133898" cy="1343212"/>
        </a:xfrm>
        <a:prstGeom prst="rect">
          <a:avLst/>
        </a:prstGeom>
      </xdr:spPr>
    </xdr:pic>
    <xdr:clientData/>
  </xdr:twoCellAnchor>
  <xdr:oneCellAnchor>
    <xdr:from>
      <xdr:col>31</xdr:col>
      <xdr:colOff>190500</xdr:colOff>
      <xdr:row>49</xdr:row>
      <xdr:rowOff>57150</xdr:rowOff>
    </xdr:from>
    <xdr:ext cx="2029108" cy="676369"/>
    <xdr:pic>
      <xdr:nvPicPr>
        <xdr:cNvPr id="16" name="Picture 15">
          <a:extLst>
            <a:ext uri="{FF2B5EF4-FFF2-40B4-BE49-F238E27FC236}">
              <a16:creationId xmlns:a16="http://schemas.microsoft.com/office/drawing/2014/main" id="{895C532E-E6DF-466D-947C-42F0704F7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0" y="9391650"/>
          <a:ext cx="2029108" cy="676369"/>
        </a:xfrm>
        <a:prstGeom prst="rect">
          <a:avLst/>
        </a:prstGeom>
      </xdr:spPr>
    </xdr:pic>
    <xdr:clientData/>
  </xdr:oneCellAnchor>
  <xdr:oneCellAnchor>
    <xdr:from>
      <xdr:col>31</xdr:col>
      <xdr:colOff>190500</xdr:colOff>
      <xdr:row>69</xdr:row>
      <xdr:rowOff>57150</xdr:rowOff>
    </xdr:from>
    <xdr:ext cx="2029108" cy="676369"/>
    <xdr:pic>
      <xdr:nvPicPr>
        <xdr:cNvPr id="17" name="Picture 16">
          <a:extLst>
            <a:ext uri="{FF2B5EF4-FFF2-40B4-BE49-F238E27FC236}">
              <a16:creationId xmlns:a16="http://schemas.microsoft.com/office/drawing/2014/main" id="{E18ED855-AC87-42FC-B50E-AD26276CC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0" y="9391650"/>
          <a:ext cx="2029108" cy="676369"/>
        </a:xfrm>
        <a:prstGeom prst="rect">
          <a:avLst/>
        </a:prstGeom>
      </xdr:spPr>
    </xdr:pic>
    <xdr:clientData/>
  </xdr:oneCellAnchor>
  <xdr:oneCellAnchor>
    <xdr:from>
      <xdr:col>31</xdr:col>
      <xdr:colOff>190500</xdr:colOff>
      <xdr:row>89</xdr:row>
      <xdr:rowOff>57150</xdr:rowOff>
    </xdr:from>
    <xdr:ext cx="2029108" cy="676369"/>
    <xdr:pic>
      <xdr:nvPicPr>
        <xdr:cNvPr id="18" name="Picture 17">
          <a:extLst>
            <a:ext uri="{FF2B5EF4-FFF2-40B4-BE49-F238E27FC236}">
              <a16:creationId xmlns:a16="http://schemas.microsoft.com/office/drawing/2014/main" id="{B9DDBDA6-BF32-4B93-912D-65188999B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0" y="9391650"/>
          <a:ext cx="2029108" cy="676369"/>
        </a:xfrm>
        <a:prstGeom prst="rect">
          <a:avLst/>
        </a:prstGeom>
      </xdr:spPr>
    </xdr:pic>
    <xdr:clientData/>
  </xdr:oneCellAnchor>
  <xdr:oneCellAnchor>
    <xdr:from>
      <xdr:col>55</xdr:col>
      <xdr:colOff>285750</xdr:colOff>
      <xdr:row>19</xdr:row>
      <xdr:rowOff>38100</xdr:rowOff>
    </xdr:from>
    <xdr:ext cx="3658111" cy="809738"/>
    <xdr:pic>
      <xdr:nvPicPr>
        <xdr:cNvPr id="19" name="Picture 18">
          <a:extLst>
            <a:ext uri="{FF2B5EF4-FFF2-40B4-BE49-F238E27FC236}">
              <a16:creationId xmlns:a16="http://schemas.microsoft.com/office/drawing/2014/main" id="{E220F175-9F8C-4ADF-9C2B-14BF3096C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14575" y="3657600"/>
          <a:ext cx="3658111" cy="809738"/>
        </a:xfrm>
        <a:prstGeom prst="rect">
          <a:avLst/>
        </a:prstGeom>
      </xdr:spPr>
    </xdr:pic>
    <xdr:clientData/>
  </xdr:oneCellAnchor>
  <xdr:oneCellAnchor>
    <xdr:from>
      <xdr:col>57</xdr:col>
      <xdr:colOff>228600</xdr:colOff>
      <xdr:row>24</xdr:row>
      <xdr:rowOff>66675</xdr:rowOff>
    </xdr:from>
    <xdr:ext cx="2133898" cy="1343212"/>
    <xdr:pic>
      <xdr:nvPicPr>
        <xdr:cNvPr id="20" name="Picture 19">
          <a:extLst>
            <a:ext uri="{FF2B5EF4-FFF2-40B4-BE49-F238E27FC236}">
              <a16:creationId xmlns:a16="http://schemas.microsoft.com/office/drawing/2014/main" id="{4E1C6B35-CF22-431B-9DC1-5460A07C6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576625" y="4638675"/>
          <a:ext cx="2133898" cy="1343212"/>
        </a:xfrm>
        <a:prstGeom prst="rect">
          <a:avLst/>
        </a:prstGeom>
      </xdr:spPr>
    </xdr:pic>
    <xdr:clientData/>
  </xdr:oneCellAnchor>
  <xdr:oneCellAnchor>
    <xdr:from>
      <xdr:col>55</xdr:col>
      <xdr:colOff>285750</xdr:colOff>
      <xdr:row>37</xdr:row>
      <xdr:rowOff>38100</xdr:rowOff>
    </xdr:from>
    <xdr:ext cx="3658111" cy="809738"/>
    <xdr:pic>
      <xdr:nvPicPr>
        <xdr:cNvPr id="21" name="Picture 20">
          <a:extLst>
            <a:ext uri="{FF2B5EF4-FFF2-40B4-BE49-F238E27FC236}">
              <a16:creationId xmlns:a16="http://schemas.microsoft.com/office/drawing/2014/main" id="{92E991B6-35CE-4AA9-B4A5-BD909FE9B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14575" y="3657600"/>
          <a:ext cx="3658111" cy="809738"/>
        </a:xfrm>
        <a:prstGeom prst="rect">
          <a:avLst/>
        </a:prstGeom>
      </xdr:spPr>
    </xdr:pic>
    <xdr:clientData/>
  </xdr:oneCellAnchor>
  <xdr:oneCellAnchor>
    <xdr:from>
      <xdr:col>57</xdr:col>
      <xdr:colOff>228600</xdr:colOff>
      <xdr:row>42</xdr:row>
      <xdr:rowOff>66675</xdr:rowOff>
    </xdr:from>
    <xdr:ext cx="2133898" cy="1343212"/>
    <xdr:pic>
      <xdr:nvPicPr>
        <xdr:cNvPr id="22" name="Picture 21">
          <a:extLst>
            <a:ext uri="{FF2B5EF4-FFF2-40B4-BE49-F238E27FC236}">
              <a16:creationId xmlns:a16="http://schemas.microsoft.com/office/drawing/2014/main" id="{E0DCC43F-6A46-4180-A5C3-40D0075A5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576625" y="4638675"/>
          <a:ext cx="2133898" cy="1343212"/>
        </a:xfrm>
        <a:prstGeom prst="rect">
          <a:avLst/>
        </a:prstGeom>
      </xdr:spPr>
    </xdr:pic>
    <xdr:clientData/>
  </xdr:oneCellAnchor>
  <xdr:oneCellAnchor>
    <xdr:from>
      <xdr:col>55</xdr:col>
      <xdr:colOff>285750</xdr:colOff>
      <xdr:row>57</xdr:row>
      <xdr:rowOff>38100</xdr:rowOff>
    </xdr:from>
    <xdr:ext cx="3658111" cy="809738"/>
    <xdr:pic>
      <xdr:nvPicPr>
        <xdr:cNvPr id="23" name="Picture 22">
          <a:extLst>
            <a:ext uri="{FF2B5EF4-FFF2-40B4-BE49-F238E27FC236}">
              <a16:creationId xmlns:a16="http://schemas.microsoft.com/office/drawing/2014/main" id="{7BA7CBE5-E51C-4D0E-BA1D-EEA3B3D23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14575" y="7086600"/>
          <a:ext cx="3658111" cy="809738"/>
        </a:xfrm>
        <a:prstGeom prst="rect">
          <a:avLst/>
        </a:prstGeom>
      </xdr:spPr>
    </xdr:pic>
    <xdr:clientData/>
  </xdr:oneCellAnchor>
  <xdr:oneCellAnchor>
    <xdr:from>
      <xdr:col>57</xdr:col>
      <xdr:colOff>228600</xdr:colOff>
      <xdr:row>62</xdr:row>
      <xdr:rowOff>66675</xdr:rowOff>
    </xdr:from>
    <xdr:ext cx="2133898" cy="1343212"/>
    <xdr:pic>
      <xdr:nvPicPr>
        <xdr:cNvPr id="24" name="Picture 23">
          <a:extLst>
            <a:ext uri="{FF2B5EF4-FFF2-40B4-BE49-F238E27FC236}">
              <a16:creationId xmlns:a16="http://schemas.microsoft.com/office/drawing/2014/main" id="{278C2456-92AF-4090-994F-CEB843D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576625" y="8067675"/>
          <a:ext cx="2133898" cy="1343212"/>
        </a:xfrm>
        <a:prstGeom prst="rect">
          <a:avLst/>
        </a:prstGeom>
      </xdr:spPr>
    </xdr:pic>
    <xdr:clientData/>
  </xdr:oneCellAnchor>
  <xdr:oneCellAnchor>
    <xdr:from>
      <xdr:col>55</xdr:col>
      <xdr:colOff>285750</xdr:colOff>
      <xdr:row>77</xdr:row>
      <xdr:rowOff>38100</xdr:rowOff>
    </xdr:from>
    <xdr:ext cx="3658111" cy="809738"/>
    <xdr:pic>
      <xdr:nvPicPr>
        <xdr:cNvPr id="27" name="Picture 26">
          <a:extLst>
            <a:ext uri="{FF2B5EF4-FFF2-40B4-BE49-F238E27FC236}">
              <a16:creationId xmlns:a16="http://schemas.microsoft.com/office/drawing/2014/main" id="{57152B16-759D-4ACF-97CD-9CB184CE1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14575" y="10896600"/>
          <a:ext cx="3658111" cy="809738"/>
        </a:xfrm>
        <a:prstGeom prst="rect">
          <a:avLst/>
        </a:prstGeom>
      </xdr:spPr>
    </xdr:pic>
    <xdr:clientData/>
  </xdr:oneCellAnchor>
  <xdr:oneCellAnchor>
    <xdr:from>
      <xdr:col>57</xdr:col>
      <xdr:colOff>228600</xdr:colOff>
      <xdr:row>82</xdr:row>
      <xdr:rowOff>66675</xdr:rowOff>
    </xdr:from>
    <xdr:ext cx="2133898" cy="1343212"/>
    <xdr:pic>
      <xdr:nvPicPr>
        <xdr:cNvPr id="28" name="Picture 27">
          <a:extLst>
            <a:ext uri="{FF2B5EF4-FFF2-40B4-BE49-F238E27FC236}">
              <a16:creationId xmlns:a16="http://schemas.microsoft.com/office/drawing/2014/main" id="{6029186F-7D18-452D-A758-8F56AA381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576625" y="11877675"/>
          <a:ext cx="2133898" cy="1343212"/>
        </a:xfrm>
        <a:prstGeom prst="rect">
          <a:avLst/>
        </a:prstGeom>
      </xdr:spPr>
    </xdr:pic>
    <xdr:clientData/>
  </xdr:oneCellAnchor>
  <xdr:twoCellAnchor editAs="oneCell">
    <xdr:from>
      <xdr:col>61</xdr:col>
      <xdr:colOff>408215</xdr:colOff>
      <xdr:row>55</xdr:row>
      <xdr:rowOff>81643</xdr:rowOff>
    </xdr:from>
    <xdr:to>
      <xdr:col>63</xdr:col>
      <xdr:colOff>749754</xdr:colOff>
      <xdr:row>62</xdr:row>
      <xdr:rowOff>72118</xdr:rowOff>
    </xdr:to>
    <xdr:pic>
      <xdr:nvPicPr>
        <xdr:cNvPr id="2" name="Picture 1" descr="Resistor-Inductor AC Behavior">
          <a:extLst>
            <a:ext uri="{FF2B5EF4-FFF2-40B4-BE49-F238E27FC236}">
              <a16:creationId xmlns:a16="http://schemas.microsoft.com/office/drawing/2014/main" id="{5C70309F-576D-21E4-3417-397D2B1BA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03572" y="10559143"/>
          <a:ext cx="3199039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6</xdr:row>
      <xdr:rowOff>57150</xdr:rowOff>
    </xdr:from>
    <xdr:to>
      <xdr:col>12</xdr:col>
      <xdr:colOff>762215</xdr:colOff>
      <xdr:row>10</xdr:row>
      <xdr:rowOff>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DEB27-AF73-485D-A252-E543EF76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1752600"/>
          <a:ext cx="1543265" cy="704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6</xdr:row>
      <xdr:rowOff>161925</xdr:rowOff>
    </xdr:from>
    <xdr:to>
      <xdr:col>16</xdr:col>
      <xdr:colOff>467016</xdr:colOff>
      <xdr:row>10</xdr:row>
      <xdr:rowOff>171558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F8117-1DA8-454B-A088-444AC44EC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92350" y="1857375"/>
          <a:ext cx="2086266" cy="771633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10</xdr:row>
      <xdr:rowOff>104775</xdr:rowOff>
    </xdr:from>
    <xdr:to>
      <xdr:col>19</xdr:col>
      <xdr:colOff>914763</xdr:colOff>
      <xdr:row>14</xdr:row>
      <xdr:rowOff>104881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32D2E8-8822-4A30-88D5-99C65A260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54475" y="2562225"/>
          <a:ext cx="2600688" cy="762106"/>
        </a:xfrm>
        <a:prstGeom prst="rect">
          <a:avLst/>
        </a:prstGeom>
      </xdr:spPr>
    </xdr:pic>
    <xdr:clientData/>
  </xdr:twoCellAnchor>
  <xdr:twoCellAnchor editAs="oneCell">
    <xdr:from>
      <xdr:col>19</xdr:col>
      <xdr:colOff>819150</xdr:colOff>
      <xdr:row>13</xdr:row>
      <xdr:rowOff>180975</xdr:rowOff>
    </xdr:from>
    <xdr:to>
      <xdr:col>23</xdr:col>
      <xdr:colOff>467093</xdr:colOff>
      <xdr:row>18</xdr:row>
      <xdr:rowOff>38213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580E35-30F2-47E9-8624-CD99036CF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3209925"/>
          <a:ext cx="2638793" cy="809738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295275</xdr:colOff>
      <xdr:row>6</xdr:row>
      <xdr:rowOff>47625</xdr:rowOff>
    </xdr:from>
    <xdr:to>
      <xdr:col>26</xdr:col>
      <xdr:colOff>515003</xdr:colOff>
      <xdr:row>10</xdr:row>
      <xdr:rowOff>152521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90579D-FF78-4CD1-AC65-B901E7705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07225" y="1743075"/>
          <a:ext cx="4677428" cy="866896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10</xdr:row>
      <xdr:rowOff>9525</xdr:rowOff>
    </xdr:from>
    <xdr:to>
      <xdr:col>35</xdr:col>
      <xdr:colOff>1124470</xdr:colOff>
      <xdr:row>14</xdr:row>
      <xdr:rowOff>76316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111693-A2A7-4D33-8AF1-A046441F5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727275" y="2466975"/>
          <a:ext cx="3724795" cy="828791"/>
        </a:xfrm>
        <a:prstGeom prst="rect">
          <a:avLst/>
        </a:prstGeom>
      </xdr:spPr>
    </xdr:pic>
    <xdr:clientData/>
  </xdr:twoCellAnchor>
  <xdr:twoCellAnchor editAs="oneCell">
    <xdr:from>
      <xdr:col>31</xdr:col>
      <xdr:colOff>276225</xdr:colOff>
      <xdr:row>6</xdr:row>
      <xdr:rowOff>152400</xdr:rowOff>
    </xdr:from>
    <xdr:to>
      <xdr:col>33</xdr:col>
      <xdr:colOff>543150</xdr:colOff>
      <xdr:row>9</xdr:row>
      <xdr:rowOff>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6047DD-F4A1-4F8D-91AA-EF471DB26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965400" y="1847850"/>
          <a:ext cx="1609950" cy="419158"/>
        </a:xfrm>
        <a:prstGeom prst="rect">
          <a:avLst/>
        </a:prstGeom>
      </xdr:spPr>
    </xdr:pic>
    <xdr:clientData/>
  </xdr:twoCellAnchor>
  <xdr:twoCellAnchor editAs="oneCell">
    <xdr:from>
      <xdr:col>31</xdr:col>
      <xdr:colOff>304800</xdr:colOff>
      <xdr:row>15</xdr:row>
      <xdr:rowOff>47625</xdr:rowOff>
    </xdr:from>
    <xdr:to>
      <xdr:col>33</xdr:col>
      <xdr:colOff>114461</xdr:colOff>
      <xdr:row>17</xdr:row>
      <xdr:rowOff>142941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1E5838-C525-4AB9-ADE1-5988A40FF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993975" y="3457575"/>
          <a:ext cx="1152686" cy="476316"/>
        </a:xfrm>
        <a:prstGeom prst="rect">
          <a:avLst/>
        </a:prstGeom>
      </xdr:spPr>
    </xdr:pic>
    <xdr:clientData/>
  </xdr:twoCellAnchor>
  <xdr:twoCellAnchor editAs="oneCell">
    <xdr:from>
      <xdr:col>33</xdr:col>
      <xdr:colOff>495299</xdr:colOff>
      <xdr:row>15</xdr:row>
      <xdr:rowOff>19050</xdr:rowOff>
    </xdr:from>
    <xdr:to>
      <xdr:col>34</xdr:col>
      <xdr:colOff>679106</xdr:colOff>
      <xdr:row>17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D7F0E5-AFF4-4C5A-AF61-A7908205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527499" y="3429000"/>
          <a:ext cx="793407" cy="438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6</xdr:row>
      <xdr:rowOff>57150</xdr:rowOff>
    </xdr:from>
    <xdr:to>
      <xdr:col>12</xdr:col>
      <xdr:colOff>762215</xdr:colOff>
      <xdr:row>10</xdr:row>
      <xdr:rowOff>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8FCD0F-48C1-FCC2-F96F-DC8CEC142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2343150"/>
          <a:ext cx="1543265" cy="704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6</xdr:row>
      <xdr:rowOff>161925</xdr:rowOff>
    </xdr:from>
    <xdr:to>
      <xdr:col>16</xdr:col>
      <xdr:colOff>467016</xdr:colOff>
      <xdr:row>10</xdr:row>
      <xdr:rowOff>171558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2069BB-E062-20E5-A154-994FE24AD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92350" y="1857375"/>
          <a:ext cx="2086266" cy="771633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10</xdr:row>
      <xdr:rowOff>104775</xdr:rowOff>
    </xdr:from>
    <xdr:to>
      <xdr:col>19</xdr:col>
      <xdr:colOff>914763</xdr:colOff>
      <xdr:row>14</xdr:row>
      <xdr:rowOff>104881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6D2259-FD7B-A17B-D6B4-19DDC958E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54475" y="2562225"/>
          <a:ext cx="2600688" cy="762106"/>
        </a:xfrm>
        <a:prstGeom prst="rect">
          <a:avLst/>
        </a:prstGeom>
      </xdr:spPr>
    </xdr:pic>
    <xdr:clientData/>
  </xdr:twoCellAnchor>
  <xdr:twoCellAnchor editAs="oneCell">
    <xdr:from>
      <xdr:col>19</xdr:col>
      <xdr:colOff>819150</xdr:colOff>
      <xdr:row>13</xdr:row>
      <xdr:rowOff>180975</xdr:rowOff>
    </xdr:from>
    <xdr:to>
      <xdr:col>23</xdr:col>
      <xdr:colOff>467093</xdr:colOff>
      <xdr:row>18</xdr:row>
      <xdr:rowOff>38213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3C5259-A14A-05C5-69A2-A277ED189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3209925"/>
          <a:ext cx="2638793" cy="809738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295275</xdr:colOff>
      <xdr:row>6</xdr:row>
      <xdr:rowOff>47625</xdr:rowOff>
    </xdr:from>
    <xdr:to>
      <xdr:col>26</xdr:col>
      <xdr:colOff>515003</xdr:colOff>
      <xdr:row>10</xdr:row>
      <xdr:rowOff>152521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556FB42-89BD-B030-E73A-4F8BAC907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07225" y="1743075"/>
          <a:ext cx="4677428" cy="866896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10</xdr:row>
      <xdr:rowOff>9525</xdr:rowOff>
    </xdr:from>
    <xdr:to>
      <xdr:col>35</xdr:col>
      <xdr:colOff>1124470</xdr:colOff>
      <xdr:row>14</xdr:row>
      <xdr:rowOff>76316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E71A3AC-0648-6171-C55A-8AB9D6B8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46275" y="2466975"/>
          <a:ext cx="3724795" cy="828791"/>
        </a:xfrm>
        <a:prstGeom prst="rect">
          <a:avLst/>
        </a:prstGeom>
      </xdr:spPr>
    </xdr:pic>
    <xdr:clientData/>
  </xdr:twoCellAnchor>
  <xdr:twoCellAnchor editAs="oneCell">
    <xdr:from>
      <xdr:col>31</xdr:col>
      <xdr:colOff>276225</xdr:colOff>
      <xdr:row>6</xdr:row>
      <xdr:rowOff>152400</xdr:rowOff>
    </xdr:from>
    <xdr:to>
      <xdr:col>33</xdr:col>
      <xdr:colOff>543150</xdr:colOff>
      <xdr:row>9</xdr:row>
      <xdr:rowOff>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059009D-C9EA-A42C-DD42-CB6643773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965400" y="1847850"/>
          <a:ext cx="1609950" cy="419158"/>
        </a:xfrm>
        <a:prstGeom prst="rect">
          <a:avLst/>
        </a:prstGeom>
      </xdr:spPr>
    </xdr:pic>
    <xdr:clientData/>
  </xdr:twoCellAnchor>
  <xdr:twoCellAnchor editAs="oneCell">
    <xdr:from>
      <xdr:col>31</xdr:col>
      <xdr:colOff>304800</xdr:colOff>
      <xdr:row>15</xdr:row>
      <xdr:rowOff>47625</xdr:rowOff>
    </xdr:from>
    <xdr:to>
      <xdr:col>33</xdr:col>
      <xdr:colOff>114461</xdr:colOff>
      <xdr:row>17</xdr:row>
      <xdr:rowOff>142941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CAC892E-C1F9-3470-6F14-ADB88503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993975" y="3457575"/>
          <a:ext cx="1152686" cy="476316"/>
        </a:xfrm>
        <a:prstGeom prst="rect">
          <a:avLst/>
        </a:prstGeom>
      </xdr:spPr>
    </xdr:pic>
    <xdr:clientData/>
  </xdr:twoCellAnchor>
  <xdr:twoCellAnchor editAs="oneCell">
    <xdr:from>
      <xdr:col>33</xdr:col>
      <xdr:colOff>495299</xdr:colOff>
      <xdr:row>15</xdr:row>
      <xdr:rowOff>19050</xdr:rowOff>
    </xdr:from>
    <xdr:to>
      <xdr:col>34</xdr:col>
      <xdr:colOff>679106</xdr:colOff>
      <xdr:row>17</xdr:row>
      <xdr:rowOff>76200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541201A-50F1-54AF-D2E0-6EAD09CB7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03674" y="3429000"/>
          <a:ext cx="793407" cy="43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152400</xdr:colOff>
      <xdr:row>21</xdr:row>
      <xdr:rowOff>57150</xdr:rowOff>
    </xdr:from>
    <xdr:to>
      <xdr:col>39</xdr:col>
      <xdr:colOff>352708</xdr:colOff>
      <xdr:row>24</xdr:row>
      <xdr:rowOff>162019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55BD1-8FEF-4D19-B4B3-609A51BDB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79600" y="5257800"/>
          <a:ext cx="2029108" cy="676369"/>
        </a:xfrm>
        <a:prstGeom prst="rect">
          <a:avLst/>
        </a:prstGeom>
      </xdr:spPr>
    </xdr:pic>
    <xdr:clientData/>
  </xdr:twoCellAnchor>
  <xdr:twoCellAnchor editAs="oneCell">
    <xdr:from>
      <xdr:col>27</xdr:col>
      <xdr:colOff>304800</xdr:colOff>
      <xdr:row>23</xdr:row>
      <xdr:rowOff>142875</xdr:rowOff>
    </xdr:from>
    <xdr:to>
      <xdr:col>29</xdr:col>
      <xdr:colOff>457485</xdr:colOff>
      <xdr:row>25</xdr:row>
      <xdr:rowOff>114349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2151B0-67A7-C914-038F-1699B7DBE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06875" y="5724525"/>
          <a:ext cx="2038635" cy="352474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619125</xdr:colOff>
      <xdr:row>23</xdr:row>
      <xdr:rowOff>47625</xdr:rowOff>
    </xdr:from>
    <xdr:to>
      <xdr:col>29</xdr:col>
      <xdr:colOff>2086180</xdr:colOff>
      <xdr:row>25</xdr:row>
      <xdr:rowOff>47678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177F6E-182B-70E0-64DE-2BB0CD02D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07150" y="5629275"/>
          <a:ext cx="1467055" cy="381053"/>
        </a:xfrm>
        <a:prstGeom prst="rect">
          <a:avLst/>
        </a:prstGeom>
      </xdr:spPr>
    </xdr:pic>
    <xdr:clientData/>
  </xdr:twoCellAnchor>
  <xdr:twoCellAnchor editAs="oneCell">
    <xdr:from>
      <xdr:col>29</xdr:col>
      <xdr:colOff>2171700</xdr:colOff>
      <xdr:row>23</xdr:row>
      <xdr:rowOff>57150</xdr:rowOff>
    </xdr:from>
    <xdr:to>
      <xdr:col>31</xdr:col>
      <xdr:colOff>495491</xdr:colOff>
      <xdr:row>25</xdr:row>
      <xdr:rowOff>95308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7EF0B8-310B-D200-2B33-B96D8FB3A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59725" y="5638800"/>
          <a:ext cx="1371791" cy="419158"/>
        </a:xfrm>
        <a:prstGeom prst="rect">
          <a:avLst/>
        </a:prstGeom>
      </xdr:spPr>
    </xdr:pic>
    <xdr:clientData/>
  </xdr:twoCellAnchor>
  <xdr:twoCellAnchor editAs="oneCell">
    <xdr:from>
      <xdr:col>49</xdr:col>
      <xdr:colOff>123825</xdr:colOff>
      <xdr:row>21</xdr:row>
      <xdr:rowOff>133350</xdr:rowOff>
    </xdr:from>
    <xdr:to>
      <xdr:col>51</xdr:col>
      <xdr:colOff>733694</xdr:colOff>
      <xdr:row>24</xdr:row>
      <xdr:rowOff>9587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855B22A-CD8F-7C0C-AA9A-3FB5B8D8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99800" y="5334000"/>
          <a:ext cx="1924319" cy="447737"/>
        </a:xfrm>
        <a:prstGeom prst="rect">
          <a:avLst/>
        </a:prstGeom>
      </xdr:spPr>
    </xdr:pic>
    <xdr:clientData/>
  </xdr:twoCellAnchor>
  <xdr:twoCellAnchor editAs="oneCell">
    <xdr:from>
      <xdr:col>50</xdr:col>
      <xdr:colOff>485775</xdr:colOff>
      <xdr:row>26</xdr:row>
      <xdr:rowOff>38100</xdr:rowOff>
    </xdr:from>
    <xdr:to>
      <xdr:col>58</xdr:col>
      <xdr:colOff>238980</xdr:colOff>
      <xdr:row>28</xdr:row>
      <xdr:rowOff>104837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3575A7-6BD1-AF93-110F-3218E1341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471350" y="6191250"/>
          <a:ext cx="6125430" cy="447737"/>
        </a:xfrm>
        <a:prstGeom prst="rect">
          <a:avLst/>
        </a:prstGeom>
      </xdr:spPr>
    </xdr:pic>
    <xdr:clientData/>
  </xdr:twoCellAnchor>
  <xdr:twoCellAnchor editAs="oneCell">
    <xdr:from>
      <xdr:col>51</xdr:col>
      <xdr:colOff>714375</xdr:colOff>
      <xdr:row>21</xdr:row>
      <xdr:rowOff>85725</xdr:rowOff>
    </xdr:from>
    <xdr:to>
      <xdr:col>57</xdr:col>
      <xdr:colOff>438817</xdr:colOff>
      <xdr:row>24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CFBD489-8183-AB07-7542-B53EBCBAF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404800" y="5286375"/>
          <a:ext cx="4782217" cy="485843"/>
        </a:xfrm>
        <a:prstGeom prst="rect">
          <a:avLst/>
        </a:prstGeom>
      </xdr:spPr>
    </xdr:pic>
    <xdr:clientData/>
  </xdr:twoCellAnchor>
  <xdr:twoCellAnchor editAs="oneCell">
    <xdr:from>
      <xdr:col>59</xdr:col>
      <xdr:colOff>590550</xdr:colOff>
      <xdr:row>21</xdr:row>
      <xdr:rowOff>142875</xdr:rowOff>
    </xdr:from>
    <xdr:to>
      <xdr:col>61</xdr:col>
      <xdr:colOff>563881</xdr:colOff>
      <xdr:row>25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738F9B-F365-AFED-ACC6-A416B5B79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891700" y="5343525"/>
          <a:ext cx="1487806" cy="676275"/>
        </a:xfrm>
        <a:prstGeom prst="rect">
          <a:avLst/>
        </a:prstGeom>
      </xdr:spPr>
    </xdr:pic>
    <xdr:clientData/>
  </xdr:twoCellAnchor>
  <xdr:twoCellAnchor editAs="oneCell">
    <xdr:from>
      <xdr:col>62</xdr:col>
      <xdr:colOff>552450</xdr:colOff>
      <xdr:row>21</xdr:row>
      <xdr:rowOff>123825</xdr:rowOff>
    </xdr:from>
    <xdr:to>
      <xdr:col>68</xdr:col>
      <xdr:colOff>543539</xdr:colOff>
      <xdr:row>24</xdr:row>
      <xdr:rowOff>162010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989D571-88D9-AA61-90E4-A1CC58F48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682400" y="5324475"/>
          <a:ext cx="4401164" cy="609685"/>
        </a:xfrm>
        <a:prstGeom prst="rect">
          <a:avLst/>
        </a:prstGeom>
      </xdr:spPr>
    </xdr:pic>
    <xdr:clientData/>
  </xdr:twoCellAnchor>
  <xdr:twoCellAnchor editAs="oneCell">
    <xdr:from>
      <xdr:col>61</xdr:col>
      <xdr:colOff>66674</xdr:colOff>
      <xdr:row>26</xdr:row>
      <xdr:rowOff>57150</xdr:rowOff>
    </xdr:from>
    <xdr:to>
      <xdr:col>71</xdr:col>
      <xdr:colOff>133740</xdr:colOff>
      <xdr:row>30</xdr:row>
      <xdr:rowOff>57150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41E4964-B25E-35D4-404F-028C0AD87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587024" y="6210300"/>
          <a:ext cx="8210941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152400</xdr:colOff>
      <xdr:row>21</xdr:row>
      <xdr:rowOff>57150</xdr:rowOff>
    </xdr:from>
    <xdr:to>
      <xdr:col>39</xdr:col>
      <xdr:colOff>352708</xdr:colOff>
      <xdr:row>24</xdr:row>
      <xdr:rowOff>162019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119D89-A643-4008-AE62-FDDD8C2D0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93725" y="5257800"/>
          <a:ext cx="2029108" cy="676369"/>
        </a:xfrm>
        <a:prstGeom prst="rect">
          <a:avLst/>
        </a:prstGeom>
      </xdr:spPr>
    </xdr:pic>
    <xdr:clientData/>
  </xdr:twoCellAnchor>
  <xdr:twoCellAnchor editAs="oneCell">
    <xdr:from>
      <xdr:col>27</xdr:col>
      <xdr:colOff>304800</xdr:colOff>
      <xdr:row>23</xdr:row>
      <xdr:rowOff>142875</xdr:rowOff>
    </xdr:from>
    <xdr:to>
      <xdr:col>29</xdr:col>
      <xdr:colOff>457485</xdr:colOff>
      <xdr:row>25</xdr:row>
      <xdr:rowOff>114349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F1933A-A37E-4709-9206-14B19085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5724525"/>
          <a:ext cx="2038635" cy="352474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619125</xdr:colOff>
      <xdr:row>23</xdr:row>
      <xdr:rowOff>47625</xdr:rowOff>
    </xdr:from>
    <xdr:to>
      <xdr:col>29</xdr:col>
      <xdr:colOff>2086180</xdr:colOff>
      <xdr:row>25</xdr:row>
      <xdr:rowOff>47678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1F57C3-1404-450F-AC06-B181E462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21275" y="5629275"/>
          <a:ext cx="1467055" cy="381053"/>
        </a:xfrm>
        <a:prstGeom prst="rect">
          <a:avLst/>
        </a:prstGeom>
      </xdr:spPr>
    </xdr:pic>
    <xdr:clientData/>
  </xdr:twoCellAnchor>
  <xdr:twoCellAnchor editAs="oneCell">
    <xdr:from>
      <xdr:col>29</xdr:col>
      <xdr:colOff>2171700</xdr:colOff>
      <xdr:row>23</xdr:row>
      <xdr:rowOff>57150</xdr:rowOff>
    </xdr:from>
    <xdr:to>
      <xdr:col>31</xdr:col>
      <xdr:colOff>495491</xdr:colOff>
      <xdr:row>25</xdr:row>
      <xdr:rowOff>95308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373263-0524-4AA4-8621-836D701F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73850" y="5638800"/>
          <a:ext cx="1371791" cy="419158"/>
        </a:xfrm>
        <a:prstGeom prst="rect">
          <a:avLst/>
        </a:prstGeom>
      </xdr:spPr>
    </xdr:pic>
    <xdr:clientData/>
  </xdr:twoCellAnchor>
  <xdr:twoCellAnchor editAs="oneCell">
    <xdr:from>
      <xdr:col>49</xdr:col>
      <xdr:colOff>123825</xdr:colOff>
      <xdr:row>21</xdr:row>
      <xdr:rowOff>133350</xdr:rowOff>
    </xdr:from>
    <xdr:to>
      <xdr:col>51</xdr:col>
      <xdr:colOff>362219</xdr:colOff>
      <xdr:row>24</xdr:row>
      <xdr:rowOff>9587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11D89A-B62B-49A8-AF70-CE537DD3D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99800" y="5334000"/>
          <a:ext cx="1924319" cy="447737"/>
        </a:xfrm>
        <a:prstGeom prst="rect">
          <a:avLst/>
        </a:prstGeom>
      </xdr:spPr>
    </xdr:pic>
    <xdr:clientData/>
  </xdr:twoCellAnchor>
  <xdr:twoCellAnchor editAs="oneCell">
    <xdr:from>
      <xdr:col>50</xdr:col>
      <xdr:colOff>485775</xdr:colOff>
      <xdr:row>26</xdr:row>
      <xdr:rowOff>38100</xdr:rowOff>
    </xdr:from>
    <xdr:to>
      <xdr:col>57</xdr:col>
      <xdr:colOff>477105</xdr:colOff>
      <xdr:row>28</xdr:row>
      <xdr:rowOff>104837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BCC45C-44F2-44F4-99D9-A7FF0BB2B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471350" y="6191250"/>
          <a:ext cx="6125430" cy="447737"/>
        </a:xfrm>
        <a:prstGeom prst="rect">
          <a:avLst/>
        </a:prstGeom>
      </xdr:spPr>
    </xdr:pic>
    <xdr:clientData/>
  </xdr:twoCellAnchor>
  <xdr:twoCellAnchor editAs="oneCell">
    <xdr:from>
      <xdr:col>51</xdr:col>
      <xdr:colOff>714375</xdr:colOff>
      <xdr:row>21</xdr:row>
      <xdr:rowOff>85725</xdr:rowOff>
    </xdr:from>
    <xdr:to>
      <xdr:col>57</xdr:col>
      <xdr:colOff>438817</xdr:colOff>
      <xdr:row>24</xdr:row>
      <xdr:rowOff>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F1D2648-0477-4EA5-AC2A-C9C7DC75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404800" y="5286375"/>
          <a:ext cx="4782217" cy="485843"/>
        </a:xfrm>
        <a:prstGeom prst="rect">
          <a:avLst/>
        </a:prstGeom>
      </xdr:spPr>
    </xdr:pic>
    <xdr:clientData/>
  </xdr:twoCellAnchor>
  <xdr:twoCellAnchor editAs="oneCell">
    <xdr:from>
      <xdr:col>59</xdr:col>
      <xdr:colOff>590550</xdr:colOff>
      <xdr:row>21</xdr:row>
      <xdr:rowOff>142875</xdr:rowOff>
    </xdr:from>
    <xdr:to>
      <xdr:col>61</xdr:col>
      <xdr:colOff>563881</xdr:colOff>
      <xdr:row>25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47DFE3-8E52-44D1-BF75-8463592AE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05825" y="5343525"/>
          <a:ext cx="1487806" cy="676275"/>
        </a:xfrm>
        <a:prstGeom prst="rect">
          <a:avLst/>
        </a:prstGeom>
      </xdr:spPr>
    </xdr:pic>
    <xdr:clientData/>
  </xdr:twoCellAnchor>
  <xdr:twoCellAnchor editAs="oneCell">
    <xdr:from>
      <xdr:col>62</xdr:col>
      <xdr:colOff>552450</xdr:colOff>
      <xdr:row>21</xdr:row>
      <xdr:rowOff>123825</xdr:rowOff>
    </xdr:from>
    <xdr:to>
      <xdr:col>68</xdr:col>
      <xdr:colOff>543539</xdr:colOff>
      <xdr:row>24</xdr:row>
      <xdr:rowOff>162010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48F49-3EDD-42FC-8122-91547ABD3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691800" y="5324475"/>
          <a:ext cx="4401164" cy="609685"/>
        </a:xfrm>
        <a:prstGeom prst="rect">
          <a:avLst/>
        </a:prstGeom>
      </xdr:spPr>
    </xdr:pic>
    <xdr:clientData/>
  </xdr:twoCellAnchor>
  <xdr:twoCellAnchor editAs="oneCell">
    <xdr:from>
      <xdr:col>61</xdr:col>
      <xdr:colOff>66674</xdr:colOff>
      <xdr:row>26</xdr:row>
      <xdr:rowOff>57150</xdr:rowOff>
    </xdr:from>
    <xdr:to>
      <xdr:col>71</xdr:col>
      <xdr:colOff>133740</xdr:colOff>
      <xdr:row>30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895737-015C-4FF9-8581-44567C8E8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596424" y="6210300"/>
          <a:ext cx="8210941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152400</xdr:colOff>
      <xdr:row>21</xdr:row>
      <xdr:rowOff>57150</xdr:rowOff>
    </xdr:from>
    <xdr:to>
      <xdr:col>39</xdr:col>
      <xdr:colOff>352708</xdr:colOff>
      <xdr:row>24</xdr:row>
      <xdr:rowOff>162019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0A22FA-9869-4183-9E09-EA6B0C5F7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93725" y="5257800"/>
          <a:ext cx="2029108" cy="676369"/>
        </a:xfrm>
        <a:prstGeom prst="rect">
          <a:avLst/>
        </a:prstGeom>
      </xdr:spPr>
    </xdr:pic>
    <xdr:clientData/>
  </xdr:twoCellAnchor>
  <xdr:twoCellAnchor editAs="oneCell">
    <xdr:from>
      <xdr:col>27</xdr:col>
      <xdr:colOff>304800</xdr:colOff>
      <xdr:row>23</xdr:row>
      <xdr:rowOff>142875</xdr:rowOff>
    </xdr:from>
    <xdr:to>
      <xdr:col>29</xdr:col>
      <xdr:colOff>457485</xdr:colOff>
      <xdr:row>25</xdr:row>
      <xdr:rowOff>114349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BE1EC7-F1A3-4852-87F3-CD1F16817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5724525"/>
          <a:ext cx="2038635" cy="352474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619125</xdr:colOff>
      <xdr:row>23</xdr:row>
      <xdr:rowOff>47625</xdr:rowOff>
    </xdr:from>
    <xdr:to>
      <xdr:col>29</xdr:col>
      <xdr:colOff>2086180</xdr:colOff>
      <xdr:row>25</xdr:row>
      <xdr:rowOff>47678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1EDD0-C1F0-4191-BD19-1DB236A73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21275" y="5629275"/>
          <a:ext cx="1467055" cy="381053"/>
        </a:xfrm>
        <a:prstGeom prst="rect">
          <a:avLst/>
        </a:prstGeom>
      </xdr:spPr>
    </xdr:pic>
    <xdr:clientData/>
  </xdr:twoCellAnchor>
  <xdr:twoCellAnchor editAs="oneCell">
    <xdr:from>
      <xdr:col>29</xdr:col>
      <xdr:colOff>2171700</xdr:colOff>
      <xdr:row>23</xdr:row>
      <xdr:rowOff>57150</xdr:rowOff>
    </xdr:from>
    <xdr:to>
      <xdr:col>31</xdr:col>
      <xdr:colOff>495491</xdr:colOff>
      <xdr:row>25</xdr:row>
      <xdr:rowOff>95308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77C40D-E1F6-4041-B98F-66075665C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73850" y="5638800"/>
          <a:ext cx="1371791" cy="419158"/>
        </a:xfrm>
        <a:prstGeom prst="rect">
          <a:avLst/>
        </a:prstGeom>
      </xdr:spPr>
    </xdr:pic>
    <xdr:clientData/>
  </xdr:twoCellAnchor>
  <xdr:twoCellAnchor editAs="oneCell">
    <xdr:from>
      <xdr:col>49</xdr:col>
      <xdr:colOff>123825</xdr:colOff>
      <xdr:row>21</xdr:row>
      <xdr:rowOff>133350</xdr:rowOff>
    </xdr:from>
    <xdr:to>
      <xdr:col>51</xdr:col>
      <xdr:colOff>362219</xdr:colOff>
      <xdr:row>24</xdr:row>
      <xdr:rowOff>9587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00EF9B-A351-4429-8958-135D2FC16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99800" y="5334000"/>
          <a:ext cx="1924319" cy="447737"/>
        </a:xfrm>
        <a:prstGeom prst="rect">
          <a:avLst/>
        </a:prstGeom>
      </xdr:spPr>
    </xdr:pic>
    <xdr:clientData/>
  </xdr:twoCellAnchor>
  <xdr:twoCellAnchor editAs="oneCell">
    <xdr:from>
      <xdr:col>50</xdr:col>
      <xdr:colOff>485775</xdr:colOff>
      <xdr:row>26</xdr:row>
      <xdr:rowOff>38100</xdr:rowOff>
    </xdr:from>
    <xdr:to>
      <xdr:col>57</xdr:col>
      <xdr:colOff>477105</xdr:colOff>
      <xdr:row>28</xdr:row>
      <xdr:rowOff>104837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C58768-9C49-4540-AE5C-6B73D67A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471350" y="6191250"/>
          <a:ext cx="6125430" cy="447737"/>
        </a:xfrm>
        <a:prstGeom prst="rect">
          <a:avLst/>
        </a:prstGeom>
      </xdr:spPr>
    </xdr:pic>
    <xdr:clientData/>
  </xdr:twoCellAnchor>
  <xdr:twoCellAnchor editAs="oneCell">
    <xdr:from>
      <xdr:col>51</xdr:col>
      <xdr:colOff>714375</xdr:colOff>
      <xdr:row>21</xdr:row>
      <xdr:rowOff>85725</xdr:rowOff>
    </xdr:from>
    <xdr:to>
      <xdr:col>57</xdr:col>
      <xdr:colOff>438817</xdr:colOff>
      <xdr:row>24</xdr:row>
      <xdr:rowOff>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5EA3C5-3847-4249-81F4-B2C352640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776275" y="5286375"/>
          <a:ext cx="4782217" cy="485843"/>
        </a:xfrm>
        <a:prstGeom prst="rect">
          <a:avLst/>
        </a:prstGeom>
      </xdr:spPr>
    </xdr:pic>
    <xdr:clientData/>
  </xdr:twoCellAnchor>
  <xdr:twoCellAnchor editAs="oneCell">
    <xdr:from>
      <xdr:col>59</xdr:col>
      <xdr:colOff>590550</xdr:colOff>
      <xdr:row>21</xdr:row>
      <xdr:rowOff>142875</xdr:rowOff>
    </xdr:from>
    <xdr:to>
      <xdr:col>61</xdr:col>
      <xdr:colOff>563881</xdr:colOff>
      <xdr:row>25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5684F-F55F-4A11-B1F6-61FB6CD58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77300" y="5343525"/>
          <a:ext cx="1487806" cy="676275"/>
        </a:xfrm>
        <a:prstGeom prst="rect">
          <a:avLst/>
        </a:prstGeom>
      </xdr:spPr>
    </xdr:pic>
    <xdr:clientData/>
  </xdr:twoCellAnchor>
  <xdr:twoCellAnchor editAs="oneCell">
    <xdr:from>
      <xdr:col>62</xdr:col>
      <xdr:colOff>552450</xdr:colOff>
      <xdr:row>21</xdr:row>
      <xdr:rowOff>123825</xdr:rowOff>
    </xdr:from>
    <xdr:to>
      <xdr:col>68</xdr:col>
      <xdr:colOff>543539</xdr:colOff>
      <xdr:row>24</xdr:row>
      <xdr:rowOff>162010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F03EBE-AC05-4133-8A64-5C6EE46C4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063275" y="5324475"/>
          <a:ext cx="4401164" cy="609685"/>
        </a:xfrm>
        <a:prstGeom prst="rect">
          <a:avLst/>
        </a:prstGeom>
      </xdr:spPr>
    </xdr:pic>
    <xdr:clientData/>
  </xdr:twoCellAnchor>
  <xdr:twoCellAnchor editAs="oneCell">
    <xdr:from>
      <xdr:col>61</xdr:col>
      <xdr:colOff>66674</xdr:colOff>
      <xdr:row>26</xdr:row>
      <xdr:rowOff>57150</xdr:rowOff>
    </xdr:from>
    <xdr:to>
      <xdr:col>71</xdr:col>
      <xdr:colOff>133740</xdr:colOff>
      <xdr:row>30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52C8B9-7705-416F-8C86-887A4B09F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967899" y="6210300"/>
          <a:ext cx="8210941" cy="76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152400</xdr:colOff>
      <xdr:row>21</xdr:row>
      <xdr:rowOff>57150</xdr:rowOff>
    </xdr:from>
    <xdr:to>
      <xdr:col>39</xdr:col>
      <xdr:colOff>352708</xdr:colOff>
      <xdr:row>24</xdr:row>
      <xdr:rowOff>162019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869BEF-836F-477A-9BD5-9DC112769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93725" y="5257800"/>
          <a:ext cx="2029108" cy="676369"/>
        </a:xfrm>
        <a:prstGeom prst="rect">
          <a:avLst/>
        </a:prstGeom>
      </xdr:spPr>
    </xdr:pic>
    <xdr:clientData/>
  </xdr:twoCellAnchor>
  <xdr:twoCellAnchor editAs="oneCell">
    <xdr:from>
      <xdr:col>27</xdr:col>
      <xdr:colOff>304800</xdr:colOff>
      <xdr:row>23</xdr:row>
      <xdr:rowOff>142875</xdr:rowOff>
    </xdr:from>
    <xdr:to>
      <xdr:col>29</xdr:col>
      <xdr:colOff>457485</xdr:colOff>
      <xdr:row>25</xdr:row>
      <xdr:rowOff>114349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56A49E-A55D-4D99-86F7-4172B390C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5724525"/>
          <a:ext cx="2038635" cy="352474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619125</xdr:colOff>
      <xdr:row>23</xdr:row>
      <xdr:rowOff>47625</xdr:rowOff>
    </xdr:from>
    <xdr:to>
      <xdr:col>29</xdr:col>
      <xdr:colOff>2086180</xdr:colOff>
      <xdr:row>25</xdr:row>
      <xdr:rowOff>47678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38D621-ADA7-4443-89A7-3337C016F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21275" y="5629275"/>
          <a:ext cx="1467055" cy="381053"/>
        </a:xfrm>
        <a:prstGeom prst="rect">
          <a:avLst/>
        </a:prstGeom>
      </xdr:spPr>
    </xdr:pic>
    <xdr:clientData/>
  </xdr:twoCellAnchor>
  <xdr:twoCellAnchor editAs="oneCell">
    <xdr:from>
      <xdr:col>29</xdr:col>
      <xdr:colOff>2171700</xdr:colOff>
      <xdr:row>23</xdr:row>
      <xdr:rowOff>57150</xdr:rowOff>
    </xdr:from>
    <xdr:to>
      <xdr:col>31</xdr:col>
      <xdr:colOff>495491</xdr:colOff>
      <xdr:row>25</xdr:row>
      <xdr:rowOff>95308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065AED-9A51-4136-8400-D981DF839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73850" y="5638800"/>
          <a:ext cx="1371791" cy="419158"/>
        </a:xfrm>
        <a:prstGeom prst="rect">
          <a:avLst/>
        </a:prstGeom>
      </xdr:spPr>
    </xdr:pic>
    <xdr:clientData/>
  </xdr:twoCellAnchor>
  <xdr:twoCellAnchor editAs="oneCell">
    <xdr:from>
      <xdr:col>49</xdr:col>
      <xdr:colOff>123825</xdr:colOff>
      <xdr:row>21</xdr:row>
      <xdr:rowOff>133350</xdr:rowOff>
    </xdr:from>
    <xdr:to>
      <xdr:col>51</xdr:col>
      <xdr:colOff>362219</xdr:colOff>
      <xdr:row>24</xdr:row>
      <xdr:rowOff>9587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809939-44DB-426E-8FFC-0E2ADB4A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99800" y="5334000"/>
          <a:ext cx="1924319" cy="447737"/>
        </a:xfrm>
        <a:prstGeom prst="rect">
          <a:avLst/>
        </a:prstGeom>
      </xdr:spPr>
    </xdr:pic>
    <xdr:clientData/>
  </xdr:twoCellAnchor>
  <xdr:twoCellAnchor editAs="oneCell">
    <xdr:from>
      <xdr:col>50</xdr:col>
      <xdr:colOff>485775</xdr:colOff>
      <xdr:row>26</xdr:row>
      <xdr:rowOff>38100</xdr:rowOff>
    </xdr:from>
    <xdr:to>
      <xdr:col>57</xdr:col>
      <xdr:colOff>477105</xdr:colOff>
      <xdr:row>28</xdr:row>
      <xdr:rowOff>104837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797E8B-56D4-480C-B332-41FB36689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471350" y="6191250"/>
          <a:ext cx="6125430" cy="447737"/>
        </a:xfrm>
        <a:prstGeom prst="rect">
          <a:avLst/>
        </a:prstGeom>
      </xdr:spPr>
    </xdr:pic>
    <xdr:clientData/>
  </xdr:twoCellAnchor>
  <xdr:twoCellAnchor editAs="oneCell">
    <xdr:from>
      <xdr:col>51</xdr:col>
      <xdr:colOff>714375</xdr:colOff>
      <xdr:row>21</xdr:row>
      <xdr:rowOff>85725</xdr:rowOff>
    </xdr:from>
    <xdr:to>
      <xdr:col>57</xdr:col>
      <xdr:colOff>438817</xdr:colOff>
      <xdr:row>24</xdr:row>
      <xdr:rowOff>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47884D-9663-438F-B8A9-37226195B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776275" y="5286375"/>
          <a:ext cx="4782217" cy="485843"/>
        </a:xfrm>
        <a:prstGeom prst="rect">
          <a:avLst/>
        </a:prstGeom>
      </xdr:spPr>
    </xdr:pic>
    <xdr:clientData/>
  </xdr:twoCellAnchor>
  <xdr:twoCellAnchor editAs="oneCell">
    <xdr:from>
      <xdr:col>59</xdr:col>
      <xdr:colOff>590550</xdr:colOff>
      <xdr:row>21</xdr:row>
      <xdr:rowOff>142875</xdr:rowOff>
    </xdr:from>
    <xdr:to>
      <xdr:col>61</xdr:col>
      <xdr:colOff>563881</xdr:colOff>
      <xdr:row>25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EA8D33-6050-4419-999F-F5FB1DA3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77300" y="5343525"/>
          <a:ext cx="1487806" cy="676275"/>
        </a:xfrm>
        <a:prstGeom prst="rect">
          <a:avLst/>
        </a:prstGeom>
      </xdr:spPr>
    </xdr:pic>
    <xdr:clientData/>
  </xdr:twoCellAnchor>
  <xdr:twoCellAnchor editAs="oneCell">
    <xdr:from>
      <xdr:col>62</xdr:col>
      <xdr:colOff>552450</xdr:colOff>
      <xdr:row>21</xdr:row>
      <xdr:rowOff>123825</xdr:rowOff>
    </xdr:from>
    <xdr:to>
      <xdr:col>68</xdr:col>
      <xdr:colOff>543539</xdr:colOff>
      <xdr:row>24</xdr:row>
      <xdr:rowOff>162010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EC6CBF-DB29-4973-85EB-3F727971B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063275" y="5324475"/>
          <a:ext cx="4401164" cy="609685"/>
        </a:xfrm>
        <a:prstGeom prst="rect">
          <a:avLst/>
        </a:prstGeom>
      </xdr:spPr>
    </xdr:pic>
    <xdr:clientData/>
  </xdr:twoCellAnchor>
  <xdr:twoCellAnchor editAs="oneCell">
    <xdr:from>
      <xdr:col>61</xdr:col>
      <xdr:colOff>66674</xdr:colOff>
      <xdr:row>26</xdr:row>
      <xdr:rowOff>57150</xdr:rowOff>
    </xdr:from>
    <xdr:to>
      <xdr:col>71</xdr:col>
      <xdr:colOff>133740</xdr:colOff>
      <xdr:row>30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A301E1-43AB-496F-B6C8-33E9B402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967899" y="6210300"/>
          <a:ext cx="8210941" cy="76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152400</xdr:colOff>
      <xdr:row>21</xdr:row>
      <xdr:rowOff>57150</xdr:rowOff>
    </xdr:from>
    <xdr:to>
      <xdr:col>39</xdr:col>
      <xdr:colOff>352708</xdr:colOff>
      <xdr:row>24</xdr:row>
      <xdr:rowOff>162019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9FDF6D-46D9-4EE3-BF61-E3B493879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93725" y="5257800"/>
          <a:ext cx="2029108" cy="676369"/>
        </a:xfrm>
        <a:prstGeom prst="rect">
          <a:avLst/>
        </a:prstGeom>
      </xdr:spPr>
    </xdr:pic>
    <xdr:clientData/>
  </xdr:twoCellAnchor>
  <xdr:twoCellAnchor editAs="oneCell">
    <xdr:from>
      <xdr:col>27</xdr:col>
      <xdr:colOff>304800</xdr:colOff>
      <xdr:row>23</xdr:row>
      <xdr:rowOff>142875</xdr:rowOff>
    </xdr:from>
    <xdr:to>
      <xdr:col>29</xdr:col>
      <xdr:colOff>457485</xdr:colOff>
      <xdr:row>25</xdr:row>
      <xdr:rowOff>114349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89E35-712D-4991-8D74-4B055DD8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5724525"/>
          <a:ext cx="2038635" cy="352474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619125</xdr:colOff>
      <xdr:row>23</xdr:row>
      <xdr:rowOff>47625</xdr:rowOff>
    </xdr:from>
    <xdr:to>
      <xdr:col>29</xdr:col>
      <xdr:colOff>2086180</xdr:colOff>
      <xdr:row>25</xdr:row>
      <xdr:rowOff>47678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08AB80-1C5F-479A-984E-1AEF73E44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21275" y="5629275"/>
          <a:ext cx="1467055" cy="381053"/>
        </a:xfrm>
        <a:prstGeom prst="rect">
          <a:avLst/>
        </a:prstGeom>
      </xdr:spPr>
    </xdr:pic>
    <xdr:clientData/>
  </xdr:twoCellAnchor>
  <xdr:twoCellAnchor editAs="oneCell">
    <xdr:from>
      <xdr:col>29</xdr:col>
      <xdr:colOff>2171700</xdr:colOff>
      <xdr:row>23</xdr:row>
      <xdr:rowOff>57150</xdr:rowOff>
    </xdr:from>
    <xdr:to>
      <xdr:col>31</xdr:col>
      <xdr:colOff>495491</xdr:colOff>
      <xdr:row>25</xdr:row>
      <xdr:rowOff>95308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807232-CA28-46FC-A3C8-DDBAD90C7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73850" y="5638800"/>
          <a:ext cx="1371791" cy="419158"/>
        </a:xfrm>
        <a:prstGeom prst="rect">
          <a:avLst/>
        </a:prstGeom>
      </xdr:spPr>
    </xdr:pic>
    <xdr:clientData/>
  </xdr:twoCellAnchor>
  <xdr:twoCellAnchor editAs="oneCell">
    <xdr:from>
      <xdr:col>49</xdr:col>
      <xdr:colOff>123825</xdr:colOff>
      <xdr:row>21</xdr:row>
      <xdr:rowOff>133350</xdr:rowOff>
    </xdr:from>
    <xdr:to>
      <xdr:col>51</xdr:col>
      <xdr:colOff>362219</xdr:colOff>
      <xdr:row>24</xdr:row>
      <xdr:rowOff>9587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056E0E-5E5A-4E1B-8F60-C3146E35C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99800" y="5334000"/>
          <a:ext cx="1924319" cy="447737"/>
        </a:xfrm>
        <a:prstGeom prst="rect">
          <a:avLst/>
        </a:prstGeom>
      </xdr:spPr>
    </xdr:pic>
    <xdr:clientData/>
  </xdr:twoCellAnchor>
  <xdr:twoCellAnchor editAs="oneCell">
    <xdr:from>
      <xdr:col>50</xdr:col>
      <xdr:colOff>485775</xdr:colOff>
      <xdr:row>26</xdr:row>
      <xdr:rowOff>38100</xdr:rowOff>
    </xdr:from>
    <xdr:to>
      <xdr:col>57</xdr:col>
      <xdr:colOff>477105</xdr:colOff>
      <xdr:row>28</xdr:row>
      <xdr:rowOff>104837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CA4549-FDD9-47A2-9D15-DCA7ED9A3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471350" y="6191250"/>
          <a:ext cx="6125430" cy="447737"/>
        </a:xfrm>
        <a:prstGeom prst="rect">
          <a:avLst/>
        </a:prstGeom>
      </xdr:spPr>
    </xdr:pic>
    <xdr:clientData/>
  </xdr:twoCellAnchor>
  <xdr:twoCellAnchor editAs="oneCell">
    <xdr:from>
      <xdr:col>51</xdr:col>
      <xdr:colOff>714375</xdr:colOff>
      <xdr:row>21</xdr:row>
      <xdr:rowOff>85725</xdr:rowOff>
    </xdr:from>
    <xdr:to>
      <xdr:col>57</xdr:col>
      <xdr:colOff>438817</xdr:colOff>
      <xdr:row>24</xdr:row>
      <xdr:rowOff>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FAEB0D-D9AB-4CDA-8F7E-22E45E390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776275" y="5286375"/>
          <a:ext cx="4782217" cy="485843"/>
        </a:xfrm>
        <a:prstGeom prst="rect">
          <a:avLst/>
        </a:prstGeom>
      </xdr:spPr>
    </xdr:pic>
    <xdr:clientData/>
  </xdr:twoCellAnchor>
  <xdr:twoCellAnchor editAs="oneCell">
    <xdr:from>
      <xdr:col>59</xdr:col>
      <xdr:colOff>590550</xdr:colOff>
      <xdr:row>21</xdr:row>
      <xdr:rowOff>142875</xdr:rowOff>
    </xdr:from>
    <xdr:to>
      <xdr:col>61</xdr:col>
      <xdr:colOff>563881</xdr:colOff>
      <xdr:row>25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6F7466-35DB-494C-8342-02F95887A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77300" y="5343525"/>
          <a:ext cx="1487806" cy="676275"/>
        </a:xfrm>
        <a:prstGeom prst="rect">
          <a:avLst/>
        </a:prstGeom>
      </xdr:spPr>
    </xdr:pic>
    <xdr:clientData/>
  </xdr:twoCellAnchor>
  <xdr:twoCellAnchor editAs="oneCell">
    <xdr:from>
      <xdr:col>62</xdr:col>
      <xdr:colOff>552450</xdr:colOff>
      <xdr:row>21</xdr:row>
      <xdr:rowOff>123825</xdr:rowOff>
    </xdr:from>
    <xdr:to>
      <xdr:col>68</xdr:col>
      <xdr:colOff>543539</xdr:colOff>
      <xdr:row>24</xdr:row>
      <xdr:rowOff>162010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7E237E-4D56-471D-88BD-D02C0E81B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063275" y="5324475"/>
          <a:ext cx="4401164" cy="609685"/>
        </a:xfrm>
        <a:prstGeom prst="rect">
          <a:avLst/>
        </a:prstGeom>
      </xdr:spPr>
    </xdr:pic>
    <xdr:clientData/>
  </xdr:twoCellAnchor>
  <xdr:twoCellAnchor editAs="oneCell">
    <xdr:from>
      <xdr:col>61</xdr:col>
      <xdr:colOff>66674</xdr:colOff>
      <xdr:row>26</xdr:row>
      <xdr:rowOff>57150</xdr:rowOff>
    </xdr:from>
    <xdr:to>
      <xdr:col>71</xdr:col>
      <xdr:colOff>390</xdr:colOff>
      <xdr:row>30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D93613-2941-447E-B527-67952CFE0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967899" y="6210300"/>
          <a:ext cx="8210941" cy="76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6</xdr:row>
      <xdr:rowOff>57150</xdr:rowOff>
    </xdr:from>
    <xdr:to>
      <xdr:col>12</xdr:col>
      <xdr:colOff>762215</xdr:colOff>
      <xdr:row>10</xdr:row>
      <xdr:rowOff>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0F1B4A-2CB8-4E5F-AD21-3B7D78EED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1752600"/>
          <a:ext cx="1543265" cy="704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6</xdr:row>
      <xdr:rowOff>161925</xdr:rowOff>
    </xdr:from>
    <xdr:to>
      <xdr:col>16</xdr:col>
      <xdr:colOff>467016</xdr:colOff>
      <xdr:row>10</xdr:row>
      <xdr:rowOff>171558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B26393-FB3B-4297-83A0-CA399A2DF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92350" y="1857375"/>
          <a:ext cx="2086266" cy="771633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10</xdr:row>
      <xdr:rowOff>104775</xdr:rowOff>
    </xdr:from>
    <xdr:to>
      <xdr:col>19</xdr:col>
      <xdr:colOff>914763</xdr:colOff>
      <xdr:row>14</xdr:row>
      <xdr:rowOff>104881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B96678-9D72-4E90-9748-047DCB9E2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54475" y="2562225"/>
          <a:ext cx="2600688" cy="762106"/>
        </a:xfrm>
        <a:prstGeom prst="rect">
          <a:avLst/>
        </a:prstGeom>
      </xdr:spPr>
    </xdr:pic>
    <xdr:clientData/>
  </xdr:twoCellAnchor>
  <xdr:twoCellAnchor editAs="oneCell">
    <xdr:from>
      <xdr:col>19</xdr:col>
      <xdr:colOff>819150</xdr:colOff>
      <xdr:row>13</xdr:row>
      <xdr:rowOff>180975</xdr:rowOff>
    </xdr:from>
    <xdr:to>
      <xdr:col>23</xdr:col>
      <xdr:colOff>467093</xdr:colOff>
      <xdr:row>18</xdr:row>
      <xdr:rowOff>38213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05C454-07DF-47EA-BAE9-798B97921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3209925"/>
          <a:ext cx="2638793" cy="809738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295275</xdr:colOff>
      <xdr:row>6</xdr:row>
      <xdr:rowOff>47625</xdr:rowOff>
    </xdr:from>
    <xdr:to>
      <xdr:col>26</xdr:col>
      <xdr:colOff>515003</xdr:colOff>
      <xdr:row>10</xdr:row>
      <xdr:rowOff>152521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4EEF7F-5C25-4677-ACF7-C035EFB75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07225" y="1743075"/>
          <a:ext cx="4677428" cy="866896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10</xdr:row>
      <xdr:rowOff>9525</xdr:rowOff>
    </xdr:from>
    <xdr:to>
      <xdr:col>35</xdr:col>
      <xdr:colOff>1124470</xdr:colOff>
      <xdr:row>14</xdr:row>
      <xdr:rowOff>76316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5C4516-1E9F-46A3-804F-1A11A0144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727275" y="2466975"/>
          <a:ext cx="3724795" cy="828791"/>
        </a:xfrm>
        <a:prstGeom prst="rect">
          <a:avLst/>
        </a:prstGeom>
      </xdr:spPr>
    </xdr:pic>
    <xdr:clientData/>
  </xdr:twoCellAnchor>
  <xdr:twoCellAnchor editAs="oneCell">
    <xdr:from>
      <xdr:col>31</xdr:col>
      <xdr:colOff>276225</xdr:colOff>
      <xdr:row>6</xdr:row>
      <xdr:rowOff>152400</xdr:rowOff>
    </xdr:from>
    <xdr:to>
      <xdr:col>33</xdr:col>
      <xdr:colOff>543150</xdr:colOff>
      <xdr:row>9</xdr:row>
      <xdr:rowOff>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8FBD4F-00C7-4E4B-9587-D2F4AA8B7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965400" y="1847850"/>
          <a:ext cx="1609950" cy="419158"/>
        </a:xfrm>
        <a:prstGeom prst="rect">
          <a:avLst/>
        </a:prstGeom>
      </xdr:spPr>
    </xdr:pic>
    <xdr:clientData/>
  </xdr:twoCellAnchor>
  <xdr:twoCellAnchor editAs="oneCell">
    <xdr:from>
      <xdr:col>31</xdr:col>
      <xdr:colOff>304800</xdr:colOff>
      <xdr:row>15</xdr:row>
      <xdr:rowOff>47625</xdr:rowOff>
    </xdr:from>
    <xdr:to>
      <xdr:col>33</xdr:col>
      <xdr:colOff>114461</xdr:colOff>
      <xdr:row>17</xdr:row>
      <xdr:rowOff>142941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2206B2E-835A-4BC8-835F-82B098478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993975" y="3457575"/>
          <a:ext cx="1152686" cy="476316"/>
        </a:xfrm>
        <a:prstGeom prst="rect">
          <a:avLst/>
        </a:prstGeom>
      </xdr:spPr>
    </xdr:pic>
    <xdr:clientData/>
  </xdr:twoCellAnchor>
  <xdr:twoCellAnchor editAs="oneCell">
    <xdr:from>
      <xdr:col>33</xdr:col>
      <xdr:colOff>495299</xdr:colOff>
      <xdr:row>15</xdr:row>
      <xdr:rowOff>19050</xdr:rowOff>
    </xdr:from>
    <xdr:to>
      <xdr:col>34</xdr:col>
      <xdr:colOff>679106</xdr:colOff>
      <xdr:row>17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4301FCA-E437-4B2B-ABEE-BFB107A6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527499" y="3429000"/>
          <a:ext cx="793407" cy="438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6</xdr:row>
      <xdr:rowOff>57150</xdr:rowOff>
    </xdr:from>
    <xdr:to>
      <xdr:col>12</xdr:col>
      <xdr:colOff>762215</xdr:colOff>
      <xdr:row>10</xdr:row>
      <xdr:rowOff>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D4E3E2-309A-4A32-A6D1-BD78C1F1A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1752600"/>
          <a:ext cx="1543265" cy="704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6</xdr:row>
      <xdr:rowOff>161925</xdr:rowOff>
    </xdr:from>
    <xdr:to>
      <xdr:col>16</xdr:col>
      <xdr:colOff>467016</xdr:colOff>
      <xdr:row>10</xdr:row>
      <xdr:rowOff>171558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696057-3FBF-4880-BF75-35B7312E2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92350" y="1857375"/>
          <a:ext cx="2086266" cy="771633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10</xdr:row>
      <xdr:rowOff>104775</xdr:rowOff>
    </xdr:from>
    <xdr:to>
      <xdr:col>19</xdr:col>
      <xdr:colOff>914763</xdr:colOff>
      <xdr:row>14</xdr:row>
      <xdr:rowOff>104881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CAEB5E-F6E9-451E-B383-DA821CF40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54475" y="2562225"/>
          <a:ext cx="2600688" cy="762106"/>
        </a:xfrm>
        <a:prstGeom prst="rect">
          <a:avLst/>
        </a:prstGeom>
      </xdr:spPr>
    </xdr:pic>
    <xdr:clientData/>
  </xdr:twoCellAnchor>
  <xdr:twoCellAnchor editAs="oneCell">
    <xdr:from>
      <xdr:col>19</xdr:col>
      <xdr:colOff>819150</xdr:colOff>
      <xdr:row>13</xdr:row>
      <xdr:rowOff>180975</xdr:rowOff>
    </xdr:from>
    <xdr:to>
      <xdr:col>23</xdr:col>
      <xdr:colOff>467093</xdr:colOff>
      <xdr:row>18</xdr:row>
      <xdr:rowOff>38213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0A4C7A-6F85-4DEE-AE6E-55BB52285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3209925"/>
          <a:ext cx="2638793" cy="809738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295275</xdr:colOff>
      <xdr:row>6</xdr:row>
      <xdr:rowOff>47625</xdr:rowOff>
    </xdr:from>
    <xdr:to>
      <xdr:col>26</xdr:col>
      <xdr:colOff>515003</xdr:colOff>
      <xdr:row>10</xdr:row>
      <xdr:rowOff>152521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FB2D71-BEF5-4ABE-877C-85574A4D9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07225" y="1743075"/>
          <a:ext cx="4677428" cy="866896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10</xdr:row>
      <xdr:rowOff>9525</xdr:rowOff>
    </xdr:from>
    <xdr:to>
      <xdr:col>35</xdr:col>
      <xdr:colOff>1124470</xdr:colOff>
      <xdr:row>14</xdr:row>
      <xdr:rowOff>76316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D26C2C-DC53-452A-A5F0-A857AFAAC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727275" y="2466975"/>
          <a:ext cx="3724795" cy="828791"/>
        </a:xfrm>
        <a:prstGeom prst="rect">
          <a:avLst/>
        </a:prstGeom>
      </xdr:spPr>
    </xdr:pic>
    <xdr:clientData/>
  </xdr:twoCellAnchor>
  <xdr:twoCellAnchor editAs="oneCell">
    <xdr:from>
      <xdr:col>31</xdr:col>
      <xdr:colOff>276225</xdr:colOff>
      <xdr:row>6</xdr:row>
      <xdr:rowOff>152400</xdr:rowOff>
    </xdr:from>
    <xdr:to>
      <xdr:col>33</xdr:col>
      <xdr:colOff>543150</xdr:colOff>
      <xdr:row>9</xdr:row>
      <xdr:rowOff>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F9D49B-1AE5-4742-BFC6-B6B036E28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965400" y="1847850"/>
          <a:ext cx="1609950" cy="419158"/>
        </a:xfrm>
        <a:prstGeom prst="rect">
          <a:avLst/>
        </a:prstGeom>
      </xdr:spPr>
    </xdr:pic>
    <xdr:clientData/>
  </xdr:twoCellAnchor>
  <xdr:twoCellAnchor editAs="oneCell">
    <xdr:from>
      <xdr:col>31</xdr:col>
      <xdr:colOff>304800</xdr:colOff>
      <xdr:row>15</xdr:row>
      <xdr:rowOff>47625</xdr:rowOff>
    </xdr:from>
    <xdr:to>
      <xdr:col>33</xdr:col>
      <xdr:colOff>114461</xdr:colOff>
      <xdr:row>17</xdr:row>
      <xdr:rowOff>142941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B99286-C97B-4E78-ACB0-C590B9A9A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993975" y="3457575"/>
          <a:ext cx="1152686" cy="476316"/>
        </a:xfrm>
        <a:prstGeom prst="rect">
          <a:avLst/>
        </a:prstGeom>
      </xdr:spPr>
    </xdr:pic>
    <xdr:clientData/>
  </xdr:twoCellAnchor>
  <xdr:twoCellAnchor editAs="oneCell">
    <xdr:from>
      <xdr:col>33</xdr:col>
      <xdr:colOff>495299</xdr:colOff>
      <xdr:row>15</xdr:row>
      <xdr:rowOff>19050</xdr:rowOff>
    </xdr:from>
    <xdr:to>
      <xdr:col>34</xdr:col>
      <xdr:colOff>679106</xdr:colOff>
      <xdr:row>17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EF3CBC-164A-4AF9-828A-2B5718DB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527499" y="3429000"/>
          <a:ext cx="793407" cy="438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6</xdr:row>
      <xdr:rowOff>57150</xdr:rowOff>
    </xdr:from>
    <xdr:to>
      <xdr:col>12</xdr:col>
      <xdr:colOff>762215</xdr:colOff>
      <xdr:row>10</xdr:row>
      <xdr:rowOff>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D737A-8BF0-4BDF-BA14-E9B865945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1752600"/>
          <a:ext cx="1543265" cy="704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6</xdr:row>
      <xdr:rowOff>161925</xdr:rowOff>
    </xdr:from>
    <xdr:to>
      <xdr:col>16</xdr:col>
      <xdr:colOff>467016</xdr:colOff>
      <xdr:row>10</xdr:row>
      <xdr:rowOff>171558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7DD5E5-CFBA-4585-95F3-96D9B04BE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92350" y="1857375"/>
          <a:ext cx="2086266" cy="771633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142875</xdr:colOff>
      <xdr:row>10</xdr:row>
      <xdr:rowOff>104775</xdr:rowOff>
    </xdr:from>
    <xdr:to>
      <xdr:col>19</xdr:col>
      <xdr:colOff>914763</xdr:colOff>
      <xdr:row>14</xdr:row>
      <xdr:rowOff>104881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274820-4823-4528-9421-71C35CB16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54475" y="2562225"/>
          <a:ext cx="2600688" cy="762106"/>
        </a:xfrm>
        <a:prstGeom prst="rect">
          <a:avLst/>
        </a:prstGeom>
      </xdr:spPr>
    </xdr:pic>
    <xdr:clientData/>
  </xdr:twoCellAnchor>
  <xdr:twoCellAnchor editAs="oneCell">
    <xdr:from>
      <xdr:col>19</xdr:col>
      <xdr:colOff>819150</xdr:colOff>
      <xdr:row>13</xdr:row>
      <xdr:rowOff>180975</xdr:rowOff>
    </xdr:from>
    <xdr:to>
      <xdr:col>23</xdr:col>
      <xdr:colOff>467093</xdr:colOff>
      <xdr:row>18</xdr:row>
      <xdr:rowOff>38213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D4E983-3EAB-47CD-9F97-48BAF6CB6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3209925"/>
          <a:ext cx="2638793" cy="809738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295275</xdr:colOff>
      <xdr:row>6</xdr:row>
      <xdr:rowOff>47625</xdr:rowOff>
    </xdr:from>
    <xdr:to>
      <xdr:col>26</xdr:col>
      <xdr:colOff>515003</xdr:colOff>
      <xdr:row>10</xdr:row>
      <xdr:rowOff>152521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23977E-8A96-4B5F-82FE-A3069AD9E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07225" y="1743075"/>
          <a:ext cx="4677428" cy="866896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10</xdr:row>
      <xdr:rowOff>9525</xdr:rowOff>
    </xdr:from>
    <xdr:to>
      <xdr:col>35</xdr:col>
      <xdr:colOff>1124470</xdr:colOff>
      <xdr:row>14</xdr:row>
      <xdr:rowOff>76316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EA3CC5-E161-428F-96F3-6F8BD9BA0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727275" y="2466975"/>
          <a:ext cx="3724795" cy="828791"/>
        </a:xfrm>
        <a:prstGeom prst="rect">
          <a:avLst/>
        </a:prstGeom>
      </xdr:spPr>
    </xdr:pic>
    <xdr:clientData/>
  </xdr:twoCellAnchor>
  <xdr:twoCellAnchor editAs="oneCell">
    <xdr:from>
      <xdr:col>31</xdr:col>
      <xdr:colOff>276225</xdr:colOff>
      <xdr:row>6</xdr:row>
      <xdr:rowOff>152400</xdr:rowOff>
    </xdr:from>
    <xdr:to>
      <xdr:col>33</xdr:col>
      <xdr:colOff>543150</xdr:colOff>
      <xdr:row>9</xdr:row>
      <xdr:rowOff>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1B9A86-5892-4CD8-B3F5-C54285D0F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965400" y="1847850"/>
          <a:ext cx="1609950" cy="419158"/>
        </a:xfrm>
        <a:prstGeom prst="rect">
          <a:avLst/>
        </a:prstGeom>
      </xdr:spPr>
    </xdr:pic>
    <xdr:clientData/>
  </xdr:twoCellAnchor>
  <xdr:twoCellAnchor editAs="oneCell">
    <xdr:from>
      <xdr:col>31</xdr:col>
      <xdr:colOff>304800</xdr:colOff>
      <xdr:row>15</xdr:row>
      <xdr:rowOff>47625</xdr:rowOff>
    </xdr:from>
    <xdr:to>
      <xdr:col>33</xdr:col>
      <xdr:colOff>114461</xdr:colOff>
      <xdr:row>17</xdr:row>
      <xdr:rowOff>142941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62B980-583B-4E17-AB4E-9B724A3A1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993975" y="3457575"/>
          <a:ext cx="1152686" cy="476316"/>
        </a:xfrm>
        <a:prstGeom prst="rect">
          <a:avLst/>
        </a:prstGeom>
      </xdr:spPr>
    </xdr:pic>
    <xdr:clientData/>
  </xdr:twoCellAnchor>
  <xdr:twoCellAnchor editAs="oneCell">
    <xdr:from>
      <xdr:col>33</xdr:col>
      <xdr:colOff>495299</xdr:colOff>
      <xdr:row>15</xdr:row>
      <xdr:rowOff>19050</xdr:rowOff>
    </xdr:from>
    <xdr:to>
      <xdr:col>34</xdr:col>
      <xdr:colOff>679106</xdr:colOff>
      <xdr:row>17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CD8645C-DA08-4F91-BC9E-2E5E810BC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527499" y="3429000"/>
          <a:ext cx="793407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28"/>
  <sheetViews>
    <sheetView topLeftCell="AF31" zoomScaleNormal="100" workbookViewId="0">
      <selection activeCell="R84" sqref="R84"/>
    </sheetView>
  </sheetViews>
  <sheetFormatPr defaultRowHeight="15" x14ac:dyDescent="0.25"/>
  <cols>
    <col min="1" max="1" width="63.140625" customWidth="1"/>
    <col min="24" max="24" width="21.140625" customWidth="1"/>
    <col min="25" max="25" width="18.5703125" customWidth="1"/>
    <col min="27" max="27" width="20.28515625" customWidth="1"/>
    <col min="29" max="29" width="14.7109375" bestFit="1" customWidth="1"/>
    <col min="45" max="45" width="17.5703125" bestFit="1" customWidth="1"/>
    <col min="48" max="48" width="16.140625" customWidth="1"/>
    <col min="49" max="49" width="14.5703125" customWidth="1"/>
    <col min="60" max="60" width="11.5703125" bestFit="1" customWidth="1"/>
    <col min="62" max="62" width="12.7109375" customWidth="1"/>
    <col min="63" max="63" width="30.140625" customWidth="1"/>
    <col min="64" max="64" width="13.140625" bestFit="1" customWidth="1"/>
    <col min="65" max="65" width="18.5703125" customWidth="1"/>
    <col min="66" max="66" width="13.140625" bestFit="1" customWidth="1"/>
    <col min="67" max="67" width="15.42578125" customWidth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</row>
    <row r="2" spans="1:65" x14ac:dyDescent="0.25">
      <c r="A2" s="1" t="s">
        <v>64</v>
      </c>
      <c r="B2">
        <v>-0.74507999999999996</v>
      </c>
      <c r="C2">
        <v>-0.244504</v>
      </c>
      <c r="D2">
        <v>0.254944</v>
      </c>
      <c r="E2">
        <v>0.755776</v>
      </c>
      <c r="F2" t="s">
        <v>65</v>
      </c>
      <c r="G2" t="s">
        <v>65</v>
      </c>
      <c r="H2" t="s">
        <v>65</v>
      </c>
      <c r="I2" t="s">
        <v>65</v>
      </c>
      <c r="J2" t="s">
        <v>66</v>
      </c>
      <c r="K2">
        <v>1.000024</v>
      </c>
      <c r="L2">
        <v>1.0002800000000001</v>
      </c>
      <c r="M2" t="s">
        <v>65</v>
      </c>
      <c r="N2" t="s">
        <v>65</v>
      </c>
      <c r="O2" t="s">
        <v>65</v>
      </c>
      <c r="P2" t="s">
        <v>67</v>
      </c>
      <c r="Q2">
        <v>1.253817999403127E-12</v>
      </c>
      <c r="R2">
        <f>2.5*0.0001*2*2</f>
        <v>1E-3</v>
      </c>
      <c r="U2">
        <v>8.0000012538180007E-6</v>
      </c>
      <c r="V2">
        <v>8.0000012538180007E-6</v>
      </c>
      <c r="X2">
        <v>1.000024</v>
      </c>
      <c r="Y2">
        <v>1.0002800000000001</v>
      </c>
      <c r="AA2" s="2">
        <f>+_xlfn.STDEV.S(X2:Y18)/SQRT(34)</f>
        <v>1.7364008797219132E-4</v>
      </c>
      <c r="AC2">
        <f>+SQRT((AA2^2)+(R2^2))</f>
        <v>1.0149634871023639E-3</v>
      </c>
      <c r="AN2">
        <v>3.1200000000000121E-3</v>
      </c>
      <c r="AO2">
        <v>2.2959999999999921E-3</v>
      </c>
      <c r="AP2">
        <v>2.9199999999999782E-3</v>
      </c>
      <c r="AQ2">
        <v>2.7439999999999691E-3</v>
      </c>
      <c r="AS2">
        <f>+AVERAGE(AN2:AQ18)</f>
        <v>3.0130285714285777E-3</v>
      </c>
      <c r="AU2" t="s">
        <v>177</v>
      </c>
      <c r="AV2">
        <f>360*(AS2/(AB5^2))</f>
        <v>1.0843386763459086</v>
      </c>
      <c r="AW2">
        <f>+AV2*AC2</f>
        <v>1.1005641641440049E-3</v>
      </c>
    </row>
    <row r="3" spans="1:65" x14ac:dyDescent="0.25">
      <c r="A3" s="1" t="s">
        <v>68</v>
      </c>
      <c r="B3">
        <v>-0.74819999999999998</v>
      </c>
      <c r="C3">
        <v>-0.24679999999999999</v>
      </c>
      <c r="D3">
        <v>0.25202400000000003</v>
      </c>
      <c r="E3">
        <v>0.75303200000000003</v>
      </c>
      <c r="F3" t="s">
        <v>65</v>
      </c>
      <c r="G3" t="s">
        <v>65</v>
      </c>
      <c r="H3" t="s">
        <v>65</v>
      </c>
      <c r="I3" t="s">
        <v>65</v>
      </c>
      <c r="J3" t="s">
        <v>66</v>
      </c>
      <c r="K3">
        <v>1.000224</v>
      </c>
      <c r="L3">
        <v>0.99983200000000005</v>
      </c>
      <c r="M3" t="s">
        <v>65</v>
      </c>
      <c r="N3" t="s">
        <v>65</v>
      </c>
      <c r="O3" t="s">
        <v>65</v>
      </c>
      <c r="P3" t="s">
        <v>67</v>
      </c>
      <c r="Q3">
        <v>1.253817999403127E-12</v>
      </c>
      <c r="R3">
        <f t="shared" ref="R3:R19" si="0">2.5*0.0001*2*2</f>
        <v>1E-3</v>
      </c>
      <c r="U3">
        <v>8.000001253817999E-6</v>
      </c>
      <c r="V3">
        <v>8.000001253817999E-6</v>
      </c>
      <c r="X3">
        <v>1.000224</v>
      </c>
      <c r="Y3">
        <v>0.99983200000000005</v>
      </c>
      <c r="AA3" s="2"/>
      <c r="AU3" t="s">
        <v>178</v>
      </c>
      <c r="AV3">
        <f>360*(1/AB5)</f>
        <v>359.94164710709265</v>
      </c>
      <c r="AW3">
        <f>+AV3*AW5</f>
        <v>0.36979569388928452</v>
      </c>
    </row>
    <row r="4" spans="1:65" x14ac:dyDescent="0.25">
      <c r="A4" s="1" t="s">
        <v>69</v>
      </c>
      <c r="B4">
        <v>-0.67838399999999999</v>
      </c>
      <c r="C4">
        <v>-0.17799999999999999</v>
      </c>
      <c r="D4">
        <v>0.32159199999999999</v>
      </c>
      <c r="E4">
        <v>0.82165600000000005</v>
      </c>
      <c r="F4" t="s">
        <v>65</v>
      </c>
      <c r="G4" t="s">
        <v>65</v>
      </c>
      <c r="H4" t="s">
        <v>65</v>
      </c>
      <c r="I4" t="s">
        <v>65</v>
      </c>
      <c r="J4" t="s">
        <v>66</v>
      </c>
      <c r="K4">
        <v>0.99997599999999998</v>
      </c>
      <c r="L4">
        <v>0.9996560000000001</v>
      </c>
      <c r="M4" t="s">
        <v>65</v>
      </c>
      <c r="N4" t="s">
        <v>65</v>
      </c>
      <c r="O4" t="s">
        <v>65</v>
      </c>
      <c r="P4" t="s">
        <v>67</v>
      </c>
      <c r="Q4">
        <v>1.197862000020498E-12</v>
      </c>
      <c r="R4">
        <f t="shared" si="0"/>
        <v>1E-3</v>
      </c>
      <c r="X4">
        <v>0.99997599999999998</v>
      </c>
      <c r="Y4">
        <v>0.9996560000000001</v>
      </c>
      <c r="AN4">
        <f>+B4-B5</f>
        <v>5.6880000000000264E-3</v>
      </c>
      <c r="AO4">
        <f t="shared" ref="AO4:AQ4" si="1">+C4-C5</f>
        <v>4.4399999999999995E-3</v>
      </c>
      <c r="AP4">
        <f t="shared" si="1"/>
        <v>3.5839999999999761E-3</v>
      </c>
      <c r="AQ4">
        <f t="shared" si="1"/>
        <v>1.6400000000000858E-3</v>
      </c>
    </row>
    <row r="5" spans="1:65" x14ac:dyDescent="0.25">
      <c r="A5" s="1" t="s">
        <v>70</v>
      </c>
      <c r="B5">
        <v>-0.68407200000000001</v>
      </c>
      <c r="C5">
        <v>-0.18243999999999999</v>
      </c>
      <c r="D5">
        <v>0.31800800000000001</v>
      </c>
      <c r="E5">
        <v>0.82001599999999997</v>
      </c>
      <c r="F5" t="s">
        <v>65</v>
      </c>
      <c r="G5" t="s">
        <v>65</v>
      </c>
      <c r="H5" t="s">
        <v>65</v>
      </c>
      <c r="I5" t="s">
        <v>65</v>
      </c>
      <c r="J5" t="s">
        <v>66</v>
      </c>
      <c r="K5">
        <v>1.0020800000000001</v>
      </c>
      <c r="L5">
        <v>1.002456</v>
      </c>
      <c r="M5" t="s">
        <v>65</v>
      </c>
      <c r="N5" t="s">
        <v>65</v>
      </c>
      <c r="O5" t="s">
        <v>65</v>
      </c>
      <c r="P5" t="s">
        <v>67</v>
      </c>
      <c r="Q5">
        <v>1.197862000020498E-12</v>
      </c>
      <c r="R5">
        <f t="shared" si="0"/>
        <v>1E-3</v>
      </c>
      <c r="U5">
        <v>8.0000011978619997E-6</v>
      </c>
      <c r="V5">
        <v>8.0000011978619997E-6</v>
      </c>
      <c r="X5">
        <v>1.0020800000000001</v>
      </c>
      <c r="Y5">
        <v>1.002456</v>
      </c>
      <c r="AA5" t="s">
        <v>95</v>
      </c>
      <c r="AB5">
        <f>+AVERAGE(X2:Y18)</f>
        <v>1.0001621176470585</v>
      </c>
      <c r="AS5">
        <f>+_xlfn.STDEV.S(AN2:AQ18)/SQRT(35)</f>
        <v>2.3559089125689192E-4</v>
      </c>
      <c r="AW5">
        <f>+SQRT((AS5^2)+(R2^2))</f>
        <v>1.0273767897140838E-3</v>
      </c>
    </row>
    <row r="6" spans="1:65" x14ac:dyDescent="0.25">
      <c r="A6" s="1" t="s">
        <v>71</v>
      </c>
      <c r="B6">
        <v>-0.75941599999999998</v>
      </c>
      <c r="C6">
        <v>-0.25957599999999997</v>
      </c>
      <c r="D6">
        <v>0.24043999999999999</v>
      </c>
      <c r="E6">
        <v>0.74072800000000005</v>
      </c>
      <c r="F6" t="s">
        <v>65</v>
      </c>
      <c r="G6" t="s">
        <v>65</v>
      </c>
      <c r="H6" t="s">
        <v>65</v>
      </c>
      <c r="I6" t="s">
        <v>65</v>
      </c>
      <c r="J6" t="s">
        <v>66</v>
      </c>
      <c r="K6">
        <v>0.99985599999999997</v>
      </c>
      <c r="L6">
        <v>1.0003040000000001</v>
      </c>
      <c r="M6" t="s">
        <v>65</v>
      </c>
      <c r="N6" t="s">
        <v>65</v>
      </c>
      <c r="O6" t="s">
        <v>65</v>
      </c>
      <c r="P6" t="s">
        <v>67</v>
      </c>
      <c r="Q6">
        <v>1.269804001394681E-12</v>
      </c>
      <c r="R6">
        <f t="shared" si="0"/>
        <v>1E-3</v>
      </c>
      <c r="U6">
        <v>8.000001269804001E-6</v>
      </c>
      <c r="V6">
        <v>8.000001269804001E-6</v>
      </c>
      <c r="X6">
        <v>0.99985599999999997</v>
      </c>
      <c r="Y6">
        <v>1.0003040000000001</v>
      </c>
      <c r="AN6">
        <v>2.6559999999999921E-3</v>
      </c>
      <c r="AO6">
        <v>2.3520000000000212E-3</v>
      </c>
      <c r="AP6">
        <v>4.0879999999999814E-3</v>
      </c>
      <c r="AQ6">
        <v>1.4320000000001001E-3</v>
      </c>
    </row>
    <row r="7" spans="1:65" x14ac:dyDescent="0.25">
      <c r="A7" s="1" t="s">
        <v>72</v>
      </c>
      <c r="B7">
        <v>-0.76207199999999997</v>
      </c>
      <c r="C7">
        <v>-0.26192799999999999</v>
      </c>
      <c r="D7">
        <v>0.23635200000000001</v>
      </c>
      <c r="E7">
        <v>0.73929599999999995</v>
      </c>
      <c r="F7" t="s">
        <v>65</v>
      </c>
      <c r="G7" t="s">
        <v>65</v>
      </c>
      <c r="H7" t="s">
        <v>65</v>
      </c>
      <c r="I7" t="s">
        <v>65</v>
      </c>
      <c r="J7" t="s">
        <v>66</v>
      </c>
      <c r="K7">
        <v>0.99842399999999998</v>
      </c>
      <c r="L7">
        <v>1.0012239999999999</v>
      </c>
      <c r="M7" t="s">
        <v>65</v>
      </c>
      <c r="N7" t="s">
        <v>65</v>
      </c>
      <c r="O7" t="s">
        <v>65</v>
      </c>
      <c r="P7" t="s">
        <v>67</v>
      </c>
      <c r="Q7">
        <v>1.269804001394681E-12</v>
      </c>
      <c r="R7">
        <f t="shared" si="0"/>
        <v>1E-3</v>
      </c>
      <c r="U7">
        <v>8.000001269804001E-6</v>
      </c>
      <c r="V7">
        <v>8.000001269804001E-6</v>
      </c>
      <c r="X7">
        <v>0.99842399999999998</v>
      </c>
      <c r="Y7">
        <v>1.0012239999999999</v>
      </c>
      <c r="AC7" t="str">
        <f>AB5 &amp; " ± " &amp; AC2</f>
        <v>1,00016211764706 ± 0,00101496348710236</v>
      </c>
      <c r="AH7" t="s">
        <v>73</v>
      </c>
    </row>
    <row r="8" spans="1:65" x14ac:dyDescent="0.25">
      <c r="A8" s="1" t="s">
        <v>74</v>
      </c>
      <c r="B8">
        <v>-0.74958400000000003</v>
      </c>
      <c r="C8">
        <v>-0.24882399999999999</v>
      </c>
      <c r="D8">
        <v>0.25006400000000001</v>
      </c>
      <c r="E8">
        <v>0.75104000000000004</v>
      </c>
      <c r="F8" t="s">
        <v>65</v>
      </c>
      <c r="G8" t="s">
        <v>65</v>
      </c>
      <c r="H8" t="s">
        <v>65</v>
      </c>
      <c r="I8" t="s">
        <v>65</v>
      </c>
      <c r="J8" t="s">
        <v>66</v>
      </c>
      <c r="K8">
        <v>0.99964800000000009</v>
      </c>
      <c r="L8">
        <v>0.99986400000000009</v>
      </c>
      <c r="M8" t="s">
        <v>65</v>
      </c>
      <c r="N8" t="s">
        <v>65</v>
      </c>
      <c r="O8" t="s">
        <v>65</v>
      </c>
      <c r="P8" t="s">
        <v>67</v>
      </c>
      <c r="Q8">
        <v>1.269804001394681E-12</v>
      </c>
      <c r="R8">
        <f t="shared" si="0"/>
        <v>1E-3</v>
      </c>
      <c r="U8">
        <v>8.000001269804001E-6</v>
      </c>
      <c r="V8">
        <v>8.000001269804001E-6</v>
      </c>
      <c r="X8">
        <v>0.99964800000000009</v>
      </c>
      <c r="Y8">
        <v>0.99986400000000009</v>
      </c>
      <c r="AN8">
        <v>3.9199999999999244E-3</v>
      </c>
      <c r="AO8">
        <v>1.4000000000000119E-3</v>
      </c>
      <c r="AP8">
        <v>3.1680000000000041E-3</v>
      </c>
      <c r="AQ8">
        <v>7.9200000000001491E-4</v>
      </c>
      <c r="AX8" t="s">
        <v>82</v>
      </c>
      <c r="AY8">
        <f>+(AS2/AB5)*2*PI()</f>
        <v>1.892834823083445E-2</v>
      </c>
      <c r="AZ8">
        <f>+(AS2/AB5)*360</f>
        <v>1.0845144667807325</v>
      </c>
    </row>
    <row r="9" spans="1:65" x14ac:dyDescent="0.25">
      <c r="A9" s="1" t="s">
        <v>76</v>
      </c>
      <c r="B9">
        <v>-0.75350399999999995</v>
      </c>
      <c r="C9">
        <v>-0.250224</v>
      </c>
      <c r="D9">
        <v>0.246896</v>
      </c>
      <c r="E9">
        <v>0.75024800000000003</v>
      </c>
      <c r="F9" t="s">
        <v>65</v>
      </c>
      <c r="G9" t="s">
        <v>65</v>
      </c>
      <c r="H9" t="s">
        <v>65</v>
      </c>
      <c r="I9" t="s">
        <v>65</v>
      </c>
      <c r="J9" t="s">
        <v>66</v>
      </c>
      <c r="K9">
        <v>1.0004</v>
      </c>
      <c r="L9">
        <v>1.000472</v>
      </c>
      <c r="M9" t="s">
        <v>65</v>
      </c>
      <c r="N9" t="s">
        <v>65</v>
      </c>
      <c r="O9" t="s">
        <v>65</v>
      </c>
      <c r="P9" t="s">
        <v>67</v>
      </c>
      <c r="Q9">
        <v>1.269804001394681E-12</v>
      </c>
      <c r="R9">
        <f t="shared" si="0"/>
        <v>1E-3</v>
      </c>
      <c r="U9">
        <v>8.000001269804001E-6</v>
      </c>
      <c r="V9">
        <v>8.000001269804001E-6</v>
      </c>
      <c r="X9">
        <v>1.0004</v>
      </c>
      <c r="Y9">
        <v>1.000472</v>
      </c>
      <c r="AA9" s="2"/>
      <c r="AC9" s="2"/>
    </row>
    <row r="10" spans="1:65" x14ac:dyDescent="0.25">
      <c r="A10" s="1" t="s">
        <v>78</v>
      </c>
      <c r="B10">
        <v>-0.67429600000000001</v>
      </c>
      <c r="C10">
        <v>-0.17468800000000001</v>
      </c>
      <c r="D10">
        <v>0.325376</v>
      </c>
      <c r="E10" t="s">
        <v>65</v>
      </c>
      <c r="F10" t="s">
        <v>65</v>
      </c>
      <c r="G10" t="s">
        <v>65</v>
      </c>
      <c r="H10" t="s">
        <v>65</v>
      </c>
      <c r="I10" t="s">
        <v>65</v>
      </c>
      <c r="J10" t="s">
        <v>66</v>
      </c>
      <c r="K10">
        <v>0.99967200000000001</v>
      </c>
      <c r="L10" t="s">
        <v>65</v>
      </c>
      <c r="M10" t="s">
        <v>65</v>
      </c>
      <c r="N10" t="s">
        <v>65</v>
      </c>
      <c r="O10" t="s">
        <v>65</v>
      </c>
      <c r="P10" t="s">
        <v>67</v>
      </c>
      <c r="Q10">
        <v>1.269804001394681E-12</v>
      </c>
      <c r="R10">
        <f t="shared" si="0"/>
        <v>1E-3</v>
      </c>
      <c r="U10">
        <v>8.000001269804001E-6</v>
      </c>
      <c r="V10">
        <v>8.000001269804001E-6</v>
      </c>
      <c r="X10">
        <v>0.99967200000000001</v>
      </c>
      <c r="Y10">
        <v>0.99964800000000009</v>
      </c>
      <c r="AC10" s="2"/>
      <c r="AG10" t="s">
        <v>79</v>
      </c>
      <c r="AH10">
        <f>1/AB5</f>
        <v>0.9998379086308129</v>
      </c>
      <c r="AN10">
        <v>3.712000000000049E-3</v>
      </c>
      <c r="AO10">
        <v>1.0639999999999821E-3</v>
      </c>
      <c r="AP10">
        <v>1.5120000000000129E-3</v>
      </c>
      <c r="AY10">
        <f>+(AW3+AW2)</f>
        <v>0.37089625805342852</v>
      </c>
    </row>
    <row r="11" spans="1:65" x14ac:dyDescent="0.25">
      <c r="A11" s="1" t="s">
        <v>80</v>
      </c>
      <c r="B11">
        <v>-0.67800800000000006</v>
      </c>
      <c r="C11">
        <v>-0.17575199999999999</v>
      </c>
      <c r="D11">
        <v>0.32386399999999999</v>
      </c>
      <c r="E11" t="s">
        <v>65</v>
      </c>
      <c r="F11" t="s">
        <v>65</v>
      </c>
      <c r="G11" t="s">
        <v>65</v>
      </c>
      <c r="H11" t="s">
        <v>65</v>
      </c>
      <c r="I11" t="s">
        <v>65</v>
      </c>
      <c r="J11" t="s">
        <v>66</v>
      </c>
      <c r="K11">
        <v>1.0018720000000001</v>
      </c>
      <c r="L11" t="s">
        <v>65</v>
      </c>
      <c r="M11" t="s">
        <v>65</v>
      </c>
      <c r="N11" t="s">
        <v>65</v>
      </c>
      <c r="O11" t="s">
        <v>65</v>
      </c>
      <c r="P11" t="s">
        <v>67</v>
      </c>
      <c r="Q11">
        <v>1.269804001394681E-12</v>
      </c>
      <c r="R11">
        <f t="shared" si="0"/>
        <v>1E-3</v>
      </c>
      <c r="U11">
        <v>8.000001269804001E-6</v>
      </c>
      <c r="V11">
        <v>8.000001269804001E-6</v>
      </c>
      <c r="X11">
        <v>1.0018720000000001</v>
      </c>
      <c r="Y11">
        <v>1.0000640000000001</v>
      </c>
      <c r="BA11" t="s">
        <v>82</v>
      </c>
    </row>
    <row r="12" spans="1:65" x14ac:dyDescent="0.25">
      <c r="A12" s="1" t="s">
        <v>83</v>
      </c>
      <c r="B12">
        <v>-0.73002400000000001</v>
      </c>
      <c r="C12">
        <v>-0.23019200000000001</v>
      </c>
      <c r="D12">
        <v>0.27012000000000003</v>
      </c>
      <c r="E12">
        <v>0.76945600000000003</v>
      </c>
      <c r="F12" t="s">
        <v>65</v>
      </c>
      <c r="G12" t="s">
        <v>65</v>
      </c>
      <c r="H12" t="s">
        <v>65</v>
      </c>
      <c r="I12" t="s">
        <v>65</v>
      </c>
      <c r="J12" t="s">
        <v>66</v>
      </c>
      <c r="K12">
        <v>1.0001439999999999</v>
      </c>
      <c r="L12">
        <v>0.99964800000000009</v>
      </c>
      <c r="M12" t="s">
        <v>65</v>
      </c>
      <c r="N12" t="s">
        <v>65</v>
      </c>
      <c r="O12" t="s">
        <v>65</v>
      </c>
      <c r="P12" t="s">
        <v>67</v>
      </c>
      <c r="Q12">
        <v>1.269804001394681E-12</v>
      </c>
      <c r="R12">
        <f t="shared" si="0"/>
        <v>1E-3</v>
      </c>
      <c r="U12">
        <v>8.000001269804001E-6</v>
      </c>
      <c r="V12">
        <v>8.000001269804001E-6</v>
      </c>
      <c r="X12">
        <v>1.0001439999999999</v>
      </c>
      <c r="Y12">
        <v>0.99958400000000003</v>
      </c>
      <c r="AG12" t="s">
        <v>176</v>
      </c>
      <c r="AH12">
        <f>+(1/(AB5^2))</f>
        <v>0.99967584353523753</v>
      </c>
      <c r="AI12">
        <f>+AH12*AC2</f>
        <v>1.0146344801265218E-3</v>
      </c>
      <c r="AN12">
        <v>2.4880000000000462E-3</v>
      </c>
      <c r="AO12">
        <v>3.3199999999999901E-3</v>
      </c>
      <c r="AP12">
        <v>2.3040000000000278E-3</v>
      </c>
      <c r="AQ12">
        <v>2.9040000000000181E-3</v>
      </c>
      <c r="AY12">
        <f>+AY10*(PI()/180)</f>
        <v>6.4733608863588622E-3</v>
      </c>
      <c r="BM12" t="str">
        <f>BH16&amp;" ± "&amp; BN17</f>
        <v>0,00301338846134143 ± 0,00103080821858308</v>
      </c>
    </row>
    <row r="13" spans="1:65" x14ac:dyDescent="0.25">
      <c r="A13" s="1" t="s">
        <v>84</v>
      </c>
      <c r="B13">
        <v>-0.73251200000000005</v>
      </c>
      <c r="C13">
        <v>-0.233512</v>
      </c>
      <c r="D13">
        <v>0.267816</v>
      </c>
      <c r="E13">
        <v>0.76655200000000001</v>
      </c>
      <c r="F13" t="s">
        <v>65</v>
      </c>
      <c r="G13" t="s">
        <v>65</v>
      </c>
      <c r="H13" t="s">
        <v>65</v>
      </c>
      <c r="I13" t="s">
        <v>65</v>
      </c>
      <c r="J13" t="s">
        <v>66</v>
      </c>
      <c r="K13">
        <v>1.0003280000000001</v>
      </c>
      <c r="L13">
        <v>1.0000640000000001</v>
      </c>
      <c r="M13" t="s">
        <v>65</v>
      </c>
      <c r="N13" t="s">
        <v>65</v>
      </c>
      <c r="O13" t="s">
        <v>65</v>
      </c>
      <c r="P13" t="s">
        <v>67</v>
      </c>
      <c r="Q13">
        <v>1.269804001394681E-12</v>
      </c>
      <c r="R13">
        <f t="shared" si="0"/>
        <v>1E-3</v>
      </c>
      <c r="U13">
        <v>8.000001269804001E-6</v>
      </c>
      <c r="V13">
        <v>8.000001269804001E-6</v>
      </c>
      <c r="X13">
        <v>1.0003280000000001</v>
      </c>
      <c r="Y13">
        <v>0.99896800000000008</v>
      </c>
      <c r="AJ13" t="str">
        <f>AH10 &amp; " ± " &amp; AI12</f>
        <v>0,999837908630813 ± 0,00101463448012652</v>
      </c>
      <c r="BB13" t="str">
        <f>AZ8 &amp; " ± " &amp; AY10</f>
        <v>1,08451446678073 ± 0,370896258053429</v>
      </c>
    </row>
    <row r="14" spans="1:65" x14ac:dyDescent="0.25">
      <c r="A14" s="1" t="s">
        <v>85</v>
      </c>
      <c r="B14">
        <v>-0.77447999999999995</v>
      </c>
      <c r="C14">
        <v>-0.27483999999999997</v>
      </c>
      <c r="D14">
        <v>0.22556000000000001</v>
      </c>
      <c r="E14">
        <v>0.72474400000000005</v>
      </c>
      <c r="F14" t="s">
        <v>65</v>
      </c>
      <c r="G14" t="s">
        <v>65</v>
      </c>
      <c r="H14" t="s">
        <v>65</v>
      </c>
      <c r="I14" t="s">
        <v>65</v>
      </c>
      <c r="J14" t="s">
        <v>66</v>
      </c>
      <c r="K14">
        <v>1.00004</v>
      </c>
      <c r="L14">
        <v>0.99958400000000003</v>
      </c>
      <c r="M14" t="s">
        <v>65</v>
      </c>
      <c r="N14" t="s">
        <v>65</v>
      </c>
      <c r="O14" t="s">
        <v>65</v>
      </c>
      <c r="P14" t="s">
        <v>67</v>
      </c>
      <c r="Q14">
        <v>1.269804001394681E-12</v>
      </c>
      <c r="R14">
        <f t="shared" si="0"/>
        <v>1E-3</v>
      </c>
      <c r="U14">
        <v>8.000001269804001E-6</v>
      </c>
      <c r="V14">
        <v>8.000001269804001E-6</v>
      </c>
      <c r="X14">
        <v>1.00004</v>
      </c>
      <c r="Y14">
        <v>1.0003759999999999</v>
      </c>
      <c r="AJ14" s="9" t="s">
        <v>183</v>
      </c>
      <c r="AN14">
        <v>3.896000000000011E-3</v>
      </c>
      <c r="AO14">
        <v>3.9520000000000111E-3</v>
      </c>
      <c r="AP14">
        <v>2.4480000000000062E-3</v>
      </c>
      <c r="AQ14">
        <v>4.5680000000000156E-3</v>
      </c>
    </row>
    <row r="15" spans="1:65" x14ac:dyDescent="0.25">
      <c r="A15" s="1" t="s">
        <v>86</v>
      </c>
      <c r="B15">
        <v>-0.77837599999999996</v>
      </c>
      <c r="C15">
        <v>-0.27879199999999998</v>
      </c>
      <c r="D15">
        <v>0.223112</v>
      </c>
      <c r="E15">
        <v>0.72017600000000004</v>
      </c>
      <c r="F15" t="s">
        <v>65</v>
      </c>
      <c r="G15" t="s">
        <v>65</v>
      </c>
      <c r="H15" t="s">
        <v>65</v>
      </c>
      <c r="I15" t="s">
        <v>65</v>
      </c>
      <c r="J15" t="s">
        <v>66</v>
      </c>
      <c r="K15">
        <v>1.0014879999999999</v>
      </c>
      <c r="L15">
        <v>0.99896800000000008</v>
      </c>
      <c r="M15" t="s">
        <v>65</v>
      </c>
      <c r="N15" t="s">
        <v>65</v>
      </c>
      <c r="O15" t="s">
        <v>65</v>
      </c>
      <c r="P15" t="s">
        <v>67</v>
      </c>
      <c r="Q15">
        <v>1.269804001394681E-12</v>
      </c>
      <c r="R15">
        <f t="shared" si="0"/>
        <v>1E-3</v>
      </c>
      <c r="U15">
        <v>8.000001269804001E-6</v>
      </c>
      <c r="V15">
        <v>8.000001269804001E-6</v>
      </c>
      <c r="X15">
        <v>1.0014879999999999</v>
      </c>
      <c r="Y15">
        <v>1.00088</v>
      </c>
    </row>
    <row r="16" spans="1:65" x14ac:dyDescent="0.25">
      <c r="A16" s="1" t="s">
        <v>87</v>
      </c>
      <c r="B16">
        <v>-0.77730399999999999</v>
      </c>
      <c r="C16">
        <v>-0.27807999999999999</v>
      </c>
      <c r="D16">
        <v>0.22248799999999999</v>
      </c>
      <c r="E16">
        <v>0.72229600000000005</v>
      </c>
      <c r="F16" t="s">
        <v>65</v>
      </c>
      <c r="G16" t="s">
        <v>65</v>
      </c>
      <c r="H16" t="s">
        <v>65</v>
      </c>
      <c r="I16" t="s">
        <v>65</v>
      </c>
      <c r="J16" t="s">
        <v>66</v>
      </c>
      <c r="K16">
        <v>0.99979200000000001</v>
      </c>
      <c r="L16">
        <v>1.0003759999999999</v>
      </c>
      <c r="M16" t="s">
        <v>65</v>
      </c>
      <c r="N16" t="s">
        <v>65</v>
      </c>
      <c r="O16" t="s">
        <v>65</v>
      </c>
      <c r="P16" t="s">
        <v>67</v>
      </c>
      <c r="Q16">
        <v>1.269804001394681E-12</v>
      </c>
      <c r="R16">
        <f t="shared" si="0"/>
        <v>1E-3</v>
      </c>
      <c r="U16">
        <v>8.000001269804001E-6</v>
      </c>
      <c r="V16">
        <v>8.000001269804001E-6</v>
      </c>
      <c r="X16">
        <v>0.99979200000000001</v>
      </c>
      <c r="Y16">
        <v>0.99935200000000002</v>
      </c>
      <c r="AN16">
        <v>4.7599999999999856E-3</v>
      </c>
      <c r="AO16">
        <v>4.6880000000000246E-3</v>
      </c>
      <c r="AP16">
        <v>5.3359999999999796E-3</v>
      </c>
      <c r="AQ16">
        <v>4.1840000000000774E-3</v>
      </c>
      <c r="BG16" t="s">
        <v>179</v>
      </c>
      <c r="BH16">
        <f>+TAN(AY8)/(2*PI()*AH10)</f>
        <v>3.0133884613414326E-3</v>
      </c>
      <c r="BJ16" t="s">
        <v>180</v>
      </c>
      <c r="BK16">
        <f>+(1/((COS(AZ8*(PI()/180))^2)))*(1/(2*PI()*AH10))</f>
        <v>0.15923779019587347</v>
      </c>
      <c r="BL16">
        <f>+BK16*AY12</f>
        <v>1.0308036826841861E-3</v>
      </c>
    </row>
    <row r="17" spans="1:66" x14ac:dyDescent="0.25">
      <c r="A17" s="1" t="s">
        <v>88</v>
      </c>
      <c r="B17">
        <v>-0.78206399999999998</v>
      </c>
      <c r="C17">
        <v>-0.28276800000000002</v>
      </c>
      <c r="D17">
        <v>0.21715200000000001</v>
      </c>
      <c r="E17">
        <v>0.71811199999999997</v>
      </c>
      <c r="F17" t="s">
        <v>65</v>
      </c>
      <c r="G17" t="s">
        <v>65</v>
      </c>
      <c r="H17" t="s">
        <v>65</v>
      </c>
      <c r="I17" t="s">
        <v>65</v>
      </c>
      <c r="J17" t="s">
        <v>66</v>
      </c>
      <c r="K17">
        <v>0.99921599999999999</v>
      </c>
      <c r="L17">
        <v>1.00088</v>
      </c>
      <c r="M17" t="s">
        <v>65</v>
      </c>
      <c r="N17" t="s">
        <v>65</v>
      </c>
      <c r="O17" t="s">
        <v>65</v>
      </c>
      <c r="P17" t="s">
        <v>67</v>
      </c>
      <c r="Q17">
        <v>1.269804001394681E-12</v>
      </c>
      <c r="R17">
        <f t="shared" si="0"/>
        <v>1E-3</v>
      </c>
      <c r="U17">
        <v>8.000001269804001E-6</v>
      </c>
      <c r="V17">
        <v>8.000001269804001E-6</v>
      </c>
      <c r="X17">
        <v>0.99921599999999999</v>
      </c>
      <c r="Y17">
        <v>0.99749600000000005</v>
      </c>
      <c r="BJ17" t="s">
        <v>181</v>
      </c>
      <c r="BK17">
        <f>+(TAN(AZ8*PI()/180))/(2*PI()*(AH10^2))</f>
        <v>3.0138769847884582E-3</v>
      </c>
      <c r="BL17">
        <f>+BK17*AI12</f>
        <v>3.0579835076261265E-6</v>
      </c>
      <c r="BN17">
        <f>+SQRT((BL17^2)+(BL16^2))</f>
        <v>1.0308082185830753E-3</v>
      </c>
    </row>
    <row r="18" spans="1:66" x14ac:dyDescent="0.25">
      <c r="A18" s="1" t="s">
        <v>89</v>
      </c>
      <c r="B18">
        <v>-0.77902400000000005</v>
      </c>
      <c r="C18">
        <v>-0.27815200000000001</v>
      </c>
      <c r="D18">
        <v>0.22087999999999999</v>
      </c>
      <c r="E18">
        <v>0.72119999999999995</v>
      </c>
      <c r="F18" t="s">
        <v>65</v>
      </c>
      <c r="G18" t="s">
        <v>65</v>
      </c>
      <c r="H18" t="s">
        <v>65</v>
      </c>
      <c r="I18" t="s">
        <v>65</v>
      </c>
      <c r="J18" t="s">
        <v>66</v>
      </c>
      <c r="K18">
        <v>0.99990400000000002</v>
      </c>
      <c r="L18">
        <v>0.99935200000000002</v>
      </c>
      <c r="M18" t="s">
        <v>65</v>
      </c>
      <c r="N18" t="s">
        <v>65</v>
      </c>
      <c r="O18" t="s">
        <v>65</v>
      </c>
      <c r="P18" t="s">
        <v>67</v>
      </c>
      <c r="Q18">
        <v>1.269804001394681E-12</v>
      </c>
      <c r="R18">
        <f t="shared" si="0"/>
        <v>1E-3</v>
      </c>
      <c r="U18">
        <v>8.000001269804001E-6</v>
      </c>
      <c r="V18">
        <v>8.000001269804001E-6</v>
      </c>
      <c r="X18">
        <v>0.99990400000000002</v>
      </c>
      <c r="Y18">
        <v>1.001968</v>
      </c>
      <c r="AN18">
        <v>1.535999999999982E-3</v>
      </c>
      <c r="AO18">
        <v>2.6079999999999992E-3</v>
      </c>
      <c r="AP18">
        <v>-5.2800000000000069E-4</v>
      </c>
      <c r="AQ18">
        <v>4.4639999999999116E-3</v>
      </c>
    </row>
    <row r="19" spans="1:66" x14ac:dyDescent="0.25">
      <c r="A19" s="1" t="s">
        <v>90</v>
      </c>
      <c r="B19">
        <v>-0.78056000000000003</v>
      </c>
      <c r="C19">
        <v>-0.28076000000000001</v>
      </c>
      <c r="D19">
        <v>0.22140799999999999</v>
      </c>
      <c r="E19">
        <v>0.71673600000000004</v>
      </c>
      <c r="F19" t="s">
        <v>65</v>
      </c>
      <c r="G19" t="s">
        <v>65</v>
      </c>
      <c r="H19" t="s">
        <v>65</v>
      </c>
      <c r="I19" t="s">
        <v>65</v>
      </c>
      <c r="J19" t="s">
        <v>66</v>
      </c>
      <c r="K19">
        <v>1.001968</v>
      </c>
      <c r="L19">
        <v>0.99749600000000005</v>
      </c>
      <c r="M19" t="s">
        <v>65</v>
      </c>
      <c r="N19" t="s">
        <v>65</v>
      </c>
      <c r="O19" t="s">
        <v>65</v>
      </c>
      <c r="P19" t="s">
        <v>67</v>
      </c>
      <c r="Q19">
        <v>1.269804001394681E-12</v>
      </c>
      <c r="R19">
        <f t="shared" si="0"/>
        <v>1E-3</v>
      </c>
      <c r="U19">
        <v>8.000001269804001E-6</v>
      </c>
      <c r="V19">
        <v>8.000001269804001E-6</v>
      </c>
      <c r="X19" s="2"/>
      <c r="Y19" s="2"/>
      <c r="BA19" t="s">
        <v>190</v>
      </c>
    </row>
    <row r="20" spans="1:66" x14ac:dyDescent="0.25">
      <c r="A20" s="1" t="s">
        <v>91</v>
      </c>
      <c r="B20">
        <v>-0.153227</v>
      </c>
      <c r="C20">
        <v>-5.3139199999999998E-2</v>
      </c>
      <c r="D20">
        <v>4.6953599999999998E-2</v>
      </c>
      <c r="E20">
        <v>0.14696799999999999</v>
      </c>
      <c r="F20" t="s">
        <v>65</v>
      </c>
      <c r="G20" t="s">
        <v>65</v>
      </c>
      <c r="H20" t="s">
        <v>65</v>
      </c>
      <c r="I20" t="s">
        <v>65</v>
      </c>
      <c r="J20" t="s">
        <v>66</v>
      </c>
      <c r="K20">
        <v>0.20018059999999999</v>
      </c>
      <c r="L20">
        <v>0.20010720000000001</v>
      </c>
      <c r="M20" t="s">
        <v>65</v>
      </c>
      <c r="N20" t="s">
        <v>65</v>
      </c>
      <c r="O20" t="s">
        <v>65</v>
      </c>
      <c r="P20" t="s">
        <v>67</v>
      </c>
      <c r="Q20">
        <v>1.0000000000287561E-6</v>
      </c>
      <c r="R20">
        <f>2.5*0.0001*0.4*2</f>
        <v>2.0000000000000001E-4</v>
      </c>
      <c r="U20">
        <v>2.0000000000287558E-6</v>
      </c>
      <c r="V20">
        <v>2.0000000000287558E-6</v>
      </c>
      <c r="X20">
        <v>0.20018059999999999</v>
      </c>
      <c r="Y20">
        <v>0.20010720000000001</v>
      </c>
      <c r="AA20" s="2">
        <f>+_xlfn.STDEV.S(X20:Y37)/SQRT(35)</f>
        <v>3.2461763400549101E-5</v>
      </c>
      <c r="AC20">
        <f>+SQRT((AA20^2)+(R20^2))</f>
        <v>2.0261728969432304E-4</v>
      </c>
      <c r="AN20">
        <v>-1.4570000000000141E-3</v>
      </c>
      <c r="AO20">
        <v>-1.5103999999999951E-3</v>
      </c>
      <c r="AP20">
        <v>-1.6943999999999989E-3</v>
      </c>
      <c r="AQ20">
        <v>-1.78600000000001E-3</v>
      </c>
      <c r="AS20">
        <f>+AVERAGE(AN20:AQ36)</f>
        <v>-1.4553885714285719E-3</v>
      </c>
      <c r="AU20" t="s">
        <v>177</v>
      </c>
      <c r="AV20">
        <f>360*(AS20/(AB23^2))</f>
        <v>-13.071690929322735</v>
      </c>
      <c r="AW20">
        <f>+AV20*AC20</f>
        <v>-2.6485505878212391E-3</v>
      </c>
    </row>
    <row r="21" spans="1:66" x14ac:dyDescent="0.25">
      <c r="A21" s="1" t="s">
        <v>92</v>
      </c>
      <c r="B21">
        <v>-0.15939400000000001</v>
      </c>
      <c r="C21">
        <v>-5.9220799999999997E-2</v>
      </c>
      <c r="D21">
        <v>4.1011199999999998E-2</v>
      </c>
      <c r="E21">
        <v>0.140763</v>
      </c>
      <c r="F21" t="s">
        <v>65</v>
      </c>
      <c r="G21" t="s">
        <v>65</v>
      </c>
      <c r="H21" t="s">
        <v>65</v>
      </c>
      <c r="I21" t="s">
        <v>65</v>
      </c>
      <c r="J21" t="s">
        <v>66</v>
      </c>
      <c r="K21">
        <v>0.20040520000000001</v>
      </c>
      <c r="L21">
        <v>0.19998379999999999</v>
      </c>
      <c r="M21" t="s">
        <v>65</v>
      </c>
      <c r="N21" t="s">
        <v>65</v>
      </c>
      <c r="O21" t="s">
        <v>65</v>
      </c>
      <c r="P21" t="s">
        <v>67</v>
      </c>
      <c r="Q21">
        <v>1.0000000000287561E-6</v>
      </c>
      <c r="R21">
        <f t="shared" ref="R21:R37" si="2">2.5*0.0001*0.4*2</f>
        <v>2.0000000000000001E-4</v>
      </c>
      <c r="X21">
        <v>0.20040520000000001</v>
      </c>
      <c r="Y21">
        <v>0.19998379999999999</v>
      </c>
      <c r="AA21" s="2">
        <f>1.96*AA20</f>
        <v>6.3625056265076231E-5</v>
      </c>
      <c r="AU21" t="s">
        <v>178</v>
      </c>
      <c r="AV21">
        <f>360*(1/AB23)</f>
        <v>1798.1571971284623</v>
      </c>
      <c r="AW21">
        <f>+AV21*AW23</f>
        <v>0.36996960516039651</v>
      </c>
      <c r="BK21" s="15">
        <f>+PI()</f>
        <v>3.1415926535897931</v>
      </c>
    </row>
    <row r="22" spans="1:66" x14ac:dyDescent="0.25">
      <c r="A22" s="1" t="s">
        <v>93</v>
      </c>
      <c r="B22">
        <v>-0.15176999999999999</v>
      </c>
      <c r="C22">
        <v>-5.1628800000000002E-2</v>
      </c>
      <c r="D22">
        <v>4.8647999999999997E-2</v>
      </c>
      <c r="E22">
        <v>0.148754</v>
      </c>
      <c r="F22" t="s">
        <v>65</v>
      </c>
      <c r="G22" t="s">
        <v>65</v>
      </c>
      <c r="H22" t="s">
        <v>65</v>
      </c>
      <c r="I22" t="s">
        <v>65</v>
      </c>
      <c r="J22" t="s">
        <v>66</v>
      </c>
      <c r="K22">
        <v>0.20041800000000001</v>
      </c>
      <c r="L22">
        <v>0.2003828</v>
      </c>
      <c r="M22" t="s">
        <v>65</v>
      </c>
      <c r="N22" t="s">
        <v>65</v>
      </c>
      <c r="O22" t="s">
        <v>65</v>
      </c>
      <c r="P22" t="s">
        <v>67</v>
      </c>
      <c r="Q22">
        <v>1.0000000000287561E-6</v>
      </c>
      <c r="R22">
        <f t="shared" si="2"/>
        <v>2.0000000000000001E-4</v>
      </c>
      <c r="U22">
        <v>2.0000000000287558E-6</v>
      </c>
      <c r="V22">
        <v>2.0000000000287558E-6</v>
      </c>
      <c r="X22">
        <v>0.20041800000000001</v>
      </c>
      <c r="Y22">
        <v>0.2003828</v>
      </c>
      <c r="AN22">
        <v>-1.5890000000000071E-3</v>
      </c>
      <c r="AO22">
        <v>-1.948799999999994E-3</v>
      </c>
      <c r="AP22">
        <v>-1.7248000000000051E-3</v>
      </c>
      <c r="AQ22">
        <v>-1.807000000000003E-3</v>
      </c>
    </row>
    <row r="23" spans="1:66" x14ac:dyDescent="0.25">
      <c r="A23" s="1" t="s">
        <v>94</v>
      </c>
      <c r="B23">
        <v>-0.157805</v>
      </c>
      <c r="C23">
        <v>-5.7272000000000003E-2</v>
      </c>
      <c r="D23">
        <v>4.2736000000000003E-2</v>
      </c>
      <c r="E23">
        <v>0.14282600000000001</v>
      </c>
      <c r="F23" t="s">
        <v>65</v>
      </c>
      <c r="G23" t="s">
        <v>65</v>
      </c>
      <c r="H23" t="s">
        <v>65</v>
      </c>
      <c r="I23" t="s">
        <v>65</v>
      </c>
      <c r="J23" t="s">
        <v>66</v>
      </c>
      <c r="K23">
        <v>0.200541</v>
      </c>
      <c r="L23">
        <v>0.200098</v>
      </c>
      <c r="M23" t="s">
        <v>65</v>
      </c>
      <c r="N23" t="s">
        <v>65</v>
      </c>
      <c r="O23" t="s">
        <v>65</v>
      </c>
      <c r="P23" t="s">
        <v>67</v>
      </c>
      <c r="Q23">
        <v>1.0000000000287561E-6</v>
      </c>
      <c r="R23">
        <f t="shared" si="2"/>
        <v>2.0000000000000001E-4</v>
      </c>
      <c r="U23">
        <v>2.0000000000287558E-6</v>
      </c>
      <c r="V23">
        <v>2.0000000000287558E-6</v>
      </c>
      <c r="X23">
        <v>0.200541</v>
      </c>
      <c r="Y23">
        <v>0.200098</v>
      </c>
      <c r="AA23" t="s">
        <v>95</v>
      </c>
      <c r="AB23">
        <f>+AVERAGE(X20:Y37)</f>
        <v>0.20020496571428575</v>
      </c>
      <c r="AS23">
        <f>+_xlfn.STDEV.S(AN20:AQ36)/SQRT(35)</f>
        <v>4.8298852531114386E-5</v>
      </c>
      <c r="AW23">
        <f>+SQRT((AS23^2)+(R20^2))</f>
        <v>2.0574931143462508E-4</v>
      </c>
    </row>
    <row r="24" spans="1:66" x14ac:dyDescent="0.25">
      <c r="A24" s="1" t="s">
        <v>96</v>
      </c>
      <c r="B24">
        <v>-0.14061299999999999</v>
      </c>
      <c r="C24">
        <v>-4.0612799999999998E-2</v>
      </c>
      <c r="D24">
        <v>5.9401599999999999E-2</v>
      </c>
      <c r="E24">
        <v>0.15940799999999999</v>
      </c>
      <c r="F24" t="s">
        <v>65</v>
      </c>
      <c r="G24" t="s">
        <v>65</v>
      </c>
      <c r="H24" t="s">
        <v>65</v>
      </c>
      <c r="I24" t="s">
        <v>65</v>
      </c>
      <c r="J24" t="s">
        <v>66</v>
      </c>
      <c r="K24">
        <v>0.20001459999999999</v>
      </c>
      <c r="L24">
        <v>0.2000208</v>
      </c>
      <c r="M24" t="s">
        <v>65</v>
      </c>
      <c r="N24" t="s">
        <v>65</v>
      </c>
      <c r="O24" t="s">
        <v>65</v>
      </c>
      <c r="P24" t="s">
        <v>67</v>
      </c>
      <c r="Q24">
        <v>1.0000000000287561E-6</v>
      </c>
      <c r="R24">
        <f t="shared" si="2"/>
        <v>2.0000000000000001E-4</v>
      </c>
      <c r="U24">
        <v>2.0000000000287558E-6</v>
      </c>
      <c r="V24">
        <v>2.0000000000287558E-6</v>
      </c>
      <c r="X24">
        <v>0.20001459999999999</v>
      </c>
      <c r="Y24">
        <v>0.2000208</v>
      </c>
      <c r="AN24">
        <v>-1.4559999999999851E-3</v>
      </c>
      <c r="AO24">
        <v>-1.455999999999999E-3</v>
      </c>
      <c r="AP24">
        <v>-1.4976000000000019E-3</v>
      </c>
      <c r="AQ24">
        <v>-1.531000000000005E-3</v>
      </c>
    </row>
    <row r="25" spans="1:66" x14ac:dyDescent="0.25">
      <c r="A25" s="1" t="s">
        <v>97</v>
      </c>
      <c r="B25">
        <v>-0.139157</v>
      </c>
      <c r="C25">
        <v>-3.9156799999999999E-2</v>
      </c>
      <c r="D25">
        <v>6.0899200000000001E-2</v>
      </c>
      <c r="E25">
        <v>0.160939</v>
      </c>
      <c r="F25" t="s">
        <v>65</v>
      </c>
      <c r="G25" t="s">
        <v>65</v>
      </c>
      <c r="H25" t="s">
        <v>65</v>
      </c>
      <c r="I25" t="s">
        <v>65</v>
      </c>
      <c r="J25" t="s">
        <v>66</v>
      </c>
      <c r="K25">
        <v>0.20005619999999999</v>
      </c>
      <c r="L25">
        <v>0.20009579999999999</v>
      </c>
      <c r="M25" t="s">
        <v>65</v>
      </c>
      <c r="N25" t="s">
        <v>65</v>
      </c>
      <c r="O25" t="s">
        <v>65</v>
      </c>
      <c r="P25" t="s">
        <v>67</v>
      </c>
      <c r="Q25">
        <v>1.0000000000287561E-6</v>
      </c>
      <c r="R25">
        <f t="shared" si="2"/>
        <v>2.0000000000000001E-4</v>
      </c>
      <c r="U25">
        <v>2.0000000000287558E-6</v>
      </c>
      <c r="V25">
        <v>2.0000000000287558E-6</v>
      </c>
      <c r="X25">
        <v>0.20005619999999999</v>
      </c>
      <c r="Y25">
        <v>0.20009579999999999</v>
      </c>
      <c r="AC25" t="str">
        <f>AB23 &amp; " ± " &amp; AC20</f>
        <v>0,200204965714286 ± 0,000202617289694323</v>
      </c>
      <c r="AH25" t="s">
        <v>73</v>
      </c>
    </row>
    <row r="26" spans="1:66" x14ac:dyDescent="0.25">
      <c r="A26" s="1" t="s">
        <v>98</v>
      </c>
      <c r="B26">
        <v>-0.13919500000000001</v>
      </c>
      <c r="C26">
        <v>-3.91648E-2</v>
      </c>
      <c r="D26">
        <v>6.0872000000000002E-2</v>
      </c>
      <c r="E26" t="s">
        <v>65</v>
      </c>
      <c r="F26" t="s">
        <v>65</v>
      </c>
      <c r="G26" t="s">
        <v>65</v>
      </c>
      <c r="H26" t="s">
        <v>65</v>
      </c>
      <c r="I26" t="s">
        <v>65</v>
      </c>
      <c r="J26" t="s">
        <v>66</v>
      </c>
      <c r="K26">
        <v>0.20006699999999999</v>
      </c>
      <c r="L26" t="s">
        <v>65</v>
      </c>
      <c r="M26" t="s">
        <v>65</v>
      </c>
      <c r="N26" t="s">
        <v>65</v>
      </c>
      <c r="O26" t="s">
        <v>65</v>
      </c>
      <c r="P26" t="s">
        <v>67</v>
      </c>
      <c r="Q26">
        <v>1.0000000000287561E-6</v>
      </c>
      <c r="R26">
        <f t="shared" si="2"/>
        <v>2.0000000000000001E-4</v>
      </c>
      <c r="U26">
        <v>2.0000000000287558E-6</v>
      </c>
      <c r="V26">
        <v>2.0000000000287558E-6</v>
      </c>
      <c r="X26">
        <v>0.20006699999999999</v>
      </c>
      <c r="Y26">
        <v>0.2002784</v>
      </c>
      <c r="AN26">
        <v>-8.7000000000000965E-4</v>
      </c>
      <c r="AO26">
        <v>-9.344000000000019E-4</v>
      </c>
      <c r="AP26">
        <v>-1.096E-3</v>
      </c>
      <c r="AX26" t="s">
        <v>82</v>
      </c>
      <c r="AY26">
        <f>+(AS20/AB23)*2*PI()</f>
        <v>-4.567557081120182E-2</v>
      </c>
      <c r="AZ26">
        <f>+(AS20/AB23)*360</f>
        <v>-2.6170174343327983</v>
      </c>
    </row>
    <row r="27" spans="1:66" x14ac:dyDescent="0.25">
      <c r="A27" s="1" t="s">
        <v>99</v>
      </c>
      <c r="B27">
        <v>-0.138325</v>
      </c>
      <c r="C27">
        <v>-3.8230399999999998E-2</v>
      </c>
      <c r="D27">
        <v>6.1968000000000002E-2</v>
      </c>
      <c r="E27">
        <v>0.162048</v>
      </c>
      <c r="F27" t="s">
        <v>65</v>
      </c>
      <c r="G27" t="s">
        <v>65</v>
      </c>
      <c r="H27" t="s">
        <v>65</v>
      </c>
      <c r="I27" t="s">
        <v>65</v>
      </c>
      <c r="J27" t="s">
        <v>66</v>
      </c>
      <c r="K27">
        <v>0.200293</v>
      </c>
      <c r="L27">
        <v>0.2002784</v>
      </c>
      <c r="M27" t="s">
        <v>65</v>
      </c>
      <c r="N27" t="s">
        <v>65</v>
      </c>
      <c r="O27" t="s">
        <v>65</v>
      </c>
      <c r="P27" t="s">
        <v>67</v>
      </c>
      <c r="Q27">
        <v>1.0000000000287561E-6</v>
      </c>
      <c r="R27">
        <f t="shared" si="2"/>
        <v>2.0000000000000001E-4</v>
      </c>
      <c r="U27">
        <v>2.0000000000287558E-6</v>
      </c>
      <c r="V27">
        <v>2.0000000000287558E-6</v>
      </c>
      <c r="X27">
        <v>0.200293</v>
      </c>
      <c r="Y27">
        <v>0.20001740000000001</v>
      </c>
      <c r="AA27" s="2"/>
      <c r="AC27" s="2"/>
    </row>
    <row r="28" spans="1:66" x14ac:dyDescent="0.25">
      <c r="A28" s="1" t="s">
        <v>100</v>
      </c>
      <c r="B28">
        <v>-0.107072</v>
      </c>
      <c r="C28">
        <v>-6.8864E-3</v>
      </c>
      <c r="D28">
        <v>9.3118400000000004E-2</v>
      </c>
      <c r="E28">
        <v>0.193131</v>
      </c>
      <c r="F28" t="s">
        <v>65</v>
      </c>
      <c r="G28" t="s">
        <v>65</v>
      </c>
      <c r="H28" t="s">
        <v>65</v>
      </c>
      <c r="I28" t="s">
        <v>65</v>
      </c>
      <c r="J28" t="s">
        <v>66</v>
      </c>
      <c r="K28">
        <v>0.20019039999999999</v>
      </c>
      <c r="L28">
        <v>0.20001740000000001</v>
      </c>
      <c r="M28" t="s">
        <v>65</v>
      </c>
      <c r="N28" t="s">
        <v>65</v>
      </c>
      <c r="O28" t="s">
        <v>65</v>
      </c>
      <c r="P28" t="s">
        <v>67</v>
      </c>
      <c r="Q28">
        <v>1.0000000000287561E-6</v>
      </c>
      <c r="R28">
        <f t="shared" si="2"/>
        <v>2.0000000000000001E-4</v>
      </c>
      <c r="U28">
        <v>2.0000000000287558E-6</v>
      </c>
      <c r="V28">
        <v>2.0000000000287558E-6</v>
      </c>
      <c r="X28">
        <v>0.20019039999999999</v>
      </c>
      <c r="Y28">
        <v>0.20010900000000001</v>
      </c>
      <c r="AC28" s="2"/>
      <c r="AG28" t="s">
        <v>79</v>
      </c>
      <c r="AH28">
        <f>1/AB23</f>
        <v>4.9948811031346176</v>
      </c>
      <c r="AN28">
        <v>-1.421000000000006E-3</v>
      </c>
      <c r="AO28">
        <v>-1.5583999999999999E-3</v>
      </c>
      <c r="AP28">
        <v>-1.577599999999998E-3</v>
      </c>
      <c r="AQ28">
        <v>-1.650000000000013E-3</v>
      </c>
      <c r="AY28">
        <f>+(AW21+AW20)</f>
        <v>0.36732105457257525</v>
      </c>
    </row>
    <row r="29" spans="1:66" x14ac:dyDescent="0.25">
      <c r="A29" s="1" t="s">
        <v>101</v>
      </c>
      <c r="B29">
        <v>-0.10565099999999999</v>
      </c>
      <c r="C29">
        <v>-5.3280000000000003E-3</v>
      </c>
      <c r="D29">
        <v>9.4696000000000002E-2</v>
      </c>
      <c r="E29">
        <v>0.19478100000000001</v>
      </c>
      <c r="F29" t="s">
        <v>65</v>
      </c>
      <c r="G29" t="s">
        <v>65</v>
      </c>
      <c r="H29" t="s">
        <v>65</v>
      </c>
      <c r="I29" t="s">
        <v>65</v>
      </c>
      <c r="J29" t="s">
        <v>66</v>
      </c>
      <c r="K29">
        <v>0.200347</v>
      </c>
      <c r="L29">
        <v>0.20010900000000001</v>
      </c>
      <c r="M29" t="s">
        <v>65</v>
      </c>
      <c r="N29" t="s">
        <v>65</v>
      </c>
      <c r="O29" t="s">
        <v>65</v>
      </c>
      <c r="P29" t="s">
        <v>67</v>
      </c>
      <c r="Q29">
        <v>1.0000000000287561E-6</v>
      </c>
      <c r="R29">
        <f t="shared" si="2"/>
        <v>2.0000000000000001E-4</v>
      </c>
      <c r="U29">
        <v>2.0000000000287558E-6</v>
      </c>
      <c r="V29">
        <v>2.0000000000287558E-6</v>
      </c>
      <c r="X29">
        <v>0.200347</v>
      </c>
      <c r="Y29">
        <v>0.200048</v>
      </c>
      <c r="BA29" t="s">
        <v>82</v>
      </c>
    </row>
    <row r="30" spans="1:66" x14ac:dyDescent="0.25">
      <c r="A30" s="1" t="s">
        <v>102</v>
      </c>
      <c r="B30">
        <v>-0.102573</v>
      </c>
      <c r="C30">
        <v>-2.552E-3</v>
      </c>
      <c r="D30">
        <v>9.7467200000000004E-2</v>
      </c>
      <c r="E30">
        <v>0.197496</v>
      </c>
      <c r="F30" t="s">
        <v>65</v>
      </c>
      <c r="G30" t="s">
        <v>65</v>
      </c>
      <c r="H30" t="s">
        <v>65</v>
      </c>
      <c r="I30" t="s">
        <v>65</v>
      </c>
      <c r="J30" t="s">
        <v>66</v>
      </c>
      <c r="K30">
        <v>0.2000402</v>
      </c>
      <c r="L30">
        <v>0.200048</v>
      </c>
      <c r="M30" t="s">
        <v>65</v>
      </c>
      <c r="N30" t="s">
        <v>65</v>
      </c>
      <c r="O30" t="s">
        <v>65</v>
      </c>
      <c r="P30" t="s">
        <v>67</v>
      </c>
      <c r="Q30">
        <v>1.0000000000287561E-6</v>
      </c>
      <c r="R30">
        <f t="shared" si="2"/>
        <v>2.0000000000000001E-4</v>
      </c>
      <c r="U30">
        <v>2.0000000000287558E-6</v>
      </c>
      <c r="V30">
        <v>2.0000000000287558E-6</v>
      </c>
      <c r="X30">
        <v>0.2000402</v>
      </c>
      <c r="Y30">
        <v>0.2002978</v>
      </c>
      <c r="AG30" t="s">
        <v>176</v>
      </c>
      <c r="AH30">
        <f>+(1/(AB23^2))</f>
        <v>24.948837234451297</v>
      </c>
      <c r="AI30">
        <f>+AH30*AC20</f>
        <v>5.055065781469332E-3</v>
      </c>
      <c r="AN30">
        <v>-9.4099999999999739E-4</v>
      </c>
      <c r="AO30">
        <v>-1.3152000000000001E-3</v>
      </c>
      <c r="AP30">
        <v>-1.3311999999999909E-3</v>
      </c>
      <c r="AQ30">
        <v>-1.5649999999999831E-3</v>
      </c>
      <c r="AY30">
        <f>+AY28*(PI()/180)</f>
        <v>6.4109618141892106E-3</v>
      </c>
      <c r="BM30" t="str">
        <f>BH34&amp;" ± "&amp; BN35</f>
        <v>0,00145640152198534 ± 0,000205551895032489</v>
      </c>
    </row>
    <row r="31" spans="1:66" x14ac:dyDescent="0.25">
      <c r="A31" s="1" t="s">
        <v>103</v>
      </c>
      <c r="B31">
        <v>-0.101632</v>
      </c>
      <c r="C31">
        <v>-1.2367999999999999E-3</v>
      </c>
      <c r="D31">
        <v>9.8798399999999995E-2</v>
      </c>
      <c r="E31">
        <v>0.19906099999999999</v>
      </c>
      <c r="F31" t="s">
        <v>65</v>
      </c>
      <c r="G31" t="s">
        <v>65</v>
      </c>
      <c r="H31" t="s">
        <v>65</v>
      </c>
      <c r="I31" t="s">
        <v>65</v>
      </c>
      <c r="J31" t="s">
        <v>66</v>
      </c>
      <c r="K31">
        <v>0.20043040000000001</v>
      </c>
      <c r="L31">
        <v>0.2002978</v>
      </c>
      <c r="M31" t="s">
        <v>65</v>
      </c>
      <c r="N31" t="s">
        <v>65</v>
      </c>
      <c r="O31" t="s">
        <v>65</v>
      </c>
      <c r="P31" t="s">
        <v>67</v>
      </c>
      <c r="Q31">
        <v>1.0000000000287561E-6</v>
      </c>
      <c r="R31">
        <f t="shared" si="2"/>
        <v>2.0000000000000001E-4</v>
      </c>
      <c r="U31">
        <v>2.0000000000287558E-6</v>
      </c>
      <c r="V31">
        <v>2.0000000000287558E-6</v>
      </c>
      <c r="X31">
        <v>0.20043040000000001</v>
      </c>
      <c r="Y31">
        <v>0.20002120000000001</v>
      </c>
      <c r="AJ31" t="str">
        <f>AH28 &amp; " ± " &amp; AI30</f>
        <v>4,99488110313462 ± 0,00505506578146933</v>
      </c>
      <c r="BB31" t="str">
        <f>AZ26 &amp; " ± " &amp; AY28</f>
        <v>-2,6170174343328 ± 0,367321054572575</v>
      </c>
    </row>
    <row r="32" spans="1:66" x14ac:dyDescent="0.25">
      <c r="A32" s="1" t="s">
        <v>104</v>
      </c>
      <c r="B32">
        <v>-0.10593</v>
      </c>
      <c r="C32">
        <v>-5.8351999999999996E-3</v>
      </c>
      <c r="D32">
        <v>9.4166399999999997E-2</v>
      </c>
      <c r="E32">
        <v>0.194186</v>
      </c>
      <c r="F32" t="s">
        <v>65</v>
      </c>
      <c r="G32" t="s">
        <v>65</v>
      </c>
      <c r="H32" t="s">
        <v>65</v>
      </c>
      <c r="I32" t="s">
        <v>65</v>
      </c>
      <c r="J32" t="s">
        <v>66</v>
      </c>
      <c r="K32">
        <v>0.20009640000000001</v>
      </c>
      <c r="L32">
        <v>0.20002120000000001</v>
      </c>
      <c r="M32" t="s">
        <v>65</v>
      </c>
      <c r="N32" t="s">
        <v>65</v>
      </c>
      <c r="O32" t="s">
        <v>65</v>
      </c>
      <c r="P32" t="s">
        <v>67</v>
      </c>
      <c r="Q32">
        <v>1.0000000000148781E-6</v>
      </c>
      <c r="R32">
        <f t="shared" si="2"/>
        <v>2.0000000000000001E-4</v>
      </c>
      <c r="U32">
        <v>2.000000000014878E-6</v>
      </c>
      <c r="V32">
        <v>2.000000000014878E-6</v>
      </c>
      <c r="X32">
        <v>0.20009640000000001</v>
      </c>
      <c r="Y32">
        <v>0.2004782</v>
      </c>
      <c r="AN32">
        <v>-9.8600000000000076E-4</v>
      </c>
      <c r="AO32">
        <v>-1.1839999999999991E-3</v>
      </c>
      <c r="AP32">
        <v>-1.244800000000004E-3</v>
      </c>
      <c r="AQ32">
        <v>-1.641000000000004E-3</v>
      </c>
    </row>
    <row r="33" spans="1:66" x14ac:dyDescent="0.25">
      <c r="A33" s="1" t="s">
        <v>105</v>
      </c>
      <c r="B33">
        <v>-0.104944</v>
      </c>
      <c r="C33">
        <v>-4.6512000000000003E-3</v>
      </c>
      <c r="D33">
        <v>9.5411200000000002E-2</v>
      </c>
      <c r="E33">
        <v>0.195827</v>
      </c>
      <c r="F33" t="s">
        <v>65</v>
      </c>
      <c r="G33" t="s">
        <v>65</v>
      </c>
      <c r="H33" t="s">
        <v>65</v>
      </c>
      <c r="I33" t="s">
        <v>65</v>
      </c>
      <c r="J33" t="s">
        <v>66</v>
      </c>
      <c r="K33">
        <v>0.20035520000000001</v>
      </c>
      <c r="L33">
        <v>0.2004782</v>
      </c>
      <c r="M33" t="s">
        <v>65</v>
      </c>
      <c r="N33" t="s">
        <v>65</v>
      </c>
      <c r="O33" t="s">
        <v>65</v>
      </c>
      <c r="P33" t="s">
        <v>67</v>
      </c>
      <c r="Q33">
        <v>1.0000000000148781E-6</v>
      </c>
      <c r="R33">
        <f t="shared" si="2"/>
        <v>2.0000000000000001E-4</v>
      </c>
      <c r="U33">
        <v>2.000000000014878E-6</v>
      </c>
      <c r="V33">
        <v>2.000000000014878E-6</v>
      </c>
      <c r="X33">
        <v>0.20035520000000001</v>
      </c>
      <c r="Y33">
        <v>0.20003560000000001</v>
      </c>
    </row>
    <row r="34" spans="1:66" x14ac:dyDescent="0.25">
      <c r="A34" s="1" t="s">
        <v>106</v>
      </c>
      <c r="B34">
        <v>-0.10621</v>
      </c>
      <c r="C34">
        <v>-6.1136000000000003E-3</v>
      </c>
      <c r="D34">
        <v>9.3891199999999994E-2</v>
      </c>
      <c r="E34">
        <v>0.19392200000000001</v>
      </c>
      <c r="F34" t="s">
        <v>65</v>
      </c>
      <c r="G34" t="s">
        <v>65</v>
      </c>
      <c r="H34" t="s">
        <v>65</v>
      </c>
      <c r="I34" t="s">
        <v>65</v>
      </c>
      <c r="J34" t="s">
        <v>66</v>
      </c>
      <c r="K34">
        <v>0.20010120000000001</v>
      </c>
      <c r="L34">
        <v>0.20003560000000001</v>
      </c>
      <c r="M34" t="s">
        <v>65</v>
      </c>
      <c r="N34" t="s">
        <v>65</v>
      </c>
      <c r="O34" t="s">
        <v>65</v>
      </c>
      <c r="P34" t="s">
        <v>67</v>
      </c>
      <c r="Q34">
        <v>1.0000000000287561E-6</v>
      </c>
      <c r="R34">
        <f t="shared" si="2"/>
        <v>2.0000000000000001E-4</v>
      </c>
      <c r="U34">
        <v>2.0000000000287558E-6</v>
      </c>
      <c r="V34">
        <v>2.0000000000287558E-6</v>
      </c>
      <c r="X34">
        <v>0.20010120000000001</v>
      </c>
      <c r="Y34">
        <v>0.20002700000000001</v>
      </c>
      <c r="AN34">
        <v>-1.2530000000000039E-3</v>
      </c>
      <c r="AO34">
        <v>-1.8096000000000011E-3</v>
      </c>
      <c r="AP34">
        <v>-1.8144000000000081E-3</v>
      </c>
      <c r="AQ34">
        <v>-1.800999999999997E-3</v>
      </c>
      <c r="BG34" t="s">
        <v>179</v>
      </c>
      <c r="BH34">
        <f>+ABS(TAN(AY26)/(2*PI()*AH28))</f>
        <v>1.4564015219853427E-3</v>
      </c>
      <c r="BJ34" t="s">
        <v>180</v>
      </c>
      <c r="BK34">
        <f>+(1/((COS(AZ26*(PI()/180))^2))*(1/(2*PI()*AH28)))</f>
        <v>3.1930178195115781E-2</v>
      </c>
      <c r="BL34">
        <f>+BK34*AY30</f>
        <v>2.0470315312914425E-4</v>
      </c>
    </row>
    <row r="35" spans="1:66" x14ac:dyDescent="0.25">
      <c r="A35" s="1" t="s">
        <v>107</v>
      </c>
      <c r="B35">
        <v>-0.10495699999999999</v>
      </c>
      <c r="C35">
        <v>-4.3039999999999997E-3</v>
      </c>
      <c r="D35">
        <v>9.5705600000000002E-2</v>
      </c>
      <c r="E35">
        <v>0.19572300000000001</v>
      </c>
      <c r="F35" t="s">
        <v>65</v>
      </c>
      <c r="G35" t="s">
        <v>65</v>
      </c>
      <c r="H35" t="s">
        <v>65</v>
      </c>
      <c r="I35" t="s">
        <v>65</v>
      </c>
      <c r="J35" t="s">
        <v>66</v>
      </c>
      <c r="K35">
        <v>0.2006626</v>
      </c>
      <c r="L35">
        <v>0.20002700000000001</v>
      </c>
      <c r="M35" t="s">
        <v>65</v>
      </c>
      <c r="N35" t="s">
        <v>65</v>
      </c>
      <c r="O35" t="s">
        <v>65</v>
      </c>
      <c r="P35" t="s">
        <v>67</v>
      </c>
      <c r="Q35">
        <v>1.0000000000287561E-6</v>
      </c>
      <c r="R35">
        <f t="shared" si="2"/>
        <v>2.0000000000000001E-4</v>
      </c>
      <c r="U35">
        <v>2.0000000000287558E-6</v>
      </c>
      <c r="V35">
        <v>2.0000000000287558E-6</v>
      </c>
      <c r="X35">
        <v>0.2006626</v>
      </c>
      <c r="Y35">
        <v>0.20009399999999999</v>
      </c>
      <c r="BJ35" t="s">
        <v>181</v>
      </c>
      <c r="BK35">
        <f>+(TAN(AZ26))/(2*PI()*(AH28^2))</f>
        <v>3.691373393342307E-3</v>
      </c>
      <c r="BL35">
        <f>+BK35*AI30</f>
        <v>1.8660135327311031E-5</v>
      </c>
      <c r="BN35">
        <f>+SQRT((BL35^2)+(BL34^2))</f>
        <v>2.0555189503248915E-4</v>
      </c>
    </row>
    <row r="36" spans="1:66" x14ac:dyDescent="0.25">
      <c r="A36" s="1" t="s">
        <v>108</v>
      </c>
      <c r="B36">
        <v>-0.104958</v>
      </c>
      <c r="C36">
        <v>-4.9360000000000003E-3</v>
      </c>
      <c r="D36">
        <v>9.5150399999999996E-2</v>
      </c>
      <c r="E36">
        <v>0.195158</v>
      </c>
      <c r="F36" t="s">
        <v>65</v>
      </c>
      <c r="G36" t="s">
        <v>65</v>
      </c>
      <c r="H36" t="s">
        <v>65</v>
      </c>
      <c r="I36" t="s">
        <v>65</v>
      </c>
      <c r="J36" t="s">
        <v>66</v>
      </c>
      <c r="K36">
        <v>0.20010839999999999</v>
      </c>
      <c r="L36">
        <v>0.20009399999999999</v>
      </c>
      <c r="M36" t="s">
        <v>65</v>
      </c>
      <c r="N36" t="s">
        <v>65</v>
      </c>
      <c r="O36" t="s">
        <v>65</v>
      </c>
      <c r="P36" t="s">
        <v>67</v>
      </c>
      <c r="Q36">
        <v>1.0000000000287561E-6</v>
      </c>
      <c r="R36">
        <f t="shared" si="2"/>
        <v>2.0000000000000001E-4</v>
      </c>
      <c r="U36">
        <v>2.0000000000287558E-6</v>
      </c>
      <c r="V36">
        <v>2.0000000000287558E-6</v>
      </c>
      <c r="X36">
        <v>0.20010839999999999</v>
      </c>
      <c r="Y36">
        <v>0.20013</v>
      </c>
      <c r="AN36">
        <v>-9.7899999999999376E-4</v>
      </c>
      <c r="AO36">
        <v>-1.48E-3</v>
      </c>
      <c r="AP36">
        <v>-1.511999999999999E-3</v>
      </c>
      <c r="AQ36">
        <v>-1.51599999999999E-3</v>
      </c>
    </row>
    <row r="37" spans="1:66" x14ac:dyDescent="0.25">
      <c r="A37" s="1" t="s">
        <v>109</v>
      </c>
      <c r="B37">
        <v>-0.103979</v>
      </c>
      <c r="C37">
        <v>-3.4559999999999999E-3</v>
      </c>
      <c r="D37">
        <v>9.6662399999999996E-2</v>
      </c>
      <c r="E37">
        <v>0.19667399999999999</v>
      </c>
      <c r="F37" t="s">
        <v>65</v>
      </c>
      <c r="G37" t="s">
        <v>65</v>
      </c>
      <c r="H37" t="s">
        <v>65</v>
      </c>
      <c r="I37" t="s">
        <v>65</v>
      </c>
      <c r="J37" t="s">
        <v>66</v>
      </c>
      <c r="K37">
        <v>0.2006414</v>
      </c>
      <c r="L37">
        <v>0.20013</v>
      </c>
      <c r="M37" t="s">
        <v>65</v>
      </c>
      <c r="N37" t="s">
        <v>65</v>
      </c>
      <c r="O37" t="s">
        <v>65</v>
      </c>
      <c r="P37" t="s">
        <v>67</v>
      </c>
      <c r="Q37">
        <v>1.0000000000287561E-6</v>
      </c>
      <c r="R37">
        <f t="shared" si="2"/>
        <v>2.0000000000000001E-4</v>
      </c>
      <c r="U37">
        <v>2.0000000000287558E-6</v>
      </c>
      <c r="V37">
        <v>2.0000000000287558E-6</v>
      </c>
      <c r="X37">
        <v>0.2006414</v>
      </c>
    </row>
    <row r="38" spans="1:66" x14ac:dyDescent="0.25">
      <c r="A38" s="1" t="s">
        <v>110</v>
      </c>
      <c r="B38">
        <v>1.57296E-2</v>
      </c>
      <c r="C38">
        <v>4.0766700000000003E-2</v>
      </c>
      <c r="D38">
        <v>6.5718700000000005E-2</v>
      </c>
      <c r="E38" t="s">
        <v>65</v>
      </c>
      <c r="F38" t="s">
        <v>65</v>
      </c>
      <c r="G38" t="s">
        <v>65</v>
      </c>
      <c r="H38" t="s">
        <v>65</v>
      </c>
      <c r="I38" t="s">
        <v>65</v>
      </c>
      <c r="J38" t="s">
        <v>66</v>
      </c>
      <c r="K38">
        <v>4.9989100000000009E-2</v>
      </c>
      <c r="L38" t="s">
        <v>65</v>
      </c>
      <c r="M38" t="s">
        <v>65</v>
      </c>
      <c r="N38" t="s">
        <v>65</v>
      </c>
      <c r="O38" t="s">
        <v>65</v>
      </c>
      <c r="P38" t="s">
        <v>67</v>
      </c>
      <c r="Q38">
        <v>1.000000000098145E-7</v>
      </c>
      <c r="R38">
        <f>2.5*0.0001*0.1*2</f>
        <v>5.0000000000000002E-5</v>
      </c>
      <c r="U38">
        <v>2.0000000000981451E-7</v>
      </c>
      <c r="V38">
        <v>1.0000000000000001E-5</v>
      </c>
      <c r="Y38">
        <v>4.9989100000000009E-2</v>
      </c>
      <c r="AA38" s="2">
        <f>+_xlfn.STDEV.S(Y38:Y57)/SQRT(20)</f>
        <v>1.4076452938001953E-5</v>
      </c>
      <c r="AC38">
        <f>+SQRT((AA38^2)+(R38^2))</f>
        <v>5.1943686115983182E-5</v>
      </c>
      <c r="AN38">
        <v>-2.1938999999999991E-3</v>
      </c>
      <c r="AO38">
        <v>-2.0847999999999982E-3</v>
      </c>
      <c r="AP38">
        <v>-2.2236999999999951E-3</v>
      </c>
      <c r="AS38" s="14">
        <f>+AVERAGE(AN38:AP56)</f>
        <v>-2.161058E-3</v>
      </c>
      <c r="AU38" t="s">
        <v>177</v>
      </c>
      <c r="AV38">
        <f>360*(AS38/(AB41^2))</f>
        <v>-311.31174728387651</v>
      </c>
      <c r="AW38">
        <f>+AV38*AC38</f>
        <v>-1.6170679685131962E-2</v>
      </c>
    </row>
    <row r="39" spans="1:66" x14ac:dyDescent="0.25">
      <c r="A39" s="1" t="s">
        <v>111</v>
      </c>
      <c r="B39">
        <v>1.7923499999999998E-2</v>
      </c>
      <c r="C39">
        <v>4.2851500000000001E-2</v>
      </c>
      <c r="D39">
        <v>6.79424E-2</v>
      </c>
      <c r="E39" t="s">
        <v>65</v>
      </c>
      <c r="F39" t="s">
        <v>65</v>
      </c>
      <c r="G39" t="s">
        <v>65</v>
      </c>
      <c r="H39" t="s">
        <v>65</v>
      </c>
      <c r="I39" t="s">
        <v>65</v>
      </c>
      <c r="J39" t="s">
        <v>66</v>
      </c>
      <c r="K39">
        <v>5.0018900000000012E-2</v>
      </c>
      <c r="L39" t="s">
        <v>65</v>
      </c>
      <c r="M39" t="s">
        <v>65</v>
      </c>
      <c r="N39" t="s">
        <v>65</v>
      </c>
      <c r="O39" t="s">
        <v>65</v>
      </c>
      <c r="P39" t="s">
        <v>67</v>
      </c>
      <c r="Q39">
        <v>1.000000000098145E-7</v>
      </c>
      <c r="R39">
        <f t="shared" ref="R39:R57" si="3">2.5*0.0001*0.1*2</f>
        <v>5.0000000000000002E-5</v>
      </c>
      <c r="U39">
        <v>2.0000000000981451E-7</v>
      </c>
      <c r="V39">
        <v>2.0000000000981451E-7</v>
      </c>
      <c r="Y39">
        <v>5.0018900000000012E-2</v>
      </c>
      <c r="AA39" s="2">
        <f>1.96*AA38</f>
        <v>2.7589847758483828E-5</v>
      </c>
      <c r="AU39" t="s">
        <v>178</v>
      </c>
      <c r="AV39">
        <f>360*(1/AB41)</f>
        <v>7201.381080863689</v>
      </c>
      <c r="AW39">
        <f>+AV39*R38</f>
        <v>0.36006905404318446</v>
      </c>
    </row>
    <row r="40" spans="1:66" x14ac:dyDescent="0.25">
      <c r="A40" s="1" t="s">
        <v>112</v>
      </c>
      <c r="B40">
        <v>1.2232E-2</v>
      </c>
      <c r="C40">
        <v>3.7131200000000003E-2</v>
      </c>
      <c r="D40">
        <v>6.2233900000000002E-2</v>
      </c>
      <c r="E40" t="s">
        <v>65</v>
      </c>
      <c r="F40" t="s">
        <v>65</v>
      </c>
      <c r="G40" t="s">
        <v>65</v>
      </c>
      <c r="H40" t="s">
        <v>65</v>
      </c>
      <c r="I40" t="s">
        <v>65</v>
      </c>
      <c r="J40" t="s">
        <v>66</v>
      </c>
      <c r="K40">
        <v>5.0001900000000002E-2</v>
      </c>
      <c r="L40" t="s">
        <v>65</v>
      </c>
      <c r="M40" t="s">
        <v>65</v>
      </c>
      <c r="N40" t="s">
        <v>65</v>
      </c>
      <c r="O40" t="s">
        <v>65</v>
      </c>
      <c r="P40" t="s">
        <v>67</v>
      </c>
      <c r="Q40">
        <v>1.000000000098145E-7</v>
      </c>
      <c r="R40">
        <f t="shared" si="3"/>
        <v>5.0000000000000002E-5</v>
      </c>
      <c r="U40">
        <v>2.0000000000981451E-7</v>
      </c>
      <c r="V40">
        <v>2.0000000000981451E-7</v>
      </c>
      <c r="Y40">
        <v>5.0001900000000002E-2</v>
      </c>
      <c r="AN40">
        <v>-2.196500000000001E-3</v>
      </c>
      <c r="AO40">
        <v>-2.1634999999999992E-3</v>
      </c>
      <c r="AP40">
        <v>-2.0394000000000041E-3</v>
      </c>
    </row>
    <row r="41" spans="1:66" x14ac:dyDescent="0.25">
      <c r="A41" s="1" t="s">
        <v>113</v>
      </c>
      <c r="B41">
        <v>1.44285E-2</v>
      </c>
      <c r="C41">
        <v>3.9294700000000002E-2</v>
      </c>
      <c r="D41">
        <v>6.4273300000000005E-2</v>
      </c>
      <c r="E41" t="s">
        <v>65</v>
      </c>
      <c r="F41" t="s">
        <v>65</v>
      </c>
      <c r="G41" t="s">
        <v>65</v>
      </c>
      <c r="H41" t="s">
        <v>65</v>
      </c>
      <c r="I41" t="s">
        <v>65</v>
      </c>
      <c r="J41" t="s">
        <v>66</v>
      </c>
      <c r="K41">
        <v>4.9844800000000009E-2</v>
      </c>
      <c r="L41" t="s">
        <v>65</v>
      </c>
      <c r="M41" t="s">
        <v>65</v>
      </c>
      <c r="N41" t="s">
        <v>65</v>
      </c>
      <c r="O41" t="s">
        <v>65</v>
      </c>
      <c r="P41" t="s">
        <v>67</v>
      </c>
      <c r="Q41">
        <v>1.000000000098145E-7</v>
      </c>
      <c r="R41">
        <f t="shared" si="3"/>
        <v>5.0000000000000002E-5</v>
      </c>
      <c r="U41">
        <v>2.0000000000981451E-7</v>
      </c>
      <c r="V41">
        <v>2.0000000000981451E-7</v>
      </c>
      <c r="Y41">
        <v>4.9844800000000009E-2</v>
      </c>
      <c r="AA41" t="s">
        <v>95</v>
      </c>
      <c r="AB41">
        <f>+AVERAGE(X38:Y57)</f>
        <v>4.9990410999999998E-2</v>
      </c>
      <c r="AS41">
        <f>+_xlfn.STDEV.S(AN38:AP56)/SQRT(30)</f>
        <v>1.3298245890722282E-5</v>
      </c>
      <c r="AW41">
        <f>+SQRT((AS41^2)+(R38^2))</f>
        <v>5.1738219371854231E-5</v>
      </c>
    </row>
    <row r="42" spans="1:66" x14ac:dyDescent="0.25">
      <c r="A42" s="1" t="s">
        <v>114</v>
      </c>
      <c r="B42">
        <v>8.7302400000000002E-3</v>
      </c>
      <c r="C42">
        <v>3.3766400000000002E-2</v>
      </c>
      <c r="D42">
        <v>5.8730900000000003E-2</v>
      </c>
      <c r="E42" t="s">
        <v>65</v>
      </c>
      <c r="F42" t="s">
        <v>65</v>
      </c>
      <c r="G42" t="s">
        <v>65</v>
      </c>
      <c r="H42" t="s">
        <v>65</v>
      </c>
      <c r="I42" t="s">
        <v>65</v>
      </c>
      <c r="J42" t="s">
        <v>66</v>
      </c>
      <c r="K42">
        <v>5.0000660000000002E-2</v>
      </c>
      <c r="L42" t="s">
        <v>65</v>
      </c>
      <c r="M42" t="s">
        <v>65</v>
      </c>
      <c r="N42" t="s">
        <v>65</v>
      </c>
      <c r="O42" t="s">
        <v>65</v>
      </c>
      <c r="P42" t="s">
        <v>67</v>
      </c>
      <c r="Q42">
        <v>1.0000000001675339E-7</v>
      </c>
      <c r="R42">
        <f t="shared" si="3"/>
        <v>5.0000000000000002E-5</v>
      </c>
      <c r="U42">
        <v>2.000000000167534E-7</v>
      </c>
      <c r="V42">
        <v>2.000000000167534E-7</v>
      </c>
      <c r="Y42">
        <v>5.0000660000000002E-2</v>
      </c>
      <c r="AN42">
        <v>-2.2563599999999989E-3</v>
      </c>
      <c r="AO42">
        <v>-2.0604999999999998E-3</v>
      </c>
      <c r="AP42">
        <v>-2.2101999999999959E-3</v>
      </c>
    </row>
    <row r="43" spans="1:66" x14ac:dyDescent="0.25">
      <c r="A43" s="1" t="s">
        <v>115</v>
      </c>
      <c r="B43">
        <v>1.0986599999999999E-2</v>
      </c>
      <c r="C43">
        <v>3.5826900000000002E-2</v>
      </c>
      <c r="D43">
        <v>6.0941099999999998E-2</v>
      </c>
      <c r="E43" t="s">
        <v>65</v>
      </c>
      <c r="F43" t="s">
        <v>65</v>
      </c>
      <c r="G43" t="s">
        <v>65</v>
      </c>
      <c r="H43" t="s">
        <v>65</v>
      </c>
      <c r="I43" t="s">
        <v>65</v>
      </c>
      <c r="J43" t="s">
        <v>66</v>
      </c>
      <c r="K43">
        <v>4.9954499999999999E-2</v>
      </c>
      <c r="L43" t="s">
        <v>65</v>
      </c>
      <c r="M43" t="s">
        <v>65</v>
      </c>
      <c r="N43" t="s">
        <v>65</v>
      </c>
      <c r="O43" t="s">
        <v>65</v>
      </c>
      <c r="P43" t="s">
        <v>67</v>
      </c>
      <c r="Q43">
        <v>1.0000000001675339E-7</v>
      </c>
      <c r="R43">
        <f t="shared" si="3"/>
        <v>5.0000000000000002E-5</v>
      </c>
      <c r="U43">
        <v>2.000000000167534E-7</v>
      </c>
      <c r="V43">
        <v>2.000000000167534E-7</v>
      </c>
      <c r="Y43">
        <v>4.9954499999999999E-2</v>
      </c>
      <c r="AC43" t="str">
        <f>AB41 &amp; " ± " &amp; AC38</f>
        <v>0,049990411 ± 5,19436861159832E-05</v>
      </c>
      <c r="AH43" t="s">
        <v>73</v>
      </c>
    </row>
    <row r="44" spans="1:66" x14ac:dyDescent="0.25">
      <c r="A44" s="1" t="s">
        <v>116</v>
      </c>
      <c r="B44">
        <v>1.12307E-2</v>
      </c>
      <c r="C44">
        <v>3.6333799999999999E-2</v>
      </c>
      <c r="D44">
        <v>6.1237399999999997E-2</v>
      </c>
      <c r="E44" t="s">
        <v>65</v>
      </c>
      <c r="F44" t="s">
        <v>65</v>
      </c>
      <c r="G44" t="s">
        <v>65</v>
      </c>
      <c r="H44" t="s">
        <v>65</v>
      </c>
      <c r="I44" t="s">
        <v>65</v>
      </c>
      <c r="J44" t="s">
        <v>66</v>
      </c>
      <c r="K44">
        <v>5.0006700000000001E-2</v>
      </c>
      <c r="L44" t="s">
        <v>65</v>
      </c>
      <c r="M44" t="s">
        <v>65</v>
      </c>
      <c r="N44" t="s">
        <v>65</v>
      </c>
      <c r="O44" t="s">
        <v>65</v>
      </c>
      <c r="P44" t="s">
        <v>67</v>
      </c>
      <c r="Q44">
        <v>1.0000000001675339E-7</v>
      </c>
      <c r="R44">
        <f t="shared" si="3"/>
        <v>5.0000000000000002E-5</v>
      </c>
      <c r="U44">
        <v>2.000000000167534E-7</v>
      </c>
      <c r="V44">
        <v>2.000000000167534E-7</v>
      </c>
      <c r="Y44">
        <v>5.0006700000000001E-2</v>
      </c>
      <c r="AN44">
        <v>-2.1805000000000001E-3</v>
      </c>
      <c r="AO44">
        <v>-2.1696000000000011E-3</v>
      </c>
      <c r="AP44">
        <v>-2.2527999999999988E-3</v>
      </c>
      <c r="AX44" t="s">
        <v>82</v>
      </c>
      <c r="AY44">
        <f>+(AS38/AB41)*2*PI()</f>
        <v>-0.27161864849566653</v>
      </c>
      <c r="AZ44">
        <f>+(AS38/AB41)*360</f>
        <v>-15.56260219584912</v>
      </c>
    </row>
    <row r="45" spans="1:66" x14ac:dyDescent="0.25">
      <c r="A45" s="1" t="s">
        <v>117</v>
      </c>
      <c r="B45">
        <v>1.34112E-2</v>
      </c>
      <c r="C45">
        <v>3.85034E-2</v>
      </c>
      <c r="D45">
        <v>6.3490199999999997E-2</v>
      </c>
      <c r="E45" t="s">
        <v>65</v>
      </c>
      <c r="F45" t="s">
        <v>65</v>
      </c>
      <c r="G45" t="s">
        <v>65</v>
      </c>
      <c r="H45" t="s">
        <v>65</v>
      </c>
      <c r="I45" t="s">
        <v>65</v>
      </c>
      <c r="J45" t="s">
        <v>66</v>
      </c>
      <c r="K45">
        <v>5.0078999999999999E-2</v>
      </c>
      <c r="L45" t="s">
        <v>65</v>
      </c>
      <c r="M45" t="s">
        <v>65</v>
      </c>
      <c r="N45" t="s">
        <v>65</v>
      </c>
      <c r="O45" t="s">
        <v>65</v>
      </c>
      <c r="P45" t="s">
        <v>67</v>
      </c>
      <c r="Q45">
        <v>1.0000000001675339E-7</v>
      </c>
      <c r="R45">
        <f t="shared" si="3"/>
        <v>5.0000000000000002E-5</v>
      </c>
      <c r="U45">
        <v>2.000000000167534E-7</v>
      </c>
      <c r="V45">
        <v>2.000000000167534E-7</v>
      </c>
      <c r="Y45">
        <v>5.0078999999999999E-2</v>
      </c>
      <c r="AA45" s="2"/>
      <c r="AC45" s="2"/>
    </row>
    <row r="46" spans="1:66" x14ac:dyDescent="0.25">
      <c r="A46" s="1" t="s">
        <v>118</v>
      </c>
      <c r="B46">
        <v>1.0708499999999999E-2</v>
      </c>
      <c r="C46">
        <v>3.5723199999999997E-2</v>
      </c>
      <c r="D46">
        <v>6.0657599999999999E-2</v>
      </c>
      <c r="E46" t="s">
        <v>65</v>
      </c>
      <c r="F46" t="s">
        <v>65</v>
      </c>
      <c r="G46" t="s">
        <v>65</v>
      </c>
      <c r="H46" t="s">
        <v>65</v>
      </c>
      <c r="I46" t="s">
        <v>65</v>
      </c>
      <c r="J46" t="s">
        <v>66</v>
      </c>
      <c r="K46">
        <v>4.9949100000000003E-2</v>
      </c>
      <c r="L46" t="s">
        <v>65</v>
      </c>
      <c r="M46" t="s">
        <v>65</v>
      </c>
      <c r="N46" t="s">
        <v>65</v>
      </c>
      <c r="O46" t="s">
        <v>65</v>
      </c>
      <c r="P46" t="s">
        <v>67</v>
      </c>
      <c r="Q46">
        <v>1.0000000001675339E-7</v>
      </c>
      <c r="R46">
        <f t="shared" si="3"/>
        <v>5.0000000000000002E-5</v>
      </c>
      <c r="U46">
        <v>2.000000000167534E-7</v>
      </c>
      <c r="V46">
        <v>2.000000000167534E-7</v>
      </c>
      <c r="Y46">
        <v>4.9949100000000003E-2</v>
      </c>
      <c r="AC46" s="2"/>
      <c r="AG46" t="s">
        <v>79</v>
      </c>
      <c r="AH46">
        <f>1/AB41</f>
        <v>20.003836335732469</v>
      </c>
      <c r="AN46">
        <v>-2.0934E-3</v>
      </c>
      <c r="AO46">
        <v>-2.015400000000001E-3</v>
      </c>
      <c r="AP46">
        <v>-1.995799999999999E-3</v>
      </c>
      <c r="AY46">
        <f>+SQRT((AW39^2)+(AW38^2))</f>
        <v>0.36043198326595938</v>
      </c>
    </row>
    <row r="47" spans="1:66" x14ac:dyDescent="0.25">
      <c r="A47" s="1" t="s">
        <v>119</v>
      </c>
      <c r="B47">
        <v>1.28019E-2</v>
      </c>
      <c r="C47">
        <v>3.7738599999999997E-2</v>
      </c>
      <c r="D47">
        <v>6.2653399999999998E-2</v>
      </c>
      <c r="E47" t="s">
        <v>65</v>
      </c>
      <c r="F47" t="s">
        <v>65</v>
      </c>
      <c r="G47" t="s">
        <v>65</v>
      </c>
      <c r="H47" t="s">
        <v>65</v>
      </c>
      <c r="I47" t="s">
        <v>65</v>
      </c>
      <c r="J47" t="s">
        <v>66</v>
      </c>
      <c r="K47">
        <v>4.98515E-2</v>
      </c>
      <c r="L47" t="s">
        <v>65</v>
      </c>
      <c r="M47" t="s">
        <v>65</v>
      </c>
      <c r="N47" t="s">
        <v>65</v>
      </c>
      <c r="O47" t="s">
        <v>65</v>
      </c>
      <c r="P47" t="s">
        <v>67</v>
      </c>
      <c r="Q47">
        <v>1.0000000001675339E-7</v>
      </c>
      <c r="R47">
        <f t="shared" si="3"/>
        <v>5.0000000000000002E-5</v>
      </c>
      <c r="U47">
        <v>2.000000000167534E-7</v>
      </c>
      <c r="V47">
        <v>2.000000000167534E-7</v>
      </c>
      <c r="Y47">
        <v>4.98515E-2</v>
      </c>
      <c r="BA47" t="s">
        <v>82</v>
      </c>
    </row>
    <row r="48" spans="1:66" x14ac:dyDescent="0.25">
      <c r="A48" s="1" t="s">
        <v>120</v>
      </c>
      <c r="B48">
        <v>-3.63584E-3</v>
      </c>
      <c r="C48">
        <v>2.14349E-2</v>
      </c>
      <c r="D48">
        <v>4.6409600000000002E-2</v>
      </c>
      <c r="E48" t="s">
        <v>65</v>
      </c>
      <c r="F48" t="s">
        <v>65</v>
      </c>
      <c r="G48" t="s">
        <v>65</v>
      </c>
      <c r="H48" t="s">
        <v>65</v>
      </c>
      <c r="I48" t="s">
        <v>65</v>
      </c>
      <c r="J48" t="s">
        <v>66</v>
      </c>
      <c r="K48">
        <v>5.0045439999999997E-2</v>
      </c>
      <c r="L48" t="s">
        <v>65</v>
      </c>
      <c r="M48" t="s">
        <v>65</v>
      </c>
      <c r="N48" t="s">
        <v>65</v>
      </c>
      <c r="O48" t="s">
        <v>65</v>
      </c>
      <c r="P48" t="s">
        <v>67</v>
      </c>
      <c r="Q48">
        <v>1.000000000098145E-7</v>
      </c>
      <c r="R48">
        <f t="shared" si="3"/>
        <v>5.0000000000000002E-5</v>
      </c>
      <c r="U48">
        <v>2.0000000000981451E-7</v>
      </c>
      <c r="V48">
        <v>2.0000000000981451E-7</v>
      </c>
      <c r="Y48">
        <v>5.0045439999999997E-2</v>
      </c>
      <c r="AG48" t="s">
        <v>176</v>
      </c>
      <c r="AH48">
        <f>+(1/(AB41^2))</f>
        <v>400.15346814677054</v>
      </c>
      <c r="AI48">
        <f>+AH48*AC38</f>
        <v>2.0785446147637922E-2</v>
      </c>
      <c r="AN48">
        <v>-2.22368E-3</v>
      </c>
      <c r="AO48">
        <v>-2.133400000000001E-3</v>
      </c>
      <c r="AP48">
        <v>-2.2396999999999968E-3</v>
      </c>
      <c r="AY48">
        <f>+AY46*(PI()/180)</f>
        <v>6.2907248374840961E-3</v>
      </c>
      <c r="BM48" t="str">
        <f>BH52&amp;" ± "&amp; BN53</f>
        <v>0,00221581986480345 ± 5,51427115927959E-05</v>
      </c>
    </row>
    <row r="49" spans="1:66" x14ac:dyDescent="0.25">
      <c r="A49" s="1" t="s">
        <v>121</v>
      </c>
      <c r="B49">
        <v>-1.41216E-3</v>
      </c>
      <c r="C49">
        <v>2.35683E-2</v>
      </c>
      <c r="D49">
        <v>4.8649299999999999E-2</v>
      </c>
      <c r="E49" t="s">
        <v>65</v>
      </c>
      <c r="F49" t="s">
        <v>65</v>
      </c>
      <c r="G49" t="s">
        <v>65</v>
      </c>
      <c r="H49" t="s">
        <v>65</v>
      </c>
      <c r="I49" t="s">
        <v>65</v>
      </c>
      <c r="J49" t="s">
        <v>66</v>
      </c>
      <c r="K49">
        <v>5.0061460000000002E-2</v>
      </c>
      <c r="L49" t="s">
        <v>65</v>
      </c>
      <c r="M49" t="s">
        <v>65</v>
      </c>
      <c r="N49" t="s">
        <v>65</v>
      </c>
      <c r="O49" t="s">
        <v>65</v>
      </c>
      <c r="P49" t="s">
        <v>67</v>
      </c>
      <c r="Q49">
        <v>1.000000000098145E-7</v>
      </c>
      <c r="R49">
        <f t="shared" si="3"/>
        <v>5.0000000000000002E-5</v>
      </c>
      <c r="U49">
        <v>2.0000000000981451E-7</v>
      </c>
      <c r="V49">
        <v>2.0000000000981451E-7</v>
      </c>
      <c r="Y49">
        <v>5.0061460000000002E-2</v>
      </c>
      <c r="AJ49" t="str">
        <f>AH46 &amp; " ± " &amp; AI48</f>
        <v>20,0038363357325 ± 0,0207854461476379</v>
      </c>
      <c r="BB49" t="str">
        <f>AZ44 &amp; " ± " &amp; AY46</f>
        <v>-15,5626021958491 ± 0,360431983265959</v>
      </c>
    </row>
    <row r="50" spans="1:66" x14ac:dyDescent="0.25">
      <c r="A50" s="1" t="s">
        <v>122</v>
      </c>
      <c r="B50">
        <v>3.8080000000000001E-5</v>
      </c>
      <c r="C50">
        <v>2.5068799999999999E-2</v>
      </c>
      <c r="D50">
        <v>5.0039399999999998E-2</v>
      </c>
      <c r="E50" t="s">
        <v>65</v>
      </c>
      <c r="F50" t="s">
        <v>65</v>
      </c>
      <c r="G50" t="s">
        <v>65</v>
      </c>
      <c r="H50" t="s">
        <v>65</v>
      </c>
      <c r="I50" t="s">
        <v>65</v>
      </c>
      <c r="J50" t="s">
        <v>66</v>
      </c>
      <c r="K50">
        <v>5.0001319999999988E-2</v>
      </c>
      <c r="L50" t="s">
        <v>65</v>
      </c>
      <c r="M50" t="s">
        <v>65</v>
      </c>
      <c r="N50" t="s">
        <v>65</v>
      </c>
      <c r="O50" t="s">
        <v>65</v>
      </c>
      <c r="P50" t="s">
        <v>67</v>
      </c>
      <c r="Q50">
        <v>1.000000000098145E-7</v>
      </c>
      <c r="R50">
        <f t="shared" si="3"/>
        <v>5.0000000000000002E-5</v>
      </c>
      <c r="U50">
        <v>2.0000000000981451E-7</v>
      </c>
      <c r="V50">
        <v>2.0000000000981451E-7</v>
      </c>
      <c r="Y50">
        <v>5.0001319999999988E-2</v>
      </c>
      <c r="AN50">
        <v>-2.2742399999999999E-3</v>
      </c>
      <c r="AO50">
        <v>-2.1110000000000022E-3</v>
      </c>
      <c r="AP50">
        <v>-2.211200000000003E-3</v>
      </c>
    </row>
    <row r="51" spans="1:66" x14ac:dyDescent="0.25">
      <c r="A51" s="1" t="s">
        <v>123</v>
      </c>
      <c r="B51">
        <v>2.3123200000000001E-3</v>
      </c>
      <c r="C51">
        <v>2.71798E-2</v>
      </c>
      <c r="D51">
        <v>5.2250600000000001E-2</v>
      </c>
      <c r="E51" t="s">
        <v>65</v>
      </c>
      <c r="F51" t="s">
        <v>65</v>
      </c>
      <c r="G51" t="s">
        <v>65</v>
      </c>
      <c r="H51" t="s">
        <v>65</v>
      </c>
      <c r="I51" t="s">
        <v>65</v>
      </c>
      <c r="J51" t="s">
        <v>66</v>
      </c>
      <c r="K51">
        <v>4.9938280000000002E-2</v>
      </c>
      <c r="L51" t="s">
        <v>65</v>
      </c>
      <c r="M51" t="s">
        <v>65</v>
      </c>
      <c r="N51" t="s">
        <v>65</v>
      </c>
      <c r="O51" t="s">
        <v>65</v>
      </c>
      <c r="P51" t="s">
        <v>67</v>
      </c>
      <c r="Q51">
        <v>1.000000000098145E-7</v>
      </c>
      <c r="R51">
        <f t="shared" si="3"/>
        <v>5.0000000000000002E-5</v>
      </c>
      <c r="U51">
        <v>2.0000000000981451E-7</v>
      </c>
      <c r="V51">
        <v>2.0000000000981451E-7</v>
      </c>
      <c r="Y51">
        <v>4.9938280000000002E-2</v>
      </c>
    </row>
    <row r="52" spans="1:66" x14ac:dyDescent="0.25">
      <c r="A52" s="1" t="s">
        <v>124</v>
      </c>
      <c r="B52">
        <v>4.7302400000000001E-3</v>
      </c>
      <c r="C52">
        <v>2.9660200000000001E-2</v>
      </c>
      <c r="D52">
        <v>5.4722899999999998E-2</v>
      </c>
      <c r="E52" t="s">
        <v>65</v>
      </c>
      <c r="F52" t="s">
        <v>65</v>
      </c>
      <c r="G52" t="s">
        <v>65</v>
      </c>
      <c r="H52" t="s">
        <v>65</v>
      </c>
      <c r="I52" t="s">
        <v>65</v>
      </c>
      <c r="J52" t="s">
        <v>66</v>
      </c>
      <c r="K52">
        <v>4.9992659999999987E-2</v>
      </c>
      <c r="L52" t="s">
        <v>65</v>
      </c>
      <c r="M52" t="s">
        <v>65</v>
      </c>
      <c r="N52" t="s">
        <v>65</v>
      </c>
      <c r="O52" t="s">
        <v>65</v>
      </c>
      <c r="P52" t="s">
        <v>67</v>
      </c>
      <c r="Q52">
        <v>1.000000000098145E-7</v>
      </c>
      <c r="R52">
        <f t="shared" si="3"/>
        <v>5.0000000000000002E-5</v>
      </c>
      <c r="U52">
        <v>2.0000000000981451E-7</v>
      </c>
      <c r="V52">
        <v>2.0000000000981451E-7</v>
      </c>
      <c r="Y52">
        <v>4.9992659999999987E-2</v>
      </c>
      <c r="AN52">
        <v>-2.2147199999999999E-3</v>
      </c>
      <c r="AO52">
        <v>-2.1170999999999998E-3</v>
      </c>
      <c r="AP52">
        <v>-2.1888000000000051E-3</v>
      </c>
      <c r="BG52" t="s">
        <v>179</v>
      </c>
      <c r="BH52" s="13">
        <f>+ABS(TAN(AY44)/(2*PI()*AH46))</f>
        <v>2.2158198648034493E-3</v>
      </c>
      <c r="BJ52" t="s">
        <v>180</v>
      </c>
      <c r="BK52">
        <f>+(1/((COS(AZ44*(PI()/180))^2))*(1/(2*PI()*AH46)))</f>
        <v>8.5733302789186457E-3</v>
      </c>
      <c r="BL52">
        <f>+BK52*AY48</f>
        <v>5.3932461725547978E-5</v>
      </c>
    </row>
    <row r="53" spans="1:66" x14ac:dyDescent="0.25">
      <c r="A53" s="1" t="s">
        <v>125</v>
      </c>
      <c r="B53">
        <v>6.94496E-3</v>
      </c>
      <c r="C53">
        <v>3.1777300000000001E-2</v>
      </c>
      <c r="D53">
        <v>5.6911700000000003E-2</v>
      </c>
      <c r="E53" t="s">
        <v>65</v>
      </c>
      <c r="F53" t="s">
        <v>65</v>
      </c>
      <c r="G53" t="s">
        <v>65</v>
      </c>
      <c r="H53" t="s">
        <v>65</v>
      </c>
      <c r="I53" t="s">
        <v>65</v>
      </c>
      <c r="J53" t="s">
        <v>66</v>
      </c>
      <c r="K53">
        <v>4.9966740000000003E-2</v>
      </c>
      <c r="L53" t="s">
        <v>65</v>
      </c>
      <c r="M53" t="s">
        <v>65</v>
      </c>
      <c r="N53" t="s">
        <v>65</v>
      </c>
      <c r="O53" t="s">
        <v>65</v>
      </c>
      <c r="P53" t="s">
        <v>67</v>
      </c>
      <c r="Q53">
        <v>1.000000000098145E-7</v>
      </c>
      <c r="R53">
        <f t="shared" si="3"/>
        <v>5.0000000000000002E-5</v>
      </c>
      <c r="U53">
        <v>2.0000000000981451E-7</v>
      </c>
      <c r="V53">
        <v>2.0000000000981451E-7</v>
      </c>
      <c r="Y53">
        <v>4.9966740000000003E-2</v>
      </c>
      <c r="BJ53" t="s">
        <v>181</v>
      </c>
      <c r="BK53">
        <f>+(TAN(AZ44))/(2*PI()*(AH46^2))</f>
        <v>5.8225830643785897E-5</v>
      </c>
      <c r="BL53">
        <f>+BK53*AI48</f>
        <v>1.2102498672478976E-6</v>
      </c>
      <c r="BN53">
        <f>+BL53+BL52</f>
        <v>5.5142711592795872E-5</v>
      </c>
    </row>
    <row r="54" spans="1:66" x14ac:dyDescent="0.25">
      <c r="A54" s="1" t="s">
        <v>126</v>
      </c>
      <c r="B54">
        <v>-1.7321599999999999E-3</v>
      </c>
      <c r="C54">
        <v>2.3224999999999999E-2</v>
      </c>
      <c r="D54">
        <v>4.8266200000000002E-2</v>
      </c>
      <c r="E54" t="s">
        <v>65</v>
      </c>
      <c r="F54" t="s">
        <v>65</v>
      </c>
      <c r="G54" t="s">
        <v>65</v>
      </c>
      <c r="H54" t="s">
        <v>65</v>
      </c>
      <c r="I54" t="s">
        <v>65</v>
      </c>
      <c r="J54" t="s">
        <v>66</v>
      </c>
      <c r="K54">
        <v>4.9998360000000013E-2</v>
      </c>
      <c r="L54" t="s">
        <v>65</v>
      </c>
      <c r="M54" t="s">
        <v>65</v>
      </c>
      <c r="N54" t="s">
        <v>65</v>
      </c>
      <c r="O54" t="s">
        <v>65</v>
      </c>
      <c r="P54" t="s">
        <v>67</v>
      </c>
      <c r="Q54">
        <v>1.000000000098145E-7</v>
      </c>
      <c r="R54">
        <f t="shared" si="3"/>
        <v>5.0000000000000002E-5</v>
      </c>
      <c r="U54">
        <v>2.0000000000981451E-7</v>
      </c>
      <c r="V54">
        <v>2.0000000000981451E-7</v>
      </c>
      <c r="Y54">
        <v>4.9998360000000013E-2</v>
      </c>
      <c r="AN54">
        <v>-2.0876800000000002E-3</v>
      </c>
      <c r="AO54">
        <v>-2.163200000000001E-3</v>
      </c>
      <c r="AP54">
        <v>-2.1817999999999981E-3</v>
      </c>
    </row>
    <row r="55" spans="1:66" x14ac:dyDescent="0.25">
      <c r="A55" s="1" t="s">
        <v>127</v>
      </c>
      <c r="B55">
        <v>3.5552000000000001E-4</v>
      </c>
      <c r="C55">
        <v>2.53882E-2</v>
      </c>
      <c r="D55">
        <v>5.0448E-2</v>
      </c>
      <c r="E55" t="s">
        <v>65</v>
      </c>
      <c r="F55" t="s">
        <v>65</v>
      </c>
      <c r="G55" t="s">
        <v>65</v>
      </c>
      <c r="H55" t="s">
        <v>65</v>
      </c>
      <c r="I55" t="s">
        <v>65</v>
      </c>
      <c r="J55" t="s">
        <v>66</v>
      </c>
      <c r="K55">
        <v>5.0092480000000002E-2</v>
      </c>
      <c r="L55" t="s">
        <v>65</v>
      </c>
      <c r="M55" t="s">
        <v>65</v>
      </c>
      <c r="N55" t="s">
        <v>65</v>
      </c>
      <c r="O55" t="s">
        <v>65</v>
      </c>
      <c r="P55" t="s">
        <v>67</v>
      </c>
      <c r="Q55">
        <v>1.000000000098145E-7</v>
      </c>
      <c r="R55">
        <f t="shared" si="3"/>
        <v>5.0000000000000002E-5</v>
      </c>
      <c r="U55">
        <v>2.0000000000981451E-7</v>
      </c>
      <c r="V55">
        <v>2.0000000000981451E-7</v>
      </c>
      <c r="Y55">
        <v>5.0092480000000002E-2</v>
      </c>
      <c r="BM55">
        <f>+BH52+(2.04*BN53)</f>
        <v>2.3283109964527529E-3</v>
      </c>
    </row>
    <row r="56" spans="1:66" x14ac:dyDescent="0.25">
      <c r="A56" s="1" t="s">
        <v>128</v>
      </c>
      <c r="B56">
        <v>-1.38944E-3</v>
      </c>
      <c r="C56">
        <v>2.3610200000000001E-2</v>
      </c>
      <c r="D56">
        <v>4.8611799999999997E-2</v>
      </c>
      <c r="E56" t="s">
        <v>65</v>
      </c>
      <c r="F56" t="s">
        <v>65</v>
      </c>
      <c r="G56" t="s">
        <v>65</v>
      </c>
      <c r="H56" t="s">
        <v>65</v>
      </c>
      <c r="I56" t="s">
        <v>65</v>
      </c>
      <c r="J56" t="s">
        <v>66</v>
      </c>
      <c r="K56">
        <v>5.0001240000000002E-2</v>
      </c>
      <c r="L56" t="s">
        <v>65</v>
      </c>
      <c r="M56" t="s">
        <v>65</v>
      </c>
      <c r="N56" t="s">
        <v>65</v>
      </c>
      <c r="O56" t="s">
        <v>65</v>
      </c>
      <c r="P56" t="s">
        <v>67</v>
      </c>
      <c r="Q56">
        <v>1.000000000098145E-7</v>
      </c>
      <c r="R56">
        <f t="shared" si="3"/>
        <v>5.0000000000000002E-5</v>
      </c>
      <c r="U56">
        <v>2.0000000000981451E-7</v>
      </c>
      <c r="V56">
        <v>2.0000000000981451E-7</v>
      </c>
      <c r="Y56">
        <v>5.0001240000000002E-2</v>
      </c>
      <c r="AN56">
        <v>-2.1593599999999999E-3</v>
      </c>
      <c r="AO56">
        <v>-2.217299999999998E-3</v>
      </c>
      <c r="AP56">
        <v>-2.1722000000000061E-3</v>
      </c>
    </row>
    <row r="57" spans="1:66" x14ac:dyDescent="0.25">
      <c r="A57" s="1" t="s">
        <v>129</v>
      </c>
      <c r="B57">
        <v>7.6992E-4</v>
      </c>
      <c r="C57">
        <v>2.58275E-2</v>
      </c>
      <c r="D57">
        <v>5.0784000000000003E-2</v>
      </c>
      <c r="E57" t="s">
        <v>65</v>
      </c>
      <c r="F57" t="s">
        <v>65</v>
      </c>
      <c r="G57" t="s">
        <v>65</v>
      </c>
      <c r="H57" t="s">
        <v>65</v>
      </c>
      <c r="I57" t="s">
        <v>65</v>
      </c>
      <c r="J57" t="s">
        <v>66</v>
      </c>
      <c r="K57">
        <v>5.0014080000000002E-2</v>
      </c>
      <c r="L57" t="s">
        <v>65</v>
      </c>
      <c r="M57" t="s">
        <v>65</v>
      </c>
      <c r="N57" t="s">
        <v>65</v>
      </c>
      <c r="O57" t="s">
        <v>65</v>
      </c>
      <c r="P57" t="s">
        <v>67</v>
      </c>
      <c r="Q57">
        <v>1.000000000098145E-7</v>
      </c>
      <c r="R57">
        <f t="shared" si="3"/>
        <v>5.0000000000000002E-5</v>
      </c>
      <c r="U57">
        <v>2.0000000000981451E-7</v>
      </c>
      <c r="V57">
        <v>2.0000000000981451E-7</v>
      </c>
      <c r="Y57">
        <v>5.0014080000000002E-2</v>
      </c>
    </row>
    <row r="58" spans="1:66" x14ac:dyDescent="0.25">
      <c r="A58" s="1" t="s">
        <v>130</v>
      </c>
      <c r="B58">
        <v>1.54203E-2</v>
      </c>
      <c r="C58">
        <v>2.54402E-2</v>
      </c>
      <c r="D58">
        <v>3.54405E-2</v>
      </c>
      <c r="E58" t="s">
        <v>65</v>
      </c>
      <c r="F58" t="s">
        <v>65</v>
      </c>
      <c r="G58" t="s">
        <v>65</v>
      </c>
      <c r="H58" t="s">
        <v>65</v>
      </c>
      <c r="I58" t="s">
        <v>65</v>
      </c>
      <c r="J58" t="s">
        <v>66</v>
      </c>
      <c r="K58">
        <v>2.0020199999999998E-2</v>
      </c>
      <c r="L58" t="s">
        <v>65</v>
      </c>
      <c r="M58" t="s">
        <v>65</v>
      </c>
      <c r="N58" t="s">
        <v>65</v>
      </c>
      <c r="O58" t="s">
        <v>65</v>
      </c>
      <c r="P58" t="s">
        <v>67</v>
      </c>
      <c r="Q58">
        <v>1.000000000098145E-7</v>
      </c>
      <c r="R58">
        <f>2.5*0.0001*0.04*2</f>
        <v>2.0000000000000002E-5</v>
      </c>
      <c r="U58">
        <v>2.0000000000981451E-7</v>
      </c>
      <c r="V58">
        <v>2.0000000000981451E-7</v>
      </c>
      <c r="X58">
        <v>2.0020199999999998E-2</v>
      </c>
      <c r="AA58" s="2">
        <f>+_xlfn.STDEV.S(X58:Y77)/SQRT(29)</f>
        <v>3.3447565733155635E-6</v>
      </c>
      <c r="AC58">
        <f>+SQRT((AA58^2)+(R58^2))</f>
        <v>2.027775620069286E-5</v>
      </c>
      <c r="AN58">
        <v>-2.035400000000001E-3</v>
      </c>
      <c r="AO58">
        <v>-2.043200000000002E-3</v>
      </c>
      <c r="AP58">
        <v>-2.0432999999999979E-3</v>
      </c>
      <c r="AS58">
        <f>+AVERAGE(AN58:AP76)</f>
        <v>-2.0413479999999997E-3</v>
      </c>
      <c r="AU58" t="s">
        <v>177</v>
      </c>
      <c r="AV58">
        <f>360*(AS58/(AB61^2))</f>
        <v>-1834.0204895838008</v>
      </c>
      <c r="AW58">
        <f>+AV58*AC58</f>
        <v>-3.7189820354855671E-2</v>
      </c>
    </row>
    <row r="59" spans="1:66" x14ac:dyDescent="0.25">
      <c r="A59" s="1" t="s">
        <v>131</v>
      </c>
      <c r="B59">
        <v>1.7455700000000001E-2</v>
      </c>
      <c r="C59">
        <v>2.7483400000000002E-2</v>
      </c>
      <c r="D59">
        <v>3.7483799999999998E-2</v>
      </c>
      <c r="E59" t="s">
        <v>65</v>
      </c>
      <c r="F59" t="s">
        <v>65</v>
      </c>
      <c r="G59" t="s">
        <v>65</v>
      </c>
      <c r="H59" t="s">
        <v>65</v>
      </c>
      <c r="I59" t="s">
        <v>65</v>
      </c>
      <c r="J59" t="s">
        <v>66</v>
      </c>
      <c r="K59">
        <v>2.00281E-2</v>
      </c>
      <c r="L59" t="s">
        <v>65</v>
      </c>
      <c r="M59" t="s">
        <v>65</v>
      </c>
      <c r="N59" t="s">
        <v>65</v>
      </c>
      <c r="O59" t="s">
        <v>65</v>
      </c>
      <c r="P59" t="s">
        <v>67</v>
      </c>
      <c r="Q59">
        <v>1.000000000098145E-7</v>
      </c>
      <c r="R59">
        <f t="shared" ref="R59:R77" si="4">2.5*0.0001*0.04*2</f>
        <v>2.0000000000000002E-5</v>
      </c>
      <c r="U59">
        <v>2.0000000000981451E-7</v>
      </c>
      <c r="V59">
        <v>2.0000000000981451E-7</v>
      </c>
      <c r="X59">
        <v>2.00281E-2</v>
      </c>
      <c r="Y59" t="s">
        <v>65</v>
      </c>
      <c r="AA59" s="2">
        <f>1.96*AA58</f>
        <v>6.5557228836985039E-6</v>
      </c>
      <c r="AU59" t="s">
        <v>178</v>
      </c>
      <c r="AV59">
        <f>360*(1/AB61)</f>
        <v>17984.352992746208</v>
      </c>
      <c r="AW59">
        <f>+AV59*AW61</f>
        <v>0.36504240985109698</v>
      </c>
    </row>
    <row r="60" spans="1:66" x14ac:dyDescent="0.25">
      <c r="A60" s="1" t="s">
        <v>132</v>
      </c>
      <c r="B60">
        <v>8.5667199999999999E-3</v>
      </c>
      <c r="C60">
        <v>1.8567699999999999E-2</v>
      </c>
      <c r="D60">
        <v>2.8567700000000001E-2</v>
      </c>
      <c r="E60">
        <v>3.8567999999999998E-2</v>
      </c>
      <c r="F60" t="s">
        <v>65</v>
      </c>
      <c r="G60" t="s">
        <v>65</v>
      </c>
      <c r="H60" t="s">
        <v>65</v>
      </c>
      <c r="I60" t="s">
        <v>65</v>
      </c>
      <c r="J60" t="s">
        <v>66</v>
      </c>
      <c r="K60">
        <v>2.0000980000000002E-2</v>
      </c>
      <c r="L60">
        <v>2.0000299999999999E-2</v>
      </c>
      <c r="M60" t="s">
        <v>65</v>
      </c>
      <c r="N60" t="s">
        <v>65</v>
      </c>
      <c r="O60" t="s">
        <v>65</v>
      </c>
      <c r="P60" t="s">
        <v>67</v>
      </c>
      <c r="Q60">
        <v>1.000000000098145E-7</v>
      </c>
      <c r="R60">
        <f t="shared" si="4"/>
        <v>2.0000000000000002E-5</v>
      </c>
      <c r="U60">
        <v>2.0000000000981451E-7</v>
      </c>
      <c r="V60">
        <v>2.0000000000981451E-7</v>
      </c>
      <c r="X60">
        <v>2.0000980000000002E-2</v>
      </c>
      <c r="Y60">
        <v>2.0000299999999999E-2</v>
      </c>
      <c r="AN60">
        <v>-2.01308E-3</v>
      </c>
      <c r="AO60">
        <v>-2.0293000000000008E-3</v>
      </c>
      <c r="AP60">
        <v>-2.0322999999999969E-3</v>
      </c>
    </row>
    <row r="61" spans="1:66" x14ac:dyDescent="0.25">
      <c r="A61" s="1" t="s">
        <v>133</v>
      </c>
      <c r="B61">
        <v>1.05798E-2</v>
      </c>
      <c r="C61">
        <v>2.0597000000000001E-2</v>
      </c>
      <c r="D61">
        <v>3.0599999999999999E-2</v>
      </c>
      <c r="E61" t="s">
        <v>65</v>
      </c>
      <c r="F61" t="s">
        <v>65</v>
      </c>
      <c r="G61" t="s">
        <v>65</v>
      </c>
      <c r="H61" t="s">
        <v>65</v>
      </c>
      <c r="I61" t="s">
        <v>65</v>
      </c>
      <c r="J61" t="s">
        <v>66</v>
      </c>
      <c r="K61">
        <v>2.0020199999999998E-2</v>
      </c>
      <c r="L61" t="s">
        <v>65</v>
      </c>
      <c r="M61" t="s">
        <v>65</v>
      </c>
      <c r="N61" t="s">
        <v>65</v>
      </c>
      <c r="O61" t="s">
        <v>65</v>
      </c>
      <c r="P61" t="s">
        <v>67</v>
      </c>
      <c r="Q61">
        <v>1.000000000098145E-7</v>
      </c>
      <c r="R61">
        <f t="shared" si="4"/>
        <v>2.0000000000000002E-5</v>
      </c>
      <c r="U61">
        <v>2.0000000000981451E-7</v>
      </c>
      <c r="V61">
        <v>2.0000000000981451E-7</v>
      </c>
      <c r="X61">
        <v>2.0020199999999998E-2</v>
      </c>
      <c r="Y61" t="s">
        <v>65</v>
      </c>
      <c r="AA61" t="s">
        <v>95</v>
      </c>
      <c r="AB61">
        <f>+AVERAGE(X58:Y77)</f>
        <v>2.0017400689655171E-2</v>
      </c>
      <c r="AS61">
        <f>+_xlfn.STDEV.S(AN58:AP76)/SQRT(30)</f>
        <v>3.4640732916777625E-6</v>
      </c>
      <c r="AW61">
        <f>+SQRT((AS61^2)+(R58^2))</f>
        <v>2.0297778296407596E-5</v>
      </c>
    </row>
    <row r="62" spans="1:66" x14ac:dyDescent="0.25">
      <c r="A62" s="1" t="s">
        <v>134</v>
      </c>
      <c r="B62">
        <v>9.8089600000000002E-3</v>
      </c>
      <c r="C62">
        <v>1.9809400000000001E-2</v>
      </c>
      <c r="D62">
        <v>2.9809800000000001E-2</v>
      </c>
      <c r="E62" t="s">
        <v>65</v>
      </c>
      <c r="F62" t="s">
        <v>65</v>
      </c>
      <c r="G62" t="s">
        <v>65</v>
      </c>
      <c r="H62" t="s">
        <v>65</v>
      </c>
      <c r="I62" t="s">
        <v>65</v>
      </c>
      <c r="J62" t="s">
        <v>66</v>
      </c>
      <c r="K62">
        <v>2.0000839999999999E-2</v>
      </c>
      <c r="L62" t="s">
        <v>65</v>
      </c>
      <c r="M62" t="s">
        <v>65</v>
      </c>
      <c r="N62" t="s">
        <v>65</v>
      </c>
      <c r="O62" t="s">
        <v>65</v>
      </c>
      <c r="P62" t="s">
        <v>67</v>
      </c>
      <c r="Q62">
        <v>1.000000000098145E-7</v>
      </c>
      <c r="R62">
        <f t="shared" si="4"/>
        <v>2.0000000000000002E-5</v>
      </c>
      <c r="U62">
        <v>2.0000000000981451E-7</v>
      </c>
      <c r="V62">
        <v>2.0000000000981451E-7</v>
      </c>
      <c r="X62">
        <v>2.0000839999999999E-2</v>
      </c>
      <c r="Y62" t="s">
        <v>65</v>
      </c>
      <c r="AN62">
        <v>-2.0520400000000002E-3</v>
      </c>
      <c r="AO62">
        <v>-2.052799999999997E-3</v>
      </c>
      <c r="AP62">
        <v>-2.052799999999997E-3</v>
      </c>
    </row>
    <row r="63" spans="1:66" x14ac:dyDescent="0.25">
      <c r="A63" s="1" t="s">
        <v>135</v>
      </c>
      <c r="B63">
        <v>1.8540799999999999E-3</v>
      </c>
      <c r="C63">
        <v>1.1861E-2</v>
      </c>
      <c r="D63">
        <v>2.1862199999999998E-2</v>
      </c>
      <c r="E63">
        <v>3.1862599999999998E-2</v>
      </c>
      <c r="F63" t="s">
        <v>65</v>
      </c>
      <c r="G63" t="s">
        <v>65</v>
      </c>
      <c r="H63" t="s">
        <v>65</v>
      </c>
      <c r="I63" t="s">
        <v>65</v>
      </c>
      <c r="J63" t="s">
        <v>66</v>
      </c>
      <c r="K63">
        <v>2.0008120000000001E-2</v>
      </c>
      <c r="L63">
        <v>2.0001600000000001E-2</v>
      </c>
      <c r="M63" t="s">
        <v>65</v>
      </c>
      <c r="N63" t="s">
        <v>65</v>
      </c>
      <c r="O63" t="s">
        <v>65</v>
      </c>
      <c r="P63" t="s">
        <v>67</v>
      </c>
      <c r="Q63">
        <v>1.000000000098145E-7</v>
      </c>
      <c r="R63">
        <f t="shared" si="4"/>
        <v>2.0000000000000002E-5</v>
      </c>
      <c r="U63">
        <v>2.0000000000981451E-7</v>
      </c>
      <c r="V63">
        <v>2.0000000000981451E-7</v>
      </c>
      <c r="X63">
        <v>2.0008120000000001E-2</v>
      </c>
      <c r="Y63">
        <v>2.0001600000000001E-2</v>
      </c>
      <c r="AC63" t="str">
        <f>AB61 &amp; " ± " &amp; AC58</f>
        <v>0,0200174006896552 ± 2,02777562006929E-05</v>
      </c>
      <c r="AH63" t="s">
        <v>73</v>
      </c>
    </row>
    <row r="64" spans="1:66" x14ac:dyDescent="0.25">
      <c r="A64" s="1" t="s">
        <v>136</v>
      </c>
      <c r="B64">
        <v>1.18435E-2</v>
      </c>
      <c r="C64">
        <v>2.1845099999999999E-2</v>
      </c>
      <c r="D64">
        <v>3.1845400000000003E-2</v>
      </c>
      <c r="E64" t="s">
        <v>65</v>
      </c>
      <c r="F64" t="s">
        <v>65</v>
      </c>
      <c r="G64" t="s">
        <v>65</v>
      </c>
      <c r="H64" t="s">
        <v>65</v>
      </c>
      <c r="I64" t="s">
        <v>65</v>
      </c>
      <c r="J64" t="s">
        <v>66</v>
      </c>
      <c r="K64">
        <v>2.00019E-2</v>
      </c>
      <c r="L64" t="s">
        <v>65</v>
      </c>
      <c r="M64" t="s">
        <v>65</v>
      </c>
      <c r="N64" t="s">
        <v>65</v>
      </c>
      <c r="O64" t="s">
        <v>65</v>
      </c>
      <c r="P64" t="s">
        <v>67</v>
      </c>
      <c r="Q64">
        <v>1.000000000098145E-7</v>
      </c>
      <c r="R64">
        <f t="shared" si="4"/>
        <v>2.0000000000000002E-5</v>
      </c>
      <c r="U64">
        <v>2.0000000000981451E-7</v>
      </c>
      <c r="V64">
        <v>2.0000000000981451E-7</v>
      </c>
      <c r="X64">
        <v>2.00019E-2</v>
      </c>
      <c r="Y64" t="s">
        <v>65</v>
      </c>
      <c r="AN64">
        <v>-2.0250000000000012E-3</v>
      </c>
      <c r="AO64">
        <v>-2.0241999999999999E-3</v>
      </c>
      <c r="AP64">
        <v>-2.031699999999997E-3</v>
      </c>
      <c r="AX64" t="s">
        <v>82</v>
      </c>
      <c r="AY64">
        <f>+(AS58/AB61)*2*PI()</f>
        <v>-0.64075091263317174</v>
      </c>
      <c r="AZ64">
        <f>+(AS58/AB61)*360</f>
        <v>-36.712323013036482</v>
      </c>
      <c r="BK64" t="s">
        <v>184</v>
      </c>
      <c r="BL64" t="s">
        <v>186</v>
      </c>
      <c r="BM64" t="s">
        <v>187</v>
      </c>
    </row>
    <row r="65" spans="1:69" x14ac:dyDescent="0.25">
      <c r="A65" s="1" t="s">
        <v>137</v>
      </c>
      <c r="B65">
        <v>3.7977599999999999E-3</v>
      </c>
      <c r="C65">
        <v>1.3868500000000001E-2</v>
      </c>
      <c r="D65">
        <v>2.38693E-2</v>
      </c>
      <c r="E65">
        <v>3.38771E-2</v>
      </c>
      <c r="F65" t="s">
        <v>65</v>
      </c>
      <c r="G65" t="s">
        <v>65</v>
      </c>
      <c r="H65" t="s">
        <v>65</v>
      </c>
      <c r="I65" t="s">
        <v>65</v>
      </c>
      <c r="J65" t="s">
        <v>66</v>
      </c>
      <c r="K65">
        <v>2.0071539999999999E-2</v>
      </c>
      <c r="L65">
        <v>2.0008600000000001E-2</v>
      </c>
      <c r="M65" t="s">
        <v>65</v>
      </c>
      <c r="N65" t="s">
        <v>65</v>
      </c>
      <c r="O65" t="s">
        <v>65</v>
      </c>
      <c r="P65" t="s">
        <v>67</v>
      </c>
      <c r="Q65">
        <v>1.000000000098145E-7</v>
      </c>
      <c r="R65">
        <f t="shared" si="4"/>
        <v>2.0000000000000002E-5</v>
      </c>
      <c r="U65">
        <v>2.0000000000981451E-7</v>
      </c>
      <c r="V65">
        <v>2.0000000000981451E-7</v>
      </c>
      <c r="X65">
        <v>2.0071539999999999E-2</v>
      </c>
      <c r="Y65">
        <v>2.0008600000000001E-2</v>
      </c>
      <c r="AA65" s="2"/>
      <c r="AC65" s="2"/>
      <c r="BK65" t="s">
        <v>185</v>
      </c>
      <c r="BL65" t="s">
        <v>188</v>
      </c>
      <c r="BM65" t="s">
        <v>189</v>
      </c>
    </row>
    <row r="66" spans="1:69" x14ac:dyDescent="0.25">
      <c r="A66" s="1" t="s">
        <v>138</v>
      </c>
      <c r="B66">
        <v>1.43246E-2</v>
      </c>
      <c r="C66">
        <v>2.4324800000000001E-2</v>
      </c>
      <c r="D66">
        <v>3.4325599999999998E-2</v>
      </c>
      <c r="E66" t="s">
        <v>65</v>
      </c>
      <c r="F66" t="s">
        <v>65</v>
      </c>
      <c r="G66" t="s">
        <v>65</v>
      </c>
      <c r="H66" t="s">
        <v>65</v>
      </c>
      <c r="I66" t="s">
        <v>65</v>
      </c>
      <c r="J66" t="s">
        <v>66</v>
      </c>
      <c r="K66">
        <v>2.0001000000000001E-2</v>
      </c>
      <c r="L66" t="s">
        <v>65</v>
      </c>
      <c r="M66" t="s">
        <v>65</v>
      </c>
      <c r="N66" t="s">
        <v>65</v>
      </c>
      <c r="O66" t="s">
        <v>65</v>
      </c>
      <c r="P66" t="s">
        <v>67</v>
      </c>
      <c r="Q66">
        <v>1.000000000098145E-7</v>
      </c>
      <c r="R66">
        <f t="shared" si="4"/>
        <v>2.0000000000000002E-5</v>
      </c>
      <c r="U66">
        <v>2.0000000000981451E-7</v>
      </c>
      <c r="V66">
        <v>2.0000000000981451E-7</v>
      </c>
      <c r="X66">
        <v>2.0001000000000001E-2</v>
      </c>
      <c r="Y66" t="s">
        <v>65</v>
      </c>
      <c r="AC66" s="2"/>
      <c r="AG66" t="s">
        <v>79</v>
      </c>
      <c r="AH66">
        <f>1/AB61</f>
        <v>49.956536090961691</v>
      </c>
      <c r="AN66">
        <v>-2.0212000000000012E-3</v>
      </c>
      <c r="AO66">
        <v>-2.0213000000000002E-3</v>
      </c>
      <c r="AP66">
        <v>-2.049800000000004E-3</v>
      </c>
      <c r="AY66">
        <f>+SQRT((AW59^2)+(AW58^2))</f>
        <v>0.36693193337173952</v>
      </c>
      <c r="BM66" s="5"/>
    </row>
    <row r="67" spans="1:69" x14ac:dyDescent="0.25">
      <c r="A67" s="1" t="s">
        <v>139</v>
      </c>
      <c r="B67">
        <v>6.32512E-3</v>
      </c>
      <c r="C67">
        <v>1.6345800000000001E-2</v>
      </c>
      <c r="D67">
        <v>2.6346100000000001E-2</v>
      </c>
      <c r="E67">
        <v>3.6375400000000002E-2</v>
      </c>
      <c r="F67" t="s">
        <v>65</v>
      </c>
      <c r="G67" t="s">
        <v>65</v>
      </c>
      <c r="H67" t="s">
        <v>65</v>
      </c>
      <c r="I67" t="s">
        <v>65</v>
      </c>
      <c r="J67" t="s">
        <v>66</v>
      </c>
      <c r="K67">
        <v>2.0020980000000001E-2</v>
      </c>
      <c r="L67">
        <v>2.0029600000000002E-2</v>
      </c>
      <c r="M67" t="s">
        <v>65</v>
      </c>
      <c r="N67" t="s">
        <v>65</v>
      </c>
      <c r="O67" t="s">
        <v>65</v>
      </c>
      <c r="P67" t="s">
        <v>67</v>
      </c>
      <c r="Q67">
        <v>1.000000000098145E-7</v>
      </c>
      <c r="R67">
        <f t="shared" si="4"/>
        <v>2.0000000000000002E-5</v>
      </c>
      <c r="U67">
        <v>2.0000000000981451E-7</v>
      </c>
      <c r="V67">
        <v>2.0000000000981451E-7</v>
      </c>
      <c r="X67">
        <v>2.0020980000000001E-2</v>
      </c>
      <c r="Y67">
        <v>2.0029600000000002E-2</v>
      </c>
      <c r="BA67" t="s">
        <v>82</v>
      </c>
    </row>
    <row r="68" spans="1:69" x14ac:dyDescent="0.25">
      <c r="A68" s="1" t="s">
        <v>140</v>
      </c>
      <c r="B68">
        <v>1.12411E-2</v>
      </c>
      <c r="C68">
        <v>2.1243499999999998E-2</v>
      </c>
      <c r="D68">
        <v>3.12435E-2</v>
      </c>
      <c r="E68" t="s">
        <v>65</v>
      </c>
      <c r="F68" t="s">
        <v>65</v>
      </c>
      <c r="G68" t="s">
        <v>65</v>
      </c>
      <c r="H68" t="s">
        <v>65</v>
      </c>
      <c r="I68" t="s">
        <v>65</v>
      </c>
      <c r="J68" t="s">
        <v>66</v>
      </c>
      <c r="K68">
        <v>2.00024E-2</v>
      </c>
      <c r="L68" t="s">
        <v>65</v>
      </c>
      <c r="M68" t="s">
        <v>65</v>
      </c>
      <c r="N68" t="s">
        <v>65</v>
      </c>
      <c r="O68" t="s">
        <v>65</v>
      </c>
      <c r="P68" t="s">
        <v>67</v>
      </c>
      <c r="Q68">
        <v>1.000000000098145E-7</v>
      </c>
      <c r="R68">
        <f t="shared" si="4"/>
        <v>2.0000000000000002E-5</v>
      </c>
      <c r="U68">
        <v>2.0000000000981451E-7</v>
      </c>
      <c r="V68">
        <v>2.0000000000981451E-7</v>
      </c>
      <c r="X68">
        <v>2.00024E-2</v>
      </c>
      <c r="Y68" t="s">
        <v>65</v>
      </c>
      <c r="AG68" t="s">
        <v>176</v>
      </c>
      <c r="AH68">
        <f>+(1/(AB61^2))</f>
        <v>2495.6554982075581</v>
      </c>
      <c r="AI68">
        <f>+AH68*AC58</f>
        <v>5.0606293753571542E-2</v>
      </c>
      <c r="AN68">
        <v>-2.0298E-3</v>
      </c>
      <c r="AO68">
        <v>-2.035700000000001E-3</v>
      </c>
      <c r="AP68">
        <v>-2.0367999999999979E-3</v>
      </c>
      <c r="AY68">
        <f>+AY66*(PI()/180)</f>
        <v>6.4041703680453128E-3</v>
      </c>
      <c r="BM68" s="6" t="str">
        <f>BH72&amp;" ± "&amp; BN73</f>
        <v>0,00237573909218969 ± 3,66316901302179E-05</v>
      </c>
      <c r="BN68" s="4"/>
      <c r="BO68" s="4"/>
      <c r="BP68" s="4"/>
      <c r="BQ68" s="4"/>
    </row>
    <row r="69" spans="1:69" x14ac:dyDescent="0.25">
      <c r="A69" s="1" t="s">
        <v>141</v>
      </c>
      <c r="B69">
        <v>3.2561600000000001E-3</v>
      </c>
      <c r="C69">
        <v>1.32709E-2</v>
      </c>
      <c r="D69">
        <v>2.32792E-2</v>
      </c>
      <c r="E69">
        <v>3.3280299999999999E-2</v>
      </c>
      <c r="F69" t="s">
        <v>65</v>
      </c>
      <c r="G69" t="s">
        <v>65</v>
      </c>
      <c r="H69" t="s">
        <v>65</v>
      </c>
      <c r="I69" t="s">
        <v>65</v>
      </c>
      <c r="J69" t="s">
        <v>66</v>
      </c>
      <c r="K69">
        <v>2.0023039999999999E-2</v>
      </c>
      <c r="L69">
        <v>2.00094E-2</v>
      </c>
      <c r="M69" t="s">
        <v>65</v>
      </c>
      <c r="N69" t="s">
        <v>65</v>
      </c>
      <c r="O69" t="s">
        <v>65</v>
      </c>
      <c r="P69" t="s">
        <v>67</v>
      </c>
      <c r="Q69">
        <v>1.000000000098145E-7</v>
      </c>
      <c r="R69">
        <f t="shared" si="4"/>
        <v>2.0000000000000002E-5</v>
      </c>
      <c r="U69">
        <v>2.0000000000981451E-7</v>
      </c>
      <c r="V69">
        <v>2.0000000000981451E-7</v>
      </c>
      <c r="X69">
        <v>2.0023039999999999E-2</v>
      </c>
      <c r="Y69">
        <v>2.00094E-2</v>
      </c>
      <c r="AJ69" t="str">
        <f>AH66 &amp; " ± " &amp; AI68</f>
        <v>49,9565360909617 ± 0,0506062937535715</v>
      </c>
      <c r="BB69" t="str">
        <f>AZ64 &amp; " ± " &amp; AY66</f>
        <v>-36,7123230130365 ± 0,36693193337174</v>
      </c>
      <c r="BM69" s="6"/>
    </row>
    <row r="70" spans="1:69" x14ac:dyDescent="0.25">
      <c r="A70" s="1" t="s">
        <v>142</v>
      </c>
      <c r="B70">
        <v>1.35002E-2</v>
      </c>
      <c r="C70">
        <v>2.3500299999999998E-2</v>
      </c>
      <c r="D70">
        <v>3.3501000000000003E-2</v>
      </c>
      <c r="E70" t="s">
        <v>65</v>
      </c>
      <c r="F70" t="s">
        <v>65</v>
      </c>
      <c r="G70" t="s">
        <v>65</v>
      </c>
      <c r="H70" t="s">
        <v>65</v>
      </c>
      <c r="I70" t="s">
        <v>65</v>
      </c>
      <c r="J70" t="s">
        <v>66</v>
      </c>
      <c r="K70">
        <v>2.0000799999999999E-2</v>
      </c>
      <c r="L70" t="s">
        <v>65</v>
      </c>
      <c r="M70" t="s">
        <v>65</v>
      </c>
      <c r="N70" t="s">
        <v>65</v>
      </c>
      <c r="O70" t="s">
        <v>65</v>
      </c>
      <c r="P70" t="s">
        <v>67</v>
      </c>
      <c r="Q70">
        <v>1.000000000098145E-7</v>
      </c>
      <c r="R70">
        <f t="shared" si="4"/>
        <v>2.0000000000000002E-5</v>
      </c>
      <c r="U70">
        <v>2.0000000000981451E-7</v>
      </c>
      <c r="V70">
        <v>2.0000000000981451E-7</v>
      </c>
      <c r="X70">
        <v>2.0000799999999999E-2</v>
      </c>
      <c r="Y70" t="s">
        <v>65</v>
      </c>
      <c r="AN70">
        <v>-2.048299999999999E-3</v>
      </c>
      <c r="AO70">
        <v>-2.055700000000001E-3</v>
      </c>
      <c r="AP70">
        <v>-2.0552000000000001E-3</v>
      </c>
      <c r="BM70" s="3">
        <f>+BH72</f>
        <v>2.3757390921896899E-3</v>
      </c>
      <c r="BN70" s="8" t="s">
        <v>182</v>
      </c>
      <c r="BO70" s="7">
        <f>+BN73</f>
        <v>3.6631690130217902E-5</v>
      </c>
    </row>
    <row r="71" spans="1:69" x14ac:dyDescent="0.25">
      <c r="A71" s="1" t="s">
        <v>143</v>
      </c>
      <c r="B71">
        <v>5.5476800000000001E-3</v>
      </c>
      <c r="C71">
        <v>1.55485E-2</v>
      </c>
      <c r="D71">
        <v>2.5555999999999999E-2</v>
      </c>
      <c r="E71">
        <v>3.5556200000000003E-2</v>
      </c>
      <c r="F71" t="s">
        <v>65</v>
      </c>
      <c r="G71" t="s">
        <v>65</v>
      </c>
      <c r="H71" t="s">
        <v>65</v>
      </c>
      <c r="I71" t="s">
        <v>65</v>
      </c>
      <c r="J71" t="s">
        <v>66</v>
      </c>
      <c r="K71">
        <v>2.000832E-2</v>
      </c>
      <c r="L71">
        <v>2.00077E-2</v>
      </c>
      <c r="M71" t="s">
        <v>65</v>
      </c>
      <c r="N71" t="s">
        <v>65</v>
      </c>
      <c r="O71" t="s">
        <v>65</v>
      </c>
      <c r="P71" t="s">
        <v>67</v>
      </c>
      <c r="Q71">
        <v>1.000000000098145E-7</v>
      </c>
      <c r="R71">
        <f t="shared" si="4"/>
        <v>2.0000000000000002E-5</v>
      </c>
      <c r="U71">
        <v>2.0000000000981451E-7</v>
      </c>
      <c r="V71">
        <v>2.0000000000981451E-7</v>
      </c>
      <c r="X71">
        <v>2.000832E-2</v>
      </c>
      <c r="Y71">
        <v>2.00077E-2</v>
      </c>
    </row>
    <row r="72" spans="1:69" x14ac:dyDescent="0.25">
      <c r="A72" s="1" t="s">
        <v>144</v>
      </c>
      <c r="B72">
        <v>9.1064000000000006E-3</v>
      </c>
      <c r="C72">
        <v>1.9106600000000001E-2</v>
      </c>
      <c r="D72">
        <v>2.9111399999999999E-2</v>
      </c>
      <c r="E72" t="s">
        <v>65</v>
      </c>
      <c r="F72" t="s">
        <v>65</v>
      </c>
      <c r="G72" t="s">
        <v>65</v>
      </c>
      <c r="H72" t="s">
        <v>65</v>
      </c>
      <c r="I72" t="s">
        <v>65</v>
      </c>
      <c r="J72" t="s">
        <v>66</v>
      </c>
      <c r="K72">
        <v>2.0004999999999998E-2</v>
      </c>
      <c r="L72" t="s">
        <v>65</v>
      </c>
      <c r="M72" t="s">
        <v>65</v>
      </c>
      <c r="N72" t="s">
        <v>65</v>
      </c>
      <c r="O72" t="s">
        <v>65</v>
      </c>
      <c r="P72" t="s">
        <v>67</v>
      </c>
      <c r="Q72">
        <v>1.000000000098145E-7</v>
      </c>
      <c r="R72">
        <f t="shared" si="4"/>
        <v>2.0000000000000002E-5</v>
      </c>
      <c r="U72">
        <v>2.0000000000981451E-7</v>
      </c>
      <c r="V72">
        <v>2.0000000000981451E-7</v>
      </c>
      <c r="X72">
        <v>2.0004999999999998E-2</v>
      </c>
      <c r="Y72" t="s">
        <v>65</v>
      </c>
      <c r="AN72">
        <v>-2.0684999999999992E-3</v>
      </c>
      <c r="AO72">
        <v>-2.0706999999999978E-3</v>
      </c>
      <c r="AP72">
        <v>-2.067800000000002E-3</v>
      </c>
      <c r="BG72" t="s">
        <v>179</v>
      </c>
      <c r="BH72">
        <f>+ABS(TAN(AY64)/(2*PI()*AH66))</f>
        <v>2.3757390921896899E-3</v>
      </c>
      <c r="BJ72" t="s">
        <v>180</v>
      </c>
      <c r="BK72">
        <f>+(1/((COS(AZ64*(PI()/180))^2))*(1/(2*PI()*AH66)))</f>
        <v>4.9574845932253966E-3</v>
      </c>
      <c r="BL72">
        <f>+BK72*AY68</f>
        <v>3.1748575931975256E-5</v>
      </c>
    </row>
    <row r="73" spans="1:69" x14ac:dyDescent="0.25">
      <c r="A73" s="1" t="s">
        <v>145</v>
      </c>
      <c r="B73">
        <v>1.1446399999999999E-3</v>
      </c>
      <c r="C73">
        <v>1.11749E-2</v>
      </c>
      <c r="D73">
        <v>2.11773E-2</v>
      </c>
      <c r="E73">
        <v>3.1179200000000001E-2</v>
      </c>
      <c r="F73" t="s">
        <v>65</v>
      </c>
      <c r="G73" t="s">
        <v>65</v>
      </c>
      <c r="H73" t="s">
        <v>65</v>
      </c>
      <c r="I73" t="s">
        <v>65</v>
      </c>
      <c r="J73" t="s">
        <v>66</v>
      </c>
      <c r="K73">
        <v>2.0032660000000001E-2</v>
      </c>
      <c r="L73">
        <v>2.0004299999999999E-2</v>
      </c>
      <c r="M73" t="s">
        <v>65</v>
      </c>
      <c r="N73" t="s">
        <v>65</v>
      </c>
      <c r="O73" t="s">
        <v>65</v>
      </c>
      <c r="P73" t="s">
        <v>67</v>
      </c>
      <c r="Q73">
        <v>1.000000000098145E-7</v>
      </c>
      <c r="R73">
        <f t="shared" si="4"/>
        <v>2.0000000000000002E-5</v>
      </c>
      <c r="U73">
        <v>2.0000000000981451E-7</v>
      </c>
      <c r="V73">
        <v>2.0000000000981451E-7</v>
      </c>
      <c r="X73">
        <v>2.0032660000000001E-2</v>
      </c>
      <c r="Y73">
        <v>2.0004299999999999E-2</v>
      </c>
      <c r="BJ73" t="s">
        <v>181</v>
      </c>
      <c r="BK73">
        <f>+(TAN(AZ64))/(2*PI()*(AH66^2))</f>
        <v>9.6492231223671026E-5</v>
      </c>
      <c r="BL73">
        <f>+BK73*AI68</f>
        <v>4.8831141982426435E-6</v>
      </c>
      <c r="BN73">
        <f>+BL73+BL72</f>
        <v>3.6631690130217902E-5</v>
      </c>
    </row>
    <row r="74" spans="1:69" x14ac:dyDescent="0.25">
      <c r="A74" s="1" t="s">
        <v>146</v>
      </c>
      <c r="B74">
        <v>6.2739199999999997E-3</v>
      </c>
      <c r="C74">
        <v>1.6276800000000001E-2</v>
      </c>
      <c r="D74">
        <v>2.62802E-2</v>
      </c>
      <c r="E74" t="s">
        <v>65</v>
      </c>
      <c r="F74" t="s">
        <v>65</v>
      </c>
      <c r="G74" t="s">
        <v>65</v>
      </c>
      <c r="H74" t="s">
        <v>65</v>
      </c>
      <c r="I74" t="s">
        <v>65</v>
      </c>
      <c r="J74" t="s">
        <v>66</v>
      </c>
      <c r="K74">
        <v>2.0006280000000001E-2</v>
      </c>
      <c r="L74" t="s">
        <v>65</v>
      </c>
      <c r="M74" t="s">
        <v>65</v>
      </c>
      <c r="N74" t="s">
        <v>65</v>
      </c>
      <c r="O74" t="s">
        <v>65</v>
      </c>
      <c r="P74" t="s">
        <v>67</v>
      </c>
      <c r="Q74">
        <v>1.0000000000287561E-7</v>
      </c>
      <c r="R74">
        <f t="shared" si="4"/>
        <v>2.0000000000000002E-5</v>
      </c>
      <c r="U74">
        <v>2.0000000000287559E-7</v>
      </c>
      <c r="V74">
        <v>2.0000000000287559E-7</v>
      </c>
      <c r="X74">
        <v>2.0006280000000001E-2</v>
      </c>
      <c r="Y74" t="s">
        <v>65</v>
      </c>
      <c r="AN74">
        <v>-2.00512E-3</v>
      </c>
      <c r="AO74">
        <v>-2.005399999999997E-3</v>
      </c>
      <c r="AP74">
        <v>-2.0358000000000008E-3</v>
      </c>
    </row>
    <row r="75" spans="1:69" x14ac:dyDescent="0.25">
      <c r="A75" s="1" t="s">
        <v>147</v>
      </c>
      <c r="B75">
        <v>-1.7447999999999999E-3</v>
      </c>
      <c r="C75">
        <v>8.2790399999999997E-3</v>
      </c>
      <c r="D75">
        <v>1.8282199999999998E-2</v>
      </c>
      <c r="E75">
        <v>2.8316000000000001E-2</v>
      </c>
      <c r="F75" t="s">
        <v>65</v>
      </c>
      <c r="G75" t="s">
        <v>65</v>
      </c>
      <c r="H75" t="s">
        <v>65</v>
      </c>
      <c r="I75" t="s">
        <v>65</v>
      </c>
      <c r="J75" t="s">
        <v>66</v>
      </c>
      <c r="K75">
        <v>2.0027E-2</v>
      </c>
      <c r="L75">
        <v>2.0036959999999999E-2</v>
      </c>
      <c r="M75" t="s">
        <v>65</v>
      </c>
      <c r="N75" t="s">
        <v>65</v>
      </c>
      <c r="O75" t="s">
        <v>65</v>
      </c>
      <c r="P75" t="s">
        <v>67</v>
      </c>
      <c r="Q75">
        <v>1.0000000000287561E-7</v>
      </c>
      <c r="R75">
        <f t="shared" si="4"/>
        <v>2.0000000000000002E-5</v>
      </c>
      <c r="U75">
        <v>2.0000000000287559E-7</v>
      </c>
      <c r="V75">
        <v>2.0000000000287559E-7</v>
      </c>
      <c r="X75">
        <v>2.0027E-2</v>
      </c>
      <c r="Y75">
        <v>2.0036959999999999E-2</v>
      </c>
      <c r="BM75">
        <f>+BH72-(2.04*BN73)</f>
        <v>2.3010104443240455E-3</v>
      </c>
    </row>
    <row r="76" spans="1:69" x14ac:dyDescent="0.25">
      <c r="A76" s="1" t="s">
        <v>148</v>
      </c>
      <c r="B76">
        <v>1.6275999999999999E-2</v>
      </c>
      <c r="C76">
        <v>2.63024E-2</v>
      </c>
      <c r="D76">
        <v>3.63138E-2</v>
      </c>
      <c r="E76" t="s">
        <v>65</v>
      </c>
      <c r="F76" t="s">
        <v>65</v>
      </c>
      <c r="G76" t="s">
        <v>65</v>
      </c>
      <c r="H76" t="s">
        <v>65</v>
      </c>
      <c r="I76" t="s">
        <v>65</v>
      </c>
      <c r="J76" t="s">
        <v>66</v>
      </c>
      <c r="K76">
        <v>2.0037800000000001E-2</v>
      </c>
      <c r="L76" t="s">
        <v>65</v>
      </c>
      <c r="M76" t="s">
        <v>65</v>
      </c>
      <c r="N76" t="s">
        <v>65</v>
      </c>
      <c r="O76" t="s">
        <v>65</v>
      </c>
      <c r="P76" t="s">
        <v>67</v>
      </c>
      <c r="Q76">
        <v>1.000000000098145E-7</v>
      </c>
      <c r="R76">
        <f t="shared" si="4"/>
        <v>2.0000000000000002E-5</v>
      </c>
      <c r="U76">
        <v>2.0000000000981451E-7</v>
      </c>
      <c r="V76">
        <v>2.0000000000981451E-7</v>
      </c>
      <c r="X76">
        <v>2.0037800000000001E-2</v>
      </c>
      <c r="Y76" t="s">
        <v>65</v>
      </c>
      <c r="AN76">
        <v>-2.065900000000002E-3</v>
      </c>
      <c r="AO76">
        <v>-2.0716999999999988E-3</v>
      </c>
      <c r="AP76">
        <v>-2.0606000000000031E-3</v>
      </c>
    </row>
    <row r="77" spans="1:69" x14ac:dyDescent="0.25">
      <c r="A77" s="1" t="s">
        <v>149</v>
      </c>
      <c r="B77">
        <v>8.3175999999999996E-3</v>
      </c>
      <c r="C77">
        <v>1.8341900000000001E-2</v>
      </c>
      <c r="D77">
        <v>2.8374099999999999E-2</v>
      </c>
      <c r="E77">
        <v>3.8374400000000003E-2</v>
      </c>
      <c r="F77" t="s">
        <v>65</v>
      </c>
      <c r="G77" t="s">
        <v>65</v>
      </c>
      <c r="H77" t="s">
        <v>65</v>
      </c>
      <c r="I77" t="s">
        <v>65</v>
      </c>
      <c r="J77" t="s">
        <v>66</v>
      </c>
      <c r="K77">
        <v>2.0056500000000001E-2</v>
      </c>
      <c r="L77">
        <v>2.0032500000000002E-2</v>
      </c>
      <c r="M77" t="s">
        <v>65</v>
      </c>
      <c r="N77" t="s">
        <v>65</v>
      </c>
      <c r="O77" t="s">
        <v>65</v>
      </c>
      <c r="P77" t="s">
        <v>67</v>
      </c>
      <c r="Q77">
        <v>1.000000000098145E-7</v>
      </c>
      <c r="R77">
        <f t="shared" si="4"/>
        <v>2.0000000000000002E-5</v>
      </c>
      <c r="U77">
        <v>2.0000000000981451E-7</v>
      </c>
      <c r="V77">
        <v>2.0000000000981451E-7</v>
      </c>
      <c r="X77">
        <v>2.0056500000000001E-2</v>
      </c>
      <c r="Y77">
        <v>2.0032500000000002E-2</v>
      </c>
    </row>
    <row r="78" spans="1:69" x14ac:dyDescent="0.25">
      <c r="A78" s="1" t="s">
        <v>150</v>
      </c>
      <c r="B78">
        <v>1.6816080000000001E-2</v>
      </c>
      <c r="C78">
        <v>2.1816080000000002E-2</v>
      </c>
      <c r="D78">
        <v>2.6815039999999998E-2</v>
      </c>
      <c r="E78" t="s">
        <v>65</v>
      </c>
      <c r="F78" t="s">
        <v>65</v>
      </c>
      <c r="G78" t="s">
        <v>65</v>
      </c>
      <c r="H78" t="s">
        <v>65</v>
      </c>
      <c r="I78" t="s">
        <v>65</v>
      </c>
      <c r="J78" t="s">
        <v>66</v>
      </c>
      <c r="K78">
        <v>9.9989599999999977E-3</v>
      </c>
      <c r="L78" t="s">
        <v>65</v>
      </c>
      <c r="M78" t="s">
        <v>65</v>
      </c>
      <c r="N78" t="s">
        <v>65</v>
      </c>
      <c r="O78" t="s">
        <v>65</v>
      </c>
      <c r="P78" t="s">
        <v>67</v>
      </c>
      <c r="Q78">
        <v>3.4694469519536142E-18</v>
      </c>
      <c r="R78">
        <f>2.5*0.0001*0.02*2</f>
        <v>1.0000000000000001E-5</v>
      </c>
      <c r="U78">
        <v>8.0000000003469449E-8</v>
      </c>
      <c r="V78">
        <v>8.0000000003469449E-8</v>
      </c>
      <c r="X78">
        <v>9.9989599999999977E-3</v>
      </c>
      <c r="Y78" t="s">
        <v>65</v>
      </c>
      <c r="AA78" s="2">
        <f>+_xlfn.STDEV.S(X78:Y99)/SQRT(28)</f>
        <v>1.8699889450403261E-6</v>
      </c>
      <c r="AC78">
        <f>+SQRT((AA78^2)+(R78^2))</f>
        <v>1.0173340584811512E-5</v>
      </c>
      <c r="AN78">
        <v>-1.5428E-3</v>
      </c>
      <c r="AO78">
        <v>-1.551999999999998E-3</v>
      </c>
      <c r="AP78">
        <v>-1.5308000000000021E-3</v>
      </c>
      <c r="AS78">
        <f>+AVERAGE(AN78:AP98)</f>
        <v>-1.5482399999999996E-3</v>
      </c>
      <c r="AU78" t="s">
        <v>177</v>
      </c>
      <c r="AV78">
        <f>360*(AS78/(AB81^2))</f>
        <v>-5572.2055787809222</v>
      </c>
      <c r="AW78">
        <f>+AV78*AC78</f>
        <v>-5.6687945161525075E-2</v>
      </c>
    </row>
    <row r="79" spans="1:69" x14ac:dyDescent="0.25">
      <c r="A79" s="1" t="s">
        <v>151</v>
      </c>
      <c r="B79">
        <v>1.8358880000000001E-2</v>
      </c>
      <c r="C79">
        <v>2.3368079999999999E-2</v>
      </c>
      <c r="D79">
        <v>2.8345840000000001E-2</v>
      </c>
      <c r="E79" t="s">
        <v>65</v>
      </c>
      <c r="F79" t="s">
        <v>65</v>
      </c>
      <c r="G79" t="s">
        <v>65</v>
      </c>
      <c r="H79" t="s">
        <v>65</v>
      </c>
      <c r="I79" t="s">
        <v>65</v>
      </c>
      <c r="J79" t="s">
        <v>66</v>
      </c>
      <c r="K79">
        <v>9.9869599999999996E-3</v>
      </c>
      <c r="L79" t="s">
        <v>65</v>
      </c>
      <c r="M79" t="s">
        <v>65</v>
      </c>
      <c r="N79" t="s">
        <v>65</v>
      </c>
      <c r="O79" t="s">
        <v>65</v>
      </c>
      <c r="P79" t="s">
        <v>67</v>
      </c>
      <c r="Q79">
        <v>3.4694469519536142E-18</v>
      </c>
      <c r="R79">
        <f t="shared" ref="R79:R99" si="5">2.5*0.0001*0.02*2</f>
        <v>1.0000000000000001E-5</v>
      </c>
      <c r="U79">
        <v>8.0000000003469449E-8</v>
      </c>
      <c r="V79">
        <v>8.0000000003469449E-8</v>
      </c>
      <c r="X79">
        <v>9.9869599999999996E-3</v>
      </c>
      <c r="Y79" t="s">
        <v>65</v>
      </c>
      <c r="AA79" s="2">
        <f>1.96*AA78</f>
        <v>3.6651783322790392E-6</v>
      </c>
      <c r="AU79" t="s">
        <v>178</v>
      </c>
      <c r="AV79">
        <f>360*(1/AB81)</f>
        <v>35995.289759225794</v>
      </c>
      <c r="AW79">
        <f>+AV79*AW81</f>
        <v>0.36662229516130751</v>
      </c>
    </row>
    <row r="80" spans="1:69" x14ac:dyDescent="0.25">
      <c r="A80" s="1" t="s">
        <v>152</v>
      </c>
      <c r="B80">
        <v>1.7418880000000001E-2</v>
      </c>
      <c r="C80">
        <v>2.241808E-2</v>
      </c>
      <c r="D80">
        <v>2.7420159999999999E-2</v>
      </c>
      <c r="E80" t="s">
        <v>65</v>
      </c>
      <c r="F80" t="s">
        <v>65</v>
      </c>
      <c r="G80" t="s">
        <v>65</v>
      </c>
      <c r="H80" t="s">
        <v>65</v>
      </c>
      <c r="I80" t="s">
        <v>65</v>
      </c>
      <c r="J80" t="s">
        <v>66</v>
      </c>
      <c r="K80">
        <v>1.000128E-2</v>
      </c>
      <c r="L80" t="s">
        <v>65</v>
      </c>
      <c r="M80" t="s">
        <v>65</v>
      </c>
      <c r="N80" t="s">
        <v>65</v>
      </c>
      <c r="O80" t="s">
        <v>65</v>
      </c>
      <c r="P80" t="s">
        <v>67</v>
      </c>
      <c r="Q80">
        <v>3.4694469519536142E-18</v>
      </c>
      <c r="R80">
        <f t="shared" si="5"/>
        <v>1.0000000000000001E-5</v>
      </c>
      <c r="V80">
        <v>0</v>
      </c>
      <c r="X80">
        <v>1.000128E-2</v>
      </c>
      <c r="Y80" t="s">
        <v>65</v>
      </c>
      <c r="AN80">
        <v>-1.56208E-3</v>
      </c>
      <c r="AO80">
        <v>-1.5446399999999999E-3</v>
      </c>
      <c r="AP80">
        <v>-1.541600000000001E-3</v>
      </c>
    </row>
    <row r="81" spans="1:67" x14ac:dyDescent="0.25">
      <c r="A81" s="1" t="s">
        <v>153</v>
      </c>
      <c r="B81">
        <v>1.392856E-2</v>
      </c>
      <c r="C81">
        <v>1.8980960000000002E-2</v>
      </c>
      <c r="D81">
        <v>2.396272E-2</v>
      </c>
      <c r="E81">
        <v>2.896176E-2</v>
      </c>
      <c r="F81" t="s">
        <v>65</v>
      </c>
      <c r="G81" t="s">
        <v>65</v>
      </c>
      <c r="H81" t="s">
        <v>65</v>
      </c>
      <c r="I81" t="s">
        <v>65</v>
      </c>
      <c r="J81" t="s">
        <v>66</v>
      </c>
      <c r="K81">
        <v>1.003416E-2</v>
      </c>
      <c r="L81">
        <v>9.980799999999998E-3</v>
      </c>
      <c r="M81" t="s">
        <v>65</v>
      </c>
      <c r="N81" t="s">
        <v>65</v>
      </c>
      <c r="O81" t="s">
        <v>65</v>
      </c>
      <c r="P81" t="s">
        <v>67</v>
      </c>
      <c r="Q81">
        <v>3.4694469519536142E-18</v>
      </c>
      <c r="R81">
        <f t="shared" si="5"/>
        <v>1.0000000000000001E-5</v>
      </c>
      <c r="U81">
        <v>8.0000000003469449E-8</v>
      </c>
      <c r="V81">
        <v>8.0000000003469449E-8</v>
      </c>
      <c r="X81">
        <v>1.003416E-2</v>
      </c>
      <c r="Y81">
        <v>9.980799999999998E-3</v>
      </c>
      <c r="AA81" t="s">
        <v>95</v>
      </c>
      <c r="AB81">
        <f>+AVERAGE(X78:Y99)</f>
        <v>1.000130857142857E-2</v>
      </c>
      <c r="AS81">
        <f>+_xlfn.STDEV.S(AN78:AP98)/SQRT(33)</f>
        <v>1.9339173621528296E-6</v>
      </c>
      <c r="AW81">
        <f>+SQRT((AS81^2)+(R78^2))</f>
        <v>1.0185285286315557E-5</v>
      </c>
    </row>
    <row r="82" spans="1:67" x14ac:dyDescent="0.25">
      <c r="A82" s="1" t="s">
        <v>154</v>
      </c>
      <c r="B82">
        <v>1.6389839999999999E-2</v>
      </c>
      <c r="C82">
        <v>2.138704E-2</v>
      </c>
      <c r="D82">
        <v>2.639E-2</v>
      </c>
      <c r="E82" t="s">
        <v>65</v>
      </c>
      <c r="F82" t="s">
        <v>65</v>
      </c>
      <c r="G82" t="s">
        <v>65</v>
      </c>
      <c r="H82" t="s">
        <v>65</v>
      </c>
      <c r="I82" t="s">
        <v>65</v>
      </c>
      <c r="J82" t="s">
        <v>66</v>
      </c>
      <c r="K82">
        <v>1.0000159999999999E-2</v>
      </c>
      <c r="L82" t="s">
        <v>65</v>
      </c>
      <c r="M82" t="s">
        <v>65</v>
      </c>
      <c r="N82" t="s">
        <v>65</v>
      </c>
      <c r="O82" t="s">
        <v>65</v>
      </c>
      <c r="P82" t="s">
        <v>67</v>
      </c>
      <c r="Q82">
        <v>3.4694469519536142E-18</v>
      </c>
      <c r="R82">
        <f t="shared" si="5"/>
        <v>1.0000000000000001E-5</v>
      </c>
      <c r="U82">
        <v>8.0000000003469449E-8</v>
      </c>
      <c r="V82">
        <v>8.0000000003469449E-8</v>
      </c>
      <c r="X82">
        <v>1.0000159999999999E-2</v>
      </c>
      <c r="Y82" t="s">
        <v>65</v>
      </c>
      <c r="AN82">
        <v>-1.5717600000000019E-3</v>
      </c>
      <c r="AO82">
        <v>-1.5610400000000001E-3</v>
      </c>
      <c r="AP82">
        <v>-1.5648800000000009E-3</v>
      </c>
    </row>
    <row r="83" spans="1:67" x14ac:dyDescent="0.25">
      <c r="A83" s="1" t="s">
        <v>155</v>
      </c>
      <c r="B83">
        <v>1.2934879999999999E-2</v>
      </c>
      <c r="C83">
        <v>1.7961600000000001E-2</v>
      </c>
      <c r="D83">
        <v>2.2948079999999999E-2</v>
      </c>
      <c r="E83">
        <v>2.7954880000000001E-2</v>
      </c>
      <c r="F83" t="s">
        <v>65</v>
      </c>
      <c r="G83" t="s">
        <v>65</v>
      </c>
      <c r="H83" t="s">
        <v>65</v>
      </c>
      <c r="I83" t="s">
        <v>65</v>
      </c>
      <c r="J83" t="s">
        <v>66</v>
      </c>
      <c r="K83">
        <v>1.00132E-2</v>
      </c>
      <c r="L83">
        <v>9.9932800000000002E-3</v>
      </c>
      <c r="M83" t="s">
        <v>65</v>
      </c>
      <c r="N83" t="s">
        <v>65</v>
      </c>
      <c r="O83" t="s">
        <v>65</v>
      </c>
      <c r="P83" t="s">
        <v>67</v>
      </c>
      <c r="Q83">
        <v>3.4694469519536142E-18</v>
      </c>
      <c r="R83">
        <f t="shared" si="5"/>
        <v>1.0000000000000001E-5</v>
      </c>
      <c r="U83">
        <v>8.0000000003469449E-8</v>
      </c>
      <c r="V83">
        <v>8.0000000003469449E-8</v>
      </c>
      <c r="X83">
        <v>1.00132E-2</v>
      </c>
      <c r="Y83">
        <v>9.9932800000000002E-3</v>
      </c>
      <c r="AC83" t="str">
        <f>AB81 &amp; " ± " &amp; AC78</f>
        <v>0,0100013085714286 ± 1,01733405848115E-05</v>
      </c>
      <c r="AH83" t="s">
        <v>73</v>
      </c>
    </row>
    <row r="84" spans="1:67" x14ac:dyDescent="0.25">
      <c r="A84" s="1" t="s">
        <v>156</v>
      </c>
      <c r="B84">
        <v>1.37284E-2</v>
      </c>
      <c r="C84">
        <v>1.872944E-2</v>
      </c>
      <c r="D84">
        <v>2.3729119999999999E-2</v>
      </c>
      <c r="E84" t="s">
        <v>65</v>
      </c>
      <c r="F84" t="s">
        <v>65</v>
      </c>
      <c r="G84" t="s">
        <v>65</v>
      </c>
      <c r="H84" t="s">
        <v>65</v>
      </c>
      <c r="I84" t="s">
        <v>65</v>
      </c>
      <c r="J84" t="s">
        <v>66</v>
      </c>
      <c r="K84">
        <v>1.0000719999999999E-2</v>
      </c>
      <c r="L84" t="s">
        <v>65</v>
      </c>
      <c r="M84" t="s">
        <v>65</v>
      </c>
      <c r="N84" t="s">
        <v>65</v>
      </c>
      <c r="O84" t="s">
        <v>65</v>
      </c>
      <c r="P84" t="s">
        <v>67</v>
      </c>
      <c r="Q84">
        <v>3.4694469519536142E-18</v>
      </c>
      <c r="R84">
        <f t="shared" si="5"/>
        <v>1.0000000000000001E-5</v>
      </c>
      <c r="U84">
        <v>8.0000000003469449E-8</v>
      </c>
      <c r="V84">
        <v>8.0000000003469449E-8</v>
      </c>
      <c r="X84">
        <v>1.0000719999999999E-2</v>
      </c>
      <c r="Y84" t="s">
        <v>65</v>
      </c>
      <c r="AN84">
        <v>-1.5501600000000001E-3</v>
      </c>
      <c r="AO84">
        <v>-1.571759999999998E-3</v>
      </c>
      <c r="AP84">
        <v>-1.5511999999999991E-3</v>
      </c>
      <c r="AX84" t="s">
        <v>82</v>
      </c>
      <c r="AY84">
        <f>+(AS78/AB81)*2*PI()</f>
        <v>-0.97266060241137087</v>
      </c>
      <c r="AZ84">
        <f>+(AS78/AB81)*360</f>
        <v>-55.729347416823735</v>
      </c>
    </row>
    <row r="85" spans="1:67" x14ac:dyDescent="0.25">
      <c r="A85" s="1" t="s">
        <v>157</v>
      </c>
      <c r="B85">
        <v>1.527856E-2</v>
      </c>
      <c r="C85">
        <v>2.0301199999999998E-2</v>
      </c>
      <c r="D85">
        <v>2.5280319999999998E-2</v>
      </c>
      <c r="E85" t="s">
        <v>65</v>
      </c>
      <c r="F85" t="s">
        <v>65</v>
      </c>
      <c r="G85" t="s">
        <v>65</v>
      </c>
      <c r="H85" t="s">
        <v>65</v>
      </c>
      <c r="I85" t="s">
        <v>65</v>
      </c>
      <c r="J85" t="s">
        <v>66</v>
      </c>
      <c r="K85">
        <v>1.000176E-2</v>
      </c>
      <c r="L85" t="s">
        <v>65</v>
      </c>
      <c r="M85" t="s">
        <v>65</v>
      </c>
      <c r="N85" t="s">
        <v>65</v>
      </c>
      <c r="O85" t="s">
        <v>65</v>
      </c>
      <c r="P85" t="s">
        <v>67</v>
      </c>
      <c r="Q85">
        <v>3.4694469519536142E-18</v>
      </c>
      <c r="R85">
        <f t="shared" si="5"/>
        <v>1.0000000000000001E-5</v>
      </c>
      <c r="U85">
        <v>8.0000000003469449E-8</v>
      </c>
      <c r="V85">
        <v>8.0000000003469449E-8</v>
      </c>
      <c r="X85">
        <v>1.000176E-2</v>
      </c>
      <c r="Y85" t="s">
        <v>65</v>
      </c>
      <c r="AA85" s="2"/>
      <c r="AC85" s="2"/>
    </row>
    <row r="86" spans="1:67" x14ac:dyDescent="0.25">
      <c r="A86" s="1" t="s">
        <v>158</v>
      </c>
      <c r="B86">
        <v>1.6620880000000001E-2</v>
      </c>
      <c r="C86">
        <v>2.1622880000000001E-2</v>
      </c>
      <c r="D86">
        <v>2.662312E-2</v>
      </c>
      <c r="E86" t="s">
        <v>65</v>
      </c>
      <c r="F86" t="s">
        <v>65</v>
      </c>
      <c r="G86" t="s">
        <v>65</v>
      </c>
      <c r="H86" t="s">
        <v>65</v>
      </c>
      <c r="I86" t="s">
        <v>65</v>
      </c>
      <c r="J86" t="s">
        <v>66</v>
      </c>
      <c r="K86">
        <v>1.0002240000000001E-2</v>
      </c>
      <c r="L86" t="s">
        <v>65</v>
      </c>
      <c r="M86" t="s">
        <v>65</v>
      </c>
      <c r="N86" t="s">
        <v>65</v>
      </c>
      <c r="O86" t="s">
        <v>65</v>
      </c>
      <c r="P86" t="s">
        <v>67</v>
      </c>
      <c r="Q86">
        <v>3.4694469519536142E-18</v>
      </c>
      <c r="R86">
        <f t="shared" si="5"/>
        <v>1.0000000000000001E-5</v>
      </c>
      <c r="U86">
        <v>8.0000000003469449E-8</v>
      </c>
      <c r="V86">
        <v>8.0000000003469449E-8</v>
      </c>
      <c r="X86">
        <v>1.0002240000000001E-2</v>
      </c>
      <c r="Y86" t="s">
        <v>65</v>
      </c>
      <c r="AC86" s="2"/>
      <c r="AG86" t="s">
        <v>79</v>
      </c>
      <c r="AH86">
        <f>1/AB81</f>
        <v>99.986915997849437</v>
      </c>
      <c r="AN86">
        <v>-1.541839999999999E-3</v>
      </c>
      <c r="AO86">
        <v>-1.5589599999999979E-3</v>
      </c>
      <c r="AP86">
        <v>-1.5435999999999989E-3</v>
      </c>
      <c r="AY86">
        <f>+SQRT((AW79^2)+(AW78^2))</f>
        <v>0.37097901616665729</v>
      </c>
    </row>
    <row r="87" spans="1:67" x14ac:dyDescent="0.25">
      <c r="A87" s="1" t="s">
        <v>159</v>
      </c>
      <c r="B87">
        <v>1.318184E-2</v>
      </c>
      <c r="C87">
        <v>1.816272E-2</v>
      </c>
      <c r="D87">
        <v>2.3181839999999999E-2</v>
      </c>
      <c r="E87">
        <v>2.8166719999999999E-2</v>
      </c>
      <c r="F87" t="s">
        <v>65</v>
      </c>
      <c r="G87" t="s">
        <v>65</v>
      </c>
      <c r="H87" t="s">
        <v>65</v>
      </c>
      <c r="I87" t="s">
        <v>65</v>
      </c>
      <c r="J87" t="s">
        <v>66</v>
      </c>
      <c r="K87">
        <v>9.9999999999999985E-3</v>
      </c>
      <c r="L87">
        <v>1.0004000000000001E-2</v>
      </c>
      <c r="M87" t="s">
        <v>65</v>
      </c>
      <c r="N87" t="s">
        <v>65</v>
      </c>
      <c r="O87" t="s">
        <v>65</v>
      </c>
      <c r="P87" t="s">
        <v>67</v>
      </c>
      <c r="Q87">
        <v>3.4694469519536142E-18</v>
      </c>
      <c r="R87">
        <f t="shared" si="5"/>
        <v>1.0000000000000001E-5</v>
      </c>
      <c r="U87">
        <v>8.0000000003469449E-8</v>
      </c>
      <c r="V87">
        <v>8.0000000003469449E-8</v>
      </c>
      <c r="X87">
        <v>9.9999999999999985E-3</v>
      </c>
      <c r="Y87">
        <v>1.0004000000000001E-2</v>
      </c>
      <c r="BA87" t="s">
        <v>82</v>
      </c>
    </row>
    <row r="88" spans="1:67" x14ac:dyDescent="0.25">
      <c r="A88" s="1" t="s">
        <v>160</v>
      </c>
      <c r="B88">
        <v>1.343928E-2</v>
      </c>
      <c r="C88">
        <v>1.8440399999999999E-2</v>
      </c>
      <c r="D88">
        <v>2.3440160000000002E-2</v>
      </c>
      <c r="E88">
        <v>2.8440320000000002E-2</v>
      </c>
      <c r="F88" t="s">
        <v>65</v>
      </c>
      <c r="G88" t="s">
        <v>65</v>
      </c>
      <c r="H88" t="s">
        <v>65</v>
      </c>
      <c r="I88" t="s">
        <v>65</v>
      </c>
      <c r="J88" t="s">
        <v>66</v>
      </c>
      <c r="K88">
        <v>1.000088E-2</v>
      </c>
      <c r="L88">
        <v>9.9999200000000024E-3</v>
      </c>
      <c r="M88" t="s">
        <v>65</v>
      </c>
      <c r="N88" t="s">
        <v>65</v>
      </c>
      <c r="O88" t="s">
        <v>65</v>
      </c>
      <c r="P88" t="s">
        <v>67</v>
      </c>
      <c r="Q88">
        <v>3.4694469519536142E-18</v>
      </c>
      <c r="R88">
        <f t="shared" si="5"/>
        <v>1.0000000000000001E-5</v>
      </c>
      <c r="U88">
        <v>8.0000000003469449E-8</v>
      </c>
      <c r="V88">
        <v>8.0000000003469449E-8</v>
      </c>
      <c r="X88">
        <v>1.000088E-2</v>
      </c>
      <c r="Y88">
        <v>9.9999200000000024E-3</v>
      </c>
      <c r="AG88" t="s">
        <v>176</v>
      </c>
      <c r="AH88">
        <f>+(1/(AB81^2))</f>
        <v>9997.3833707609992</v>
      </c>
      <c r="AI88">
        <f>+AH88*AC78</f>
        <v>0.1017067859876826</v>
      </c>
      <c r="AN88">
        <v>-1.5458399999999999E-3</v>
      </c>
      <c r="AO88">
        <v>-1.547679999999999E-3</v>
      </c>
      <c r="AP88">
        <v>-1.5587999999999991E-3</v>
      </c>
      <c r="AY88">
        <f>+AY86*(PI()/180)</f>
        <v>6.4748052879174426E-3</v>
      </c>
      <c r="BM88" t="str">
        <f>BH92&amp;" ± "&amp; BN93</f>
        <v>0,00233599886613982 ± 0,000032549519316894</v>
      </c>
    </row>
    <row r="89" spans="1:67" x14ac:dyDescent="0.25">
      <c r="A89" s="1" t="s">
        <v>162</v>
      </c>
      <c r="B89">
        <v>1.4985119999999999E-2</v>
      </c>
      <c r="C89">
        <v>1.9988079999999998E-2</v>
      </c>
      <c r="D89">
        <v>2.4998960000000001E-2</v>
      </c>
      <c r="E89" t="s">
        <v>65</v>
      </c>
      <c r="F89" t="s">
        <v>65</v>
      </c>
      <c r="G89" t="s">
        <v>65</v>
      </c>
      <c r="H89" t="s">
        <v>65</v>
      </c>
      <c r="I89" t="s">
        <v>65</v>
      </c>
      <c r="J89" t="s">
        <v>66</v>
      </c>
      <c r="K89">
        <v>1.001384E-2</v>
      </c>
      <c r="L89" t="s">
        <v>65</v>
      </c>
      <c r="M89" t="s">
        <v>65</v>
      </c>
      <c r="N89" t="s">
        <v>65</v>
      </c>
      <c r="O89" t="s">
        <v>65</v>
      </c>
      <c r="P89" t="s">
        <v>67</v>
      </c>
      <c r="Q89">
        <v>3.4694469519536142E-18</v>
      </c>
      <c r="R89">
        <f t="shared" si="5"/>
        <v>1.0000000000000001E-5</v>
      </c>
      <c r="U89">
        <v>8.0000000003469449E-8</v>
      </c>
      <c r="V89">
        <v>8.0000000003469449E-8</v>
      </c>
      <c r="X89">
        <v>1.001384E-2</v>
      </c>
      <c r="Y89" t="s">
        <v>65</v>
      </c>
      <c r="AJ89" t="str">
        <f>AH86 &amp; " ± " &amp; AI88</f>
        <v>99,9869159978494 ± 0,101706785987683</v>
      </c>
      <c r="BB89" t="str">
        <f>AZ84 &amp; " ± " &amp; AY86</f>
        <v>-55,7293474168237 ± 0,370979016166657</v>
      </c>
    </row>
    <row r="90" spans="1:67" x14ac:dyDescent="0.25">
      <c r="A90" s="1" t="s">
        <v>164</v>
      </c>
      <c r="B90">
        <v>1.350808E-2</v>
      </c>
      <c r="C90">
        <v>1.8505440000000001E-2</v>
      </c>
      <c r="D90">
        <v>2.350936E-2</v>
      </c>
      <c r="E90">
        <v>2.8504720000000001E-2</v>
      </c>
      <c r="F90" t="s">
        <v>65</v>
      </c>
      <c r="G90" t="s">
        <v>65</v>
      </c>
      <c r="H90" t="s">
        <v>65</v>
      </c>
      <c r="I90" t="s">
        <v>65</v>
      </c>
      <c r="J90" t="s">
        <v>66</v>
      </c>
      <c r="K90">
        <v>1.000128E-2</v>
      </c>
      <c r="L90">
        <v>9.9992799999999993E-3</v>
      </c>
      <c r="M90" t="s">
        <v>65</v>
      </c>
      <c r="N90" t="s">
        <v>65</v>
      </c>
      <c r="O90" t="s">
        <v>65</v>
      </c>
      <c r="P90" t="s">
        <v>67</v>
      </c>
      <c r="Q90">
        <v>3.4694469519536142E-18</v>
      </c>
      <c r="R90">
        <f t="shared" si="5"/>
        <v>1.0000000000000001E-5</v>
      </c>
      <c r="U90">
        <v>8.0000000003469449E-8</v>
      </c>
      <c r="V90">
        <v>8.0000000003469449E-8</v>
      </c>
      <c r="X90">
        <v>1.000128E-2</v>
      </c>
      <c r="Y90">
        <v>9.9992799999999993E-3</v>
      </c>
      <c r="AN90">
        <v>-1.5417600000000001E-3</v>
      </c>
      <c r="AO90">
        <v>-1.547839999999998E-3</v>
      </c>
      <c r="AP90">
        <v>-1.5262400000000021E-3</v>
      </c>
      <c r="BM90" s="3">
        <f>+BH92</f>
        <v>2.3359988661398215E-3</v>
      </c>
      <c r="BN90" s="8" t="s">
        <v>182</v>
      </c>
      <c r="BO90" s="7">
        <f>+BN93</f>
        <v>3.2549519316894042E-5</v>
      </c>
    </row>
    <row r="91" spans="1:67" x14ac:dyDescent="0.25">
      <c r="A91" s="1" t="s">
        <v>165</v>
      </c>
      <c r="B91">
        <v>1.504984E-2</v>
      </c>
      <c r="C91">
        <v>2.005328E-2</v>
      </c>
      <c r="D91">
        <v>2.5035600000000002E-2</v>
      </c>
      <c r="E91" t="s">
        <v>65</v>
      </c>
      <c r="F91" t="s">
        <v>65</v>
      </c>
      <c r="G91" t="s">
        <v>65</v>
      </c>
      <c r="H91" t="s">
        <v>65</v>
      </c>
      <c r="I91" t="s">
        <v>65</v>
      </c>
      <c r="J91" t="s">
        <v>66</v>
      </c>
      <c r="K91">
        <v>9.9857600000000015E-3</v>
      </c>
      <c r="L91" t="s">
        <v>65</v>
      </c>
      <c r="M91" t="s">
        <v>65</v>
      </c>
      <c r="N91" t="s">
        <v>65</v>
      </c>
      <c r="O91" t="s">
        <v>65</v>
      </c>
      <c r="P91" t="s">
        <v>67</v>
      </c>
      <c r="Q91">
        <v>3.4694469519536142E-18</v>
      </c>
      <c r="R91">
        <f t="shared" si="5"/>
        <v>1.0000000000000001E-5</v>
      </c>
      <c r="U91">
        <v>8.0000000003469449E-8</v>
      </c>
      <c r="V91">
        <v>8.0000000003469449E-8</v>
      </c>
      <c r="X91">
        <v>9.9857600000000015E-3</v>
      </c>
      <c r="Y91" t="s">
        <v>65</v>
      </c>
    </row>
    <row r="92" spans="1:67" x14ac:dyDescent="0.25">
      <c r="A92" s="1" t="s">
        <v>167</v>
      </c>
      <c r="B92">
        <v>1.3994879999999999E-2</v>
      </c>
      <c r="C92">
        <v>1.899344E-2</v>
      </c>
      <c r="D92">
        <v>2.39948E-2</v>
      </c>
      <c r="E92" t="s">
        <v>65</v>
      </c>
      <c r="F92" t="s">
        <v>65</v>
      </c>
      <c r="G92" t="s">
        <v>65</v>
      </c>
      <c r="H92" t="s">
        <v>65</v>
      </c>
      <c r="I92" t="s">
        <v>65</v>
      </c>
      <c r="J92" t="s">
        <v>66</v>
      </c>
      <c r="K92">
        <v>9.9999200000000007E-3</v>
      </c>
      <c r="L92" t="s">
        <v>65</v>
      </c>
      <c r="M92" t="s">
        <v>65</v>
      </c>
      <c r="N92" t="s">
        <v>65</v>
      </c>
      <c r="O92" t="s">
        <v>65</v>
      </c>
      <c r="P92" t="s">
        <v>67</v>
      </c>
      <c r="Q92">
        <v>3.4694469519536142E-18</v>
      </c>
      <c r="R92">
        <f t="shared" si="5"/>
        <v>1.0000000000000001E-5</v>
      </c>
      <c r="U92">
        <v>8.0000000003469449E-8</v>
      </c>
      <c r="V92">
        <v>8.0000000003469449E-8</v>
      </c>
      <c r="X92">
        <v>9.9999200000000007E-3</v>
      </c>
      <c r="Y92" t="s">
        <v>65</v>
      </c>
      <c r="AN92">
        <v>-1.5515200000000009E-3</v>
      </c>
      <c r="AO92">
        <v>-1.5461600000000011E-3</v>
      </c>
      <c r="AP92">
        <v>-1.544719999999999E-3</v>
      </c>
      <c r="BG92" t="s">
        <v>179</v>
      </c>
      <c r="BH92">
        <f>+ABS(TAN(AY84)/(2*PI()*AH86))</f>
        <v>2.3359988661398215E-3</v>
      </c>
      <c r="BJ92" t="s">
        <v>180</v>
      </c>
      <c r="BK92">
        <f>+(1/((COS(AZ84*(PI()/180))^2))*(1/(2*PI()*AH86)))</f>
        <v>5.0199746384063148E-3</v>
      </c>
      <c r="BL92">
        <f>+BK92*AY88</f>
        <v>3.2503358333964657E-5</v>
      </c>
    </row>
    <row r="93" spans="1:67" x14ac:dyDescent="0.25">
      <c r="A93" s="1" t="s">
        <v>168</v>
      </c>
      <c r="B93">
        <v>1.55464E-2</v>
      </c>
      <c r="C93">
        <v>2.0539600000000002E-2</v>
      </c>
      <c r="D93">
        <v>2.553952E-2</v>
      </c>
      <c r="E93" t="s">
        <v>65</v>
      </c>
      <c r="F93" t="s">
        <v>65</v>
      </c>
      <c r="G93" t="s">
        <v>65</v>
      </c>
      <c r="H93" t="s">
        <v>65</v>
      </c>
      <c r="I93" t="s">
        <v>65</v>
      </c>
      <c r="J93" t="s">
        <v>66</v>
      </c>
      <c r="K93">
        <v>9.9931199999999994E-3</v>
      </c>
      <c r="L93" t="s">
        <v>65</v>
      </c>
      <c r="M93" t="s">
        <v>65</v>
      </c>
      <c r="N93" t="s">
        <v>65</v>
      </c>
      <c r="O93" t="s">
        <v>65</v>
      </c>
      <c r="P93" t="s">
        <v>67</v>
      </c>
      <c r="Q93">
        <v>3.4694469519536142E-18</v>
      </c>
      <c r="R93">
        <f t="shared" si="5"/>
        <v>1.0000000000000001E-5</v>
      </c>
      <c r="U93">
        <v>8.0000000003469449E-8</v>
      </c>
      <c r="V93">
        <v>8.0000000003469449E-8</v>
      </c>
      <c r="X93">
        <v>9.9931199999999994E-3</v>
      </c>
      <c r="Y93" t="s">
        <v>65</v>
      </c>
      <c r="BJ93" t="s">
        <v>181</v>
      </c>
      <c r="BK93">
        <f>+(TAN(AZ84))/(2*PI()*(AH86^2))</f>
        <v>1.7038087715588568E-5</v>
      </c>
      <c r="BL93">
        <f>+BK93*AI88</f>
        <v>1.7328891409287305E-6</v>
      </c>
      <c r="BN93">
        <f>+SQRT((BL93^2)+(BL92^2))</f>
        <v>3.2549519316894042E-5</v>
      </c>
    </row>
    <row r="94" spans="1:67" x14ac:dyDescent="0.25">
      <c r="A94" s="1" t="s">
        <v>169</v>
      </c>
      <c r="B94">
        <v>1.3996720000000001E-2</v>
      </c>
      <c r="C94">
        <v>1.8993679999999999E-2</v>
      </c>
      <c r="D94">
        <v>2.3995039999999999E-2</v>
      </c>
      <c r="E94" t="s">
        <v>65</v>
      </c>
      <c r="F94" t="s">
        <v>65</v>
      </c>
      <c r="G94" t="s">
        <v>65</v>
      </c>
      <c r="H94" t="s">
        <v>65</v>
      </c>
      <c r="I94" t="s">
        <v>65</v>
      </c>
      <c r="J94" t="s">
        <v>66</v>
      </c>
      <c r="K94">
        <v>9.998319999999998E-3</v>
      </c>
      <c r="L94" t="s">
        <v>65</v>
      </c>
      <c r="M94" t="s">
        <v>65</v>
      </c>
      <c r="N94" t="s">
        <v>65</v>
      </c>
      <c r="O94" t="s">
        <v>65</v>
      </c>
      <c r="P94" t="s">
        <v>67</v>
      </c>
      <c r="Q94">
        <v>3.4694469519536142E-18</v>
      </c>
      <c r="R94">
        <f t="shared" si="5"/>
        <v>1.0000000000000001E-5</v>
      </c>
      <c r="U94">
        <v>8.0000000003469449E-8</v>
      </c>
      <c r="V94">
        <v>8.0000000003469449E-8</v>
      </c>
      <c r="X94">
        <v>9.998319999999998E-3</v>
      </c>
      <c r="Y94" t="s">
        <v>65</v>
      </c>
      <c r="AN94">
        <v>-1.5310399999999989E-3</v>
      </c>
      <c r="AO94">
        <v>-1.5424800000000021E-3</v>
      </c>
      <c r="AP94">
        <v>-1.535600000000002E-3</v>
      </c>
    </row>
    <row r="95" spans="1:67" x14ac:dyDescent="0.25">
      <c r="A95" s="1" t="s">
        <v>170</v>
      </c>
      <c r="B95">
        <v>1.552776E-2</v>
      </c>
      <c r="C95">
        <v>2.0536160000000001E-2</v>
      </c>
      <c r="D95">
        <v>2.553064E-2</v>
      </c>
      <c r="E95" t="s">
        <v>65</v>
      </c>
      <c r="F95" t="s">
        <v>65</v>
      </c>
      <c r="G95" t="s">
        <v>65</v>
      </c>
      <c r="H95" t="s">
        <v>65</v>
      </c>
      <c r="I95" t="s">
        <v>65</v>
      </c>
      <c r="J95" t="s">
        <v>66</v>
      </c>
      <c r="K95">
        <v>1.000288E-2</v>
      </c>
      <c r="L95" t="s">
        <v>65</v>
      </c>
      <c r="M95" t="s">
        <v>65</v>
      </c>
      <c r="N95" t="s">
        <v>65</v>
      </c>
      <c r="O95" t="s">
        <v>65</v>
      </c>
      <c r="P95" t="s">
        <v>67</v>
      </c>
      <c r="Q95">
        <v>3.4694469519536142E-18</v>
      </c>
      <c r="R95">
        <f t="shared" si="5"/>
        <v>1.0000000000000001E-5</v>
      </c>
      <c r="U95">
        <v>8.0000000003469449E-8</v>
      </c>
      <c r="V95">
        <v>8.0000000003469449E-8</v>
      </c>
      <c r="X95">
        <v>1.000288E-2</v>
      </c>
      <c r="Y95" t="s">
        <v>65</v>
      </c>
      <c r="BM95">
        <f>+BH92+(2.04*BN93)</f>
        <v>2.4023998855462851E-3</v>
      </c>
    </row>
    <row r="96" spans="1:67" x14ac:dyDescent="0.25">
      <c r="A96" s="1" t="s">
        <v>171</v>
      </c>
      <c r="B96">
        <v>1.411576E-2</v>
      </c>
      <c r="C96">
        <v>1.9117760000000001E-2</v>
      </c>
      <c r="D96">
        <v>2.4117360000000001E-2</v>
      </c>
      <c r="E96" t="s">
        <v>65</v>
      </c>
      <c r="F96" t="s">
        <v>65</v>
      </c>
      <c r="G96" t="s">
        <v>65</v>
      </c>
      <c r="H96" t="s">
        <v>65</v>
      </c>
      <c r="I96" t="s">
        <v>65</v>
      </c>
      <c r="J96" t="s">
        <v>66</v>
      </c>
      <c r="K96">
        <v>1.0001599999999999E-2</v>
      </c>
      <c r="L96" t="s">
        <v>65</v>
      </c>
      <c r="M96" t="s">
        <v>65</v>
      </c>
      <c r="N96" t="s">
        <v>65</v>
      </c>
      <c r="O96" t="s">
        <v>65</v>
      </c>
      <c r="P96" t="s">
        <v>67</v>
      </c>
      <c r="Q96">
        <v>3.4694469519536142E-18</v>
      </c>
      <c r="R96">
        <f t="shared" si="5"/>
        <v>1.0000000000000001E-5</v>
      </c>
      <c r="U96">
        <v>8.0000000003469449E-8</v>
      </c>
      <c r="V96">
        <v>8.0000000003469449E-8</v>
      </c>
      <c r="X96">
        <v>1.0001599999999999E-2</v>
      </c>
      <c r="Y96" t="s">
        <v>65</v>
      </c>
      <c r="AN96">
        <v>-1.53736E-3</v>
      </c>
      <c r="AO96">
        <v>-1.5615200000000001E-3</v>
      </c>
      <c r="AP96">
        <v>-1.540799999999998E-3</v>
      </c>
    </row>
    <row r="97" spans="1:64" x14ac:dyDescent="0.25">
      <c r="A97" s="1" t="s">
        <v>172</v>
      </c>
      <c r="B97">
        <v>1.565312E-2</v>
      </c>
      <c r="C97">
        <v>2.0679280000000001E-2</v>
      </c>
      <c r="D97">
        <v>2.5658159999999999E-2</v>
      </c>
      <c r="E97" t="s">
        <v>65</v>
      </c>
      <c r="F97" t="s">
        <v>65</v>
      </c>
      <c r="G97" t="s">
        <v>65</v>
      </c>
      <c r="H97" t="s">
        <v>65</v>
      </c>
      <c r="I97" t="s">
        <v>65</v>
      </c>
      <c r="J97" t="s">
        <v>66</v>
      </c>
      <c r="K97">
        <v>1.000504E-2</v>
      </c>
      <c r="L97" t="s">
        <v>65</v>
      </c>
      <c r="M97" t="s">
        <v>65</v>
      </c>
      <c r="N97" t="s">
        <v>65</v>
      </c>
      <c r="O97" t="s">
        <v>65</v>
      </c>
      <c r="P97" t="s">
        <v>67</v>
      </c>
      <c r="Q97">
        <v>3.4694469519536142E-18</v>
      </c>
      <c r="R97">
        <f t="shared" si="5"/>
        <v>1.0000000000000001E-5</v>
      </c>
      <c r="U97">
        <v>8.0000000003469449E-8</v>
      </c>
      <c r="V97">
        <v>8.0000000003469449E-8</v>
      </c>
      <c r="X97">
        <v>1.000504E-2</v>
      </c>
      <c r="Y97" t="s">
        <v>65</v>
      </c>
    </row>
    <row r="98" spans="1:64" x14ac:dyDescent="0.25">
      <c r="A98" s="1" t="s">
        <v>173</v>
      </c>
      <c r="B98">
        <v>1.307608E-2</v>
      </c>
      <c r="C98">
        <v>1.8077360000000001E-2</v>
      </c>
      <c r="D98">
        <v>2.3077520000000001E-2</v>
      </c>
      <c r="E98">
        <v>2.807728E-2</v>
      </c>
      <c r="F98" t="s">
        <v>65</v>
      </c>
      <c r="G98" t="s">
        <v>65</v>
      </c>
      <c r="H98" t="s">
        <v>65</v>
      </c>
      <c r="I98" t="s">
        <v>65</v>
      </c>
      <c r="J98" t="s">
        <v>66</v>
      </c>
      <c r="K98">
        <v>1.000144E-2</v>
      </c>
      <c r="L98">
        <v>9.9999199999999989E-3</v>
      </c>
      <c r="M98" t="s">
        <v>65</v>
      </c>
      <c r="N98" t="s">
        <v>65</v>
      </c>
      <c r="O98" t="s">
        <v>65</v>
      </c>
      <c r="P98" t="s">
        <v>67</v>
      </c>
      <c r="Q98">
        <v>3.4694469519536142E-18</v>
      </c>
      <c r="R98">
        <f t="shared" si="5"/>
        <v>1.0000000000000001E-5</v>
      </c>
      <c r="U98">
        <v>8.0000000003469449E-8</v>
      </c>
      <c r="V98">
        <v>8.0000000003469449E-8</v>
      </c>
      <c r="X98">
        <v>1.000144E-2</v>
      </c>
      <c r="Y98">
        <v>9.9999199999999989E-3</v>
      </c>
      <c r="AN98">
        <v>-1.5408799999999999E-3</v>
      </c>
      <c r="AO98">
        <v>-1.547199999999999E-3</v>
      </c>
      <c r="AP98">
        <v>-1.5553599999999989E-3</v>
      </c>
    </row>
    <row r="99" spans="1:64" x14ac:dyDescent="0.25">
      <c r="A99" s="1" t="s">
        <v>174</v>
      </c>
      <c r="B99">
        <v>1.461696E-2</v>
      </c>
      <c r="C99">
        <v>1.9624559999999999E-2</v>
      </c>
      <c r="D99">
        <v>2.4632879999999999E-2</v>
      </c>
      <c r="E99" t="s">
        <v>65</v>
      </c>
      <c r="F99" t="s">
        <v>65</v>
      </c>
      <c r="G99" t="s">
        <v>65</v>
      </c>
      <c r="H99" t="s">
        <v>65</v>
      </c>
      <c r="I99" t="s">
        <v>65</v>
      </c>
      <c r="J99" t="s">
        <v>66</v>
      </c>
      <c r="K99">
        <v>1.0015919999999999E-2</v>
      </c>
      <c r="L99" t="s">
        <v>65</v>
      </c>
      <c r="M99" t="s">
        <v>65</v>
      </c>
      <c r="N99" t="s">
        <v>65</v>
      </c>
      <c r="O99" t="s">
        <v>65</v>
      </c>
      <c r="P99" t="s">
        <v>67</v>
      </c>
      <c r="Q99">
        <v>3.4694469519536142E-18</v>
      </c>
      <c r="R99">
        <f t="shared" si="5"/>
        <v>1.0000000000000001E-5</v>
      </c>
      <c r="U99">
        <v>8.0000000003469449E-8</v>
      </c>
      <c r="V99">
        <v>8.0000000003469449E-8</v>
      </c>
      <c r="X99">
        <v>1.0015919999999999E-2</v>
      </c>
      <c r="Y99" t="s">
        <v>65</v>
      </c>
    </row>
    <row r="100" spans="1:64" x14ac:dyDescent="0.25">
      <c r="A100" s="1"/>
    </row>
    <row r="101" spans="1:64" x14ac:dyDescent="0.25">
      <c r="A101" s="1"/>
    </row>
    <row r="102" spans="1:64" x14ac:dyDescent="0.25">
      <c r="A102" s="1"/>
    </row>
    <row r="107" spans="1:64" x14ac:dyDescent="0.25">
      <c r="AR107">
        <v>-55.546576843991808</v>
      </c>
      <c r="AS107">
        <v>-55.877811292374354</v>
      </c>
      <c r="AT107">
        <v>-55.114531911318871</v>
      </c>
    </row>
    <row r="109" spans="1:64" x14ac:dyDescent="0.25">
      <c r="AR109">
        <v>-56.22768285659437</v>
      </c>
      <c r="AS109">
        <v>-55.599923209829143</v>
      </c>
      <c r="AT109">
        <v>-55.490497216356331</v>
      </c>
    </row>
    <row r="111" spans="1:64" x14ac:dyDescent="0.25">
      <c r="AR111">
        <v>-56.582454680725178</v>
      </c>
      <c r="AS111">
        <v>-56.196540855346313</v>
      </c>
      <c r="AT111">
        <v>-56.334778643541753</v>
      </c>
      <c r="AV111" t="s">
        <v>77</v>
      </c>
      <c r="AW111">
        <v>-2.879623180862947E-3</v>
      </c>
      <c r="BK111" t="s">
        <v>75</v>
      </c>
      <c r="BL111">
        <v>6.072125888946104E-8</v>
      </c>
    </row>
    <row r="112" spans="1:64" x14ac:dyDescent="0.25">
      <c r="AY112">
        <v>1.3309404452944091E-2</v>
      </c>
    </row>
    <row r="113" spans="44:65" x14ac:dyDescent="0.25">
      <c r="AR113">
        <v>-55.801742274556233</v>
      </c>
      <c r="AS113">
        <v>-56.579286291386957</v>
      </c>
      <c r="AT113">
        <v>-55.839179579070283</v>
      </c>
      <c r="AV113" t="s">
        <v>81</v>
      </c>
      <c r="AW113">
        <v>1.042978127208114E-2</v>
      </c>
      <c r="BA113" t="s">
        <v>82</v>
      </c>
    </row>
    <row r="114" spans="44:65" x14ac:dyDescent="0.25">
      <c r="BH114" t="s">
        <v>161</v>
      </c>
      <c r="BK114">
        <v>1.2145840939982E-9</v>
      </c>
      <c r="BM114">
        <v>2.2727414756001471E-11</v>
      </c>
    </row>
    <row r="115" spans="44:65" x14ac:dyDescent="0.25">
      <c r="AR115">
        <v>-55.493809386697343</v>
      </c>
      <c r="AS115">
        <v>-56.10999136193486</v>
      </c>
      <c r="AT115">
        <v>-55.55715519723578</v>
      </c>
      <c r="BB115" t="s">
        <v>163</v>
      </c>
    </row>
    <row r="116" spans="44:65" x14ac:dyDescent="0.25">
      <c r="AV116">
        <v>-1.4676438729899</v>
      </c>
    </row>
    <row r="117" spans="44:65" x14ac:dyDescent="0.25">
      <c r="AR117">
        <v>-55.645343209797517</v>
      </c>
      <c r="AS117">
        <v>-55.711577381190423</v>
      </c>
      <c r="AT117">
        <v>-56.111862156130229</v>
      </c>
      <c r="BH117" t="s">
        <v>166</v>
      </c>
      <c r="BK117">
        <v>-7.8447180230539303E-7</v>
      </c>
      <c r="BM117">
        <v>-1.044085249881248E-8</v>
      </c>
    </row>
    <row r="119" spans="44:65" x14ac:dyDescent="0.25">
      <c r="AR119">
        <v>-55.496256479170661</v>
      </c>
      <c r="AS119">
        <v>-55.715108466116277</v>
      </c>
      <c r="AT119">
        <v>-54.937607986177838</v>
      </c>
      <c r="BG119" t="s">
        <v>75</v>
      </c>
      <c r="BH119">
        <v>-2.336133430597063E-3</v>
      </c>
    </row>
    <row r="121" spans="44:65" x14ac:dyDescent="0.25">
      <c r="AR121">
        <v>-55.85516684133475</v>
      </c>
      <c r="AS121">
        <v>-55.662205297642423</v>
      </c>
      <c r="AT121">
        <v>-55.610364882919043</v>
      </c>
    </row>
    <row r="123" spans="44:65" x14ac:dyDescent="0.25">
      <c r="AR123">
        <v>-55.126701285815997</v>
      </c>
      <c r="AS123">
        <v>-55.538610486561844</v>
      </c>
      <c r="AT123">
        <v>-55.290888869330118</v>
      </c>
      <c r="BI123">
        <v>-0.31582800506815489</v>
      </c>
    </row>
    <row r="124" spans="44:65" x14ac:dyDescent="0.25">
      <c r="BI124">
        <v>-0.29956249858228529</v>
      </c>
    </row>
    <row r="125" spans="44:65" x14ac:dyDescent="0.25">
      <c r="AR125">
        <v>-55.336106223004307</v>
      </c>
      <c r="AS125">
        <v>-56.205727083666631</v>
      </c>
      <c r="AT125">
        <v>-55.45992641177407</v>
      </c>
      <c r="BI125">
        <v>-0.3211823983259951</v>
      </c>
    </row>
    <row r="127" spans="44:65" x14ac:dyDescent="0.25">
      <c r="AR127">
        <v>-55.463693228175131</v>
      </c>
      <c r="AS127">
        <v>-55.69118047001227</v>
      </c>
      <c r="AT127">
        <v>-55.984898174662803</v>
      </c>
    </row>
    <row r="128" spans="44:65" x14ac:dyDescent="0.25">
      <c r="AR128" t="s">
        <v>175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129C-1E81-4F16-8507-E278EB723E7F}">
  <dimension ref="A4:AL26"/>
  <sheetViews>
    <sheetView topLeftCell="R1" workbookViewId="0">
      <selection activeCell="AF6" sqref="AF6"/>
    </sheetView>
  </sheetViews>
  <sheetFormatPr defaultRowHeight="15" x14ac:dyDescent="0.25"/>
  <cols>
    <col min="1" max="1" width="25.85546875" customWidth="1"/>
    <col min="2" max="2" width="26.5703125" customWidth="1"/>
    <col min="3" max="3" width="19.85546875" customWidth="1"/>
    <col min="4" max="4" width="18.7109375" customWidth="1"/>
    <col min="5" max="5" width="10.42578125" customWidth="1"/>
    <col min="6" max="6" width="10.28515625" customWidth="1"/>
    <col min="7" max="7" width="11.140625" customWidth="1"/>
    <col min="8" max="8" width="11.7109375" customWidth="1"/>
    <col min="9" max="9" width="35.42578125" customWidth="1"/>
    <col min="10" max="10" width="14.85546875" customWidth="1"/>
    <col min="13" max="13" width="12" bestFit="1" customWidth="1"/>
    <col min="14" max="14" width="12.85546875" customWidth="1"/>
    <col min="15" max="15" width="12" bestFit="1" customWidth="1"/>
    <col min="20" max="20" width="14.5703125" customWidth="1"/>
    <col min="21" max="21" width="12" bestFit="1" customWidth="1"/>
    <col min="25" max="25" width="18.28515625" customWidth="1"/>
    <col min="29" max="29" width="15" customWidth="1"/>
    <col min="30" max="30" width="13.5703125" customWidth="1"/>
    <col min="31" max="31" width="10.42578125" customWidth="1"/>
    <col min="32" max="32" width="11" customWidth="1"/>
    <col min="35" max="35" width="10.28515625" bestFit="1" customWidth="1"/>
    <col min="36" max="36" width="23.42578125" customWidth="1"/>
    <col min="37" max="37" width="21" customWidth="1"/>
    <col min="38" max="38" width="17.140625" customWidth="1"/>
  </cols>
  <sheetData>
    <row r="4" spans="1:38" ht="58.5" customHeight="1" x14ac:dyDescent="0.25">
      <c r="A4" s="23" t="s">
        <v>261</v>
      </c>
      <c r="B4" s="1" t="s">
        <v>244</v>
      </c>
      <c r="C4" t="s">
        <v>256</v>
      </c>
      <c r="D4" t="s">
        <v>257</v>
      </c>
      <c r="E4" s="31" t="s">
        <v>262</v>
      </c>
      <c r="F4" s="23" t="s">
        <v>272</v>
      </c>
      <c r="G4" t="s">
        <v>219</v>
      </c>
      <c r="H4" t="s">
        <v>220</v>
      </c>
      <c r="I4" s="23" t="s">
        <v>273</v>
      </c>
      <c r="J4" s="31" t="s">
        <v>263</v>
      </c>
      <c r="K4" s="21" t="s">
        <v>258</v>
      </c>
      <c r="L4" s="21" t="s">
        <v>259</v>
      </c>
      <c r="M4" s="21" t="s">
        <v>260</v>
      </c>
      <c r="N4" s="23" t="s">
        <v>264</v>
      </c>
      <c r="O4" s="31" t="s">
        <v>265</v>
      </c>
      <c r="P4" s="42" t="s">
        <v>283</v>
      </c>
      <c r="Q4" s="43" t="s">
        <v>266</v>
      </c>
      <c r="R4" s="42" t="s">
        <v>267</v>
      </c>
      <c r="S4" s="43" t="s">
        <v>269</v>
      </c>
      <c r="T4" s="42" t="s">
        <v>282</v>
      </c>
      <c r="U4" s="44" t="s">
        <v>271</v>
      </c>
      <c r="V4" s="49" t="s">
        <v>281</v>
      </c>
      <c r="W4" s="62" t="s">
        <v>276</v>
      </c>
      <c r="X4" s="62"/>
      <c r="Y4" s="62"/>
      <c r="AC4" s="31" t="s">
        <v>285</v>
      </c>
      <c r="AD4" s="23" t="s">
        <v>277</v>
      </c>
      <c r="AE4" s="21" t="s">
        <v>278</v>
      </c>
      <c r="AF4" s="44" t="s">
        <v>271</v>
      </c>
      <c r="AG4" s="21" t="s">
        <v>279</v>
      </c>
      <c r="AH4" s="44" t="s">
        <v>274</v>
      </c>
      <c r="AI4" s="49" t="s">
        <v>280</v>
      </c>
      <c r="AJ4" s="62" t="s">
        <v>284</v>
      </c>
      <c r="AK4" s="62"/>
      <c r="AL4" s="62"/>
    </row>
    <row r="5" spans="1:38" x14ac:dyDescent="0.25">
      <c r="A5">
        <v>0.05</v>
      </c>
      <c r="B5" s="1" t="s">
        <v>245</v>
      </c>
      <c r="C5">
        <v>7.2</v>
      </c>
      <c r="D5">
        <v>1.1499999999999999</v>
      </c>
      <c r="E5">
        <f>+C5/D5</f>
        <v>6.2608695652173916</v>
      </c>
      <c r="F5" s="10">
        <f>+AVERAGE(E5:E15)</f>
        <v>6.463708228530364</v>
      </c>
      <c r="G5">
        <f>+_xlfn.STDEV.S(E5:E15)/SQRT(11)</f>
        <v>3.9488189833378713E-2</v>
      </c>
      <c r="H5" s="10">
        <f>+SQRT((G5^2)+(A5^2))</f>
        <v>6.3712770590494294E-2</v>
      </c>
      <c r="I5" t="str">
        <f>F5 &amp; " ± " &amp; H5</f>
        <v>6,46370822853036 ± 0,0637127705904943</v>
      </c>
      <c r="K5">
        <f>+F5^2</f>
        <v>41.779524063571138</v>
      </c>
      <c r="L5">
        <f>(+'50Hz'!AJ3*2*PI())^2</f>
        <v>98524.52995484868</v>
      </c>
      <c r="M5">
        <f>+('50Hz'!BI3*'50Hz'!BI3)</f>
        <v>5.6441362341582916E-6</v>
      </c>
      <c r="N5" s="52">
        <f>+SQRT(K5/(1+(L5*M5)))</f>
        <v>5.1816128932144485</v>
      </c>
      <c r="P5">
        <f>+N5/F5</f>
        <v>0.801647090186275</v>
      </c>
      <c r="Q5" s="10">
        <f>+H5</f>
        <v>6.3712770590494294E-2</v>
      </c>
      <c r="R5">
        <f>+((F5^3)*(SQRT(L5))*M5)/K5</f>
        <v>1.1451211021680679E-2</v>
      </c>
      <c r="S5">
        <f>+(2+PI())*'50Hz'!AM3</f>
        <v>0.26019694818877048</v>
      </c>
      <c r="T5">
        <f>+((F5^3)*(SQRT(M5))*L5)/K5</f>
        <v>1512.9509894792322</v>
      </c>
      <c r="U5">
        <f>+'50Hz'!BP3</f>
        <v>3.7209553012924579E-5</v>
      </c>
      <c r="V5" s="52">
        <f>+(ABS(P5*Q5)+ABS(R5*S5)+ABS(T5*U5))</f>
        <v>0.11035095736146655</v>
      </c>
      <c r="W5" s="63" t="str">
        <f>N5 &amp; " ± " &amp; V5</f>
        <v>5,18161289321445 ± 0,110350957361467</v>
      </c>
      <c r="X5" s="63"/>
      <c r="Y5" s="63"/>
      <c r="AD5" s="51">
        <f>+'50Hz'!BI3*N5</f>
        <v>1.2310160311003687E-2</v>
      </c>
      <c r="AE5">
        <f>+N5</f>
        <v>5.1816128932144485</v>
      </c>
      <c r="AF5">
        <f>+'50Hz'!BP3</f>
        <v>3.7209553012924579E-5</v>
      </c>
      <c r="AG5" s="50">
        <f>+'50Hz'!BI3</f>
        <v>2.3757390921896899E-3</v>
      </c>
      <c r="AH5">
        <f>+V5</f>
        <v>0.11035095736146655</v>
      </c>
      <c r="AI5" s="52">
        <f>+(ABS(AE5*AF5)+ABS(AG5*AH5))</f>
        <v>4.5497058290671028E-4</v>
      </c>
      <c r="AJ5" s="64" t="str">
        <f>AD5 &amp; " ± " &amp; AI5</f>
        <v>0,0123101603110037 ± 0,00045497058290671</v>
      </c>
      <c r="AK5" s="64"/>
      <c r="AL5" s="64"/>
    </row>
    <row r="6" spans="1:38" x14ac:dyDescent="0.25">
      <c r="B6" s="1" t="s">
        <v>246</v>
      </c>
      <c r="C6">
        <v>7.15</v>
      </c>
      <c r="D6">
        <v>1.1000000000000001</v>
      </c>
      <c r="E6">
        <f t="shared" ref="E6:E15" si="0">+C6/D6</f>
        <v>6.5</v>
      </c>
      <c r="Q6">
        <f>+P5*Q5</f>
        <v>5.1075157151575429E-2</v>
      </c>
      <c r="S6">
        <f>+R5*S5</f>
        <v>2.9795701609069253E-3</v>
      </c>
      <c r="U6">
        <f>+T5*U5</f>
        <v>5.6296230048984187E-2</v>
      </c>
      <c r="AF6">
        <f>+AE5*AF5</f>
        <v>1.9280549964251654E-4</v>
      </c>
      <c r="AH6">
        <f>+AG5*AH5</f>
        <v>2.6216508326419374E-4</v>
      </c>
    </row>
    <row r="7" spans="1:38" x14ac:dyDescent="0.25">
      <c r="B7" s="1" t="s">
        <v>247</v>
      </c>
      <c r="C7">
        <v>7.2</v>
      </c>
      <c r="D7">
        <v>1.1000000000000001</v>
      </c>
      <c r="E7">
        <f t="shared" si="0"/>
        <v>6.545454545454545</v>
      </c>
    </row>
    <row r="8" spans="1:38" x14ac:dyDescent="0.25">
      <c r="B8" s="1" t="s">
        <v>248</v>
      </c>
      <c r="C8">
        <v>7.2</v>
      </c>
      <c r="D8">
        <v>1.1499999999999999</v>
      </c>
      <c r="E8">
        <f t="shared" si="0"/>
        <v>6.2608695652173916</v>
      </c>
      <c r="AC8" s="65" t="s">
        <v>275</v>
      </c>
      <c r="AD8" s="65"/>
      <c r="AE8" s="65"/>
    </row>
    <row r="9" spans="1:38" x14ac:dyDescent="0.25">
      <c r="B9" s="1" t="s">
        <v>249</v>
      </c>
      <c r="C9">
        <v>7.2</v>
      </c>
      <c r="D9">
        <v>1.1000000000000001</v>
      </c>
      <c r="E9">
        <f t="shared" si="0"/>
        <v>6.545454545454545</v>
      </c>
      <c r="AC9" s="65"/>
      <c r="AD9" s="65"/>
      <c r="AE9" s="65"/>
    </row>
    <row r="10" spans="1:38" x14ac:dyDescent="0.25">
      <c r="B10" s="1" t="s">
        <v>250</v>
      </c>
      <c r="C10">
        <v>7.2</v>
      </c>
      <c r="D10">
        <v>1.1000000000000001</v>
      </c>
      <c r="E10">
        <f t="shared" si="0"/>
        <v>6.545454545454545</v>
      </c>
      <c r="AC10" s="65"/>
      <c r="AD10" s="65"/>
      <c r="AE10" s="65"/>
      <c r="AK10" s="46" t="s">
        <v>239</v>
      </c>
    </row>
    <row r="11" spans="1:38" x14ac:dyDescent="0.25">
      <c r="B11" s="1" t="s">
        <v>251</v>
      </c>
      <c r="C11">
        <v>7.2</v>
      </c>
      <c r="D11">
        <v>1.1000000000000001</v>
      </c>
      <c r="E11">
        <f t="shared" si="0"/>
        <v>6.545454545454545</v>
      </c>
      <c r="AC11" s="65"/>
      <c r="AD11" s="65"/>
      <c r="AE11" s="65"/>
      <c r="AK11" s="47" t="s">
        <v>287</v>
      </c>
      <c r="AL11" s="39">
        <f>+AD5-(1.96*AI5)</f>
        <v>1.1418417968506536E-2</v>
      </c>
    </row>
    <row r="12" spans="1:38" x14ac:dyDescent="0.25">
      <c r="B12" s="1" t="s">
        <v>252</v>
      </c>
      <c r="C12">
        <v>7.2</v>
      </c>
      <c r="D12">
        <v>1.1000000000000001</v>
      </c>
      <c r="E12">
        <f t="shared" si="0"/>
        <v>6.545454545454545</v>
      </c>
      <c r="AC12" s="65"/>
      <c r="AD12" s="65"/>
      <c r="AE12" s="65"/>
      <c r="AK12" s="48" t="s">
        <v>288</v>
      </c>
      <c r="AL12" s="39">
        <f>+AD5+(1.96*AI5)</f>
        <v>1.3201902653500838E-2</v>
      </c>
    </row>
    <row r="13" spans="1:38" x14ac:dyDescent="0.25">
      <c r="B13" s="1" t="s">
        <v>253</v>
      </c>
      <c r="C13">
        <v>7.2</v>
      </c>
      <c r="D13">
        <v>1.1499999999999999</v>
      </c>
      <c r="E13">
        <f t="shared" si="0"/>
        <v>6.2608695652173916</v>
      </c>
      <c r="AC13" s="65"/>
      <c r="AD13" s="65"/>
      <c r="AE13" s="65"/>
    </row>
    <row r="14" spans="1:38" x14ac:dyDescent="0.25">
      <c r="B14" s="1" t="s">
        <v>254</v>
      </c>
      <c r="C14">
        <v>7.2</v>
      </c>
      <c r="D14">
        <v>1.1000000000000001</v>
      </c>
      <c r="E14">
        <f t="shared" si="0"/>
        <v>6.545454545454545</v>
      </c>
      <c r="AC14" s="65"/>
      <c r="AD14" s="65"/>
      <c r="AE14" s="65"/>
    </row>
    <row r="15" spans="1:38" x14ac:dyDescent="0.25">
      <c r="B15" s="1" t="s">
        <v>255</v>
      </c>
      <c r="C15">
        <v>7.2</v>
      </c>
      <c r="D15">
        <v>1.1000000000000001</v>
      </c>
      <c r="E15">
        <f t="shared" si="0"/>
        <v>6.545454545454545</v>
      </c>
      <c r="AC15" s="65"/>
      <c r="AD15" s="65"/>
      <c r="AE15" s="65"/>
    </row>
    <row r="16" spans="1:38" x14ac:dyDescent="0.25">
      <c r="AC16" s="65"/>
      <c r="AD16" s="65"/>
      <c r="AE16" s="65"/>
    </row>
    <row r="17" spans="8:31" x14ac:dyDescent="0.25">
      <c r="AC17" s="65"/>
      <c r="AD17" s="65"/>
      <c r="AE17" s="65"/>
    </row>
    <row r="21" spans="8:31" ht="15" customHeight="1" x14ac:dyDescent="0.25">
      <c r="H21" s="61" t="s">
        <v>270</v>
      </c>
      <c r="I21" s="61"/>
      <c r="J21" s="61"/>
      <c r="K21" s="61"/>
      <c r="L21" s="61"/>
    </row>
    <row r="22" spans="8:31" x14ac:dyDescent="0.25">
      <c r="H22" s="61"/>
      <c r="I22" s="61"/>
      <c r="J22" s="61"/>
      <c r="K22" s="61"/>
      <c r="L22" s="61"/>
    </row>
    <row r="23" spans="8:31" x14ac:dyDescent="0.25">
      <c r="H23" s="61"/>
      <c r="I23" s="61"/>
      <c r="J23" s="61"/>
      <c r="K23" s="61"/>
      <c r="L23" s="61"/>
    </row>
    <row r="24" spans="8:31" x14ac:dyDescent="0.25">
      <c r="H24" s="61"/>
      <c r="I24" s="61"/>
      <c r="J24" s="61"/>
      <c r="K24" s="61"/>
      <c r="L24" s="61"/>
    </row>
    <row r="25" spans="8:31" x14ac:dyDescent="0.25">
      <c r="H25" s="61"/>
      <c r="I25" s="61"/>
      <c r="J25" s="61"/>
      <c r="K25" s="61"/>
      <c r="L25" s="61"/>
    </row>
    <row r="26" spans="8:31" x14ac:dyDescent="0.25">
      <c r="H26" s="61"/>
      <c r="I26" s="61"/>
      <c r="J26" s="61"/>
      <c r="K26" s="61"/>
      <c r="L26" s="61"/>
    </row>
  </sheetData>
  <mergeCells count="6">
    <mergeCell ref="H21:L26"/>
    <mergeCell ref="W4:Y4"/>
    <mergeCell ref="AJ4:AL4"/>
    <mergeCell ref="W5:Y5"/>
    <mergeCell ref="AJ5:AL5"/>
    <mergeCell ref="AC8:AE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7B0B-3861-4B95-98FB-56544DC44A3B}">
  <dimension ref="A4:AL26"/>
  <sheetViews>
    <sheetView tabSelected="1" topLeftCell="Q1" workbookViewId="0">
      <selection activeCell="Y34" sqref="Y34"/>
    </sheetView>
  </sheetViews>
  <sheetFormatPr defaultRowHeight="15" x14ac:dyDescent="0.25"/>
  <cols>
    <col min="1" max="1" width="25.85546875" customWidth="1"/>
    <col min="2" max="2" width="26.5703125" customWidth="1"/>
    <col min="3" max="3" width="19.85546875" customWidth="1"/>
    <col min="4" max="4" width="18.7109375" customWidth="1"/>
    <col min="5" max="5" width="10.42578125" customWidth="1"/>
    <col min="6" max="6" width="10.28515625" customWidth="1"/>
    <col min="7" max="7" width="11.140625" customWidth="1"/>
    <col min="8" max="8" width="11.7109375" customWidth="1"/>
    <col min="9" max="9" width="35.42578125" customWidth="1"/>
    <col min="10" max="10" width="14.85546875" customWidth="1"/>
    <col min="13" max="13" width="12" bestFit="1" customWidth="1"/>
    <col min="14" max="14" width="12.85546875" customWidth="1"/>
    <col min="15" max="15" width="12" bestFit="1" customWidth="1"/>
    <col min="20" max="20" width="14.5703125" customWidth="1"/>
    <col min="21" max="21" width="12" bestFit="1" customWidth="1"/>
    <col min="25" max="25" width="18.28515625" customWidth="1"/>
    <col min="29" max="29" width="15" customWidth="1"/>
    <col min="30" max="30" width="13.5703125" customWidth="1"/>
    <col min="31" max="31" width="10.42578125" customWidth="1"/>
    <col min="32" max="32" width="11" customWidth="1"/>
    <col min="35" max="35" width="10.28515625" bestFit="1" customWidth="1"/>
    <col min="36" max="36" width="23.42578125" customWidth="1"/>
    <col min="37" max="37" width="22.28515625" customWidth="1"/>
    <col min="38" max="38" width="19.28515625" customWidth="1"/>
  </cols>
  <sheetData>
    <row r="4" spans="1:38" ht="58.5" customHeight="1" x14ac:dyDescent="0.25">
      <c r="A4" s="23" t="s">
        <v>261</v>
      </c>
      <c r="B4" s="1" t="s">
        <v>244</v>
      </c>
      <c r="C4" t="s">
        <v>256</v>
      </c>
      <c r="D4" t="s">
        <v>257</v>
      </c>
      <c r="E4" s="31" t="s">
        <v>262</v>
      </c>
      <c r="F4" s="23" t="s">
        <v>272</v>
      </c>
      <c r="G4" t="s">
        <v>219</v>
      </c>
      <c r="H4" t="s">
        <v>220</v>
      </c>
      <c r="I4" s="23" t="s">
        <v>273</v>
      </c>
      <c r="J4" s="31" t="s">
        <v>263</v>
      </c>
      <c r="K4" s="21" t="s">
        <v>258</v>
      </c>
      <c r="L4" s="21" t="s">
        <v>259</v>
      </c>
      <c r="M4" s="21" t="s">
        <v>260</v>
      </c>
      <c r="N4" s="23" t="s">
        <v>264</v>
      </c>
      <c r="O4" s="31" t="s">
        <v>265</v>
      </c>
      <c r="P4" s="42" t="s">
        <v>283</v>
      </c>
      <c r="Q4" s="43" t="s">
        <v>266</v>
      </c>
      <c r="R4" s="42" t="s">
        <v>267</v>
      </c>
      <c r="S4" s="43" t="s">
        <v>269</v>
      </c>
      <c r="T4" s="42" t="s">
        <v>282</v>
      </c>
      <c r="U4" s="44" t="s">
        <v>271</v>
      </c>
      <c r="V4" s="49" t="s">
        <v>281</v>
      </c>
      <c r="W4" s="62" t="s">
        <v>276</v>
      </c>
      <c r="X4" s="62"/>
      <c r="Y4" s="62"/>
      <c r="AC4" s="31" t="s">
        <v>285</v>
      </c>
      <c r="AD4" s="23" t="s">
        <v>277</v>
      </c>
      <c r="AE4" s="21" t="s">
        <v>278</v>
      </c>
      <c r="AF4" s="44" t="s">
        <v>271</v>
      </c>
      <c r="AG4" s="21" t="s">
        <v>279</v>
      </c>
      <c r="AH4" s="44" t="s">
        <v>274</v>
      </c>
      <c r="AI4" s="49" t="s">
        <v>280</v>
      </c>
      <c r="AJ4" s="62" t="s">
        <v>284</v>
      </c>
      <c r="AK4" s="62"/>
      <c r="AL4" s="62"/>
    </row>
    <row r="5" spans="1:38" x14ac:dyDescent="0.25">
      <c r="A5">
        <v>0.05</v>
      </c>
      <c r="B5" s="1" t="s">
        <v>245</v>
      </c>
      <c r="C5">
        <v>10.15</v>
      </c>
      <c r="D5">
        <v>1.1499999999999999</v>
      </c>
      <c r="E5">
        <f>+C5/D5</f>
        <v>8.8260869565217401</v>
      </c>
      <c r="F5" s="10">
        <f>+AVERAGE(E5:E15)</f>
        <v>9.1137261947538644</v>
      </c>
      <c r="G5">
        <f>+_xlfn.STDEV.S(E5:E15)/SQRT(11)</f>
        <v>5.5848432723515688E-2</v>
      </c>
      <c r="H5" s="10">
        <f>+SQRT((G5^2)+(A5^2))</f>
        <v>7.4960305746928871E-2</v>
      </c>
      <c r="I5" t="str">
        <f>F5 &amp; " ± " &amp; H5</f>
        <v>9,11372619475386 ± 0,0749603057469289</v>
      </c>
      <c r="K5">
        <f>+F5^2</f>
        <v>83.06000515294275</v>
      </c>
      <c r="L5">
        <f>(+'100Hz'!AJ3*2*PI())^2</f>
        <v>394680.87566176121</v>
      </c>
      <c r="M5">
        <f>+('100Hz'!BI3*'100Hz'!BI3)</f>
        <v>5.4568907026065312E-6</v>
      </c>
      <c r="N5" s="52">
        <f>+SQRT(K5/(1+(L5*M5)))</f>
        <v>5.1319651033411873</v>
      </c>
      <c r="P5">
        <f>+N5/F5</f>
        <v>0.56310284001019262</v>
      </c>
      <c r="Q5" s="10">
        <f>+H5</f>
        <v>7.4960305746928871E-2</v>
      </c>
      <c r="R5">
        <f>+((F5^3)*(SQRT(L5))*M5)/K5</f>
        <v>3.124383054447535E-2</v>
      </c>
      <c r="S5">
        <f>+(2+PI())*'100Hz'!AM3</f>
        <v>0.52293486365449815</v>
      </c>
      <c r="T5">
        <f>+((F5^3)*(SQRT(M5))*L5)/K5</f>
        <v>8402.6193058529043</v>
      </c>
      <c r="U5">
        <f>+'100Hz'!BP3</f>
        <v>3.9464543327264432E-5</v>
      </c>
      <c r="V5" s="52">
        <f>+SQRT(((P5*Q5)^2)+((R5*S5)^2)+((T5*U5)^2))</f>
        <v>0.33468028136112982</v>
      </c>
      <c r="W5" s="63" t="str">
        <f>N5 &amp; " ± " &amp; V5</f>
        <v>5,13196510334119 ± 0,33468028136113</v>
      </c>
      <c r="X5" s="63"/>
      <c r="Y5" s="63"/>
      <c r="AD5" s="51">
        <f>+'100Hz'!BI3*N5</f>
        <v>1.1988264662474145E-2</v>
      </c>
      <c r="AE5">
        <f>+N5</f>
        <v>5.1319651033411873</v>
      </c>
      <c r="AF5">
        <f>+'100Hz'!BP3</f>
        <v>3.9464543327264432E-5</v>
      </c>
      <c r="AG5" s="50">
        <f>+'100Hz'!BI3</f>
        <v>2.3359988661398215E-3</v>
      </c>
      <c r="AH5" s="52">
        <f>+V5</f>
        <v>0.33468028136112982</v>
      </c>
      <c r="AI5" s="39">
        <f>+SQRT(((AE5*AF5)^2)+((AG5*AH5)^2))</f>
        <v>8.0761987106046495E-4</v>
      </c>
      <c r="AJ5" s="64" t="str">
        <f>AD5 &amp; " ± " &amp; AI5</f>
        <v>0,0119882646624741 ± 0,000807619871060465</v>
      </c>
      <c r="AK5" s="64"/>
      <c r="AL5" s="64"/>
    </row>
    <row r="6" spans="1:38" x14ac:dyDescent="0.25">
      <c r="B6" s="1" t="s">
        <v>246</v>
      </c>
      <c r="C6">
        <v>10.1</v>
      </c>
      <c r="D6">
        <v>1.1000000000000001</v>
      </c>
      <c r="E6">
        <f t="shared" ref="E6:E15" si="0">+C6/D6</f>
        <v>9.1818181818181799</v>
      </c>
    </row>
    <row r="7" spans="1:38" x14ac:dyDescent="0.25">
      <c r="B7" s="1" t="s">
        <v>247</v>
      </c>
      <c r="C7">
        <v>10.15</v>
      </c>
      <c r="D7">
        <v>1.1000000000000001</v>
      </c>
      <c r="E7">
        <f t="shared" si="0"/>
        <v>9.2272727272727266</v>
      </c>
    </row>
    <row r="8" spans="1:38" x14ac:dyDescent="0.25">
      <c r="B8" s="1" t="s">
        <v>248</v>
      </c>
      <c r="C8">
        <v>10.15</v>
      </c>
      <c r="D8">
        <v>1.1499999999999999</v>
      </c>
      <c r="E8">
        <f t="shared" si="0"/>
        <v>8.8260869565217401</v>
      </c>
      <c r="AC8" s="65" t="s">
        <v>275</v>
      </c>
      <c r="AD8" s="65"/>
      <c r="AE8" s="65"/>
    </row>
    <row r="9" spans="1:38" x14ac:dyDescent="0.25">
      <c r="B9" s="1" t="s">
        <v>249</v>
      </c>
      <c r="C9">
        <v>10.15</v>
      </c>
      <c r="D9">
        <v>1.1000000000000001</v>
      </c>
      <c r="E9">
        <f t="shared" si="0"/>
        <v>9.2272727272727266</v>
      </c>
      <c r="AC9" s="65"/>
      <c r="AD9" s="65"/>
      <c r="AE9" s="65"/>
    </row>
    <row r="10" spans="1:38" x14ac:dyDescent="0.25">
      <c r="B10" s="1" t="s">
        <v>250</v>
      </c>
      <c r="C10">
        <v>10.15</v>
      </c>
      <c r="D10">
        <v>1.1000000000000001</v>
      </c>
      <c r="E10">
        <f t="shared" si="0"/>
        <v>9.2272727272727266</v>
      </c>
      <c r="AC10" s="65"/>
      <c r="AD10" s="65"/>
      <c r="AE10" s="65"/>
      <c r="AK10" s="46" t="s">
        <v>239</v>
      </c>
    </row>
    <row r="11" spans="1:38" x14ac:dyDescent="0.25">
      <c r="B11" s="1" t="s">
        <v>251</v>
      </c>
      <c r="C11">
        <v>10.15</v>
      </c>
      <c r="D11">
        <v>1.1000000000000001</v>
      </c>
      <c r="E11">
        <f t="shared" si="0"/>
        <v>9.2272727272727266</v>
      </c>
      <c r="AC11" s="65"/>
      <c r="AD11" s="65"/>
      <c r="AE11" s="65"/>
      <c r="AK11" s="47" t="s">
        <v>287</v>
      </c>
      <c r="AL11" s="39">
        <f>+AD5-(1.96*AI5)</f>
        <v>1.0405329715195633E-2</v>
      </c>
    </row>
    <row r="12" spans="1:38" x14ac:dyDescent="0.25">
      <c r="B12" s="1" t="s">
        <v>252</v>
      </c>
      <c r="C12">
        <v>10.15</v>
      </c>
      <c r="D12">
        <v>1.1000000000000001</v>
      </c>
      <c r="E12">
        <f t="shared" si="0"/>
        <v>9.2272727272727266</v>
      </c>
      <c r="AC12" s="65"/>
      <c r="AD12" s="65"/>
      <c r="AE12" s="65"/>
      <c r="AK12" s="48" t="s">
        <v>288</v>
      </c>
      <c r="AL12" s="39">
        <f>+AD5+(1.96*AI5)</f>
        <v>1.3571199609752657E-2</v>
      </c>
    </row>
    <row r="13" spans="1:38" x14ac:dyDescent="0.25">
      <c r="B13" s="1" t="s">
        <v>253</v>
      </c>
      <c r="C13">
        <v>10.15</v>
      </c>
      <c r="D13">
        <v>1.1000000000000001</v>
      </c>
      <c r="E13">
        <f t="shared" si="0"/>
        <v>9.2272727272727266</v>
      </c>
      <c r="AC13" s="65"/>
      <c r="AD13" s="65"/>
      <c r="AE13" s="65"/>
    </row>
    <row r="14" spans="1:38" x14ac:dyDescent="0.25">
      <c r="B14" s="1" t="s">
        <v>254</v>
      </c>
      <c r="C14">
        <v>10.15</v>
      </c>
      <c r="D14">
        <v>1.1499999999999999</v>
      </c>
      <c r="E14">
        <f t="shared" si="0"/>
        <v>8.8260869565217401</v>
      </c>
      <c r="AC14" s="65"/>
      <c r="AD14" s="65"/>
      <c r="AE14" s="65"/>
    </row>
    <row r="15" spans="1:38" x14ac:dyDescent="0.25">
      <c r="B15" s="1" t="s">
        <v>255</v>
      </c>
      <c r="C15">
        <v>10.15</v>
      </c>
      <c r="D15">
        <v>1.1000000000000001</v>
      </c>
      <c r="E15">
        <f t="shared" si="0"/>
        <v>9.2272727272727266</v>
      </c>
      <c r="AC15" s="65"/>
      <c r="AD15" s="65"/>
      <c r="AE15" s="65"/>
    </row>
    <row r="16" spans="1:38" x14ac:dyDescent="0.25">
      <c r="AC16" s="65"/>
      <c r="AD16" s="65"/>
      <c r="AE16" s="65"/>
    </row>
    <row r="17" spans="8:31" x14ac:dyDescent="0.25">
      <c r="AC17" s="65"/>
      <c r="AD17" s="65"/>
      <c r="AE17" s="65"/>
    </row>
    <row r="21" spans="8:31" ht="15" customHeight="1" x14ac:dyDescent="0.25">
      <c r="H21" s="61" t="s">
        <v>270</v>
      </c>
      <c r="I21" s="61"/>
      <c r="J21" s="61"/>
      <c r="K21" s="61"/>
      <c r="L21" s="61"/>
    </row>
    <row r="22" spans="8:31" x14ac:dyDescent="0.25">
      <c r="H22" s="61"/>
      <c r="I22" s="61"/>
      <c r="J22" s="61"/>
      <c r="K22" s="61"/>
      <c r="L22" s="61"/>
    </row>
    <row r="23" spans="8:31" x14ac:dyDescent="0.25">
      <c r="H23" s="61"/>
      <c r="I23" s="61"/>
      <c r="J23" s="61"/>
      <c r="K23" s="61"/>
      <c r="L23" s="61"/>
    </row>
    <row r="24" spans="8:31" x14ac:dyDescent="0.25">
      <c r="H24" s="61"/>
      <c r="I24" s="61"/>
      <c r="J24" s="61"/>
      <c r="K24" s="61"/>
      <c r="L24" s="61"/>
    </row>
    <row r="25" spans="8:31" x14ac:dyDescent="0.25">
      <c r="H25" s="61"/>
      <c r="I25" s="61"/>
      <c r="J25" s="61"/>
      <c r="K25" s="61"/>
      <c r="L25" s="61"/>
    </row>
    <row r="26" spans="8:31" x14ac:dyDescent="0.25">
      <c r="H26" s="61"/>
      <c r="I26" s="61"/>
      <c r="J26" s="61"/>
      <c r="K26" s="61"/>
      <c r="L26" s="61"/>
    </row>
  </sheetData>
  <mergeCells count="6">
    <mergeCell ref="H21:L26"/>
    <mergeCell ref="AC8:AE17"/>
    <mergeCell ref="W4:Y4"/>
    <mergeCell ref="W5:Y5"/>
    <mergeCell ref="AJ4:AL4"/>
    <mergeCell ref="AJ5:AL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9298-7156-4A1A-A060-4E91A0103B89}">
  <dimension ref="A1:BR22"/>
  <sheetViews>
    <sheetView topLeftCell="BA1" workbookViewId="0">
      <selection activeCell="BQ14" sqref="BQ14"/>
    </sheetView>
  </sheetViews>
  <sheetFormatPr defaultRowHeight="15" x14ac:dyDescent="0.25"/>
  <cols>
    <col min="4" max="4" width="19.85546875" customWidth="1"/>
    <col min="5" max="5" width="14.5703125" customWidth="1"/>
    <col min="6" max="6" width="12.28515625" customWidth="1"/>
    <col min="7" max="7" width="13.5703125" customWidth="1"/>
    <col min="8" max="8" width="14" customWidth="1"/>
    <col min="9" max="9" width="0.140625" customWidth="1"/>
    <col min="10" max="10" width="8.5703125" hidden="1" customWidth="1"/>
    <col min="11" max="11" width="0.140625" customWidth="1"/>
    <col min="12" max="12" width="9.7109375" customWidth="1"/>
    <col min="13" max="13" width="19.28515625" hidden="1" customWidth="1"/>
    <col min="14" max="14" width="32.140625" customWidth="1"/>
    <col min="15" max="15" width="29.28515625" customWidth="1"/>
    <col min="16" max="16" width="11" customWidth="1"/>
    <col min="17" max="17" width="9.140625" hidden="1" customWidth="1"/>
    <col min="18" max="18" width="0.140625" customWidth="1"/>
    <col min="19" max="19" width="18.28515625" customWidth="1"/>
    <col min="20" max="20" width="14.42578125" customWidth="1"/>
    <col min="21" max="21" width="12.42578125" customWidth="1"/>
    <col min="22" max="22" width="0.140625" customWidth="1"/>
    <col min="23" max="24" width="9.140625" hidden="1" customWidth="1"/>
    <col min="25" max="25" width="0.140625" customWidth="1"/>
    <col min="26" max="26" width="0.42578125" hidden="1" customWidth="1"/>
    <col min="27" max="27" width="9.140625" hidden="1" customWidth="1"/>
    <col min="28" max="28" width="13" customWidth="1"/>
    <col min="29" max="29" width="15.28515625" customWidth="1"/>
    <col min="30" max="30" width="34" customWidth="1"/>
    <col min="31" max="31" width="11.7109375" customWidth="1"/>
    <col min="32" max="32" width="11.5703125" customWidth="1"/>
    <col min="33" max="33" width="11" customWidth="1"/>
    <col min="34" max="34" width="37.140625" customWidth="1"/>
    <col min="35" max="35" width="11.42578125" customWidth="1"/>
    <col min="36" max="36" width="12.7109375" customWidth="1"/>
    <col min="40" max="40" width="38" customWidth="1"/>
    <col min="41" max="41" width="13.140625" customWidth="1"/>
    <col min="42" max="42" width="15.42578125" customWidth="1"/>
    <col min="51" max="51" width="10.5703125" bestFit="1" customWidth="1"/>
    <col min="52" max="52" width="12" bestFit="1" customWidth="1"/>
    <col min="54" max="54" width="11.5703125" customWidth="1"/>
    <col min="55" max="55" width="12" bestFit="1" customWidth="1"/>
    <col min="57" max="57" width="22" bestFit="1" customWidth="1"/>
    <col min="59" max="59" width="39.85546875" customWidth="1"/>
    <col min="61" max="61" width="13.5703125" customWidth="1"/>
    <col min="64" max="64" width="13.42578125" customWidth="1"/>
    <col min="67" max="67" width="16.140625" customWidth="1"/>
    <col min="69" max="69" width="28.5703125" customWidth="1"/>
  </cols>
  <sheetData>
    <row r="1" spans="1:70" ht="28.5" customHeight="1" x14ac:dyDescent="0.25">
      <c r="A1" s="55" t="s">
        <v>191</v>
      </c>
      <c r="B1" s="55"/>
      <c r="C1" s="55"/>
    </row>
    <row r="2" spans="1:70" ht="96" customHeight="1" x14ac:dyDescent="0.25">
      <c r="A2" s="55"/>
      <c r="B2" s="55"/>
      <c r="C2" s="55"/>
      <c r="D2" s="19" t="s">
        <v>235</v>
      </c>
      <c r="E2" s="18" t="s">
        <v>194</v>
      </c>
      <c r="F2" s="18" t="s">
        <v>195</v>
      </c>
      <c r="G2" s="18" t="s">
        <v>196</v>
      </c>
      <c r="H2" s="18" t="s">
        <v>197</v>
      </c>
      <c r="L2" s="20" t="s">
        <v>193</v>
      </c>
      <c r="M2" s="20"/>
      <c r="N2" s="21" t="s">
        <v>198</v>
      </c>
      <c r="O2" s="21" t="s">
        <v>199</v>
      </c>
      <c r="S2" s="20" t="s">
        <v>192</v>
      </c>
      <c r="T2" s="18" t="s">
        <v>201</v>
      </c>
      <c r="U2" s="18" t="s">
        <v>200</v>
      </c>
      <c r="AB2" s="20" t="s">
        <v>204</v>
      </c>
      <c r="AC2" s="22" t="s">
        <v>202</v>
      </c>
      <c r="AD2" s="25" t="s">
        <v>203</v>
      </c>
      <c r="AE2" s="25" t="s">
        <v>205</v>
      </c>
      <c r="AF2" s="25" t="s">
        <v>206</v>
      </c>
      <c r="AG2" s="57" t="s">
        <v>207</v>
      </c>
      <c r="AH2" s="58"/>
      <c r="AI2" s="20" t="s">
        <v>208</v>
      </c>
      <c r="AJ2" s="38" t="s">
        <v>209</v>
      </c>
      <c r="AK2" s="28" t="s">
        <v>211</v>
      </c>
      <c r="AL2" s="26" t="s">
        <v>212</v>
      </c>
      <c r="AM2" s="28" t="s">
        <v>210</v>
      </c>
      <c r="AN2" s="30" t="s">
        <v>213</v>
      </c>
      <c r="AO2" s="31" t="s">
        <v>228</v>
      </c>
      <c r="AP2" s="33" t="s">
        <v>214</v>
      </c>
      <c r="AQ2" s="32" t="s">
        <v>216</v>
      </c>
      <c r="AR2" s="32" t="s">
        <v>215</v>
      </c>
      <c r="AS2" s="32" t="s">
        <v>217</v>
      </c>
      <c r="AU2" s="32" t="s">
        <v>218</v>
      </c>
      <c r="AV2" s="32" t="s">
        <v>219</v>
      </c>
      <c r="AW2" s="34" t="s">
        <v>220</v>
      </c>
      <c r="AX2" s="34" t="s">
        <v>227</v>
      </c>
      <c r="AY2" s="32" t="s">
        <v>236</v>
      </c>
      <c r="AZ2" s="36" t="s">
        <v>222</v>
      </c>
      <c r="BA2" s="37" t="s">
        <v>212</v>
      </c>
      <c r="BB2" s="36" t="s">
        <v>221</v>
      </c>
      <c r="BC2" s="37" t="s">
        <v>223</v>
      </c>
      <c r="BD2" s="36" t="s">
        <v>225</v>
      </c>
      <c r="BE2" s="41" t="s">
        <v>226</v>
      </c>
      <c r="BF2" s="35" t="s">
        <v>224</v>
      </c>
      <c r="BG2" s="30" t="s">
        <v>237</v>
      </c>
      <c r="BH2" s="22" t="s">
        <v>229</v>
      </c>
      <c r="BI2" s="23" t="s">
        <v>230</v>
      </c>
      <c r="BJ2" s="42" t="s">
        <v>238</v>
      </c>
      <c r="BK2" s="43" t="s">
        <v>224</v>
      </c>
      <c r="BL2" s="42" t="s">
        <v>233</v>
      </c>
      <c r="BM2" s="43" t="s">
        <v>234</v>
      </c>
      <c r="BN2" s="42" t="s">
        <v>231</v>
      </c>
      <c r="BO2" s="44" t="s">
        <v>226</v>
      </c>
      <c r="BP2" s="45" t="s">
        <v>268</v>
      </c>
      <c r="BQ2" s="30" t="s">
        <v>232</v>
      </c>
    </row>
    <row r="3" spans="1:70" x14ac:dyDescent="0.25">
      <c r="D3" s="1" t="s">
        <v>64</v>
      </c>
      <c r="E3">
        <v>-0.74507999999999996</v>
      </c>
      <c r="F3">
        <v>-0.244504</v>
      </c>
      <c r="G3">
        <v>0.254944</v>
      </c>
      <c r="H3">
        <v>0.755776</v>
      </c>
      <c r="I3" t="s">
        <v>65</v>
      </c>
      <c r="J3" t="s">
        <v>65</v>
      </c>
      <c r="K3" t="s">
        <v>65</v>
      </c>
      <c r="L3" s="56" t="s">
        <v>65</v>
      </c>
      <c r="M3" s="1"/>
      <c r="N3">
        <v>1.000024</v>
      </c>
      <c r="O3">
        <v>1.0002800000000001</v>
      </c>
      <c r="P3" t="s">
        <v>65</v>
      </c>
      <c r="Q3" t="s">
        <v>65</v>
      </c>
      <c r="R3" t="s">
        <v>65</v>
      </c>
      <c r="S3" s="54"/>
      <c r="T3">
        <v>1.253817999403127E-12</v>
      </c>
      <c r="U3">
        <f>2.5*0.0001*2*2</f>
        <v>1E-3</v>
      </c>
      <c r="AA3">
        <v>1.000024</v>
      </c>
      <c r="AB3" s="54"/>
      <c r="AC3" s="2">
        <f>+_xlfn.STDEV.S(N3:O20)/SQRT(34)</f>
        <v>1.7364008797219132E-4</v>
      </c>
      <c r="AD3" s="26">
        <f>+U3</f>
        <v>1E-3</v>
      </c>
      <c r="AE3" s="26">
        <f>+SQRT((AC3^2)+(AD3^2))</f>
        <v>1.0149634871023639E-3</v>
      </c>
      <c r="AF3" s="26">
        <f>+AVERAGE(N3:O20)</f>
        <v>1.0001621176470585</v>
      </c>
      <c r="AG3" s="24" t="str">
        <f>AF3 &amp; " ± " &amp; AE3</f>
        <v>1,00016211764706 ± 0,00101496348710236</v>
      </c>
      <c r="AI3" s="54"/>
      <c r="AJ3" s="16">
        <f>1/AF3</f>
        <v>0.9998379086308129</v>
      </c>
      <c r="AK3" s="26">
        <f>+(1/(AF3^2))</f>
        <v>0.99967584353523753</v>
      </c>
      <c r="AL3" s="26">
        <f>+AE3</f>
        <v>1.0149634871023639E-3</v>
      </c>
      <c r="AM3" s="26">
        <f>+AK3*AL3</f>
        <v>1.0146344801265218E-3</v>
      </c>
      <c r="AN3" s="24" t="str">
        <f>AJ3 &amp; " ± " &amp; AM3</f>
        <v>0,999837908630813 ± 0,00101463448012652</v>
      </c>
      <c r="AO3" s="54"/>
      <c r="AP3">
        <v>3.1200000000000121E-3</v>
      </c>
      <c r="AQ3">
        <v>2.2959999999999921E-3</v>
      </c>
      <c r="AR3">
        <v>2.9199999999999782E-3</v>
      </c>
      <c r="AS3">
        <v>2.7439999999999691E-3</v>
      </c>
      <c r="AU3">
        <f>+AVERAGE(AP3:AS19)</f>
        <v>3.0130285714285777E-3</v>
      </c>
      <c r="AV3">
        <f>+_xlfn.STDEV.S(AP3:AS19)/SQRT(35)</f>
        <v>2.3559089125689192E-4</v>
      </c>
      <c r="AW3">
        <f>+SQRT((AV3^2)+(U3^2))</f>
        <v>1.0273767897140838E-3</v>
      </c>
      <c r="AX3" s="54"/>
      <c r="AY3" s="12">
        <f>+(AU3/AF3)*2*PI()</f>
        <v>1.892834823083445E-2</v>
      </c>
      <c r="AZ3">
        <f>2*PI()*(AU3/(AF3^2))</f>
        <v>1.8925280108953262E-2</v>
      </c>
      <c r="BA3">
        <f>+AE3</f>
        <v>1.0149634871023639E-3</v>
      </c>
      <c r="BB3">
        <f>(2*PI())*(1/AF3)</f>
        <v>6.2821668570702895</v>
      </c>
      <c r="BC3">
        <f>+AW3</f>
        <v>1.0273767897140838E-3</v>
      </c>
      <c r="BD3">
        <f>(2*PI())*(1/AF3)</f>
        <v>6.2821668570702895</v>
      </c>
      <c r="BE3" s="14">
        <v>1E-14</v>
      </c>
      <c r="BF3">
        <f>+(AZ3*BA3)+(BB3*BC3)+(BD3*BE3)</f>
        <v>6.4733608864216835E-3</v>
      </c>
      <c r="BG3" s="24" t="str">
        <f>AY3 &amp; " ± " &amp; BF3</f>
        <v>0,0189283482308344 ± 0,00647336088642168</v>
      </c>
      <c r="BH3" s="54"/>
      <c r="BI3">
        <f>+TAN(AY3)/(2*PI()*AJ3)</f>
        <v>3.0133884613414326E-3</v>
      </c>
      <c r="BJ3" s="24">
        <f>+(1/(COS(AY3)^2))*(1/(2*PI()*AJ3))</f>
        <v>0.15923779019587347</v>
      </c>
      <c r="BK3" s="24">
        <f>+BF3</f>
        <v>6.4733608864216835E-3</v>
      </c>
      <c r="BL3" s="24">
        <f>+(TAN(AY3))/(2*PI()*(AJ3^2))</f>
        <v>3.0138769847884582E-3</v>
      </c>
      <c r="BM3" s="24">
        <f>+AM3</f>
        <v>1.0146344801265218E-3</v>
      </c>
      <c r="BN3" s="24">
        <f>+(TAN(AY3))/(2*PI()*PI()*AJ3)</f>
        <v>9.5919133815713941E-4</v>
      </c>
      <c r="BO3" s="24">
        <v>1E-14</v>
      </c>
      <c r="BP3">
        <f>+(BJ3*BK3)+(BL3*BM3)+(BN3*BO3)</f>
        <v>1.0338616662018253E-3</v>
      </c>
      <c r="BQ3" s="24" t="str">
        <f>BI3 &amp; " ± " &amp; BP3</f>
        <v>0,00301338846134143 ± 0,00103386166620183</v>
      </c>
    </row>
    <row r="4" spans="1:70" x14ac:dyDescent="0.25">
      <c r="D4" s="1" t="s">
        <v>68</v>
      </c>
      <c r="E4">
        <v>-0.74819999999999998</v>
      </c>
      <c r="F4">
        <v>-0.24679999999999999</v>
      </c>
      <c r="G4">
        <v>0.25202400000000003</v>
      </c>
      <c r="H4">
        <v>0.75303200000000003</v>
      </c>
      <c r="I4" t="s">
        <v>65</v>
      </c>
      <c r="J4" t="s">
        <v>65</v>
      </c>
      <c r="K4" t="s">
        <v>65</v>
      </c>
      <c r="L4" s="56"/>
      <c r="M4" s="1"/>
      <c r="N4">
        <v>1.000224</v>
      </c>
      <c r="O4">
        <v>0.99983200000000005</v>
      </c>
      <c r="P4" t="s">
        <v>65</v>
      </c>
      <c r="Q4" t="s">
        <v>65</v>
      </c>
      <c r="R4" t="s">
        <v>65</v>
      </c>
      <c r="S4" s="54"/>
      <c r="T4">
        <v>1.253817999403127E-12</v>
      </c>
      <c r="U4">
        <f t="shared" ref="U4:U20" si="0">2.5*0.0001*2*2</f>
        <v>1E-3</v>
      </c>
      <c r="AA4">
        <v>1.000224</v>
      </c>
      <c r="AB4" s="54"/>
      <c r="AC4" s="2"/>
      <c r="AD4" s="26"/>
      <c r="AE4" s="26"/>
      <c r="AF4" s="26"/>
      <c r="AG4" s="24"/>
      <c r="AI4" s="54"/>
      <c r="AK4" s="26"/>
      <c r="AL4" s="26"/>
      <c r="AM4" s="26"/>
      <c r="AN4" s="24"/>
      <c r="AO4" s="54"/>
      <c r="AX4" s="54"/>
      <c r="BH4" s="54"/>
      <c r="BJ4" s="24"/>
      <c r="BK4" s="24"/>
      <c r="BL4" s="24"/>
      <c r="BM4" s="24"/>
      <c r="BN4" s="24"/>
      <c r="BO4" s="24"/>
      <c r="BP4" s="24"/>
      <c r="BQ4" s="24"/>
    </row>
    <row r="5" spans="1:70" x14ac:dyDescent="0.25">
      <c r="D5" s="1" t="s">
        <v>69</v>
      </c>
      <c r="E5">
        <v>-0.67838399999999999</v>
      </c>
      <c r="F5">
        <v>-0.17799999999999999</v>
      </c>
      <c r="G5">
        <v>0.32159199999999999</v>
      </c>
      <c r="H5">
        <v>0.82165600000000005</v>
      </c>
      <c r="I5" t="s">
        <v>65</v>
      </c>
      <c r="J5" t="s">
        <v>65</v>
      </c>
      <c r="K5" t="s">
        <v>65</v>
      </c>
      <c r="L5" s="56"/>
      <c r="M5" s="1"/>
      <c r="N5">
        <v>0.99997599999999998</v>
      </c>
      <c r="O5">
        <v>0.9996560000000001</v>
      </c>
      <c r="P5" t="s">
        <v>65</v>
      </c>
      <c r="Q5" t="s">
        <v>65</v>
      </c>
      <c r="R5" t="s">
        <v>65</v>
      </c>
      <c r="S5" s="54"/>
      <c r="T5">
        <v>1.197862000020498E-12</v>
      </c>
      <c r="U5">
        <f t="shared" si="0"/>
        <v>1E-3</v>
      </c>
      <c r="AA5">
        <v>0.99997599999999998</v>
      </c>
      <c r="AB5" s="54"/>
      <c r="AD5" s="26"/>
      <c r="AE5" s="26"/>
      <c r="AF5" s="26"/>
      <c r="AG5" s="24"/>
      <c r="AI5" s="54"/>
      <c r="AK5" s="26"/>
      <c r="AL5" s="26"/>
      <c r="AM5" s="26"/>
      <c r="AN5" s="24"/>
      <c r="AO5" s="54"/>
      <c r="AP5">
        <v>5.6880000000000264E-3</v>
      </c>
      <c r="AQ5">
        <v>4.4399999999999995E-3</v>
      </c>
      <c r="AR5">
        <v>3.5839999999999761E-3</v>
      </c>
      <c r="AS5">
        <v>1.6400000000000858E-3</v>
      </c>
      <c r="AX5" s="54"/>
      <c r="BE5" s="40"/>
      <c r="BH5" s="54"/>
      <c r="BJ5" s="24"/>
      <c r="BK5" s="24"/>
      <c r="BL5" s="24"/>
      <c r="BM5" s="24"/>
      <c r="BN5" s="24"/>
      <c r="BO5" s="24"/>
      <c r="BP5" s="24"/>
      <c r="BQ5" s="24"/>
    </row>
    <row r="6" spans="1:70" x14ac:dyDescent="0.25">
      <c r="D6" s="1" t="s">
        <v>70</v>
      </c>
      <c r="E6">
        <v>-0.68407200000000001</v>
      </c>
      <c r="F6">
        <v>-0.18243999999999999</v>
      </c>
      <c r="G6">
        <v>0.31800800000000001</v>
      </c>
      <c r="H6">
        <v>0.82001599999999997</v>
      </c>
      <c r="I6" t="s">
        <v>65</v>
      </c>
      <c r="J6" t="s">
        <v>65</v>
      </c>
      <c r="K6" t="s">
        <v>65</v>
      </c>
      <c r="L6" s="56"/>
      <c r="M6" s="1"/>
      <c r="N6">
        <v>1.0020800000000001</v>
      </c>
      <c r="O6">
        <v>1.002456</v>
      </c>
      <c r="P6" t="s">
        <v>65</v>
      </c>
      <c r="Q6" t="s">
        <v>65</v>
      </c>
      <c r="R6" t="s">
        <v>65</v>
      </c>
      <c r="S6" s="54"/>
      <c r="T6">
        <v>1.197862000020498E-12</v>
      </c>
      <c r="U6">
        <f t="shared" si="0"/>
        <v>1E-3</v>
      </c>
      <c r="AA6">
        <v>1.0020800000000001</v>
      </c>
      <c r="AB6" s="54"/>
      <c r="AD6" s="26"/>
      <c r="AE6" s="26"/>
      <c r="AF6" s="26"/>
      <c r="AG6" s="24"/>
      <c r="AI6" s="54"/>
      <c r="AK6" s="26"/>
      <c r="AL6" s="26"/>
      <c r="AM6" s="26"/>
      <c r="AN6" s="24"/>
      <c r="AO6" s="54"/>
      <c r="AX6" s="54"/>
      <c r="BH6" s="54"/>
      <c r="BJ6" s="24"/>
      <c r="BK6" s="24"/>
      <c r="BL6" s="24"/>
      <c r="BM6" s="24"/>
      <c r="BN6" s="24"/>
      <c r="BO6" s="24"/>
      <c r="BP6" s="24"/>
      <c r="BQ6" s="24"/>
    </row>
    <row r="7" spans="1:70" x14ac:dyDescent="0.25">
      <c r="D7" s="1" t="s">
        <v>71</v>
      </c>
      <c r="E7">
        <v>-0.75941599999999998</v>
      </c>
      <c r="F7">
        <v>-0.25957599999999997</v>
      </c>
      <c r="G7">
        <v>0.24043999999999999</v>
      </c>
      <c r="H7">
        <v>0.74072800000000005</v>
      </c>
      <c r="I7" t="s">
        <v>65</v>
      </c>
      <c r="J7" t="s">
        <v>65</v>
      </c>
      <c r="K7" t="s">
        <v>65</v>
      </c>
      <c r="L7" s="56"/>
      <c r="M7" s="1"/>
      <c r="N7">
        <v>0.99985599999999997</v>
      </c>
      <c r="O7">
        <v>1.0003040000000001</v>
      </c>
      <c r="P7" t="s">
        <v>65</v>
      </c>
      <c r="Q7" t="s">
        <v>65</v>
      </c>
      <c r="R7" t="s">
        <v>65</v>
      </c>
      <c r="S7" s="54"/>
      <c r="T7">
        <v>1.269804001394681E-12</v>
      </c>
      <c r="U7">
        <f t="shared" si="0"/>
        <v>1E-3</v>
      </c>
      <c r="AA7">
        <v>0.99985599999999997</v>
      </c>
      <c r="AB7" s="54"/>
      <c r="AD7" s="26"/>
      <c r="AE7" s="26"/>
      <c r="AF7" s="26"/>
      <c r="AG7" s="24"/>
      <c r="AI7" s="54"/>
      <c r="AK7" s="26"/>
      <c r="AL7" s="26"/>
      <c r="AM7" s="26"/>
      <c r="AN7" s="24"/>
      <c r="AO7" s="54"/>
      <c r="AP7">
        <v>2.6559999999999921E-3</v>
      </c>
      <c r="AQ7">
        <v>2.3520000000000212E-3</v>
      </c>
      <c r="AR7">
        <v>4.0879999999999814E-3</v>
      </c>
      <c r="AS7">
        <v>1.4320000000001001E-3</v>
      </c>
      <c r="AX7" s="54"/>
      <c r="BE7" s="5"/>
      <c r="BH7" s="54"/>
      <c r="BJ7" s="24"/>
      <c r="BK7" s="24"/>
      <c r="BL7" s="24"/>
      <c r="BM7" s="24"/>
      <c r="BN7" s="24"/>
      <c r="BO7" s="24"/>
      <c r="BP7" s="24"/>
      <c r="BQ7" s="24"/>
    </row>
    <row r="8" spans="1:70" x14ac:dyDescent="0.25">
      <c r="D8" s="1" t="s">
        <v>72</v>
      </c>
      <c r="E8">
        <v>-0.76207199999999997</v>
      </c>
      <c r="F8">
        <v>-0.26192799999999999</v>
      </c>
      <c r="G8">
        <v>0.23635200000000001</v>
      </c>
      <c r="H8">
        <v>0.73929599999999995</v>
      </c>
      <c r="I8" t="s">
        <v>65</v>
      </c>
      <c r="J8" t="s">
        <v>65</v>
      </c>
      <c r="K8" t="s">
        <v>65</v>
      </c>
      <c r="L8" s="56"/>
      <c r="M8" s="1"/>
      <c r="N8">
        <v>0.99842399999999998</v>
      </c>
      <c r="O8">
        <v>1.0012239999999999</v>
      </c>
      <c r="P8" t="s">
        <v>65</v>
      </c>
      <c r="Q8" t="s">
        <v>65</v>
      </c>
      <c r="R8" t="s">
        <v>65</v>
      </c>
      <c r="S8" s="54"/>
      <c r="T8">
        <v>1.269804001394681E-12</v>
      </c>
      <c r="U8">
        <f t="shared" si="0"/>
        <v>1E-3</v>
      </c>
      <c r="AA8">
        <v>0.99842399999999998</v>
      </c>
      <c r="AB8" s="54"/>
      <c r="AD8" s="26"/>
      <c r="AE8" s="26"/>
      <c r="AF8" s="26"/>
      <c r="AG8" s="24"/>
      <c r="AI8" s="54"/>
      <c r="AK8" s="26"/>
      <c r="AL8" s="26"/>
      <c r="AM8" s="26"/>
      <c r="AN8" s="24"/>
      <c r="AO8" s="54"/>
      <c r="AX8" s="54"/>
      <c r="BH8" s="54"/>
      <c r="BJ8" s="24"/>
      <c r="BK8" s="24"/>
      <c r="BL8" s="24"/>
      <c r="BM8" s="24"/>
      <c r="BN8" s="24"/>
      <c r="BO8" s="24"/>
      <c r="BP8" s="24"/>
      <c r="BQ8" s="24"/>
    </row>
    <row r="9" spans="1:70" x14ac:dyDescent="0.25">
      <c r="D9" s="1" t="s">
        <v>74</v>
      </c>
      <c r="E9">
        <v>-0.74958400000000003</v>
      </c>
      <c r="F9">
        <v>-0.24882399999999999</v>
      </c>
      <c r="G9">
        <v>0.25006400000000001</v>
      </c>
      <c r="H9">
        <v>0.75104000000000004</v>
      </c>
      <c r="I9" t="s">
        <v>65</v>
      </c>
      <c r="J9" t="s">
        <v>65</v>
      </c>
      <c r="K9" t="s">
        <v>65</v>
      </c>
      <c r="L9" s="56"/>
      <c r="M9" s="1"/>
      <c r="N9">
        <v>0.99964800000000009</v>
      </c>
      <c r="O9">
        <v>0.99986400000000009</v>
      </c>
      <c r="P9" t="s">
        <v>65</v>
      </c>
      <c r="Q9" t="s">
        <v>65</v>
      </c>
      <c r="R9" t="s">
        <v>65</v>
      </c>
      <c r="S9" s="54"/>
      <c r="T9">
        <v>1.269804001394681E-12</v>
      </c>
      <c r="U9">
        <f t="shared" si="0"/>
        <v>1E-3</v>
      </c>
      <c r="AA9">
        <v>0.99964800000000009</v>
      </c>
      <c r="AB9" s="54"/>
      <c r="AD9" s="26"/>
      <c r="AE9" s="26"/>
      <c r="AF9" s="26"/>
      <c r="AG9" s="24"/>
      <c r="AI9" s="54"/>
      <c r="AK9" s="26"/>
      <c r="AL9" s="26"/>
      <c r="AM9" s="26"/>
      <c r="AN9" s="24"/>
      <c r="AO9" s="54"/>
      <c r="AP9">
        <v>3.9199999999999244E-3</v>
      </c>
      <c r="AQ9">
        <v>1.4000000000000119E-3</v>
      </c>
      <c r="AR9">
        <v>3.1680000000000041E-3</v>
      </c>
      <c r="AS9">
        <v>7.9200000000001491E-4</v>
      </c>
      <c r="AX9" s="54"/>
      <c r="BH9" s="54"/>
      <c r="BJ9" s="24"/>
      <c r="BK9" s="24"/>
      <c r="BL9" s="24"/>
      <c r="BM9" s="24"/>
      <c r="BN9" s="24"/>
      <c r="BO9" s="24"/>
      <c r="BP9" s="24"/>
      <c r="BQ9" s="46" t="s">
        <v>239</v>
      </c>
    </row>
    <row r="10" spans="1:70" x14ac:dyDescent="0.25">
      <c r="D10" s="1" t="s">
        <v>76</v>
      </c>
      <c r="E10">
        <v>-0.75350399999999995</v>
      </c>
      <c r="F10">
        <v>-0.250224</v>
      </c>
      <c r="G10">
        <v>0.246896</v>
      </c>
      <c r="H10">
        <v>0.75024800000000003</v>
      </c>
      <c r="I10" t="s">
        <v>65</v>
      </c>
      <c r="J10" t="s">
        <v>65</v>
      </c>
      <c r="K10" t="s">
        <v>65</v>
      </c>
      <c r="L10" s="56"/>
      <c r="M10" s="1"/>
      <c r="N10">
        <v>1.0004</v>
      </c>
      <c r="O10">
        <v>1.000472</v>
      </c>
      <c r="P10" t="s">
        <v>65</v>
      </c>
      <c r="Q10" t="s">
        <v>65</v>
      </c>
      <c r="R10" t="s">
        <v>65</v>
      </c>
      <c r="S10" s="54"/>
      <c r="T10">
        <v>1.269804001394681E-12</v>
      </c>
      <c r="U10">
        <f t="shared" si="0"/>
        <v>1E-3</v>
      </c>
      <c r="AA10">
        <v>1.0004</v>
      </c>
      <c r="AB10" s="54"/>
      <c r="AD10" s="27"/>
      <c r="AE10" s="26"/>
      <c r="AF10" s="27"/>
      <c r="AG10" s="24"/>
      <c r="AI10" s="54"/>
      <c r="AK10" s="26"/>
      <c r="AL10" s="26"/>
      <c r="AM10" s="26"/>
      <c r="AN10" s="24"/>
      <c r="AO10" s="54"/>
      <c r="AX10" s="54"/>
      <c r="BH10" s="54"/>
      <c r="BJ10" s="24"/>
      <c r="BK10" s="24"/>
      <c r="BL10" s="24"/>
      <c r="BM10" s="24"/>
      <c r="BN10" s="24"/>
      <c r="BO10" s="24"/>
      <c r="BP10" s="24"/>
      <c r="BQ10" s="47" t="s">
        <v>240</v>
      </c>
      <c r="BR10">
        <f>+BI3-(1.96*BP3)</f>
        <v>9.8701959558585494E-4</v>
      </c>
    </row>
    <row r="11" spans="1:70" x14ac:dyDescent="0.25">
      <c r="D11" s="1" t="s">
        <v>78</v>
      </c>
      <c r="E11">
        <v>-0.67429600000000001</v>
      </c>
      <c r="F11">
        <v>-0.17468800000000001</v>
      </c>
      <c r="G11">
        <v>0.325376</v>
      </c>
      <c r="H11" t="s">
        <v>65</v>
      </c>
      <c r="I11" t="s">
        <v>65</v>
      </c>
      <c r="J11" t="s">
        <v>65</v>
      </c>
      <c r="K11" t="s">
        <v>65</v>
      </c>
      <c r="L11" s="56"/>
      <c r="M11" s="1"/>
      <c r="N11">
        <v>0.99967200000000001</v>
      </c>
      <c r="O11" t="s">
        <v>65</v>
      </c>
      <c r="P11" t="s">
        <v>65</v>
      </c>
      <c r="Q11" t="s">
        <v>65</v>
      </c>
      <c r="R11" t="s">
        <v>65</v>
      </c>
      <c r="S11" s="54"/>
      <c r="T11">
        <v>1.269804001394681E-12</v>
      </c>
      <c r="U11">
        <f t="shared" si="0"/>
        <v>1E-3</v>
      </c>
      <c r="AA11">
        <v>0.99967200000000001</v>
      </c>
      <c r="AB11" s="54"/>
      <c r="AD11" s="26"/>
      <c r="AE11" s="26"/>
      <c r="AF11" s="27"/>
      <c r="AG11" s="24"/>
      <c r="AI11" s="54"/>
      <c r="AK11" s="26"/>
      <c r="AL11" s="26"/>
      <c r="AM11" s="26"/>
      <c r="AN11" s="24"/>
      <c r="AO11" s="54"/>
      <c r="AP11">
        <v>3.712000000000049E-3</v>
      </c>
      <c r="AQ11">
        <v>1.0639999999999821E-3</v>
      </c>
      <c r="AR11">
        <v>1.5120000000000129E-3</v>
      </c>
      <c r="AX11" s="54"/>
      <c r="BH11" s="54"/>
      <c r="BJ11" s="24"/>
      <c r="BK11" s="24"/>
      <c r="BL11" s="24"/>
      <c r="BM11" s="24"/>
      <c r="BN11" s="24"/>
      <c r="BO11" s="24"/>
      <c r="BP11" s="24"/>
      <c r="BQ11" s="48" t="s">
        <v>241</v>
      </c>
      <c r="BR11">
        <f>+BI3+(1.96*BP3)</f>
        <v>5.0397573270970098E-3</v>
      </c>
    </row>
    <row r="12" spans="1:70" x14ac:dyDescent="0.25">
      <c r="D12" s="1" t="s">
        <v>80</v>
      </c>
      <c r="E12">
        <v>-0.67800800000000006</v>
      </c>
      <c r="F12">
        <v>-0.17575199999999999</v>
      </c>
      <c r="G12">
        <v>0.32386399999999999</v>
      </c>
      <c r="H12" t="s">
        <v>65</v>
      </c>
      <c r="I12" t="s">
        <v>65</v>
      </c>
      <c r="J12" t="s">
        <v>65</v>
      </c>
      <c r="K12" t="s">
        <v>65</v>
      </c>
      <c r="L12" s="56"/>
      <c r="M12" s="1"/>
      <c r="N12">
        <v>1.0018720000000001</v>
      </c>
      <c r="O12" t="s">
        <v>65</v>
      </c>
      <c r="P12" t="s">
        <v>65</v>
      </c>
      <c r="Q12" t="s">
        <v>65</v>
      </c>
      <c r="R12" t="s">
        <v>65</v>
      </c>
      <c r="S12" s="54"/>
      <c r="T12">
        <v>1.269804001394681E-12</v>
      </c>
      <c r="U12">
        <f t="shared" si="0"/>
        <v>1E-3</v>
      </c>
      <c r="AA12">
        <v>1.0018720000000001</v>
      </c>
      <c r="AB12" s="54"/>
      <c r="AD12" s="26"/>
      <c r="AE12" s="26"/>
      <c r="AF12" s="26"/>
      <c r="AG12" s="24"/>
      <c r="AI12" s="54"/>
      <c r="AK12" s="26"/>
      <c r="AL12" s="26"/>
      <c r="AM12" s="26"/>
      <c r="AN12" s="24"/>
      <c r="AO12" s="54"/>
      <c r="AX12" s="54"/>
      <c r="BH12" s="54"/>
      <c r="BJ12" s="24"/>
      <c r="BK12" s="24"/>
      <c r="BL12" s="24"/>
      <c r="BM12" s="24"/>
      <c r="BN12" s="24"/>
      <c r="BO12" s="24"/>
      <c r="BP12" s="24"/>
      <c r="BQ12" s="24"/>
    </row>
    <row r="13" spans="1:70" x14ac:dyDescent="0.25">
      <c r="D13" s="1" t="s">
        <v>83</v>
      </c>
      <c r="E13">
        <v>-0.73002400000000001</v>
      </c>
      <c r="F13">
        <v>-0.23019200000000001</v>
      </c>
      <c r="G13">
        <v>0.27012000000000003</v>
      </c>
      <c r="H13">
        <v>0.76945600000000003</v>
      </c>
      <c r="I13" t="s">
        <v>65</v>
      </c>
      <c r="J13" t="s">
        <v>65</v>
      </c>
      <c r="K13" t="s">
        <v>65</v>
      </c>
      <c r="L13" s="56"/>
      <c r="M13" s="1"/>
      <c r="N13">
        <v>1.0001439999999999</v>
      </c>
      <c r="O13">
        <v>0.99964800000000009</v>
      </c>
      <c r="P13" t="s">
        <v>65</v>
      </c>
      <c r="Q13" t="s">
        <v>65</v>
      </c>
      <c r="R13" t="s">
        <v>65</v>
      </c>
      <c r="S13" s="54"/>
      <c r="T13">
        <v>1.269804001394681E-12</v>
      </c>
      <c r="U13">
        <f t="shared" si="0"/>
        <v>1E-3</v>
      </c>
      <c r="AA13">
        <v>1.0001439999999999</v>
      </c>
      <c r="AB13" s="54"/>
      <c r="AD13" s="26"/>
      <c r="AE13" s="26"/>
      <c r="AF13" s="26"/>
      <c r="AG13" s="24"/>
      <c r="AI13" s="54"/>
      <c r="AK13" s="26"/>
      <c r="AL13" s="26"/>
      <c r="AM13" s="26"/>
      <c r="AN13" s="24"/>
      <c r="AO13" s="54"/>
      <c r="AP13">
        <v>2.4880000000000462E-3</v>
      </c>
      <c r="AQ13">
        <v>3.3199999999999901E-3</v>
      </c>
      <c r="AR13">
        <v>2.3040000000000278E-3</v>
      </c>
      <c r="AS13">
        <v>2.9040000000000181E-3</v>
      </c>
      <c r="AX13" s="54"/>
      <c r="BH13" s="54"/>
      <c r="BJ13" s="24"/>
      <c r="BK13" s="24"/>
      <c r="BL13" s="24"/>
      <c r="BM13" s="24"/>
      <c r="BN13" s="24"/>
      <c r="BO13" s="24"/>
      <c r="BP13" s="24"/>
      <c r="BQ13" s="24"/>
    </row>
    <row r="14" spans="1:70" x14ac:dyDescent="0.25">
      <c r="D14" s="1" t="s">
        <v>84</v>
      </c>
      <c r="E14">
        <v>-0.73251200000000005</v>
      </c>
      <c r="F14">
        <v>-0.233512</v>
      </c>
      <c r="G14">
        <v>0.267816</v>
      </c>
      <c r="H14">
        <v>0.76655200000000001</v>
      </c>
      <c r="I14" t="s">
        <v>65</v>
      </c>
      <c r="J14" t="s">
        <v>65</v>
      </c>
      <c r="K14" t="s">
        <v>65</v>
      </c>
      <c r="L14" s="56"/>
      <c r="M14" s="1"/>
      <c r="N14">
        <v>1.0003280000000001</v>
      </c>
      <c r="O14">
        <v>1.0000640000000001</v>
      </c>
      <c r="P14" t="s">
        <v>65</v>
      </c>
      <c r="Q14" t="s">
        <v>65</v>
      </c>
      <c r="R14" t="s">
        <v>65</v>
      </c>
      <c r="S14" s="54"/>
      <c r="T14">
        <v>1.269804001394681E-12</v>
      </c>
      <c r="U14">
        <f t="shared" si="0"/>
        <v>1E-3</v>
      </c>
      <c r="AA14">
        <v>1.0003280000000001</v>
      </c>
      <c r="AB14" s="54"/>
      <c r="AD14" s="26"/>
      <c r="AE14" s="26"/>
      <c r="AF14" s="26"/>
      <c r="AG14" s="24"/>
      <c r="AI14" s="54"/>
      <c r="AK14" s="26"/>
      <c r="AL14" s="26"/>
      <c r="AM14" s="26"/>
      <c r="AN14" s="24"/>
      <c r="AO14" s="54"/>
      <c r="AX14" s="54"/>
      <c r="BH14" s="54"/>
      <c r="BJ14" s="24"/>
      <c r="BK14" s="24"/>
      <c r="BL14" s="24"/>
      <c r="BM14" s="24"/>
      <c r="BN14" s="24"/>
      <c r="BO14" s="24"/>
      <c r="BP14" s="24"/>
      <c r="BQ14" s="24"/>
    </row>
    <row r="15" spans="1:70" x14ac:dyDescent="0.25">
      <c r="D15" s="1" t="s">
        <v>85</v>
      </c>
      <c r="E15">
        <v>-0.77447999999999995</v>
      </c>
      <c r="F15">
        <v>-0.27483999999999997</v>
      </c>
      <c r="G15">
        <v>0.22556000000000001</v>
      </c>
      <c r="H15">
        <v>0.72474400000000005</v>
      </c>
      <c r="I15" t="s">
        <v>65</v>
      </c>
      <c r="J15" t="s">
        <v>65</v>
      </c>
      <c r="K15" t="s">
        <v>65</v>
      </c>
      <c r="L15" s="56"/>
      <c r="M15" s="1"/>
      <c r="N15">
        <v>1.00004</v>
      </c>
      <c r="O15">
        <v>0.99958400000000003</v>
      </c>
      <c r="P15" t="s">
        <v>65</v>
      </c>
      <c r="Q15" t="s">
        <v>65</v>
      </c>
      <c r="R15" t="s">
        <v>65</v>
      </c>
      <c r="S15" s="54"/>
      <c r="T15">
        <v>1.269804001394681E-12</v>
      </c>
      <c r="U15">
        <f t="shared" si="0"/>
        <v>1E-3</v>
      </c>
      <c r="AA15">
        <v>1.00004</v>
      </c>
      <c r="AB15" s="54"/>
      <c r="AD15" s="26"/>
      <c r="AE15" s="26"/>
      <c r="AF15" s="26"/>
      <c r="AG15" s="24"/>
      <c r="AI15" s="54"/>
      <c r="AK15" s="26"/>
      <c r="AL15" s="26"/>
      <c r="AM15" s="29"/>
      <c r="AN15" s="24"/>
      <c r="AO15" s="54"/>
      <c r="AP15">
        <v>3.896000000000011E-3</v>
      </c>
      <c r="AQ15">
        <v>3.9520000000000111E-3</v>
      </c>
      <c r="AR15">
        <v>2.4480000000000062E-3</v>
      </c>
      <c r="AS15">
        <v>4.5680000000000156E-3</v>
      </c>
      <c r="AX15" s="54"/>
      <c r="BH15" s="54"/>
      <c r="BJ15" s="24"/>
      <c r="BK15" s="24"/>
      <c r="BL15" s="24"/>
      <c r="BM15" s="24"/>
      <c r="BN15" s="24"/>
      <c r="BO15" s="24"/>
      <c r="BP15" s="24"/>
      <c r="BQ15" s="24"/>
    </row>
    <row r="16" spans="1:70" x14ac:dyDescent="0.25">
      <c r="D16" s="1" t="s">
        <v>86</v>
      </c>
      <c r="E16">
        <v>-0.77837599999999996</v>
      </c>
      <c r="F16">
        <v>-0.27879199999999998</v>
      </c>
      <c r="G16">
        <v>0.223112</v>
      </c>
      <c r="H16">
        <v>0.72017600000000004</v>
      </c>
      <c r="I16" t="s">
        <v>65</v>
      </c>
      <c r="J16" t="s">
        <v>65</v>
      </c>
      <c r="K16" t="s">
        <v>65</v>
      </c>
      <c r="L16" s="56"/>
      <c r="M16" s="1"/>
      <c r="N16">
        <v>1.0014879999999999</v>
      </c>
      <c r="O16">
        <v>0.99896800000000008</v>
      </c>
      <c r="P16" t="s">
        <v>65</v>
      </c>
      <c r="Q16" t="s">
        <v>65</v>
      </c>
      <c r="R16" t="s">
        <v>65</v>
      </c>
      <c r="S16" s="54"/>
      <c r="T16">
        <v>1.269804001394681E-12</v>
      </c>
      <c r="U16">
        <f t="shared" si="0"/>
        <v>1E-3</v>
      </c>
      <c r="AA16">
        <v>1.0014879999999999</v>
      </c>
      <c r="AB16" s="54"/>
      <c r="AD16" s="26"/>
      <c r="AE16" s="26"/>
      <c r="AF16" s="26"/>
      <c r="AG16" s="24"/>
      <c r="AI16" s="54"/>
      <c r="AK16" s="26"/>
      <c r="AL16" s="26"/>
      <c r="AM16" s="26"/>
      <c r="AN16" s="24"/>
      <c r="AO16" s="54"/>
      <c r="AX16" s="54"/>
      <c r="BH16" s="54"/>
      <c r="BJ16" s="24"/>
      <c r="BK16" s="24"/>
      <c r="BL16" s="24"/>
      <c r="BM16" s="24"/>
      <c r="BN16" s="24"/>
      <c r="BO16" s="24"/>
      <c r="BP16" s="24"/>
      <c r="BQ16" s="24"/>
    </row>
    <row r="17" spans="4:69" x14ac:dyDescent="0.25">
      <c r="D17" s="1" t="s">
        <v>87</v>
      </c>
      <c r="E17">
        <v>-0.77730399999999999</v>
      </c>
      <c r="F17">
        <v>-0.27807999999999999</v>
      </c>
      <c r="G17">
        <v>0.22248799999999999</v>
      </c>
      <c r="H17">
        <v>0.72229600000000005</v>
      </c>
      <c r="I17" t="s">
        <v>65</v>
      </c>
      <c r="J17" t="s">
        <v>65</v>
      </c>
      <c r="K17" t="s">
        <v>65</v>
      </c>
      <c r="L17" s="56"/>
      <c r="M17" s="1"/>
      <c r="N17">
        <v>0.99979200000000001</v>
      </c>
      <c r="O17">
        <v>1.0003759999999999</v>
      </c>
      <c r="P17" t="s">
        <v>65</v>
      </c>
      <c r="Q17" t="s">
        <v>65</v>
      </c>
      <c r="R17" t="s">
        <v>65</v>
      </c>
      <c r="S17" s="54"/>
      <c r="T17">
        <v>1.269804001394681E-12</v>
      </c>
      <c r="U17">
        <f t="shared" si="0"/>
        <v>1E-3</v>
      </c>
      <c r="AA17">
        <v>0.99979200000000001</v>
      </c>
      <c r="AB17" s="54"/>
      <c r="AD17" s="26"/>
      <c r="AE17" s="26"/>
      <c r="AF17" s="26"/>
      <c r="AG17" s="24"/>
      <c r="AI17" s="54"/>
      <c r="AK17" s="26"/>
      <c r="AL17" s="26"/>
      <c r="AM17" s="26"/>
      <c r="AN17" s="24"/>
      <c r="AO17" s="54"/>
      <c r="AP17">
        <v>4.7599999999999856E-3</v>
      </c>
      <c r="AQ17">
        <v>4.6880000000000246E-3</v>
      </c>
      <c r="AR17">
        <v>5.3359999999999796E-3</v>
      </c>
      <c r="AS17">
        <v>4.1840000000000774E-3</v>
      </c>
      <c r="AX17" s="54"/>
      <c r="BH17" s="54"/>
      <c r="BJ17" s="24"/>
      <c r="BK17" s="24"/>
      <c r="BL17" s="24"/>
      <c r="BM17" s="24"/>
      <c r="BN17" s="24"/>
      <c r="BO17" s="24"/>
      <c r="BP17" s="24"/>
      <c r="BQ17" s="24"/>
    </row>
    <row r="18" spans="4:69" x14ac:dyDescent="0.25">
      <c r="D18" s="1" t="s">
        <v>88</v>
      </c>
      <c r="E18">
        <v>-0.78206399999999998</v>
      </c>
      <c r="F18">
        <v>-0.28276800000000002</v>
      </c>
      <c r="G18">
        <v>0.21715200000000001</v>
      </c>
      <c r="H18">
        <v>0.71811199999999997</v>
      </c>
      <c r="I18" t="s">
        <v>65</v>
      </c>
      <c r="J18" t="s">
        <v>65</v>
      </c>
      <c r="K18" t="s">
        <v>65</v>
      </c>
      <c r="L18" s="56"/>
      <c r="M18" s="1"/>
      <c r="N18">
        <v>0.99921599999999999</v>
      </c>
      <c r="O18">
        <v>1.00088</v>
      </c>
      <c r="P18" t="s">
        <v>65</v>
      </c>
      <c r="Q18" t="s">
        <v>65</v>
      </c>
      <c r="R18" t="s">
        <v>65</v>
      </c>
      <c r="S18" s="54"/>
      <c r="T18">
        <v>1.269804001394681E-12</v>
      </c>
      <c r="U18">
        <f t="shared" si="0"/>
        <v>1E-3</v>
      </c>
      <c r="AA18">
        <v>0.99921599999999999</v>
      </c>
      <c r="AB18" s="54"/>
      <c r="AD18" s="26"/>
      <c r="AE18" s="26"/>
      <c r="AF18" s="26"/>
      <c r="AG18" s="24"/>
      <c r="AI18" s="54"/>
      <c r="AK18" s="26"/>
      <c r="AL18" s="26"/>
      <c r="AM18" s="26"/>
      <c r="AN18" s="24"/>
      <c r="AO18" s="54"/>
      <c r="AX18" s="54"/>
      <c r="BH18" s="54"/>
      <c r="BJ18" s="24"/>
      <c r="BK18" s="24"/>
      <c r="BL18" s="24"/>
      <c r="BM18" s="24"/>
      <c r="BN18" s="24"/>
      <c r="BO18" s="24"/>
      <c r="BP18" s="24"/>
      <c r="BQ18" s="24"/>
    </row>
    <row r="19" spans="4:69" x14ac:dyDescent="0.25">
      <c r="D19" s="1" t="s">
        <v>89</v>
      </c>
      <c r="E19">
        <v>-0.77902400000000005</v>
      </c>
      <c r="F19">
        <v>-0.27815200000000001</v>
      </c>
      <c r="G19">
        <v>0.22087999999999999</v>
      </c>
      <c r="H19">
        <v>0.72119999999999995</v>
      </c>
      <c r="I19" t="s">
        <v>65</v>
      </c>
      <c r="J19" t="s">
        <v>65</v>
      </c>
      <c r="K19" t="s">
        <v>65</v>
      </c>
      <c r="L19" s="56"/>
      <c r="M19" s="1"/>
      <c r="N19">
        <v>0.99990400000000002</v>
      </c>
      <c r="O19">
        <v>0.99935200000000002</v>
      </c>
      <c r="P19" t="s">
        <v>65</v>
      </c>
      <c r="Q19" t="s">
        <v>65</v>
      </c>
      <c r="R19" t="s">
        <v>65</v>
      </c>
      <c r="S19" s="54"/>
      <c r="T19">
        <v>1.269804001394681E-12</v>
      </c>
      <c r="U19">
        <f t="shared" si="0"/>
        <v>1E-3</v>
      </c>
      <c r="AA19">
        <v>0.99990400000000002</v>
      </c>
      <c r="AB19" s="54"/>
      <c r="AD19" s="26"/>
      <c r="AE19" s="26"/>
      <c r="AF19" s="26"/>
      <c r="AG19" s="24"/>
      <c r="AI19" s="54"/>
      <c r="AK19" s="26"/>
      <c r="AL19" s="26"/>
      <c r="AM19" s="26"/>
      <c r="AN19" s="24"/>
      <c r="AO19" s="54"/>
      <c r="AP19">
        <v>1.535999999999982E-3</v>
      </c>
      <c r="AQ19">
        <v>2.6079999999999992E-3</v>
      </c>
      <c r="AR19">
        <v>-5.2800000000000069E-4</v>
      </c>
      <c r="AS19">
        <v>4.4639999999999116E-3</v>
      </c>
      <c r="AX19" s="54"/>
      <c r="BH19" s="54"/>
      <c r="BJ19" s="24"/>
      <c r="BK19" s="24"/>
      <c r="BL19" s="24"/>
      <c r="BM19" s="24"/>
      <c r="BN19" s="24"/>
      <c r="BO19" s="24"/>
      <c r="BP19" s="24"/>
      <c r="BQ19" s="24"/>
    </row>
    <row r="20" spans="4:69" x14ac:dyDescent="0.25">
      <c r="D20" s="1" t="s">
        <v>90</v>
      </c>
      <c r="E20">
        <v>-0.78056000000000003</v>
      </c>
      <c r="F20">
        <v>-0.28076000000000001</v>
      </c>
      <c r="G20">
        <v>0.22140799999999999</v>
      </c>
      <c r="H20">
        <v>0.71673600000000004</v>
      </c>
      <c r="I20" t="s">
        <v>65</v>
      </c>
      <c r="J20" t="s">
        <v>65</v>
      </c>
      <c r="K20" t="s">
        <v>65</v>
      </c>
      <c r="L20" s="56"/>
      <c r="M20" s="1"/>
      <c r="N20">
        <v>1.001968</v>
      </c>
      <c r="O20">
        <v>0.99749600000000005</v>
      </c>
      <c r="P20" t="s">
        <v>65</v>
      </c>
      <c r="Q20" t="s">
        <v>65</v>
      </c>
      <c r="R20" t="s">
        <v>65</v>
      </c>
      <c r="S20" s="54"/>
      <c r="T20">
        <v>1.269804001394681E-12</v>
      </c>
      <c r="U20">
        <f t="shared" si="0"/>
        <v>1E-3</v>
      </c>
      <c r="AA20" s="2"/>
      <c r="AB20" s="54"/>
      <c r="AD20" s="26"/>
      <c r="AE20" s="26"/>
      <c r="AF20" s="26"/>
      <c r="AG20" s="24"/>
      <c r="AI20" s="54"/>
      <c r="AK20" s="26"/>
      <c r="AL20" s="26"/>
      <c r="AM20" s="26"/>
      <c r="AN20" s="24"/>
      <c r="AO20" s="54"/>
      <c r="AX20" s="54"/>
      <c r="BH20" s="54"/>
      <c r="BJ20" s="24"/>
      <c r="BK20" s="24"/>
      <c r="BL20" s="24"/>
      <c r="BM20" s="24"/>
      <c r="BN20" s="24"/>
      <c r="BO20" s="24"/>
      <c r="BP20" s="24"/>
      <c r="BQ20" s="24"/>
    </row>
    <row r="21" spans="4:69" x14ac:dyDescent="0.25">
      <c r="S21" s="54"/>
      <c r="AB21" s="54"/>
      <c r="AD21" s="26"/>
      <c r="AE21" s="26"/>
      <c r="AF21" s="26"/>
      <c r="AG21" s="24"/>
      <c r="AI21" s="54"/>
      <c r="AK21" s="26"/>
      <c r="AL21" s="26"/>
      <c r="AM21" s="26"/>
      <c r="AN21" s="24"/>
      <c r="AO21" s="54"/>
      <c r="AX21" s="54"/>
      <c r="BH21" s="54"/>
      <c r="BJ21" s="24"/>
      <c r="BK21" s="24"/>
      <c r="BL21" s="24"/>
      <c r="BM21" s="24"/>
      <c r="BN21" s="24"/>
      <c r="BO21" s="24"/>
      <c r="BP21" s="24"/>
      <c r="BQ21" s="24"/>
    </row>
    <row r="22" spans="4:69" x14ac:dyDescent="0.25">
      <c r="AD22" s="26"/>
      <c r="AE22" s="26"/>
      <c r="AF22" s="26"/>
      <c r="AG22" s="24"/>
    </row>
  </sheetData>
  <mergeCells count="9">
    <mergeCell ref="AO3:AO21"/>
    <mergeCell ref="AX3:AX21"/>
    <mergeCell ref="BH3:BH21"/>
    <mergeCell ref="A1:C2"/>
    <mergeCell ref="L3:L20"/>
    <mergeCell ref="S3:S21"/>
    <mergeCell ref="AB3:AB21"/>
    <mergeCell ref="AI3:AI21"/>
    <mergeCell ref="AG2:A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1CF3-CF4D-40B9-A847-AC43894BF9B1}">
  <dimension ref="A1:BS22"/>
  <sheetViews>
    <sheetView topLeftCell="AC1" workbookViewId="0">
      <selection activeCell="AN4" sqref="AN4"/>
    </sheetView>
  </sheetViews>
  <sheetFormatPr defaultRowHeight="15" x14ac:dyDescent="0.25"/>
  <cols>
    <col min="4" max="4" width="19.85546875" customWidth="1"/>
    <col min="5" max="5" width="14.5703125" customWidth="1"/>
    <col min="6" max="6" width="12.28515625" customWidth="1"/>
    <col min="7" max="7" width="13.5703125" customWidth="1"/>
    <col min="8" max="8" width="14" customWidth="1"/>
    <col min="9" max="9" width="0.140625" customWidth="1"/>
    <col min="10" max="10" width="8.5703125" hidden="1" customWidth="1"/>
    <col min="11" max="11" width="0.140625" customWidth="1"/>
    <col min="12" max="12" width="9.7109375" customWidth="1"/>
    <col min="13" max="13" width="19.28515625" hidden="1" customWidth="1"/>
    <col min="14" max="14" width="32.140625" customWidth="1"/>
    <col min="15" max="15" width="29.28515625" customWidth="1"/>
    <col min="16" max="16" width="11" customWidth="1"/>
    <col min="17" max="17" width="9.140625" hidden="1" customWidth="1"/>
    <col min="18" max="18" width="0.140625" customWidth="1"/>
    <col min="19" max="19" width="18.28515625" customWidth="1"/>
    <col min="20" max="20" width="14.42578125" customWidth="1"/>
    <col min="21" max="21" width="12.42578125" customWidth="1"/>
    <col min="22" max="22" width="0.140625" customWidth="1"/>
    <col min="23" max="24" width="9.140625" hidden="1" customWidth="1"/>
    <col min="25" max="25" width="0.140625" customWidth="1"/>
    <col min="26" max="26" width="0.42578125" hidden="1" customWidth="1"/>
    <col min="27" max="27" width="9.140625" hidden="1" customWidth="1"/>
    <col min="28" max="28" width="13" customWidth="1"/>
    <col min="29" max="29" width="15.28515625" customWidth="1"/>
    <col min="30" max="30" width="34" customWidth="1"/>
    <col min="31" max="31" width="11.7109375" customWidth="1"/>
    <col min="32" max="32" width="11.5703125" customWidth="1"/>
    <col min="33" max="33" width="11" customWidth="1"/>
    <col min="34" max="34" width="37.140625" customWidth="1"/>
    <col min="35" max="35" width="11.42578125" customWidth="1"/>
    <col min="36" max="36" width="12.7109375" customWidth="1"/>
    <col min="40" max="40" width="38" customWidth="1"/>
    <col min="41" max="41" width="13.140625" customWidth="1"/>
    <col min="42" max="42" width="15.42578125" customWidth="1"/>
    <col min="51" max="51" width="16.140625" customWidth="1"/>
    <col min="52" max="52" width="12" bestFit="1" customWidth="1"/>
    <col min="54" max="54" width="11.5703125" customWidth="1"/>
    <col min="55" max="55" width="12" bestFit="1" customWidth="1"/>
    <col min="57" max="57" width="22" bestFit="1" customWidth="1"/>
    <col min="59" max="59" width="39.85546875" customWidth="1"/>
    <col min="61" max="61" width="13.5703125" customWidth="1"/>
    <col min="64" max="64" width="13.42578125" customWidth="1"/>
    <col min="67" max="67" width="16.140625" customWidth="1"/>
    <col min="69" max="69" width="28.5703125" customWidth="1"/>
  </cols>
  <sheetData>
    <row r="1" spans="1:71" ht="28.5" customHeight="1" x14ac:dyDescent="0.25">
      <c r="A1" s="55" t="s">
        <v>191</v>
      </c>
      <c r="B1" s="55"/>
      <c r="C1" s="55"/>
    </row>
    <row r="2" spans="1:71" ht="96" customHeight="1" x14ac:dyDescent="0.25">
      <c r="A2" s="55"/>
      <c r="B2" s="55"/>
      <c r="C2" s="55"/>
      <c r="D2" s="19" t="s">
        <v>235</v>
      </c>
      <c r="E2" s="18" t="s">
        <v>194</v>
      </c>
      <c r="F2" s="18" t="s">
        <v>195</v>
      </c>
      <c r="G2" s="18" t="s">
        <v>196</v>
      </c>
      <c r="H2" s="18" t="s">
        <v>197</v>
      </c>
      <c r="L2" s="20" t="s">
        <v>193</v>
      </c>
      <c r="M2" s="20"/>
      <c r="N2" s="21" t="s">
        <v>198</v>
      </c>
      <c r="O2" s="21" t="s">
        <v>199</v>
      </c>
      <c r="S2" s="20" t="s">
        <v>192</v>
      </c>
      <c r="T2" s="18" t="s">
        <v>201</v>
      </c>
      <c r="U2" s="18" t="s">
        <v>200</v>
      </c>
      <c r="AB2" s="20" t="s">
        <v>204</v>
      </c>
      <c r="AC2" s="22" t="s">
        <v>202</v>
      </c>
      <c r="AD2" s="25" t="s">
        <v>203</v>
      </c>
      <c r="AE2" s="25" t="s">
        <v>205</v>
      </c>
      <c r="AF2" s="25" t="s">
        <v>206</v>
      </c>
      <c r="AG2" s="57" t="s">
        <v>207</v>
      </c>
      <c r="AH2" s="58"/>
      <c r="AI2" s="20" t="s">
        <v>208</v>
      </c>
      <c r="AJ2" s="38" t="s">
        <v>209</v>
      </c>
      <c r="AK2" s="28" t="s">
        <v>211</v>
      </c>
      <c r="AL2" s="26" t="s">
        <v>212</v>
      </c>
      <c r="AM2" s="28" t="s">
        <v>210</v>
      </c>
      <c r="AN2" s="30" t="s">
        <v>213</v>
      </c>
      <c r="AO2" s="31" t="s">
        <v>228</v>
      </c>
      <c r="AP2" s="33" t="s">
        <v>214</v>
      </c>
      <c r="AQ2" s="32" t="s">
        <v>216</v>
      </c>
      <c r="AR2" s="32" t="s">
        <v>215</v>
      </c>
      <c r="AS2" s="32" t="s">
        <v>217</v>
      </c>
      <c r="AU2" s="32" t="s">
        <v>218</v>
      </c>
      <c r="AV2" s="32" t="s">
        <v>219</v>
      </c>
      <c r="AW2" s="34" t="s">
        <v>220</v>
      </c>
      <c r="AX2" s="34" t="s">
        <v>227</v>
      </c>
      <c r="AY2" s="32" t="s">
        <v>236</v>
      </c>
      <c r="AZ2" s="36" t="s">
        <v>222</v>
      </c>
      <c r="BA2" s="37" t="s">
        <v>212</v>
      </c>
      <c r="BB2" s="36" t="s">
        <v>221</v>
      </c>
      <c r="BC2" s="37" t="s">
        <v>223</v>
      </c>
      <c r="BD2" s="36" t="s">
        <v>225</v>
      </c>
      <c r="BE2" s="41" t="s">
        <v>226</v>
      </c>
      <c r="BF2" s="35" t="s">
        <v>224</v>
      </c>
      <c r="BG2" s="30" t="s">
        <v>237</v>
      </c>
      <c r="BH2" s="22" t="s">
        <v>229</v>
      </c>
      <c r="BI2" s="23" t="s">
        <v>230</v>
      </c>
      <c r="BJ2" s="42" t="s">
        <v>238</v>
      </c>
      <c r="BK2" s="43" t="s">
        <v>224</v>
      </c>
      <c r="BL2" s="42" t="s">
        <v>233</v>
      </c>
      <c r="BM2" s="43" t="s">
        <v>234</v>
      </c>
      <c r="BN2" s="42" t="s">
        <v>231</v>
      </c>
      <c r="BO2" s="44" t="s">
        <v>226</v>
      </c>
      <c r="BP2" s="45" t="s">
        <v>224</v>
      </c>
      <c r="BQ2" s="30" t="s">
        <v>232</v>
      </c>
    </row>
    <row r="3" spans="1:71" x14ac:dyDescent="0.25">
      <c r="D3" s="1" t="s">
        <v>91</v>
      </c>
      <c r="E3">
        <v>-0.153227</v>
      </c>
      <c r="F3">
        <v>-5.3139199999999998E-2</v>
      </c>
      <c r="G3">
        <v>4.6953599999999998E-2</v>
      </c>
      <c r="H3">
        <v>0.14696799999999999</v>
      </c>
      <c r="I3" t="s">
        <v>65</v>
      </c>
      <c r="J3" t="s">
        <v>65</v>
      </c>
      <c r="K3" t="s">
        <v>65</v>
      </c>
      <c r="L3" s="56" t="s">
        <v>65</v>
      </c>
      <c r="M3" s="1"/>
      <c r="N3">
        <v>0.20018059999999999</v>
      </c>
      <c r="O3">
        <v>0.20010720000000001</v>
      </c>
      <c r="P3" t="s">
        <v>65</v>
      </c>
      <c r="Q3" t="s">
        <v>65</v>
      </c>
      <c r="R3" t="s">
        <v>65</v>
      </c>
      <c r="S3" s="54"/>
      <c r="T3">
        <v>1.0000000000287561E-6</v>
      </c>
      <c r="U3">
        <f>2.5*0.0001*0.4*2</f>
        <v>2.0000000000000001E-4</v>
      </c>
      <c r="AA3">
        <v>1.000024</v>
      </c>
      <c r="AB3" s="54"/>
      <c r="AC3" s="2">
        <f>+_xlfn.STDEV.S(N3:O20)/SQRT(35)</f>
        <v>3.2461763400549101E-5</v>
      </c>
      <c r="AD3" s="26">
        <f>+U3</f>
        <v>2.0000000000000001E-4</v>
      </c>
      <c r="AE3" s="26">
        <f>+SQRT((AC3^2)+(AD3^2))</f>
        <v>2.0261728969432304E-4</v>
      </c>
      <c r="AF3" s="26">
        <f>+AVERAGE(N3:O20)</f>
        <v>0.20020496571428573</v>
      </c>
      <c r="AG3" s="24" t="str">
        <f>AF3 &amp; " ± " &amp; AE3</f>
        <v>0,200204965714286 ± 0,000202617289694323</v>
      </c>
      <c r="AI3" s="54"/>
      <c r="AJ3" s="16">
        <f>1/AF3</f>
        <v>4.9948811031346185</v>
      </c>
      <c r="AK3" s="26">
        <f>+(1/(AF3^2))</f>
        <v>24.948837234451307</v>
      </c>
      <c r="AL3" s="26">
        <f>+AE3</f>
        <v>2.0261728969432304E-4</v>
      </c>
      <c r="AM3" s="26">
        <f>+AK3*AL3</f>
        <v>5.0550657814693338E-3</v>
      </c>
      <c r="AN3" s="24" t="str">
        <f>AJ3 &amp; " ± " &amp; AM3</f>
        <v>4,99488110313462 ± 0,00505506578146933</v>
      </c>
      <c r="AO3" s="54"/>
      <c r="AP3">
        <v>-1.4570000000000141E-3</v>
      </c>
      <c r="AQ3">
        <v>-1.5103999999999951E-3</v>
      </c>
      <c r="AR3">
        <v>-1.6943999999999989E-3</v>
      </c>
      <c r="AS3">
        <v>-1.78600000000001E-3</v>
      </c>
      <c r="AU3">
        <f>+AVERAGE(AP3:AS19)</f>
        <v>-1.4553885714285719E-3</v>
      </c>
      <c r="AV3">
        <f>+_xlfn.STDEV.S(AP3:AS19)/SQRT(35)</f>
        <v>4.8298852531114386E-5</v>
      </c>
      <c r="AW3">
        <f>+SQRT((AV3^2)+(U3^2))</f>
        <v>2.0574931143462508E-4</v>
      </c>
      <c r="AX3" s="54"/>
      <c r="AY3" s="12">
        <f>(AU3/AF3)*2*PI()</f>
        <v>-4.5675570811201827E-2</v>
      </c>
      <c r="AZ3">
        <f>ABS(2*PI()*(AU3/(AF3^2)))</f>
        <v>0.22814404551975914</v>
      </c>
      <c r="BA3">
        <f>+AE3</f>
        <v>2.0261728969432304E-4</v>
      </c>
      <c r="BB3">
        <f>(2*PI())*(1/AF3)</f>
        <v>31.3837635583244</v>
      </c>
      <c r="BC3">
        <f>+AW3</f>
        <v>2.0574931143462508E-4</v>
      </c>
      <c r="BD3">
        <f>(2*PI())*(1/AF3)</f>
        <v>31.3837635583244</v>
      </c>
      <c r="BE3" s="14">
        <v>1E-14</v>
      </c>
      <c r="BF3">
        <f>+(ABS(AZ3*BA3))+(ABS(BB3*BC3))+(ABS(BD3*BE3))</f>
        <v>6.5034136708292736E-3</v>
      </c>
      <c r="BG3" s="24" t="str">
        <f>AY3 &amp; " ± " &amp; BF3</f>
        <v>-0,0456755708112018 ± 0,00650341367082927</v>
      </c>
      <c r="BH3" s="54"/>
      <c r="BI3">
        <f>ABS(+TAN(AY3)/(2*PI()*AJ3))</f>
        <v>1.4564015219853425E-3</v>
      </c>
      <c r="BJ3" s="24">
        <f>+ABS((1/(COS(AY3)^2))*(1/(2*PI()*AJ3)))</f>
        <v>3.1930178195115774E-2</v>
      </c>
      <c r="BK3" s="24">
        <f>+BF3</f>
        <v>6.5034136708292736E-3</v>
      </c>
      <c r="BL3" s="24">
        <f>+ABS((TAN(AY3))/(2*PI()*(AJ3^2)))</f>
        <v>2.9157881677530908E-4</v>
      </c>
      <c r="BM3" s="24">
        <f>+AM3</f>
        <v>5.0550657814693338E-3</v>
      </c>
      <c r="BN3" s="24">
        <f>+ABS((TAN(AY3))/(2*PI()*PI()*AJ3))</f>
        <v>4.6358700270105396E-4</v>
      </c>
      <c r="BO3" s="24">
        <v>1E-14</v>
      </c>
      <c r="BP3">
        <f>+(BJ3*BK3)+(BL3*BM3)+(BN3*BO3)</f>
        <v>2.0912910748541752E-4</v>
      </c>
      <c r="BQ3" s="24" t="str">
        <f>BI3 &amp; " ± " &amp; BP3</f>
        <v>0,00145640152198534 ± 0,000209129107485418</v>
      </c>
    </row>
    <row r="4" spans="1:71" x14ac:dyDescent="0.25">
      <c r="D4" s="1" t="s">
        <v>92</v>
      </c>
      <c r="E4">
        <v>-0.15939400000000001</v>
      </c>
      <c r="F4">
        <v>-5.9220799999999997E-2</v>
      </c>
      <c r="G4">
        <v>4.1011199999999998E-2</v>
      </c>
      <c r="H4">
        <v>0.140763</v>
      </c>
      <c r="I4" t="s">
        <v>65</v>
      </c>
      <c r="J4" t="s">
        <v>65</v>
      </c>
      <c r="K4" t="s">
        <v>65</v>
      </c>
      <c r="L4" s="56"/>
      <c r="M4" s="1"/>
      <c r="N4">
        <v>0.20040520000000001</v>
      </c>
      <c r="O4">
        <v>0.19998379999999999</v>
      </c>
      <c r="P4" t="s">
        <v>65</v>
      </c>
      <c r="Q4" t="s">
        <v>65</v>
      </c>
      <c r="R4" t="s">
        <v>65</v>
      </c>
      <c r="S4" s="54"/>
      <c r="T4">
        <v>1.0000000000287561E-6</v>
      </c>
      <c r="U4">
        <f t="shared" ref="U4:U20" si="0">2.5*0.0001*0.4*2</f>
        <v>2.0000000000000001E-4</v>
      </c>
      <c r="AA4">
        <v>1.000224</v>
      </c>
      <c r="AB4" s="54"/>
      <c r="AC4" s="2"/>
      <c r="AD4" s="26"/>
      <c r="AE4" s="26"/>
      <c r="AF4" s="26"/>
      <c r="AG4" s="24"/>
      <c r="AI4" s="54"/>
      <c r="AK4" s="26"/>
      <c r="AL4" s="26"/>
      <c r="AM4" s="26"/>
      <c r="AN4" s="24"/>
      <c r="AO4" s="54"/>
      <c r="AX4" s="54"/>
      <c r="BH4" s="54"/>
      <c r="BJ4" s="24"/>
      <c r="BK4" s="24"/>
      <c r="BL4" s="24"/>
      <c r="BM4" s="24"/>
      <c r="BN4" s="24"/>
      <c r="BO4" s="24"/>
      <c r="BP4" s="24"/>
      <c r="BQ4" s="24"/>
    </row>
    <row r="5" spans="1:71" x14ac:dyDescent="0.25">
      <c r="D5" s="1" t="s">
        <v>93</v>
      </c>
      <c r="E5">
        <v>-0.15176999999999999</v>
      </c>
      <c r="F5">
        <v>-5.1628800000000002E-2</v>
      </c>
      <c r="G5">
        <v>4.8647999999999997E-2</v>
      </c>
      <c r="H5">
        <v>0.148754</v>
      </c>
      <c r="I5" t="s">
        <v>65</v>
      </c>
      <c r="J5" t="s">
        <v>65</v>
      </c>
      <c r="K5" t="s">
        <v>65</v>
      </c>
      <c r="L5" s="56"/>
      <c r="M5" s="1"/>
      <c r="N5">
        <v>0.20041800000000001</v>
      </c>
      <c r="O5">
        <v>0.2003828</v>
      </c>
      <c r="P5" t="s">
        <v>65</v>
      </c>
      <c r="Q5" t="s">
        <v>65</v>
      </c>
      <c r="R5" t="s">
        <v>65</v>
      </c>
      <c r="S5" s="54"/>
      <c r="T5">
        <v>1.0000000000287561E-6</v>
      </c>
      <c r="U5">
        <f t="shared" si="0"/>
        <v>2.0000000000000001E-4</v>
      </c>
      <c r="AA5">
        <v>0.99997599999999998</v>
      </c>
      <c r="AB5" s="54"/>
      <c r="AD5" s="26"/>
      <c r="AE5" s="26"/>
      <c r="AF5" s="26"/>
      <c r="AG5" s="24"/>
      <c r="AI5" s="54"/>
      <c r="AK5" s="26"/>
      <c r="AL5" s="26"/>
      <c r="AM5" s="26"/>
      <c r="AN5" s="24"/>
      <c r="AO5" s="54"/>
      <c r="AP5">
        <v>-1.5890000000000071E-3</v>
      </c>
      <c r="AQ5">
        <v>-1.948799999999994E-3</v>
      </c>
      <c r="AR5">
        <v>-1.7248000000000051E-3</v>
      </c>
      <c r="AS5">
        <v>-1.807000000000003E-3</v>
      </c>
      <c r="AX5" s="54"/>
      <c r="BE5" s="40"/>
      <c r="BH5" s="54"/>
      <c r="BJ5" s="24"/>
      <c r="BK5" s="24"/>
      <c r="BL5" s="24"/>
      <c r="BM5" s="24"/>
      <c r="BN5" s="24"/>
      <c r="BO5" s="24"/>
      <c r="BP5" s="24"/>
      <c r="BQ5" s="24"/>
    </row>
    <row r="6" spans="1:71" x14ac:dyDescent="0.25">
      <c r="D6" s="1" t="s">
        <v>94</v>
      </c>
      <c r="E6">
        <v>-0.157805</v>
      </c>
      <c r="F6">
        <v>-5.7272000000000003E-2</v>
      </c>
      <c r="G6">
        <v>4.2736000000000003E-2</v>
      </c>
      <c r="H6">
        <v>0.14282600000000001</v>
      </c>
      <c r="I6" t="s">
        <v>65</v>
      </c>
      <c r="J6" t="s">
        <v>65</v>
      </c>
      <c r="K6" t="s">
        <v>65</v>
      </c>
      <c r="L6" s="56"/>
      <c r="M6" s="1"/>
      <c r="N6">
        <v>0.200541</v>
      </c>
      <c r="O6">
        <v>0.200098</v>
      </c>
      <c r="P6" t="s">
        <v>65</v>
      </c>
      <c r="Q6" t="s">
        <v>65</v>
      </c>
      <c r="R6" t="s">
        <v>65</v>
      </c>
      <c r="S6" s="54"/>
      <c r="T6">
        <v>1.0000000000287561E-6</v>
      </c>
      <c r="U6">
        <f t="shared" si="0"/>
        <v>2.0000000000000001E-4</v>
      </c>
      <c r="AA6">
        <v>1.0020800000000001</v>
      </c>
      <c r="AB6" s="54"/>
      <c r="AD6" s="26"/>
      <c r="AE6" s="26"/>
      <c r="AF6" s="26"/>
      <c r="AG6" s="24"/>
      <c r="AI6" s="54"/>
      <c r="AK6" s="26"/>
      <c r="AL6" s="26"/>
      <c r="AM6" s="26"/>
      <c r="AN6" s="24"/>
      <c r="AO6" s="54"/>
      <c r="AX6" s="54"/>
      <c r="BH6" s="54"/>
      <c r="BJ6" s="24"/>
      <c r="BK6" s="24"/>
      <c r="BL6" s="24"/>
      <c r="BM6" s="24"/>
      <c r="BN6" s="24"/>
      <c r="BO6" s="24"/>
      <c r="BP6" s="24"/>
      <c r="BQ6" s="24"/>
    </row>
    <row r="7" spans="1:71" x14ac:dyDescent="0.25">
      <c r="D7" s="1" t="s">
        <v>96</v>
      </c>
      <c r="E7">
        <v>-0.14061299999999999</v>
      </c>
      <c r="F7">
        <v>-4.0612799999999998E-2</v>
      </c>
      <c r="G7">
        <v>5.9401599999999999E-2</v>
      </c>
      <c r="H7">
        <v>0.15940799999999999</v>
      </c>
      <c r="I7" t="s">
        <v>65</v>
      </c>
      <c r="J7" t="s">
        <v>65</v>
      </c>
      <c r="K7" t="s">
        <v>65</v>
      </c>
      <c r="L7" s="56"/>
      <c r="M7" s="1"/>
      <c r="N7">
        <v>0.20001459999999999</v>
      </c>
      <c r="O7">
        <v>0.2000208</v>
      </c>
      <c r="P7" t="s">
        <v>65</v>
      </c>
      <c r="Q7" t="s">
        <v>65</v>
      </c>
      <c r="R7" t="s">
        <v>65</v>
      </c>
      <c r="S7" s="54"/>
      <c r="T7">
        <v>1.0000000000287561E-6</v>
      </c>
      <c r="U7">
        <f t="shared" si="0"/>
        <v>2.0000000000000001E-4</v>
      </c>
      <c r="AA7">
        <v>0.99985599999999997</v>
      </c>
      <c r="AB7" s="54"/>
      <c r="AD7" s="26"/>
      <c r="AE7" s="26"/>
      <c r="AF7" s="26"/>
      <c r="AG7" s="24"/>
      <c r="AI7" s="54"/>
      <c r="AK7" s="26"/>
      <c r="AL7" s="26"/>
      <c r="AM7" s="26"/>
      <c r="AN7" s="24"/>
      <c r="AO7" s="54"/>
      <c r="AP7">
        <v>-1.4559999999999851E-3</v>
      </c>
      <c r="AQ7">
        <v>-1.455999999999999E-3</v>
      </c>
      <c r="AR7">
        <v>-1.4976000000000019E-3</v>
      </c>
      <c r="AS7">
        <v>-1.531000000000005E-3</v>
      </c>
      <c r="AX7" s="54"/>
      <c r="BE7" s="5"/>
      <c r="BH7" s="54"/>
      <c r="BJ7" s="24"/>
      <c r="BK7" s="24"/>
      <c r="BL7" s="24"/>
      <c r="BM7" s="24"/>
      <c r="BN7" s="24"/>
      <c r="BO7" s="24"/>
      <c r="BP7" s="24"/>
      <c r="BQ7" s="24"/>
    </row>
    <row r="8" spans="1:71" x14ac:dyDescent="0.25">
      <c r="D8" s="1" t="s">
        <v>97</v>
      </c>
      <c r="E8">
        <v>-0.139157</v>
      </c>
      <c r="F8">
        <v>-3.9156799999999999E-2</v>
      </c>
      <c r="G8">
        <v>6.0899200000000001E-2</v>
      </c>
      <c r="H8">
        <v>0.160939</v>
      </c>
      <c r="I8" t="s">
        <v>65</v>
      </c>
      <c r="J8" t="s">
        <v>65</v>
      </c>
      <c r="K8" t="s">
        <v>65</v>
      </c>
      <c r="L8" s="56"/>
      <c r="M8" s="1"/>
      <c r="N8">
        <v>0.20005619999999999</v>
      </c>
      <c r="O8">
        <v>0.20009579999999999</v>
      </c>
      <c r="P8" t="s">
        <v>65</v>
      </c>
      <c r="Q8" t="s">
        <v>65</v>
      </c>
      <c r="R8" t="s">
        <v>65</v>
      </c>
      <c r="S8" s="54"/>
      <c r="T8">
        <v>1.0000000000287561E-6</v>
      </c>
      <c r="U8">
        <f t="shared" si="0"/>
        <v>2.0000000000000001E-4</v>
      </c>
      <c r="AA8">
        <v>0.99842399999999998</v>
      </c>
      <c r="AB8" s="54"/>
      <c r="AD8" s="26"/>
      <c r="AE8" s="26"/>
      <c r="AF8" s="26"/>
      <c r="AG8" s="24"/>
      <c r="AI8" s="54"/>
      <c r="AK8" s="26"/>
      <c r="AL8" s="26"/>
      <c r="AM8" s="26"/>
      <c r="AN8" s="24"/>
      <c r="AO8" s="54"/>
      <c r="AX8" s="54"/>
      <c r="BH8" s="54"/>
      <c r="BJ8" s="24"/>
      <c r="BK8" s="24"/>
      <c r="BL8" s="24"/>
      <c r="BM8" s="24"/>
      <c r="BN8" s="24"/>
      <c r="BO8" s="24"/>
      <c r="BP8" s="24"/>
      <c r="BQ8" s="24"/>
    </row>
    <row r="9" spans="1:71" x14ac:dyDescent="0.25">
      <c r="D9" s="1" t="s">
        <v>98</v>
      </c>
      <c r="E9">
        <v>-0.13919500000000001</v>
      </c>
      <c r="F9">
        <v>-3.91648E-2</v>
      </c>
      <c r="G9">
        <v>6.0872000000000002E-2</v>
      </c>
      <c r="H9" t="s">
        <v>65</v>
      </c>
      <c r="I9" t="s">
        <v>65</v>
      </c>
      <c r="J9" t="s">
        <v>65</v>
      </c>
      <c r="K9" t="s">
        <v>65</v>
      </c>
      <c r="L9" s="56"/>
      <c r="M9" s="1"/>
      <c r="N9">
        <v>0.20006699999999999</v>
      </c>
      <c r="O9" t="s">
        <v>65</v>
      </c>
      <c r="P9" t="s">
        <v>65</v>
      </c>
      <c r="Q9" t="s">
        <v>65</v>
      </c>
      <c r="R9" t="s">
        <v>65</v>
      </c>
      <c r="S9" s="54"/>
      <c r="T9">
        <v>1.0000000000287561E-6</v>
      </c>
      <c r="U9">
        <f t="shared" si="0"/>
        <v>2.0000000000000001E-4</v>
      </c>
      <c r="AA9">
        <v>0.99964800000000009</v>
      </c>
      <c r="AB9" s="54"/>
      <c r="AD9" s="26"/>
      <c r="AE9" s="26"/>
      <c r="AF9" s="26"/>
      <c r="AG9" s="24"/>
      <c r="AI9" s="54"/>
      <c r="AK9" s="26"/>
      <c r="AL9" s="26"/>
      <c r="AM9" s="26"/>
      <c r="AN9" s="24"/>
      <c r="AO9" s="54"/>
      <c r="AP9">
        <v>-8.7000000000000965E-4</v>
      </c>
      <c r="AQ9">
        <v>-9.344000000000019E-4</v>
      </c>
      <c r="AR9">
        <v>-1.096E-3</v>
      </c>
      <c r="AX9" s="54"/>
      <c r="BH9" s="54"/>
      <c r="BJ9" s="24"/>
      <c r="BK9" s="24"/>
      <c r="BL9" s="24"/>
      <c r="BM9" s="24"/>
      <c r="BN9" s="24"/>
      <c r="BO9" s="24"/>
      <c r="BP9" s="24"/>
      <c r="BQ9" s="46" t="s">
        <v>239</v>
      </c>
    </row>
    <row r="10" spans="1:71" x14ac:dyDescent="0.25">
      <c r="D10" s="1" t="s">
        <v>99</v>
      </c>
      <c r="E10">
        <v>-0.138325</v>
      </c>
      <c r="F10">
        <v>-3.8230399999999998E-2</v>
      </c>
      <c r="G10">
        <v>6.1968000000000002E-2</v>
      </c>
      <c r="H10">
        <v>0.162048</v>
      </c>
      <c r="I10" t="s">
        <v>65</v>
      </c>
      <c r="J10" t="s">
        <v>65</v>
      </c>
      <c r="K10" t="s">
        <v>65</v>
      </c>
      <c r="L10" s="56"/>
      <c r="M10" s="1"/>
      <c r="N10">
        <v>0.200293</v>
      </c>
      <c r="O10">
        <v>0.2002784</v>
      </c>
      <c r="P10" t="s">
        <v>65</v>
      </c>
      <c r="Q10" t="s">
        <v>65</v>
      </c>
      <c r="R10" t="s">
        <v>65</v>
      </c>
      <c r="S10" s="54"/>
      <c r="T10">
        <v>1.0000000000287561E-6</v>
      </c>
      <c r="U10">
        <f t="shared" si="0"/>
        <v>2.0000000000000001E-4</v>
      </c>
      <c r="AA10">
        <v>1.0004</v>
      </c>
      <c r="AB10" s="54"/>
      <c r="AD10" s="27"/>
      <c r="AE10" s="26"/>
      <c r="AF10" s="27"/>
      <c r="AG10" s="24"/>
      <c r="AI10" s="54"/>
      <c r="AK10" s="26"/>
      <c r="AL10" s="26"/>
      <c r="AM10" s="26"/>
      <c r="AN10" s="24"/>
      <c r="AO10" s="54"/>
      <c r="AX10" s="54"/>
      <c r="BH10" s="54"/>
      <c r="BJ10" s="24"/>
      <c r="BK10" s="24"/>
      <c r="BL10" s="24"/>
      <c r="BM10" s="24"/>
      <c r="BN10" s="24"/>
      <c r="BO10" s="24"/>
      <c r="BP10" s="24"/>
      <c r="BQ10" s="47" t="s">
        <v>240</v>
      </c>
      <c r="BR10">
        <f>+BI3-(1.96*BP3)</f>
        <v>1.0465084713139241E-3</v>
      </c>
    </row>
    <row r="11" spans="1:71" x14ac:dyDescent="0.25">
      <c r="D11" s="1" t="s">
        <v>100</v>
      </c>
      <c r="E11">
        <v>-0.107072</v>
      </c>
      <c r="F11">
        <v>-6.8864E-3</v>
      </c>
      <c r="G11">
        <v>9.3118400000000004E-2</v>
      </c>
      <c r="H11">
        <v>0.193131</v>
      </c>
      <c r="I11" t="s">
        <v>65</v>
      </c>
      <c r="J11" t="s">
        <v>65</v>
      </c>
      <c r="K11" t="s">
        <v>65</v>
      </c>
      <c r="L11" s="56"/>
      <c r="M11" s="1"/>
      <c r="N11">
        <v>0.20019039999999999</v>
      </c>
      <c r="O11">
        <v>0.20001740000000001</v>
      </c>
      <c r="P11" t="s">
        <v>65</v>
      </c>
      <c r="Q11" t="s">
        <v>65</v>
      </c>
      <c r="R11" t="s">
        <v>65</v>
      </c>
      <c r="S11" s="54"/>
      <c r="T11">
        <v>1.0000000000287561E-6</v>
      </c>
      <c r="U11">
        <f t="shared" si="0"/>
        <v>2.0000000000000001E-4</v>
      </c>
      <c r="AA11">
        <v>0.99967200000000001</v>
      </c>
      <c r="AB11" s="54"/>
      <c r="AD11" s="26"/>
      <c r="AE11" s="26"/>
      <c r="AF11" s="27"/>
      <c r="AG11" s="24"/>
      <c r="AI11" s="54"/>
      <c r="AK11" s="26"/>
      <c r="AL11" s="26"/>
      <c r="AM11" s="26"/>
      <c r="AN11" s="24"/>
      <c r="AO11" s="54"/>
      <c r="AP11">
        <v>-1.421000000000006E-3</v>
      </c>
      <c r="AQ11">
        <v>-1.5583999999999999E-3</v>
      </c>
      <c r="AR11">
        <v>-1.577599999999998E-3</v>
      </c>
      <c r="AS11">
        <v>-1.650000000000013E-3</v>
      </c>
      <c r="AX11" s="54"/>
      <c r="BH11" s="54"/>
      <c r="BJ11" s="24"/>
      <c r="BK11" s="24"/>
      <c r="BL11" s="24"/>
      <c r="BM11" s="24"/>
      <c r="BN11" s="24"/>
      <c r="BO11" s="24"/>
      <c r="BP11" s="24"/>
      <c r="BQ11" s="48" t="s">
        <v>241</v>
      </c>
      <c r="BR11">
        <f>+BI3+(1.96*BP3)</f>
        <v>1.8662945726567609E-3</v>
      </c>
    </row>
    <row r="12" spans="1:71" x14ac:dyDescent="0.25">
      <c r="D12" s="1" t="s">
        <v>101</v>
      </c>
      <c r="E12">
        <v>-0.10565099999999999</v>
      </c>
      <c r="F12">
        <v>-5.3280000000000003E-3</v>
      </c>
      <c r="G12">
        <v>9.4696000000000002E-2</v>
      </c>
      <c r="H12">
        <v>0.19478100000000001</v>
      </c>
      <c r="I12" t="s">
        <v>65</v>
      </c>
      <c r="J12" t="s">
        <v>65</v>
      </c>
      <c r="K12" t="s">
        <v>65</v>
      </c>
      <c r="L12" s="56"/>
      <c r="M12" s="1"/>
      <c r="N12">
        <v>0.200347</v>
      </c>
      <c r="O12">
        <v>0.20010900000000001</v>
      </c>
      <c r="P12" t="s">
        <v>65</v>
      </c>
      <c r="Q12" t="s">
        <v>65</v>
      </c>
      <c r="R12" t="s">
        <v>65</v>
      </c>
      <c r="S12" s="54"/>
      <c r="T12">
        <v>1.0000000000287561E-6</v>
      </c>
      <c r="U12">
        <f t="shared" si="0"/>
        <v>2.0000000000000001E-4</v>
      </c>
      <c r="AA12">
        <v>1.0018720000000001</v>
      </c>
      <c r="AB12" s="54"/>
      <c r="AD12" s="26"/>
      <c r="AE12" s="26"/>
      <c r="AF12" s="26"/>
      <c r="AG12" s="24"/>
      <c r="AI12" s="54"/>
      <c r="AK12" s="26"/>
      <c r="AL12" s="26"/>
      <c r="AM12" s="26"/>
      <c r="AN12" s="24"/>
      <c r="AO12" s="54"/>
      <c r="AX12" s="54"/>
      <c r="BH12" s="54"/>
      <c r="BJ12" s="24"/>
      <c r="BK12" s="24"/>
      <c r="BL12" s="24"/>
      <c r="BM12" s="24"/>
      <c r="BN12" s="24"/>
      <c r="BO12" s="24"/>
      <c r="BP12" s="24"/>
      <c r="BQ12" s="24"/>
    </row>
    <row r="13" spans="1:71" x14ac:dyDescent="0.25">
      <c r="D13" s="1" t="s">
        <v>102</v>
      </c>
      <c r="E13">
        <v>-0.102573</v>
      </c>
      <c r="F13">
        <v>-2.552E-3</v>
      </c>
      <c r="G13">
        <v>9.7467200000000004E-2</v>
      </c>
      <c r="H13">
        <v>0.197496</v>
      </c>
      <c r="I13" t="s">
        <v>65</v>
      </c>
      <c r="J13" t="s">
        <v>65</v>
      </c>
      <c r="K13" t="s">
        <v>65</v>
      </c>
      <c r="L13" s="56"/>
      <c r="M13" s="1"/>
      <c r="N13">
        <v>0.2000402</v>
      </c>
      <c r="O13">
        <v>0.200048</v>
      </c>
      <c r="P13" t="s">
        <v>65</v>
      </c>
      <c r="Q13" t="s">
        <v>65</v>
      </c>
      <c r="R13" t="s">
        <v>65</v>
      </c>
      <c r="S13" s="54"/>
      <c r="T13">
        <v>1.0000000000287561E-6</v>
      </c>
      <c r="U13">
        <f t="shared" si="0"/>
        <v>2.0000000000000001E-4</v>
      </c>
      <c r="AA13">
        <v>1.0001439999999999</v>
      </c>
      <c r="AB13" s="54"/>
      <c r="AD13" s="26"/>
      <c r="AE13" s="26"/>
      <c r="AF13" s="26"/>
      <c r="AG13" s="24"/>
      <c r="AI13" s="54"/>
      <c r="AK13" s="26"/>
      <c r="AL13" s="26"/>
      <c r="AM13" s="26"/>
      <c r="AN13" s="24"/>
      <c r="AO13" s="54"/>
      <c r="AP13">
        <v>-9.4099999999999739E-4</v>
      </c>
      <c r="AQ13">
        <v>-1.3152000000000001E-3</v>
      </c>
      <c r="AR13">
        <v>-1.3311999999999909E-3</v>
      </c>
      <c r="AS13">
        <v>-1.5649999999999831E-3</v>
      </c>
      <c r="AX13" s="54"/>
      <c r="BH13" s="54"/>
      <c r="BJ13" s="24"/>
      <c r="BK13" s="24"/>
      <c r="BL13" s="24"/>
      <c r="BM13" s="24"/>
      <c r="BN13" s="24"/>
      <c r="BO13" s="24"/>
      <c r="BP13" s="24"/>
      <c r="BQ13" s="24"/>
    </row>
    <row r="14" spans="1:71" x14ac:dyDescent="0.25">
      <c r="D14" s="1" t="s">
        <v>103</v>
      </c>
      <c r="E14">
        <v>-0.101632</v>
      </c>
      <c r="F14">
        <v>-1.2367999999999999E-3</v>
      </c>
      <c r="G14">
        <v>9.8798399999999995E-2</v>
      </c>
      <c r="H14">
        <v>0.19906099999999999</v>
      </c>
      <c r="I14" t="s">
        <v>65</v>
      </c>
      <c r="J14" t="s">
        <v>65</v>
      </c>
      <c r="K14" t="s">
        <v>65</v>
      </c>
      <c r="L14" s="56"/>
      <c r="M14" s="1"/>
      <c r="N14">
        <v>0.20043040000000001</v>
      </c>
      <c r="O14">
        <v>0.2002978</v>
      </c>
      <c r="P14" t="s">
        <v>65</v>
      </c>
      <c r="Q14" t="s">
        <v>65</v>
      </c>
      <c r="R14" t="s">
        <v>65</v>
      </c>
      <c r="S14" s="54"/>
      <c r="T14">
        <v>1.0000000000287561E-6</v>
      </c>
      <c r="U14">
        <f t="shared" si="0"/>
        <v>2.0000000000000001E-4</v>
      </c>
      <c r="AA14">
        <v>1.0003280000000001</v>
      </c>
      <c r="AB14" s="54"/>
      <c r="AD14" s="26"/>
      <c r="AE14" s="26"/>
      <c r="AF14" s="26"/>
      <c r="AG14" s="24"/>
      <c r="AI14" s="54"/>
      <c r="AK14" s="26"/>
      <c r="AL14" s="26"/>
      <c r="AM14" s="26"/>
      <c r="AN14" s="24"/>
      <c r="AO14" s="54"/>
      <c r="AX14" s="54"/>
      <c r="BH14" s="54"/>
      <c r="BJ14" s="24"/>
      <c r="BK14" s="24"/>
      <c r="BL14" s="24"/>
      <c r="BM14" s="24"/>
      <c r="BN14" s="24"/>
      <c r="BO14" s="24"/>
      <c r="BP14" s="24"/>
      <c r="BQ14" s="59" t="s">
        <v>242</v>
      </c>
      <c r="BR14" s="60"/>
      <c r="BS14" s="60"/>
    </row>
    <row r="15" spans="1:71" x14ac:dyDescent="0.25">
      <c r="D15" s="1" t="s">
        <v>104</v>
      </c>
      <c r="E15">
        <v>-0.10593</v>
      </c>
      <c r="F15">
        <v>-5.8351999999999996E-3</v>
      </c>
      <c r="G15">
        <v>9.4166399999999997E-2</v>
      </c>
      <c r="H15">
        <v>0.194186</v>
      </c>
      <c r="I15" t="s">
        <v>65</v>
      </c>
      <c r="J15" t="s">
        <v>65</v>
      </c>
      <c r="K15" t="s">
        <v>65</v>
      </c>
      <c r="L15" s="56"/>
      <c r="M15" s="1"/>
      <c r="N15">
        <v>0.20009640000000001</v>
      </c>
      <c r="O15">
        <v>0.20002120000000001</v>
      </c>
      <c r="P15" t="s">
        <v>65</v>
      </c>
      <c r="Q15" t="s">
        <v>65</v>
      </c>
      <c r="R15" t="s">
        <v>65</v>
      </c>
      <c r="S15" s="54"/>
      <c r="T15">
        <v>1.0000000000148781E-6</v>
      </c>
      <c r="U15">
        <f t="shared" si="0"/>
        <v>2.0000000000000001E-4</v>
      </c>
      <c r="AA15">
        <v>1.00004</v>
      </c>
      <c r="AB15" s="54"/>
      <c r="AD15" s="26"/>
      <c r="AE15" s="26"/>
      <c r="AF15" s="26"/>
      <c r="AG15" s="24"/>
      <c r="AI15" s="54"/>
      <c r="AK15" s="26"/>
      <c r="AL15" s="26"/>
      <c r="AM15" s="29"/>
      <c r="AN15" s="24"/>
      <c r="AO15" s="54"/>
      <c r="AP15">
        <v>-9.8600000000000076E-4</v>
      </c>
      <c r="AQ15">
        <v>-1.1839999999999991E-3</v>
      </c>
      <c r="AR15">
        <v>-1.244800000000004E-3</v>
      </c>
      <c r="AS15">
        <v>-1.641000000000004E-3</v>
      </c>
      <c r="AX15" s="54"/>
      <c r="BH15" s="54"/>
      <c r="BJ15" s="24"/>
      <c r="BK15" s="24"/>
      <c r="BL15" s="24"/>
      <c r="BM15" s="24"/>
      <c r="BN15" s="24"/>
      <c r="BO15" s="24"/>
      <c r="BP15" s="24"/>
      <c r="BQ15" s="59"/>
      <c r="BR15" s="60"/>
      <c r="BS15" s="60"/>
    </row>
    <row r="16" spans="1:71" x14ac:dyDescent="0.25">
      <c r="D16" s="1" t="s">
        <v>105</v>
      </c>
      <c r="E16">
        <v>-0.104944</v>
      </c>
      <c r="F16">
        <v>-4.6512000000000003E-3</v>
      </c>
      <c r="G16">
        <v>9.5411200000000002E-2</v>
      </c>
      <c r="H16">
        <v>0.195827</v>
      </c>
      <c r="I16" t="s">
        <v>65</v>
      </c>
      <c r="J16" t="s">
        <v>65</v>
      </c>
      <c r="K16" t="s">
        <v>65</v>
      </c>
      <c r="L16" s="56"/>
      <c r="M16" s="1"/>
      <c r="N16">
        <v>0.20035520000000001</v>
      </c>
      <c r="O16">
        <v>0.2004782</v>
      </c>
      <c r="P16" t="s">
        <v>65</v>
      </c>
      <c r="Q16" t="s">
        <v>65</v>
      </c>
      <c r="R16" t="s">
        <v>65</v>
      </c>
      <c r="S16" s="54"/>
      <c r="T16">
        <v>1.0000000000148781E-6</v>
      </c>
      <c r="U16">
        <f t="shared" si="0"/>
        <v>2.0000000000000001E-4</v>
      </c>
      <c r="AA16">
        <v>1.0014879999999999</v>
      </c>
      <c r="AB16" s="54"/>
      <c r="AD16" s="26"/>
      <c r="AE16" s="26"/>
      <c r="AF16" s="26"/>
      <c r="AG16" s="24"/>
      <c r="AI16" s="54"/>
      <c r="AK16" s="26"/>
      <c r="AL16" s="26"/>
      <c r="AM16" s="26"/>
      <c r="AN16" s="24"/>
      <c r="AO16" s="54"/>
      <c r="AX16" s="54"/>
      <c r="BH16" s="54"/>
      <c r="BJ16" s="24"/>
      <c r="BK16" s="24"/>
      <c r="BL16" s="24"/>
      <c r="BM16" s="24"/>
      <c r="BN16" s="24"/>
      <c r="BO16" s="24"/>
      <c r="BP16" s="24"/>
      <c r="BQ16" s="59"/>
      <c r="BR16" s="60"/>
      <c r="BS16" s="60"/>
    </row>
    <row r="17" spans="4:71" x14ac:dyDescent="0.25">
      <c r="D17" s="1" t="s">
        <v>106</v>
      </c>
      <c r="E17">
        <v>-0.10621</v>
      </c>
      <c r="F17">
        <v>-6.1136000000000003E-3</v>
      </c>
      <c r="G17">
        <v>9.3891199999999994E-2</v>
      </c>
      <c r="H17">
        <v>0.19392200000000001</v>
      </c>
      <c r="I17" t="s">
        <v>65</v>
      </c>
      <c r="J17" t="s">
        <v>65</v>
      </c>
      <c r="K17" t="s">
        <v>65</v>
      </c>
      <c r="L17" s="56"/>
      <c r="M17" s="1"/>
      <c r="N17">
        <v>0.20010120000000001</v>
      </c>
      <c r="O17">
        <v>0.20003560000000001</v>
      </c>
      <c r="P17" t="s">
        <v>65</v>
      </c>
      <c r="Q17" t="s">
        <v>65</v>
      </c>
      <c r="R17" t="s">
        <v>65</v>
      </c>
      <c r="S17" s="54"/>
      <c r="T17">
        <v>1.0000000000287561E-6</v>
      </c>
      <c r="U17">
        <f t="shared" si="0"/>
        <v>2.0000000000000001E-4</v>
      </c>
      <c r="AA17">
        <v>0.99979200000000001</v>
      </c>
      <c r="AB17" s="54"/>
      <c r="AD17" s="26"/>
      <c r="AE17" s="26"/>
      <c r="AF17" s="26"/>
      <c r="AG17" s="24"/>
      <c r="AI17" s="54"/>
      <c r="AK17" s="26"/>
      <c r="AL17" s="26"/>
      <c r="AM17" s="26"/>
      <c r="AN17" s="24"/>
      <c r="AO17" s="54"/>
      <c r="AP17">
        <v>-1.2530000000000039E-3</v>
      </c>
      <c r="AQ17">
        <v>-1.8096000000000011E-3</v>
      </c>
      <c r="AR17">
        <v>-1.8144000000000081E-3</v>
      </c>
      <c r="AS17">
        <v>-1.800999999999997E-3</v>
      </c>
      <c r="AX17" s="54"/>
      <c r="BH17" s="54"/>
      <c r="BJ17" s="24"/>
      <c r="BK17" s="24"/>
      <c r="BL17" s="24"/>
      <c r="BM17" s="24"/>
      <c r="BN17" s="24"/>
      <c r="BO17" s="24"/>
      <c r="BP17" s="24"/>
      <c r="BQ17" s="59"/>
      <c r="BR17" s="60"/>
      <c r="BS17" s="60"/>
    </row>
    <row r="18" spans="4:71" x14ac:dyDescent="0.25">
      <c r="D18" s="1" t="s">
        <v>107</v>
      </c>
      <c r="E18">
        <v>-0.10495699999999999</v>
      </c>
      <c r="F18">
        <v>-4.3039999999999997E-3</v>
      </c>
      <c r="G18">
        <v>9.5705600000000002E-2</v>
      </c>
      <c r="H18">
        <v>0.19572300000000001</v>
      </c>
      <c r="I18" t="s">
        <v>65</v>
      </c>
      <c r="J18" t="s">
        <v>65</v>
      </c>
      <c r="K18" t="s">
        <v>65</v>
      </c>
      <c r="L18" s="56"/>
      <c r="M18" s="1"/>
      <c r="N18">
        <v>0.2006626</v>
      </c>
      <c r="O18">
        <v>0.20002700000000001</v>
      </c>
      <c r="P18" t="s">
        <v>65</v>
      </c>
      <c r="Q18" t="s">
        <v>65</v>
      </c>
      <c r="R18" t="s">
        <v>65</v>
      </c>
      <c r="S18" s="54"/>
      <c r="T18">
        <v>1.0000000000287561E-6</v>
      </c>
      <c r="U18">
        <f t="shared" si="0"/>
        <v>2.0000000000000001E-4</v>
      </c>
      <c r="AA18">
        <v>0.99921599999999999</v>
      </c>
      <c r="AB18" s="54"/>
      <c r="AD18" s="26"/>
      <c r="AE18" s="26"/>
      <c r="AF18" s="26"/>
      <c r="AG18" s="24"/>
      <c r="AI18" s="54"/>
      <c r="AK18" s="26"/>
      <c r="AL18" s="26"/>
      <c r="AM18" s="26"/>
      <c r="AN18" s="24"/>
      <c r="AO18" s="54"/>
      <c r="AX18" s="54"/>
      <c r="BH18" s="54"/>
      <c r="BJ18" s="24"/>
      <c r="BK18" s="24"/>
      <c r="BL18" s="24"/>
      <c r="BM18" s="24"/>
      <c r="BN18" s="24"/>
      <c r="BO18" s="24"/>
      <c r="BP18" s="24"/>
      <c r="BQ18" s="59"/>
      <c r="BR18" s="60"/>
      <c r="BS18" s="60"/>
    </row>
    <row r="19" spans="4:71" x14ac:dyDescent="0.25">
      <c r="D19" s="1" t="s">
        <v>108</v>
      </c>
      <c r="E19">
        <v>-0.104958</v>
      </c>
      <c r="F19">
        <v>-4.9360000000000003E-3</v>
      </c>
      <c r="G19">
        <v>9.5150399999999996E-2</v>
      </c>
      <c r="H19">
        <v>0.195158</v>
      </c>
      <c r="I19" t="s">
        <v>65</v>
      </c>
      <c r="J19" t="s">
        <v>65</v>
      </c>
      <c r="K19" t="s">
        <v>65</v>
      </c>
      <c r="L19" s="56"/>
      <c r="M19" s="1"/>
      <c r="N19">
        <v>0.20010839999999999</v>
      </c>
      <c r="O19">
        <v>0.20009399999999999</v>
      </c>
      <c r="P19" t="s">
        <v>65</v>
      </c>
      <c r="Q19" t="s">
        <v>65</v>
      </c>
      <c r="R19" t="s">
        <v>65</v>
      </c>
      <c r="S19" s="54"/>
      <c r="T19">
        <v>1.0000000000287561E-6</v>
      </c>
      <c r="U19">
        <f t="shared" si="0"/>
        <v>2.0000000000000001E-4</v>
      </c>
      <c r="AA19">
        <v>0.99990400000000002</v>
      </c>
      <c r="AB19" s="54"/>
      <c r="AD19" s="26"/>
      <c r="AE19" s="26"/>
      <c r="AF19" s="26"/>
      <c r="AG19" s="24"/>
      <c r="AI19" s="54"/>
      <c r="AK19" s="26"/>
      <c r="AL19" s="26"/>
      <c r="AM19" s="26"/>
      <c r="AN19" s="24"/>
      <c r="AO19" s="54"/>
      <c r="AP19">
        <v>-9.7899999999999376E-4</v>
      </c>
      <c r="AQ19">
        <v>-1.48E-3</v>
      </c>
      <c r="AR19">
        <v>-1.511999999999999E-3</v>
      </c>
      <c r="AS19">
        <v>-1.51599999999999E-3</v>
      </c>
      <c r="AX19" s="54"/>
      <c r="BH19" s="54"/>
      <c r="BJ19" s="24"/>
      <c r="BK19" s="24"/>
      <c r="BL19" s="24"/>
      <c r="BM19" s="24"/>
      <c r="BN19" s="24"/>
      <c r="BO19" s="24"/>
      <c r="BP19" s="24"/>
      <c r="BQ19" s="24"/>
    </row>
    <row r="20" spans="4:71" x14ac:dyDescent="0.25">
      <c r="D20" s="1" t="s">
        <v>109</v>
      </c>
      <c r="E20">
        <v>-0.103979</v>
      </c>
      <c r="F20">
        <v>-3.4559999999999999E-3</v>
      </c>
      <c r="G20">
        <v>9.6662399999999996E-2</v>
      </c>
      <c r="H20">
        <v>0.19667399999999999</v>
      </c>
      <c r="I20" t="s">
        <v>65</v>
      </c>
      <c r="J20" t="s">
        <v>65</v>
      </c>
      <c r="K20" t="s">
        <v>65</v>
      </c>
      <c r="L20" s="56"/>
      <c r="M20" s="1"/>
      <c r="N20">
        <v>0.2006414</v>
      </c>
      <c r="O20">
        <v>0.20013</v>
      </c>
      <c r="P20" t="s">
        <v>65</v>
      </c>
      <c r="Q20" t="s">
        <v>65</v>
      </c>
      <c r="R20" t="s">
        <v>65</v>
      </c>
      <c r="S20" s="54"/>
      <c r="T20">
        <v>1.0000000000287561E-6</v>
      </c>
      <c r="U20">
        <f t="shared" si="0"/>
        <v>2.0000000000000001E-4</v>
      </c>
      <c r="AA20" s="2"/>
      <c r="AB20" s="54"/>
      <c r="AD20" s="26"/>
      <c r="AE20" s="26"/>
      <c r="AF20" s="26"/>
      <c r="AG20" s="24"/>
      <c r="AI20" s="54"/>
      <c r="AK20" s="26"/>
      <c r="AL20" s="26"/>
      <c r="AM20" s="26"/>
      <c r="AN20" s="24"/>
      <c r="AO20" s="54"/>
      <c r="AX20" s="54"/>
      <c r="BH20" s="54"/>
      <c r="BJ20" s="24"/>
      <c r="BK20" s="24"/>
      <c r="BL20" s="24"/>
      <c r="BM20" s="24"/>
      <c r="BN20" s="24"/>
      <c r="BO20" s="24"/>
      <c r="BP20" s="24"/>
      <c r="BQ20" s="24"/>
    </row>
    <row r="21" spans="4:71" x14ac:dyDescent="0.25">
      <c r="S21" s="54"/>
      <c r="AB21" s="54"/>
      <c r="AD21" s="26"/>
      <c r="AE21" s="26"/>
      <c r="AF21" s="26"/>
      <c r="AG21" s="24"/>
      <c r="AI21" s="54"/>
      <c r="AK21" s="26"/>
      <c r="AL21" s="26"/>
      <c r="AM21" s="26"/>
      <c r="AN21" s="24"/>
      <c r="AO21" s="54"/>
      <c r="AX21" s="54"/>
      <c r="BH21" s="54"/>
      <c r="BJ21" s="24"/>
      <c r="BK21" s="24"/>
      <c r="BL21" s="24"/>
      <c r="BM21" s="24"/>
      <c r="BN21" s="24"/>
      <c r="BO21" s="24"/>
      <c r="BP21" s="24"/>
      <c r="BQ21" s="24"/>
    </row>
    <row r="22" spans="4:71" x14ac:dyDescent="0.25">
      <c r="AD22" s="26"/>
      <c r="AE22" s="26"/>
      <c r="AF22" s="26"/>
      <c r="AG22" s="24"/>
    </row>
  </sheetData>
  <mergeCells count="10">
    <mergeCell ref="AO3:AO21"/>
    <mergeCell ref="AX3:AX21"/>
    <mergeCell ref="BH3:BH21"/>
    <mergeCell ref="BQ14:BS18"/>
    <mergeCell ref="A1:C2"/>
    <mergeCell ref="AG2:AH2"/>
    <mergeCell ref="L3:L20"/>
    <mergeCell ref="S3:S21"/>
    <mergeCell ref="AB3:AB21"/>
    <mergeCell ref="AI3:AI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D0B4-4121-438E-A222-B53FD84F5D98}">
  <dimension ref="A1:BR22"/>
  <sheetViews>
    <sheetView topLeftCell="AC1" workbookViewId="0">
      <selection activeCell="AN28" sqref="AN28"/>
    </sheetView>
  </sheetViews>
  <sheetFormatPr defaultRowHeight="15" x14ac:dyDescent="0.25"/>
  <cols>
    <col min="4" max="4" width="19.85546875" customWidth="1"/>
    <col min="5" max="5" width="14.5703125" customWidth="1"/>
    <col min="6" max="6" width="12.28515625" customWidth="1"/>
    <col min="7" max="7" width="13.5703125" customWidth="1"/>
    <col min="8" max="8" width="14" customWidth="1"/>
    <col min="9" max="9" width="0.140625" customWidth="1"/>
    <col min="10" max="10" width="8.5703125" hidden="1" customWidth="1"/>
    <col min="11" max="11" width="0.140625" customWidth="1"/>
    <col min="12" max="12" width="9.7109375" customWidth="1"/>
    <col min="13" max="13" width="19.28515625" hidden="1" customWidth="1"/>
    <col min="14" max="14" width="32.140625" customWidth="1"/>
    <col min="15" max="15" width="29.28515625" customWidth="1"/>
    <col min="16" max="16" width="11" customWidth="1"/>
    <col min="17" max="17" width="9.140625" hidden="1" customWidth="1"/>
    <col min="18" max="18" width="0.140625" customWidth="1"/>
    <col min="19" max="19" width="18.28515625" customWidth="1"/>
    <col min="20" max="20" width="14.42578125" customWidth="1"/>
    <col min="21" max="21" width="12.42578125" customWidth="1"/>
    <col min="22" max="22" width="0.140625" customWidth="1"/>
    <col min="23" max="24" width="9.140625" hidden="1" customWidth="1"/>
    <col min="25" max="25" width="0.140625" customWidth="1"/>
    <col min="26" max="26" width="0.42578125" hidden="1" customWidth="1"/>
    <col min="27" max="27" width="9.140625" hidden="1" customWidth="1"/>
    <col min="28" max="28" width="13" customWidth="1"/>
    <col min="29" max="29" width="15.28515625" customWidth="1"/>
    <col min="30" max="30" width="34" customWidth="1"/>
    <col min="31" max="31" width="11.7109375" customWidth="1"/>
    <col min="32" max="32" width="11.5703125" customWidth="1"/>
    <col min="33" max="33" width="11" customWidth="1"/>
    <col min="34" max="34" width="37.140625" customWidth="1"/>
    <col min="35" max="35" width="11.42578125" customWidth="1"/>
    <col min="36" max="36" width="12.7109375" customWidth="1"/>
    <col min="40" max="40" width="38" customWidth="1"/>
    <col min="41" max="41" width="13.140625" customWidth="1"/>
    <col min="42" max="42" width="15.42578125" customWidth="1"/>
    <col min="47" max="47" width="16.42578125" bestFit="1" customWidth="1"/>
    <col min="48" max="48" width="12" bestFit="1" customWidth="1"/>
    <col min="51" max="51" width="16.140625" customWidth="1"/>
    <col min="52" max="52" width="12" bestFit="1" customWidth="1"/>
    <col min="54" max="54" width="11.5703125" customWidth="1"/>
    <col min="55" max="55" width="12" bestFit="1" customWidth="1"/>
    <col min="57" max="57" width="22" bestFit="1" customWidth="1"/>
    <col min="59" max="59" width="39.85546875" customWidth="1"/>
    <col min="61" max="61" width="13.5703125" customWidth="1"/>
    <col min="64" max="64" width="13.42578125" customWidth="1"/>
    <col min="67" max="67" width="16.140625" customWidth="1"/>
    <col min="69" max="69" width="28.5703125" customWidth="1"/>
  </cols>
  <sheetData>
    <row r="1" spans="1:70" ht="28.5" customHeight="1" x14ac:dyDescent="0.25">
      <c r="A1" s="55" t="s">
        <v>191</v>
      </c>
      <c r="B1" s="55"/>
      <c r="C1" s="55"/>
    </row>
    <row r="2" spans="1:70" ht="96" customHeight="1" x14ac:dyDescent="0.25">
      <c r="A2" s="55"/>
      <c r="B2" s="55"/>
      <c r="C2" s="55"/>
      <c r="D2" s="19" t="s">
        <v>235</v>
      </c>
      <c r="E2" s="18" t="s">
        <v>194</v>
      </c>
      <c r="F2" s="18" t="s">
        <v>195</v>
      </c>
      <c r="G2" s="18" t="s">
        <v>196</v>
      </c>
      <c r="H2" s="18" t="s">
        <v>197</v>
      </c>
      <c r="L2" s="20" t="s">
        <v>193</v>
      </c>
      <c r="M2" s="20"/>
      <c r="N2" s="21" t="s">
        <v>198</v>
      </c>
      <c r="O2" s="21" t="s">
        <v>199</v>
      </c>
      <c r="S2" s="20" t="s">
        <v>192</v>
      </c>
      <c r="T2" s="18" t="s">
        <v>201</v>
      </c>
      <c r="U2" s="18" t="s">
        <v>200</v>
      </c>
      <c r="AB2" s="20" t="s">
        <v>204</v>
      </c>
      <c r="AC2" s="22" t="s">
        <v>202</v>
      </c>
      <c r="AD2" s="25" t="s">
        <v>203</v>
      </c>
      <c r="AE2" s="25" t="s">
        <v>205</v>
      </c>
      <c r="AF2" s="25" t="s">
        <v>206</v>
      </c>
      <c r="AG2" s="57" t="s">
        <v>207</v>
      </c>
      <c r="AH2" s="58"/>
      <c r="AI2" s="20" t="s">
        <v>208</v>
      </c>
      <c r="AJ2" s="38" t="s">
        <v>209</v>
      </c>
      <c r="AK2" s="28" t="s">
        <v>211</v>
      </c>
      <c r="AL2" s="26" t="s">
        <v>212</v>
      </c>
      <c r="AM2" s="28" t="s">
        <v>210</v>
      </c>
      <c r="AN2" s="30" t="s">
        <v>213</v>
      </c>
      <c r="AO2" s="31" t="s">
        <v>228</v>
      </c>
      <c r="AP2" s="33" t="s">
        <v>214</v>
      </c>
      <c r="AQ2" s="32" t="s">
        <v>216</v>
      </c>
      <c r="AR2" s="32" t="s">
        <v>215</v>
      </c>
      <c r="AS2" s="32" t="s">
        <v>217</v>
      </c>
      <c r="AU2" s="32" t="s">
        <v>218</v>
      </c>
      <c r="AV2" s="32" t="s">
        <v>219</v>
      </c>
      <c r="AW2" s="34" t="s">
        <v>220</v>
      </c>
      <c r="AX2" s="34" t="s">
        <v>227</v>
      </c>
      <c r="AY2" s="32" t="s">
        <v>236</v>
      </c>
      <c r="AZ2" s="36" t="s">
        <v>222</v>
      </c>
      <c r="BA2" s="37" t="s">
        <v>212</v>
      </c>
      <c r="BB2" s="36" t="s">
        <v>221</v>
      </c>
      <c r="BC2" s="37" t="s">
        <v>223</v>
      </c>
      <c r="BD2" s="36" t="s">
        <v>225</v>
      </c>
      <c r="BE2" s="41" t="s">
        <v>226</v>
      </c>
      <c r="BF2" s="35" t="s">
        <v>224</v>
      </c>
      <c r="BG2" s="30" t="s">
        <v>237</v>
      </c>
      <c r="BH2" s="22" t="s">
        <v>229</v>
      </c>
      <c r="BI2" s="23" t="s">
        <v>230</v>
      </c>
      <c r="BJ2" s="42" t="s">
        <v>238</v>
      </c>
      <c r="BK2" s="43" t="s">
        <v>224</v>
      </c>
      <c r="BL2" s="42" t="s">
        <v>233</v>
      </c>
      <c r="BM2" s="43" t="s">
        <v>234</v>
      </c>
      <c r="BN2" s="42" t="s">
        <v>231</v>
      </c>
      <c r="BO2" s="44" t="s">
        <v>226</v>
      </c>
      <c r="BP2" s="45" t="s">
        <v>224</v>
      </c>
      <c r="BQ2" s="30" t="s">
        <v>232</v>
      </c>
    </row>
    <row r="3" spans="1:70" x14ac:dyDescent="0.25">
      <c r="D3" s="1" t="s">
        <v>110</v>
      </c>
      <c r="E3">
        <v>1.57296E-2</v>
      </c>
      <c r="F3">
        <v>4.0766700000000003E-2</v>
      </c>
      <c r="G3">
        <v>6.5718700000000005E-2</v>
      </c>
      <c r="I3" t="s">
        <v>65</v>
      </c>
      <c r="J3" t="s">
        <v>65</v>
      </c>
      <c r="K3" t="s">
        <v>65</v>
      </c>
      <c r="L3" s="56" t="s">
        <v>65</v>
      </c>
      <c r="M3" s="1"/>
      <c r="N3">
        <v>4.9989100000000009E-2</v>
      </c>
      <c r="P3" t="s">
        <v>65</v>
      </c>
      <c r="Q3" t="s">
        <v>65</v>
      </c>
      <c r="R3" t="s">
        <v>65</v>
      </c>
      <c r="S3" s="54"/>
      <c r="T3">
        <v>1.000000000098145E-7</v>
      </c>
      <c r="U3">
        <f t="shared" ref="U3:U22" si="0">2.5*0.0001*0.1*2</f>
        <v>5.0000000000000002E-5</v>
      </c>
      <c r="AA3">
        <v>1.000024</v>
      </c>
      <c r="AB3" s="54"/>
      <c r="AC3" s="2">
        <f>+_xlfn.STDEV.S(N3:N22)/SQRT(20)</f>
        <v>1.4076452938001953E-5</v>
      </c>
      <c r="AD3" s="26">
        <f>+U3</f>
        <v>5.0000000000000002E-5</v>
      </c>
      <c r="AE3" s="26">
        <f>+SQRT((AC3^2)+(AD3^2))</f>
        <v>5.1943686115983182E-5</v>
      </c>
      <c r="AF3" s="26">
        <f>+AVERAGE(N3:N22)</f>
        <v>4.9990410999999998E-2</v>
      </c>
      <c r="AG3" s="24" t="str">
        <f>AF3 &amp; " ± " &amp; AE3</f>
        <v>0,049990411 ± 5,19436861159832E-05</v>
      </c>
      <c r="AI3" s="54"/>
      <c r="AJ3" s="16">
        <f>1/AF3</f>
        <v>20.003836335732469</v>
      </c>
      <c r="AK3" s="26">
        <f>+(1/(AF3^2))</f>
        <v>400.15346814677054</v>
      </c>
      <c r="AL3" s="26">
        <f>+AE3</f>
        <v>5.1943686115983182E-5</v>
      </c>
      <c r="AM3" s="26">
        <f>+AK3*AL3</f>
        <v>2.0785446147637922E-2</v>
      </c>
      <c r="AN3" s="24" t="str">
        <f>AJ3 &amp; " ± " &amp; AM3</f>
        <v>20,0038363357325 ± 0,0207854461476379</v>
      </c>
      <c r="AO3" s="54"/>
      <c r="AP3">
        <v>-2.1938999999999991E-3</v>
      </c>
      <c r="AQ3">
        <v>-2.0847999999999982E-3</v>
      </c>
      <c r="AR3">
        <v>-2.2236999999999951E-3</v>
      </c>
      <c r="AU3" s="11">
        <f>+AVERAGE(AP3:AR21)</f>
        <v>-2.161058E-3</v>
      </c>
      <c r="AV3">
        <f>+_xlfn.STDEV.S(AP3:AR21)/SQRT(30)</f>
        <v>1.3298245890722282E-5</v>
      </c>
      <c r="AW3">
        <f>+SQRT((AV3^2)+(U3^2))</f>
        <v>5.1738219371854231E-5</v>
      </c>
      <c r="AX3" s="54"/>
      <c r="AY3" s="12">
        <f>(AU3/AF3)*2*PI()</f>
        <v>-0.27161864849566653</v>
      </c>
      <c r="AZ3">
        <f>ABS(2*PI()*(AU3/(AF3^2)))</f>
        <v>5.4334149902401592</v>
      </c>
      <c r="BA3">
        <f>+AE3</f>
        <v>5.1943686115983182E-5</v>
      </c>
      <c r="BB3">
        <f>(2*PI())*(1/AF3)</f>
        <v>125.68781055189939</v>
      </c>
      <c r="BC3">
        <f>+AW3</f>
        <v>5.1738219371854231E-5</v>
      </c>
      <c r="BD3">
        <f>(2*PI())*(1/AF3)</f>
        <v>125.68781055189939</v>
      </c>
      <c r="BE3" s="14">
        <v>1E-14</v>
      </c>
      <c r="BF3">
        <f>+(ABS(AZ3*BA3))+(ABS(BB3*BC3))+(ABS(BD3*BE3))</f>
        <v>6.7850951187500164E-3</v>
      </c>
      <c r="BG3" s="24" t="str">
        <f>AY3 &amp; " ± " &amp; BF3</f>
        <v>-0,271618648495667 ± 0,00678509511875002</v>
      </c>
      <c r="BH3" s="54"/>
      <c r="BI3">
        <f>ABS(+TAN(AY3)/(2*PI()*AJ3))</f>
        <v>2.2158198648034493E-3</v>
      </c>
      <c r="BJ3" s="24">
        <f>+ABS((1/(COS(AY3)^2))*(1/(2*PI()*AJ3)))</f>
        <v>8.5733302789186457E-3</v>
      </c>
      <c r="BK3" s="24">
        <f>+BF3</f>
        <v>6.7850951187500164E-3</v>
      </c>
      <c r="BL3" s="24">
        <f>+ABS((TAN(AY3))/(2*PI()*(AJ3^2)))</f>
        <v>1.1076974574348886E-4</v>
      </c>
      <c r="BM3" s="24">
        <f>+AM3</f>
        <v>2.0785446147637922E-2</v>
      </c>
      <c r="BN3" s="24">
        <f>+ABS((TAN(AY3))/(2*PI()*PI()*AJ3))</f>
        <v>7.0531736896936841E-4</v>
      </c>
      <c r="BO3" s="24">
        <v>1E-14</v>
      </c>
      <c r="BP3">
        <f>+(BJ3*BK3)+(BL3*BM3)+(BN3*BO3)</f>
        <v>6.0473260011868503E-5</v>
      </c>
      <c r="BQ3" s="24" t="str">
        <f>BI3 &amp; " ± " &amp; BP3</f>
        <v>0,00221581986480345 ± 6,04732600118685E-05</v>
      </c>
    </row>
    <row r="4" spans="1:70" x14ac:dyDescent="0.25">
      <c r="D4" s="1" t="s">
        <v>111</v>
      </c>
      <c r="E4">
        <v>1.7923499999999998E-2</v>
      </c>
      <c r="F4">
        <v>4.2851500000000001E-2</v>
      </c>
      <c r="G4">
        <v>6.79424E-2</v>
      </c>
      <c r="I4" t="s">
        <v>65</v>
      </c>
      <c r="J4" t="s">
        <v>65</v>
      </c>
      <c r="K4" t="s">
        <v>65</v>
      </c>
      <c r="L4" s="56"/>
      <c r="M4" s="1"/>
      <c r="N4">
        <v>5.0018900000000012E-2</v>
      </c>
      <c r="P4" t="s">
        <v>65</v>
      </c>
      <c r="Q4" t="s">
        <v>65</v>
      </c>
      <c r="R4" t="s">
        <v>65</v>
      </c>
      <c r="S4" s="54"/>
      <c r="T4">
        <v>1.000000000098145E-7</v>
      </c>
      <c r="U4">
        <f t="shared" si="0"/>
        <v>5.0000000000000002E-5</v>
      </c>
      <c r="AA4">
        <v>1.000224</v>
      </c>
      <c r="AB4" s="54"/>
      <c r="AC4" s="2"/>
      <c r="AD4" s="26"/>
      <c r="AE4" s="26"/>
      <c r="AF4" s="26"/>
      <c r="AG4" s="24"/>
      <c r="AI4" s="54"/>
      <c r="AK4" s="26"/>
      <c r="AL4" s="26"/>
      <c r="AM4" s="26"/>
      <c r="AN4" s="24"/>
      <c r="AO4" s="54"/>
      <c r="AX4" s="54"/>
      <c r="BA4">
        <f>+AZ3*BA3</f>
        <v>2.8223160279091265E-4</v>
      </c>
      <c r="BC4">
        <f>+BB3*BC3</f>
        <v>6.5028635147022255E-3</v>
      </c>
      <c r="BE4">
        <f>+BD3*BE3</f>
        <v>1.256878105518994E-12</v>
      </c>
      <c r="BH4" s="54"/>
      <c r="BJ4" s="24"/>
      <c r="BK4">
        <f>+BJ3*BK3</f>
        <v>5.8170861426922619E-5</v>
      </c>
      <c r="BM4">
        <f>+BL3*BM3</f>
        <v>2.3023985849388328E-6</v>
      </c>
      <c r="BO4">
        <f>+BN3*BO3</f>
        <v>7.0531736896936843E-18</v>
      </c>
      <c r="BP4" s="24"/>
      <c r="BQ4" s="24"/>
    </row>
    <row r="5" spans="1:70" x14ac:dyDescent="0.25">
      <c r="D5" s="1" t="s">
        <v>112</v>
      </c>
      <c r="E5">
        <v>1.2232E-2</v>
      </c>
      <c r="F5">
        <v>3.7131200000000003E-2</v>
      </c>
      <c r="G5">
        <v>6.2233900000000002E-2</v>
      </c>
      <c r="I5" t="s">
        <v>65</v>
      </c>
      <c r="J5" t="s">
        <v>65</v>
      </c>
      <c r="K5" t="s">
        <v>65</v>
      </c>
      <c r="L5" s="56"/>
      <c r="M5" s="1"/>
      <c r="N5">
        <v>5.0001900000000002E-2</v>
      </c>
      <c r="P5" t="s">
        <v>65</v>
      </c>
      <c r="Q5" t="s">
        <v>65</v>
      </c>
      <c r="R5" t="s">
        <v>65</v>
      </c>
      <c r="S5" s="54"/>
      <c r="T5">
        <v>1.000000000098145E-7</v>
      </c>
      <c r="U5">
        <f t="shared" si="0"/>
        <v>5.0000000000000002E-5</v>
      </c>
      <c r="AA5">
        <v>0.99997599999999998</v>
      </c>
      <c r="AB5" s="54"/>
      <c r="AD5" s="26"/>
      <c r="AE5" s="26"/>
      <c r="AF5" s="26"/>
      <c r="AG5" s="24"/>
      <c r="AI5" s="54"/>
      <c r="AK5" s="26"/>
      <c r="AL5" s="26"/>
      <c r="AM5" s="26"/>
      <c r="AN5" s="24"/>
      <c r="AO5" s="54"/>
      <c r="AP5">
        <v>-2.196500000000001E-3</v>
      </c>
      <c r="AQ5">
        <v>-2.1634999999999992E-3</v>
      </c>
      <c r="AR5">
        <v>-2.0394000000000041E-3</v>
      </c>
      <c r="AX5" s="54"/>
      <c r="BE5" s="40"/>
      <c r="BH5" s="54"/>
      <c r="BJ5" s="24"/>
      <c r="BK5" s="24"/>
      <c r="BL5" s="24"/>
      <c r="BM5" s="24"/>
      <c r="BN5" s="24"/>
      <c r="BO5" s="24"/>
      <c r="BP5" s="24"/>
      <c r="BQ5" s="24"/>
    </row>
    <row r="6" spans="1:70" x14ac:dyDescent="0.25">
      <c r="D6" s="1" t="s">
        <v>113</v>
      </c>
      <c r="E6">
        <v>1.44285E-2</v>
      </c>
      <c r="F6">
        <v>3.9294700000000002E-2</v>
      </c>
      <c r="G6">
        <v>6.4273300000000005E-2</v>
      </c>
      <c r="I6" t="s">
        <v>65</v>
      </c>
      <c r="J6" t="s">
        <v>65</v>
      </c>
      <c r="K6" t="s">
        <v>65</v>
      </c>
      <c r="L6" s="56"/>
      <c r="M6" s="1"/>
      <c r="N6">
        <v>4.9844800000000009E-2</v>
      </c>
      <c r="P6" t="s">
        <v>65</v>
      </c>
      <c r="Q6" t="s">
        <v>65</v>
      </c>
      <c r="R6" t="s">
        <v>65</v>
      </c>
      <c r="S6" s="54"/>
      <c r="T6">
        <v>1.000000000098145E-7</v>
      </c>
      <c r="U6">
        <f t="shared" si="0"/>
        <v>5.0000000000000002E-5</v>
      </c>
      <c r="AA6">
        <v>1.0020800000000001</v>
      </c>
      <c r="AB6" s="54"/>
      <c r="AD6" s="26"/>
      <c r="AE6" s="26"/>
      <c r="AF6" s="26"/>
      <c r="AG6" s="24"/>
      <c r="AI6" s="54"/>
      <c r="AK6" s="26"/>
      <c r="AL6" s="26"/>
      <c r="AM6" s="26"/>
      <c r="AN6" s="24"/>
      <c r="AO6" s="54"/>
      <c r="AX6" s="54"/>
      <c r="BH6" s="54"/>
      <c r="BJ6" s="24"/>
      <c r="BK6" s="24"/>
      <c r="BL6" s="24"/>
      <c r="BM6" s="24"/>
      <c r="BN6" s="24"/>
      <c r="BO6" s="24"/>
      <c r="BP6" s="24"/>
      <c r="BQ6" s="24"/>
    </row>
    <row r="7" spans="1:70" x14ac:dyDescent="0.25">
      <c r="D7" s="1" t="s">
        <v>114</v>
      </c>
      <c r="E7">
        <v>8.7302400000000002E-3</v>
      </c>
      <c r="F7">
        <v>3.3766400000000002E-2</v>
      </c>
      <c r="G7">
        <v>5.8730900000000003E-2</v>
      </c>
      <c r="I7" t="s">
        <v>65</v>
      </c>
      <c r="J7" t="s">
        <v>65</v>
      </c>
      <c r="K7" t="s">
        <v>65</v>
      </c>
      <c r="L7" s="56"/>
      <c r="M7" s="1"/>
      <c r="N7">
        <v>5.0000660000000002E-2</v>
      </c>
      <c r="P7" t="s">
        <v>65</v>
      </c>
      <c r="Q7" t="s">
        <v>65</v>
      </c>
      <c r="R7" t="s">
        <v>65</v>
      </c>
      <c r="S7" s="54"/>
      <c r="T7">
        <v>1.0000000001675339E-7</v>
      </c>
      <c r="U7">
        <f t="shared" si="0"/>
        <v>5.0000000000000002E-5</v>
      </c>
      <c r="AA7">
        <v>0.99985599999999997</v>
      </c>
      <c r="AB7" s="54"/>
      <c r="AD7" s="26"/>
      <c r="AE7" s="26"/>
      <c r="AF7" s="26"/>
      <c r="AG7" s="24"/>
      <c r="AI7" s="54"/>
      <c r="AK7" s="26"/>
      <c r="AL7" s="26"/>
      <c r="AM7" s="26"/>
      <c r="AN7" s="24"/>
      <c r="AO7" s="54"/>
      <c r="AP7">
        <v>-2.2563599999999989E-3</v>
      </c>
      <c r="AQ7">
        <v>-2.0604999999999998E-3</v>
      </c>
      <c r="AR7">
        <v>-2.2101999999999959E-3</v>
      </c>
      <c r="AX7" s="54"/>
      <c r="BE7" s="5"/>
      <c r="BH7" s="54"/>
      <c r="BJ7" s="24"/>
      <c r="BK7" s="24"/>
      <c r="BL7" s="24"/>
      <c r="BM7" s="24"/>
      <c r="BN7" s="24"/>
      <c r="BO7" s="24"/>
      <c r="BP7" s="24"/>
      <c r="BQ7" s="24"/>
    </row>
    <row r="8" spans="1:70" x14ac:dyDescent="0.25">
      <c r="D8" s="1" t="s">
        <v>115</v>
      </c>
      <c r="E8">
        <v>1.0986599999999999E-2</v>
      </c>
      <c r="F8">
        <v>3.5826900000000002E-2</v>
      </c>
      <c r="G8">
        <v>6.0941099999999998E-2</v>
      </c>
      <c r="I8" t="s">
        <v>65</v>
      </c>
      <c r="J8" t="s">
        <v>65</v>
      </c>
      <c r="K8" t="s">
        <v>65</v>
      </c>
      <c r="L8" s="56"/>
      <c r="M8" s="1"/>
      <c r="N8">
        <v>4.9954499999999999E-2</v>
      </c>
      <c r="P8" t="s">
        <v>65</v>
      </c>
      <c r="Q8" t="s">
        <v>65</v>
      </c>
      <c r="R8" t="s">
        <v>65</v>
      </c>
      <c r="S8" s="54"/>
      <c r="T8">
        <v>1.0000000001675339E-7</v>
      </c>
      <c r="U8">
        <f t="shared" si="0"/>
        <v>5.0000000000000002E-5</v>
      </c>
      <c r="AA8">
        <v>0.99842399999999998</v>
      </c>
      <c r="AB8" s="54"/>
      <c r="AD8" s="26"/>
      <c r="AE8" s="26"/>
      <c r="AF8" s="26"/>
      <c r="AG8" s="24"/>
      <c r="AI8" s="54"/>
      <c r="AK8" s="26"/>
      <c r="AL8" s="26"/>
      <c r="AM8" s="26"/>
      <c r="AN8" s="24"/>
      <c r="AO8" s="54"/>
      <c r="AX8" s="54"/>
      <c r="BH8" s="54"/>
      <c r="BJ8" s="24"/>
      <c r="BK8" s="24"/>
      <c r="BL8" s="24"/>
      <c r="BM8" s="24"/>
      <c r="BN8" s="24"/>
      <c r="BO8" s="24"/>
      <c r="BP8" s="24"/>
      <c r="BQ8" s="24"/>
    </row>
    <row r="9" spans="1:70" x14ac:dyDescent="0.25">
      <c r="D9" s="1" t="s">
        <v>116</v>
      </c>
      <c r="E9">
        <v>1.12307E-2</v>
      </c>
      <c r="F9">
        <v>3.6333799999999999E-2</v>
      </c>
      <c r="G9">
        <v>6.1237399999999997E-2</v>
      </c>
      <c r="I9" t="s">
        <v>65</v>
      </c>
      <c r="J9" t="s">
        <v>65</v>
      </c>
      <c r="K9" t="s">
        <v>65</v>
      </c>
      <c r="L9" s="56"/>
      <c r="M9" s="1"/>
      <c r="N9">
        <v>5.0006700000000001E-2</v>
      </c>
      <c r="P9" t="s">
        <v>65</v>
      </c>
      <c r="Q9" t="s">
        <v>65</v>
      </c>
      <c r="R9" t="s">
        <v>65</v>
      </c>
      <c r="S9" s="54"/>
      <c r="T9">
        <v>1.0000000001675339E-7</v>
      </c>
      <c r="U9">
        <f t="shared" si="0"/>
        <v>5.0000000000000002E-5</v>
      </c>
      <c r="AA9">
        <v>0.99964800000000009</v>
      </c>
      <c r="AB9" s="54"/>
      <c r="AD9" s="26"/>
      <c r="AE9" s="26"/>
      <c r="AF9" s="26"/>
      <c r="AG9" s="24"/>
      <c r="AI9" s="54"/>
      <c r="AK9" s="26"/>
      <c r="AL9" s="26"/>
      <c r="AM9" s="26"/>
      <c r="AN9" s="24"/>
      <c r="AO9" s="54"/>
      <c r="AP9">
        <v>-2.1805000000000001E-3</v>
      </c>
      <c r="AQ9">
        <v>-2.1696000000000011E-3</v>
      </c>
      <c r="AR9">
        <v>-2.2527999999999988E-3</v>
      </c>
      <c r="AX9" s="54"/>
      <c r="BH9" s="54"/>
      <c r="BJ9" s="24"/>
      <c r="BK9" s="24"/>
      <c r="BL9" s="24"/>
      <c r="BM9" s="24"/>
      <c r="BN9" s="24"/>
      <c r="BO9" s="24"/>
      <c r="BP9" s="24"/>
      <c r="BQ9" s="46" t="s">
        <v>239</v>
      </c>
    </row>
    <row r="10" spans="1:70" x14ac:dyDescent="0.25">
      <c r="D10" s="1" t="s">
        <v>117</v>
      </c>
      <c r="E10">
        <v>1.34112E-2</v>
      </c>
      <c r="F10">
        <v>3.85034E-2</v>
      </c>
      <c r="G10">
        <v>6.3490199999999997E-2</v>
      </c>
      <c r="I10" t="s">
        <v>65</v>
      </c>
      <c r="J10" t="s">
        <v>65</v>
      </c>
      <c r="K10" t="s">
        <v>65</v>
      </c>
      <c r="L10" s="56"/>
      <c r="M10" s="1"/>
      <c r="N10">
        <v>5.0078999999999999E-2</v>
      </c>
      <c r="P10" t="s">
        <v>65</v>
      </c>
      <c r="Q10" t="s">
        <v>65</v>
      </c>
      <c r="R10" t="s">
        <v>65</v>
      </c>
      <c r="S10" s="54"/>
      <c r="T10">
        <v>1.0000000001675339E-7</v>
      </c>
      <c r="U10">
        <f t="shared" si="0"/>
        <v>5.0000000000000002E-5</v>
      </c>
      <c r="AA10">
        <v>1.0004</v>
      </c>
      <c r="AB10" s="54"/>
      <c r="AD10" s="27"/>
      <c r="AE10" s="26"/>
      <c r="AF10" s="27"/>
      <c r="AG10" s="24"/>
      <c r="AI10" s="54"/>
      <c r="AK10" s="26"/>
      <c r="AL10" s="26"/>
      <c r="AM10" s="26"/>
      <c r="AN10" s="24"/>
      <c r="AO10" s="54"/>
      <c r="AX10" s="54"/>
      <c r="BH10" s="54"/>
      <c r="BJ10" s="24"/>
      <c r="BK10" s="24"/>
      <c r="BL10" s="24"/>
      <c r="BM10" s="24"/>
      <c r="BN10" s="24"/>
      <c r="BO10" s="24"/>
      <c r="BP10" s="24"/>
      <c r="BQ10" s="47" t="s">
        <v>240</v>
      </c>
      <c r="BR10">
        <f>+BI3-(1.96*BP3)</f>
        <v>2.097292275180187E-3</v>
      </c>
    </row>
    <row r="11" spans="1:70" x14ac:dyDescent="0.25">
      <c r="D11" s="1" t="s">
        <v>118</v>
      </c>
      <c r="E11">
        <v>1.0708499999999999E-2</v>
      </c>
      <c r="F11">
        <v>3.5723199999999997E-2</v>
      </c>
      <c r="G11">
        <v>6.0657599999999999E-2</v>
      </c>
      <c r="I11" t="s">
        <v>65</v>
      </c>
      <c r="J11" t="s">
        <v>65</v>
      </c>
      <c r="K11" t="s">
        <v>65</v>
      </c>
      <c r="L11" s="56"/>
      <c r="M11" s="1"/>
      <c r="N11">
        <v>4.9949100000000003E-2</v>
      </c>
      <c r="P11" t="s">
        <v>65</v>
      </c>
      <c r="Q11" t="s">
        <v>65</v>
      </c>
      <c r="R11" t="s">
        <v>65</v>
      </c>
      <c r="S11" s="54"/>
      <c r="T11">
        <v>1.0000000001675339E-7</v>
      </c>
      <c r="U11">
        <f t="shared" si="0"/>
        <v>5.0000000000000002E-5</v>
      </c>
      <c r="AA11">
        <v>0.99967200000000001</v>
      </c>
      <c r="AB11" s="54"/>
      <c r="AD11" s="26"/>
      <c r="AE11" s="26"/>
      <c r="AF11" s="27"/>
      <c r="AG11" s="24"/>
      <c r="AI11" s="54"/>
      <c r="AK11" s="26"/>
      <c r="AL11" s="26"/>
      <c r="AM11" s="26"/>
      <c r="AN11" s="24"/>
      <c r="AO11" s="54"/>
      <c r="AP11">
        <v>-2.0934E-3</v>
      </c>
      <c r="AQ11">
        <v>-2.015400000000001E-3</v>
      </c>
      <c r="AR11">
        <v>-1.995799999999999E-3</v>
      </c>
      <c r="AX11" s="54"/>
      <c r="BH11" s="54"/>
      <c r="BJ11" s="24"/>
      <c r="BK11" s="24"/>
      <c r="BL11" s="24"/>
      <c r="BM11" s="24"/>
      <c r="BN11" s="24"/>
      <c r="BO11" s="24"/>
      <c r="BP11" s="24"/>
      <c r="BQ11" s="48" t="s">
        <v>241</v>
      </c>
      <c r="BR11">
        <f>+BI3+(1.96*BP3)</f>
        <v>2.3343474544267116E-3</v>
      </c>
    </row>
    <row r="12" spans="1:70" x14ac:dyDescent="0.25">
      <c r="D12" s="1" t="s">
        <v>119</v>
      </c>
      <c r="E12">
        <v>1.28019E-2</v>
      </c>
      <c r="F12">
        <v>3.7738599999999997E-2</v>
      </c>
      <c r="G12">
        <v>6.2653399999999998E-2</v>
      </c>
      <c r="I12" t="s">
        <v>65</v>
      </c>
      <c r="J12" t="s">
        <v>65</v>
      </c>
      <c r="K12" t="s">
        <v>65</v>
      </c>
      <c r="L12" s="56"/>
      <c r="M12" s="1"/>
      <c r="N12">
        <v>4.98515E-2</v>
      </c>
      <c r="P12" t="s">
        <v>65</v>
      </c>
      <c r="Q12" t="s">
        <v>65</v>
      </c>
      <c r="R12" t="s">
        <v>65</v>
      </c>
      <c r="S12" s="54"/>
      <c r="T12">
        <v>1.0000000001675339E-7</v>
      </c>
      <c r="U12">
        <f t="shared" si="0"/>
        <v>5.0000000000000002E-5</v>
      </c>
      <c r="AA12">
        <v>1.0018720000000001</v>
      </c>
      <c r="AB12" s="54"/>
      <c r="AD12" s="26"/>
      <c r="AE12" s="26"/>
      <c r="AF12" s="26"/>
      <c r="AG12" s="24"/>
      <c r="AI12" s="54"/>
      <c r="AK12" s="26"/>
      <c r="AL12" s="26"/>
      <c r="AM12" s="26"/>
      <c r="AN12" s="24"/>
      <c r="AO12" s="54"/>
      <c r="AX12" s="54"/>
      <c r="BH12" s="54"/>
      <c r="BJ12" s="24"/>
      <c r="BK12" s="24"/>
      <c r="BL12" s="24"/>
      <c r="BM12" s="24"/>
      <c r="BN12" s="24"/>
      <c r="BO12" s="24"/>
      <c r="BP12" s="24"/>
      <c r="BQ12" s="24"/>
    </row>
    <row r="13" spans="1:70" x14ac:dyDescent="0.25">
      <c r="D13" s="1" t="s">
        <v>120</v>
      </c>
      <c r="E13">
        <v>-3.63584E-3</v>
      </c>
      <c r="F13">
        <v>2.14349E-2</v>
      </c>
      <c r="G13">
        <v>4.6409600000000002E-2</v>
      </c>
      <c r="I13" t="s">
        <v>65</v>
      </c>
      <c r="J13" t="s">
        <v>65</v>
      </c>
      <c r="K13" t="s">
        <v>65</v>
      </c>
      <c r="L13" s="56"/>
      <c r="M13" s="1"/>
      <c r="N13">
        <v>5.0045439999999997E-2</v>
      </c>
      <c r="P13" t="s">
        <v>65</v>
      </c>
      <c r="Q13" t="s">
        <v>65</v>
      </c>
      <c r="R13" t="s">
        <v>65</v>
      </c>
      <c r="S13" s="54"/>
      <c r="T13">
        <v>1.000000000098145E-7</v>
      </c>
      <c r="U13">
        <f t="shared" si="0"/>
        <v>5.0000000000000002E-5</v>
      </c>
      <c r="AA13">
        <v>1.0001439999999999</v>
      </c>
      <c r="AB13" s="54"/>
      <c r="AD13" s="26"/>
      <c r="AE13" s="26"/>
      <c r="AF13" s="26"/>
      <c r="AG13" s="24"/>
      <c r="AI13" s="54"/>
      <c r="AK13" s="26"/>
      <c r="AL13" s="26"/>
      <c r="AM13" s="26"/>
      <c r="AN13" s="24"/>
      <c r="AO13" s="54"/>
      <c r="AP13">
        <v>-2.22368E-3</v>
      </c>
      <c r="AQ13">
        <v>-2.133400000000001E-3</v>
      </c>
      <c r="AR13">
        <v>-2.2396999999999968E-3</v>
      </c>
      <c r="AX13" s="54"/>
      <c r="BH13" s="54"/>
      <c r="BJ13" s="24"/>
      <c r="BK13" s="24"/>
      <c r="BL13" s="24"/>
      <c r="BM13" s="24"/>
      <c r="BN13" s="24"/>
      <c r="BO13" s="24"/>
      <c r="BP13" s="24"/>
      <c r="BQ13" s="24"/>
    </row>
    <row r="14" spans="1:70" x14ac:dyDescent="0.25">
      <c r="D14" s="1" t="s">
        <v>121</v>
      </c>
      <c r="E14">
        <v>-1.41216E-3</v>
      </c>
      <c r="F14">
        <v>2.35683E-2</v>
      </c>
      <c r="G14">
        <v>4.8649299999999999E-2</v>
      </c>
      <c r="I14" t="s">
        <v>65</v>
      </c>
      <c r="J14" t="s">
        <v>65</v>
      </c>
      <c r="K14" t="s">
        <v>65</v>
      </c>
      <c r="L14" s="56"/>
      <c r="M14" s="1"/>
      <c r="N14">
        <v>5.0061460000000002E-2</v>
      </c>
      <c r="P14" t="s">
        <v>65</v>
      </c>
      <c r="Q14" t="s">
        <v>65</v>
      </c>
      <c r="R14" t="s">
        <v>65</v>
      </c>
      <c r="S14" s="54"/>
      <c r="T14">
        <v>1.000000000098145E-7</v>
      </c>
      <c r="U14">
        <f t="shared" si="0"/>
        <v>5.0000000000000002E-5</v>
      </c>
      <c r="AA14">
        <v>1.0003280000000001</v>
      </c>
      <c r="AB14" s="54"/>
      <c r="AD14" s="26"/>
      <c r="AE14" s="26"/>
      <c r="AF14" s="26"/>
      <c r="AG14" s="24"/>
      <c r="AI14" s="54"/>
      <c r="AK14" s="26"/>
      <c r="AL14" s="26"/>
      <c r="AM14" s="26"/>
      <c r="AN14" s="24"/>
      <c r="AO14" s="54"/>
      <c r="AX14" s="54"/>
      <c r="BH14" s="54"/>
      <c r="BJ14" s="24"/>
      <c r="BK14" s="24"/>
      <c r="BL14" s="24"/>
      <c r="BM14" s="24"/>
      <c r="BN14" s="24"/>
      <c r="BO14" s="24"/>
      <c r="BP14" s="24"/>
      <c r="BQ14" s="24"/>
    </row>
    <row r="15" spans="1:70" x14ac:dyDescent="0.25">
      <c r="D15" s="1" t="s">
        <v>122</v>
      </c>
      <c r="E15">
        <v>3.8080000000000001E-5</v>
      </c>
      <c r="F15">
        <v>2.5068799999999999E-2</v>
      </c>
      <c r="G15">
        <v>5.0039399999999998E-2</v>
      </c>
      <c r="I15" t="s">
        <v>65</v>
      </c>
      <c r="J15" t="s">
        <v>65</v>
      </c>
      <c r="K15" t="s">
        <v>65</v>
      </c>
      <c r="L15" s="56"/>
      <c r="M15" s="1"/>
      <c r="N15">
        <v>5.0001319999999988E-2</v>
      </c>
      <c r="P15" t="s">
        <v>65</v>
      </c>
      <c r="Q15" t="s">
        <v>65</v>
      </c>
      <c r="R15" t="s">
        <v>65</v>
      </c>
      <c r="S15" s="54"/>
      <c r="T15">
        <v>1.000000000098145E-7</v>
      </c>
      <c r="U15">
        <f t="shared" si="0"/>
        <v>5.0000000000000002E-5</v>
      </c>
      <c r="AA15">
        <v>1.00004</v>
      </c>
      <c r="AB15" s="54"/>
      <c r="AD15" s="26"/>
      <c r="AE15" s="26"/>
      <c r="AF15" s="26"/>
      <c r="AG15" s="24"/>
      <c r="AI15" s="54"/>
      <c r="AK15" s="26"/>
      <c r="AL15" s="26"/>
      <c r="AM15" s="29"/>
      <c r="AN15" s="24"/>
      <c r="AO15" s="54"/>
      <c r="AP15">
        <v>-2.2742399999999999E-3</v>
      </c>
      <c r="AQ15">
        <v>-2.1110000000000022E-3</v>
      </c>
      <c r="AR15">
        <v>-2.211200000000003E-3</v>
      </c>
      <c r="AX15" s="54"/>
      <c r="BH15" s="54"/>
      <c r="BJ15" s="24"/>
      <c r="BK15" s="24"/>
      <c r="BL15" s="24"/>
      <c r="BM15" s="24"/>
      <c r="BN15" s="24"/>
      <c r="BO15" s="24"/>
      <c r="BP15" s="24"/>
      <c r="BQ15" s="24"/>
    </row>
    <row r="16" spans="1:70" x14ac:dyDescent="0.25">
      <c r="D16" s="1" t="s">
        <v>123</v>
      </c>
      <c r="E16">
        <v>2.3123200000000001E-3</v>
      </c>
      <c r="F16">
        <v>2.71798E-2</v>
      </c>
      <c r="G16">
        <v>5.2250600000000001E-2</v>
      </c>
      <c r="I16" t="s">
        <v>65</v>
      </c>
      <c r="J16" t="s">
        <v>65</v>
      </c>
      <c r="K16" t="s">
        <v>65</v>
      </c>
      <c r="L16" s="56"/>
      <c r="M16" s="1"/>
      <c r="N16">
        <v>4.9938280000000002E-2</v>
      </c>
      <c r="P16" t="s">
        <v>65</v>
      </c>
      <c r="Q16" t="s">
        <v>65</v>
      </c>
      <c r="R16" t="s">
        <v>65</v>
      </c>
      <c r="S16" s="54"/>
      <c r="T16">
        <v>1.000000000098145E-7</v>
      </c>
      <c r="U16">
        <f t="shared" si="0"/>
        <v>5.0000000000000002E-5</v>
      </c>
      <c r="AA16">
        <v>1.0014879999999999</v>
      </c>
      <c r="AB16" s="54"/>
      <c r="AD16" s="26"/>
      <c r="AE16" s="26"/>
      <c r="AF16" s="26"/>
      <c r="AG16" s="24"/>
      <c r="AI16" s="54"/>
      <c r="AK16" s="26"/>
      <c r="AL16" s="26"/>
      <c r="AM16" s="26"/>
      <c r="AN16" s="24"/>
      <c r="AO16" s="54"/>
      <c r="AX16" s="54"/>
      <c r="BH16" s="54"/>
      <c r="BJ16" s="24"/>
      <c r="BK16" s="24"/>
      <c r="BL16" s="24"/>
      <c r="BM16" s="24"/>
      <c r="BN16" s="24"/>
      <c r="BO16" s="24"/>
      <c r="BP16" s="24"/>
      <c r="BQ16" s="24"/>
    </row>
    <row r="17" spans="4:69" x14ac:dyDescent="0.25">
      <c r="D17" s="1" t="s">
        <v>124</v>
      </c>
      <c r="E17">
        <v>4.7302400000000001E-3</v>
      </c>
      <c r="F17">
        <v>2.9660200000000001E-2</v>
      </c>
      <c r="G17">
        <v>5.4722899999999998E-2</v>
      </c>
      <c r="I17" t="s">
        <v>65</v>
      </c>
      <c r="J17" t="s">
        <v>65</v>
      </c>
      <c r="K17" t="s">
        <v>65</v>
      </c>
      <c r="L17" s="56"/>
      <c r="M17" s="1"/>
      <c r="N17">
        <v>4.9992659999999987E-2</v>
      </c>
      <c r="P17" t="s">
        <v>65</v>
      </c>
      <c r="Q17" t="s">
        <v>65</v>
      </c>
      <c r="R17" t="s">
        <v>65</v>
      </c>
      <c r="S17" s="54"/>
      <c r="T17">
        <v>1.000000000098145E-7</v>
      </c>
      <c r="U17">
        <f t="shared" si="0"/>
        <v>5.0000000000000002E-5</v>
      </c>
      <c r="AA17">
        <v>0.99979200000000001</v>
      </c>
      <c r="AB17" s="54"/>
      <c r="AD17" s="26"/>
      <c r="AE17" s="26"/>
      <c r="AF17" s="26"/>
      <c r="AG17" s="24"/>
      <c r="AI17" s="54"/>
      <c r="AK17" s="26"/>
      <c r="AL17" s="26"/>
      <c r="AM17" s="26"/>
      <c r="AN17" s="24"/>
      <c r="AO17" s="54"/>
      <c r="AP17">
        <v>-2.2147199999999999E-3</v>
      </c>
      <c r="AQ17">
        <v>-2.1170999999999998E-3</v>
      </c>
      <c r="AR17">
        <v>-2.1888000000000051E-3</v>
      </c>
      <c r="AX17" s="54"/>
      <c r="BH17" s="54"/>
      <c r="BJ17" s="24"/>
      <c r="BK17" s="24"/>
      <c r="BL17" s="24"/>
      <c r="BM17" s="24"/>
      <c r="BN17" s="24"/>
      <c r="BO17" s="24"/>
      <c r="BP17" s="24"/>
      <c r="BQ17" s="24"/>
    </row>
    <row r="18" spans="4:69" x14ac:dyDescent="0.25">
      <c r="D18" s="1" t="s">
        <v>125</v>
      </c>
      <c r="E18">
        <v>6.94496E-3</v>
      </c>
      <c r="F18">
        <v>3.1777300000000001E-2</v>
      </c>
      <c r="G18">
        <v>5.6911700000000003E-2</v>
      </c>
      <c r="I18" t="s">
        <v>65</v>
      </c>
      <c r="J18" t="s">
        <v>65</v>
      </c>
      <c r="K18" t="s">
        <v>65</v>
      </c>
      <c r="L18" s="56"/>
      <c r="M18" s="1"/>
      <c r="N18">
        <v>4.9966740000000003E-2</v>
      </c>
      <c r="P18" t="s">
        <v>65</v>
      </c>
      <c r="Q18" t="s">
        <v>65</v>
      </c>
      <c r="R18" t="s">
        <v>65</v>
      </c>
      <c r="S18" s="54"/>
      <c r="T18">
        <v>1.000000000098145E-7</v>
      </c>
      <c r="U18">
        <f t="shared" si="0"/>
        <v>5.0000000000000002E-5</v>
      </c>
      <c r="AA18">
        <v>0.99921599999999999</v>
      </c>
      <c r="AB18" s="54"/>
      <c r="AD18" s="26"/>
      <c r="AE18" s="26"/>
      <c r="AF18" s="26"/>
      <c r="AG18" s="24"/>
      <c r="AI18" s="54"/>
      <c r="AK18" s="26"/>
      <c r="AL18" s="26"/>
      <c r="AM18" s="26"/>
      <c r="AN18" s="24"/>
      <c r="AO18" s="54"/>
      <c r="AX18" s="54"/>
      <c r="BH18" s="54"/>
      <c r="BJ18" s="24"/>
      <c r="BK18" s="24"/>
      <c r="BL18" s="24"/>
      <c r="BM18" s="24"/>
      <c r="BN18" s="24"/>
      <c r="BO18" s="24"/>
      <c r="BP18" s="24"/>
      <c r="BQ18" s="24"/>
    </row>
    <row r="19" spans="4:69" x14ac:dyDescent="0.25">
      <c r="D19" s="1" t="s">
        <v>126</v>
      </c>
      <c r="E19">
        <v>-1.7321599999999999E-3</v>
      </c>
      <c r="F19">
        <v>2.3224999999999999E-2</v>
      </c>
      <c r="G19">
        <v>4.8266200000000002E-2</v>
      </c>
      <c r="I19" t="s">
        <v>65</v>
      </c>
      <c r="J19" t="s">
        <v>65</v>
      </c>
      <c r="K19" t="s">
        <v>65</v>
      </c>
      <c r="L19" s="56"/>
      <c r="M19" s="1"/>
      <c r="N19">
        <v>4.9998360000000013E-2</v>
      </c>
      <c r="P19" t="s">
        <v>65</v>
      </c>
      <c r="Q19" t="s">
        <v>65</v>
      </c>
      <c r="R19" t="s">
        <v>65</v>
      </c>
      <c r="S19" s="54"/>
      <c r="T19">
        <v>1.000000000098145E-7</v>
      </c>
      <c r="U19">
        <f t="shared" si="0"/>
        <v>5.0000000000000002E-5</v>
      </c>
      <c r="AA19">
        <v>0.99990400000000002</v>
      </c>
      <c r="AB19" s="54"/>
      <c r="AD19" s="26"/>
      <c r="AE19" s="26"/>
      <c r="AF19" s="26"/>
      <c r="AG19" s="24"/>
      <c r="AI19" s="54"/>
      <c r="AK19" s="26"/>
      <c r="AL19" s="26"/>
      <c r="AM19" s="26"/>
      <c r="AN19" s="24"/>
      <c r="AO19" s="54"/>
      <c r="AP19">
        <v>-2.0876800000000002E-3</v>
      </c>
      <c r="AQ19">
        <v>-2.163200000000001E-3</v>
      </c>
      <c r="AR19">
        <v>-2.1817999999999981E-3</v>
      </c>
      <c r="AX19" s="54"/>
      <c r="BH19" s="54"/>
      <c r="BJ19" s="24"/>
      <c r="BK19" s="24"/>
      <c r="BL19" s="24"/>
      <c r="BM19" s="24"/>
      <c r="BN19" s="24"/>
      <c r="BO19" s="24"/>
      <c r="BP19" s="24"/>
      <c r="BQ19" s="24"/>
    </row>
    <row r="20" spans="4:69" x14ac:dyDescent="0.25">
      <c r="D20" s="1" t="s">
        <v>127</v>
      </c>
      <c r="E20">
        <v>3.5552000000000001E-4</v>
      </c>
      <c r="F20">
        <v>2.53882E-2</v>
      </c>
      <c r="G20">
        <v>5.0448E-2</v>
      </c>
      <c r="I20" t="s">
        <v>65</v>
      </c>
      <c r="J20" t="s">
        <v>65</v>
      </c>
      <c r="K20" t="s">
        <v>65</v>
      </c>
      <c r="L20" s="56"/>
      <c r="M20" s="1"/>
      <c r="N20">
        <v>5.0092480000000002E-2</v>
      </c>
      <c r="P20" t="s">
        <v>65</v>
      </c>
      <c r="Q20" t="s">
        <v>65</v>
      </c>
      <c r="R20" t="s">
        <v>65</v>
      </c>
      <c r="S20" s="54"/>
      <c r="T20">
        <v>1.000000000098145E-7</v>
      </c>
      <c r="U20">
        <f t="shared" si="0"/>
        <v>5.0000000000000002E-5</v>
      </c>
      <c r="AA20" s="2"/>
      <c r="AB20" s="54"/>
      <c r="AD20" s="26"/>
      <c r="AE20" s="26"/>
      <c r="AF20" s="26"/>
      <c r="AG20" s="24"/>
      <c r="AI20" s="54"/>
      <c r="AK20" s="26"/>
      <c r="AL20" s="26"/>
      <c r="AM20" s="26"/>
      <c r="AN20" s="24"/>
      <c r="AO20" s="54"/>
      <c r="AX20" s="54"/>
      <c r="BH20" s="54"/>
      <c r="BJ20" s="24"/>
      <c r="BK20" s="24"/>
      <c r="BL20" s="24"/>
      <c r="BM20" s="24"/>
      <c r="BN20" s="24"/>
      <c r="BO20" s="24"/>
      <c r="BP20" s="24"/>
      <c r="BQ20" s="24"/>
    </row>
    <row r="21" spans="4:69" x14ac:dyDescent="0.25">
      <c r="D21" s="1" t="s">
        <v>128</v>
      </c>
      <c r="E21">
        <v>-1.38944E-3</v>
      </c>
      <c r="F21">
        <v>2.3610200000000001E-2</v>
      </c>
      <c r="G21">
        <v>4.8611799999999997E-2</v>
      </c>
      <c r="N21">
        <v>5.0001240000000002E-2</v>
      </c>
      <c r="S21" s="54"/>
      <c r="T21">
        <v>1.000000000098145E-7</v>
      </c>
      <c r="U21">
        <f t="shared" si="0"/>
        <v>5.0000000000000002E-5</v>
      </c>
      <c r="AB21" s="54"/>
      <c r="AD21" s="26"/>
      <c r="AE21" s="26"/>
      <c r="AF21" s="26"/>
      <c r="AG21" s="24"/>
      <c r="AI21" s="54"/>
      <c r="AK21" s="26"/>
      <c r="AL21" s="26"/>
      <c r="AM21" s="26"/>
      <c r="AN21" s="24"/>
      <c r="AO21" s="54"/>
      <c r="AP21">
        <v>-2.1593599999999999E-3</v>
      </c>
      <c r="AQ21">
        <v>-2.217299999999998E-3</v>
      </c>
      <c r="AR21">
        <v>-2.1722000000000061E-3</v>
      </c>
      <c r="AX21" s="54"/>
      <c r="BH21" s="54"/>
      <c r="BJ21" s="24"/>
      <c r="BK21" s="24"/>
      <c r="BL21" s="24"/>
      <c r="BM21" s="24"/>
      <c r="BN21" s="24"/>
      <c r="BO21" s="24"/>
      <c r="BP21" s="24"/>
      <c r="BQ21" s="24"/>
    </row>
    <row r="22" spans="4:69" x14ac:dyDescent="0.25">
      <c r="D22" s="1" t="s">
        <v>129</v>
      </c>
      <c r="E22">
        <v>7.6992E-4</v>
      </c>
      <c r="F22">
        <v>2.58275E-2</v>
      </c>
      <c r="G22">
        <v>5.0784000000000003E-2</v>
      </c>
      <c r="N22">
        <v>5.0014080000000002E-2</v>
      </c>
      <c r="T22">
        <v>1.000000000098145E-7</v>
      </c>
      <c r="U22">
        <f t="shared" si="0"/>
        <v>5.0000000000000002E-5</v>
      </c>
      <c r="AD22" s="26"/>
      <c r="AE22" s="26"/>
      <c r="AF22" s="26"/>
      <c r="AG22" s="24"/>
    </row>
  </sheetData>
  <mergeCells count="9">
    <mergeCell ref="AO3:AO21"/>
    <mergeCell ref="AX3:AX21"/>
    <mergeCell ref="BH3:BH21"/>
    <mergeCell ref="A1:C2"/>
    <mergeCell ref="AG2:AH2"/>
    <mergeCell ref="L3:L20"/>
    <mergeCell ref="S3:S21"/>
    <mergeCell ref="AB3:AB21"/>
    <mergeCell ref="AI3:AI2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20CD-2A38-4B6B-BA4A-2151633FDB4C}">
  <dimension ref="A1:BR22"/>
  <sheetViews>
    <sheetView topLeftCell="AB2" workbookViewId="0">
      <selection activeCell="BP3" sqref="BP3"/>
    </sheetView>
  </sheetViews>
  <sheetFormatPr defaultRowHeight="15" x14ac:dyDescent="0.25"/>
  <cols>
    <col min="4" max="4" width="19.85546875" customWidth="1"/>
    <col min="5" max="5" width="14.5703125" customWidth="1"/>
    <col min="6" max="6" width="12.28515625" customWidth="1"/>
    <col min="7" max="7" width="13.5703125" customWidth="1"/>
    <col min="8" max="8" width="14" customWidth="1"/>
    <col min="9" max="9" width="0.140625" customWidth="1"/>
    <col min="10" max="10" width="8.5703125" hidden="1" customWidth="1"/>
    <col min="11" max="11" width="0.140625" customWidth="1"/>
    <col min="12" max="12" width="9.7109375" customWidth="1"/>
    <col min="13" max="13" width="19.28515625" hidden="1" customWidth="1"/>
    <col min="14" max="14" width="32.140625" customWidth="1"/>
    <col min="15" max="15" width="29.28515625" customWidth="1"/>
    <col min="16" max="16" width="11" customWidth="1"/>
    <col min="17" max="17" width="9.140625" hidden="1" customWidth="1"/>
    <col min="18" max="18" width="0.140625" customWidth="1"/>
    <col min="19" max="19" width="18.28515625" customWidth="1"/>
    <col min="20" max="20" width="14.42578125" customWidth="1"/>
    <col min="21" max="21" width="12.42578125" customWidth="1"/>
    <col min="22" max="22" width="0.140625" customWidth="1"/>
    <col min="23" max="24" width="9.140625" hidden="1" customWidth="1"/>
    <col min="25" max="25" width="0.140625" customWidth="1"/>
    <col min="26" max="26" width="0.42578125" hidden="1" customWidth="1"/>
    <col min="27" max="27" width="9.140625" hidden="1" customWidth="1"/>
    <col min="28" max="28" width="13" customWidth="1"/>
    <col min="29" max="29" width="15.28515625" customWidth="1"/>
    <col min="30" max="30" width="34" customWidth="1"/>
    <col min="31" max="31" width="11.7109375" customWidth="1"/>
    <col min="32" max="32" width="11.5703125" customWidth="1"/>
    <col min="33" max="33" width="11" customWidth="1"/>
    <col min="34" max="34" width="37.140625" customWidth="1"/>
    <col min="35" max="35" width="11.42578125" customWidth="1"/>
    <col min="36" max="36" width="12.7109375" customWidth="1"/>
    <col min="40" max="40" width="38" customWidth="1"/>
    <col min="41" max="41" width="13.140625" customWidth="1"/>
    <col min="42" max="42" width="15.42578125" customWidth="1"/>
    <col min="48" max="48" width="12" bestFit="1" customWidth="1"/>
    <col min="51" max="51" width="16.140625" customWidth="1"/>
    <col min="52" max="52" width="12" bestFit="1" customWidth="1"/>
    <col min="54" max="54" width="11.5703125" customWidth="1"/>
    <col min="55" max="55" width="12" bestFit="1" customWidth="1"/>
    <col min="57" max="57" width="22" bestFit="1" customWidth="1"/>
    <col min="59" max="59" width="39.85546875" customWidth="1"/>
    <col min="61" max="61" width="13.5703125" customWidth="1"/>
    <col min="64" max="64" width="13.42578125" customWidth="1"/>
    <col min="67" max="67" width="16.140625" customWidth="1"/>
    <col min="69" max="69" width="28.5703125" customWidth="1"/>
  </cols>
  <sheetData>
    <row r="1" spans="1:70" ht="28.5" customHeight="1" x14ac:dyDescent="0.25">
      <c r="A1" s="55" t="s">
        <v>191</v>
      </c>
      <c r="B1" s="55"/>
      <c r="C1" s="55"/>
    </row>
    <row r="2" spans="1:70" ht="96" customHeight="1" x14ac:dyDescent="0.25">
      <c r="A2" s="55"/>
      <c r="B2" s="55"/>
      <c r="C2" s="55"/>
      <c r="D2" s="19" t="s">
        <v>235</v>
      </c>
      <c r="E2" s="18" t="s">
        <v>194</v>
      </c>
      <c r="F2" s="18" t="s">
        <v>195</v>
      </c>
      <c r="G2" s="18" t="s">
        <v>196</v>
      </c>
      <c r="H2" s="18" t="s">
        <v>197</v>
      </c>
      <c r="L2" s="20" t="s">
        <v>193</v>
      </c>
      <c r="M2" s="20"/>
      <c r="N2" s="21" t="s">
        <v>198</v>
      </c>
      <c r="O2" s="21" t="s">
        <v>199</v>
      </c>
      <c r="S2" s="20" t="s">
        <v>192</v>
      </c>
      <c r="T2" s="18" t="s">
        <v>201</v>
      </c>
      <c r="U2" s="18" t="s">
        <v>200</v>
      </c>
      <c r="AB2" s="20" t="s">
        <v>204</v>
      </c>
      <c r="AC2" s="22" t="s">
        <v>202</v>
      </c>
      <c r="AD2" s="25" t="s">
        <v>203</v>
      </c>
      <c r="AE2" s="25" t="s">
        <v>205</v>
      </c>
      <c r="AF2" s="25" t="s">
        <v>206</v>
      </c>
      <c r="AG2" s="57" t="s">
        <v>207</v>
      </c>
      <c r="AH2" s="58"/>
      <c r="AI2" s="20" t="s">
        <v>208</v>
      </c>
      <c r="AJ2" s="38" t="s">
        <v>209</v>
      </c>
      <c r="AK2" s="28" t="s">
        <v>211</v>
      </c>
      <c r="AL2" s="26" t="s">
        <v>212</v>
      </c>
      <c r="AM2" s="28" t="s">
        <v>210</v>
      </c>
      <c r="AN2" s="30" t="s">
        <v>213</v>
      </c>
      <c r="AO2" s="31" t="s">
        <v>228</v>
      </c>
      <c r="AP2" s="33" t="s">
        <v>214</v>
      </c>
      <c r="AQ2" s="32" t="s">
        <v>216</v>
      </c>
      <c r="AR2" s="32" t="s">
        <v>215</v>
      </c>
      <c r="AS2" s="32" t="s">
        <v>217</v>
      </c>
      <c r="AU2" s="32" t="s">
        <v>218</v>
      </c>
      <c r="AV2" s="32" t="s">
        <v>219</v>
      </c>
      <c r="AW2" s="34" t="s">
        <v>220</v>
      </c>
      <c r="AX2" s="34" t="s">
        <v>227</v>
      </c>
      <c r="AY2" s="32" t="s">
        <v>236</v>
      </c>
      <c r="AZ2" s="36" t="s">
        <v>222</v>
      </c>
      <c r="BA2" s="37" t="s">
        <v>212</v>
      </c>
      <c r="BB2" s="36" t="s">
        <v>221</v>
      </c>
      <c r="BC2" s="37" t="s">
        <v>223</v>
      </c>
      <c r="BD2" s="36" t="s">
        <v>225</v>
      </c>
      <c r="BE2" s="41" t="s">
        <v>226</v>
      </c>
      <c r="BF2" s="35" t="s">
        <v>224</v>
      </c>
      <c r="BG2" s="30" t="s">
        <v>237</v>
      </c>
      <c r="BH2" s="22" t="s">
        <v>229</v>
      </c>
      <c r="BI2" s="23" t="s">
        <v>230</v>
      </c>
      <c r="BJ2" s="42" t="s">
        <v>238</v>
      </c>
      <c r="BK2" s="43" t="s">
        <v>224</v>
      </c>
      <c r="BL2" s="42" t="s">
        <v>233</v>
      </c>
      <c r="BM2" s="43" t="s">
        <v>234</v>
      </c>
      <c r="BN2" s="42" t="s">
        <v>231</v>
      </c>
      <c r="BO2" s="44" t="s">
        <v>226</v>
      </c>
      <c r="BP2" s="45" t="s">
        <v>224</v>
      </c>
      <c r="BQ2" s="30" t="s">
        <v>232</v>
      </c>
    </row>
    <row r="3" spans="1:70" x14ac:dyDescent="0.25">
      <c r="D3" s="1" t="s">
        <v>64</v>
      </c>
      <c r="E3">
        <v>2.3925999999999999E-2</v>
      </c>
      <c r="F3">
        <v>1.4697E-2</v>
      </c>
      <c r="G3">
        <v>3.9550000000000002E-3</v>
      </c>
      <c r="H3">
        <v>-5.2729999999999999E-3</v>
      </c>
      <c r="I3" t="s">
        <v>65</v>
      </c>
      <c r="J3" t="s">
        <v>65</v>
      </c>
      <c r="K3" t="s">
        <v>65</v>
      </c>
      <c r="L3" s="56" t="s">
        <v>65</v>
      </c>
      <c r="M3" s="1"/>
      <c r="N3">
        <v>2.0020199999999998E-2</v>
      </c>
      <c r="O3" t="s">
        <v>65</v>
      </c>
      <c r="P3" t="s">
        <v>65</v>
      </c>
      <c r="Q3" t="s">
        <v>65</v>
      </c>
      <c r="R3" t="s">
        <v>65</v>
      </c>
      <c r="S3" s="54"/>
      <c r="T3">
        <v>1.000000000098145E-7</v>
      </c>
      <c r="U3">
        <f>2.5*0.0001*0.04*2</f>
        <v>2.0000000000000002E-5</v>
      </c>
      <c r="AA3">
        <v>1.000024</v>
      </c>
      <c r="AB3" s="54"/>
      <c r="AC3" s="2">
        <f>+_xlfn.STDEV.S(N3:O22)/SQRT(29)</f>
        <v>3.3447565733155635E-6</v>
      </c>
      <c r="AD3" s="26">
        <f>+U3</f>
        <v>2.0000000000000002E-5</v>
      </c>
      <c r="AE3" s="26">
        <f>+SQRT((AC3^2)+(AD3^2))</f>
        <v>2.027775620069286E-5</v>
      </c>
      <c r="AF3" s="26">
        <f>+AVERAGE(N3:O22)</f>
        <v>2.0017400689655171E-2</v>
      </c>
      <c r="AG3" s="24" t="str">
        <f>AF3 &amp; " ± " &amp; AE3</f>
        <v>0,0200174006896552 ± 2,02777562006929E-05</v>
      </c>
      <c r="AI3" s="54"/>
      <c r="AJ3" s="16">
        <f>1/AF3</f>
        <v>49.956536090961691</v>
      </c>
      <c r="AK3" s="26">
        <f>+(1/(AF3^2))</f>
        <v>2495.6554982075581</v>
      </c>
      <c r="AL3" s="26">
        <f>+AE3</f>
        <v>2.027775620069286E-5</v>
      </c>
      <c r="AM3" s="26">
        <f>+AK3*AL3</f>
        <v>5.0606293753571542E-2</v>
      </c>
      <c r="AN3" s="24" t="str">
        <f>AJ3 &amp; " ± " &amp; AM3</f>
        <v>49,9565360909617 ± 0,0506062937535715</v>
      </c>
      <c r="AO3" s="54"/>
      <c r="AP3">
        <v>-2.035400000000001E-3</v>
      </c>
      <c r="AQ3">
        <v>-2.043200000000002E-3</v>
      </c>
      <c r="AR3">
        <v>-2.0432999999999979E-3</v>
      </c>
      <c r="AU3">
        <f>+AVERAGE(AP3:AR21)</f>
        <v>-2.0413479999999997E-3</v>
      </c>
      <c r="AV3">
        <f>+_xlfn.STDEV.S(AP3:AR21)/SQRT(30)</f>
        <v>3.4640732916777625E-6</v>
      </c>
      <c r="AW3">
        <f>+SQRT((AV3^2)+(U3^2))</f>
        <v>2.0297778296407596E-5</v>
      </c>
      <c r="AX3" s="54"/>
      <c r="AY3" s="12">
        <f>(AU3/AF3)*2*PI()</f>
        <v>-0.64075091263317174</v>
      </c>
      <c r="AZ3">
        <f>ABS(2*PI()*(AU3/(AF3^2)))</f>
        <v>32.009696092275689</v>
      </c>
      <c r="BA3">
        <f>+AE3</f>
        <v>2.027775620069286E-5</v>
      </c>
      <c r="BB3">
        <f>(2*PI())*(1/AF3)</f>
        <v>313.88617356431723</v>
      </c>
      <c r="BC3">
        <f>+AW3</f>
        <v>2.0297778296407596E-5</v>
      </c>
      <c r="BD3">
        <f>(2*PI())*(1/AF3)</f>
        <v>313.88617356431723</v>
      </c>
      <c r="BE3" s="14">
        <v>1E-14</v>
      </c>
      <c r="BF3">
        <f>+(ABS(AZ3*BA3))+(ABS(BB3*BC3))+(ABS(BD3*BE3))</f>
        <v>7.0202767778725248E-3</v>
      </c>
      <c r="BG3" s="24" t="str">
        <f>AY3 &amp; " ± " &amp; BF3</f>
        <v>-0,640750912633172 ± 0,00702027677787252</v>
      </c>
      <c r="BH3" s="54"/>
      <c r="BI3">
        <f>ABS(+TAN(AY3)/(2*PI()*AJ3))</f>
        <v>2.3757390921896899E-3</v>
      </c>
      <c r="BJ3" s="24">
        <f>+ABS((1/(COS(AY3)^2))*(1/(2*PI()*AJ3)))</f>
        <v>4.9574845932253966E-3</v>
      </c>
      <c r="BK3" s="24">
        <f>+BF3</f>
        <v>7.0202767778725248E-3</v>
      </c>
      <c r="BL3" s="24">
        <f>+ABS((TAN(AY3))/(2*PI()*(AJ3^2)))</f>
        <v>4.7556121342438644E-5</v>
      </c>
      <c r="BM3" s="24">
        <f>+AM3</f>
        <v>5.0606293753571542E-2</v>
      </c>
      <c r="BN3" s="24">
        <f>+ABS((TAN(AY3))/(2*PI()*PI()*AJ3))</f>
        <v>7.5622124003728243E-4</v>
      </c>
      <c r="BO3" s="24">
        <v>1E-14</v>
      </c>
      <c r="BP3">
        <f>+(BJ3*BK3)+(BL3*BM3)+(BN3*BO3)</f>
        <v>3.7209553012924579E-5</v>
      </c>
      <c r="BQ3" s="24" t="str">
        <f>BI3 &amp; " ± " &amp; BP3</f>
        <v>0,00237573909218969 ± 3,72095530129246E-05</v>
      </c>
    </row>
    <row r="4" spans="1:70" x14ac:dyDescent="0.25">
      <c r="D4" s="1" t="s">
        <v>68</v>
      </c>
      <c r="E4">
        <v>2.1923999999999999E-2</v>
      </c>
      <c r="F4">
        <v>1.2402E-2</v>
      </c>
      <c r="G4">
        <v>1.9530000000000001E-3</v>
      </c>
      <c r="H4">
        <v>-7.5679999999999992E-3</v>
      </c>
      <c r="I4" t="s">
        <v>65</v>
      </c>
      <c r="J4" t="s">
        <v>65</v>
      </c>
      <c r="K4" t="s">
        <v>65</v>
      </c>
      <c r="L4" s="56"/>
      <c r="M4" s="1"/>
      <c r="N4">
        <v>2.00281E-2</v>
      </c>
      <c r="O4" t="s">
        <v>65</v>
      </c>
      <c r="P4" t="s">
        <v>65</v>
      </c>
      <c r="Q4" t="s">
        <v>65</v>
      </c>
      <c r="R4" t="s">
        <v>65</v>
      </c>
      <c r="S4" s="54"/>
      <c r="T4">
        <v>1.000000000098145E-7</v>
      </c>
      <c r="U4">
        <f t="shared" ref="U4:U22" si="0">2.5*0.0001*0.04*2</f>
        <v>2.0000000000000002E-5</v>
      </c>
      <c r="AA4">
        <v>1.000224</v>
      </c>
      <c r="AB4" s="54"/>
      <c r="AC4" s="2"/>
      <c r="AD4" s="26"/>
      <c r="AE4" s="26"/>
      <c r="AF4" s="26"/>
      <c r="AG4" s="24"/>
      <c r="AI4" s="54"/>
      <c r="AK4" s="26"/>
      <c r="AL4" s="26"/>
      <c r="AM4" s="26"/>
      <c r="AN4" s="24"/>
      <c r="AO4" s="54"/>
      <c r="AX4" s="54"/>
      <c r="BA4">
        <f>+AZ3*BA3</f>
        <v>6.4908481341743732E-4</v>
      </c>
      <c r="BC4">
        <f>+BB3*BC3</f>
        <v>6.3711919613162263E-3</v>
      </c>
      <c r="BE4">
        <f>+BD3*BE3</f>
        <v>3.1388617356431722E-12</v>
      </c>
      <c r="BH4" s="54"/>
      <c r="BJ4" s="24"/>
      <c r="BK4">
        <f>+BJ3*BK3</f>
        <v>3.4802913966481073E-5</v>
      </c>
      <c r="BL4" s="24"/>
      <c r="BM4">
        <f>+BL3*BM3</f>
        <v>2.4066390464359432E-6</v>
      </c>
      <c r="BN4" s="24"/>
      <c r="BO4">
        <f>+BN3*BO3</f>
        <v>7.5622124003728247E-18</v>
      </c>
      <c r="BP4" s="24"/>
      <c r="BQ4" s="24"/>
    </row>
    <row r="5" spans="1:70" x14ac:dyDescent="0.25">
      <c r="D5" s="1" t="s">
        <v>69</v>
      </c>
      <c r="E5">
        <v>1.9727000000000001E-2</v>
      </c>
      <c r="F5">
        <v>9.7169999999999999E-3</v>
      </c>
      <c r="G5">
        <v>-2.4399999999999999E-4</v>
      </c>
      <c r="H5">
        <v>-1.0303E-2</v>
      </c>
      <c r="I5" t="s">
        <v>65</v>
      </c>
      <c r="J5" t="s">
        <v>65</v>
      </c>
      <c r="K5" t="s">
        <v>65</v>
      </c>
      <c r="L5" s="56"/>
      <c r="M5" s="1"/>
      <c r="N5">
        <v>2.0000980000000002E-2</v>
      </c>
      <c r="O5">
        <v>2.0000299999999999E-2</v>
      </c>
      <c r="P5" t="s">
        <v>65</v>
      </c>
      <c r="Q5" t="s">
        <v>65</v>
      </c>
      <c r="R5" t="s">
        <v>65</v>
      </c>
      <c r="S5" s="54"/>
      <c r="T5">
        <v>1.000000000098145E-7</v>
      </c>
      <c r="U5">
        <f t="shared" si="0"/>
        <v>2.0000000000000002E-5</v>
      </c>
      <c r="AA5">
        <v>0.99997599999999998</v>
      </c>
      <c r="AB5" s="54"/>
      <c r="AD5" s="26"/>
      <c r="AE5" s="26"/>
      <c r="AF5" s="26"/>
      <c r="AG5" s="24"/>
      <c r="AI5" s="54"/>
      <c r="AK5" s="26"/>
      <c r="AL5" s="26"/>
      <c r="AM5" s="26"/>
      <c r="AN5" s="24"/>
      <c r="AO5" s="54"/>
      <c r="AP5">
        <v>-2.01308E-3</v>
      </c>
      <c r="AQ5">
        <v>-2.0293000000000008E-3</v>
      </c>
      <c r="AR5">
        <v>-2.0322999999999969E-3</v>
      </c>
      <c r="AX5" s="54"/>
      <c r="BE5" s="40"/>
      <c r="BH5" s="54"/>
      <c r="BJ5" s="24"/>
      <c r="BK5" s="24"/>
      <c r="BL5" s="24"/>
      <c r="BM5" s="24"/>
      <c r="BN5" s="24"/>
      <c r="BO5" s="24"/>
      <c r="BP5" s="24"/>
      <c r="BQ5" s="24"/>
    </row>
    <row r="6" spans="1:70" x14ac:dyDescent="0.25">
      <c r="D6" s="1" t="s">
        <v>70</v>
      </c>
      <c r="E6">
        <v>1.7871000000000001E-2</v>
      </c>
      <c r="F6">
        <v>7.3239999999999998E-3</v>
      </c>
      <c r="G6">
        <v>-2.0999999999999999E-3</v>
      </c>
      <c r="H6">
        <v>-1.2695E-2</v>
      </c>
      <c r="I6" t="s">
        <v>65</v>
      </c>
      <c r="J6" t="s">
        <v>65</v>
      </c>
      <c r="K6" t="s">
        <v>65</v>
      </c>
      <c r="L6" s="56"/>
      <c r="M6" s="1"/>
      <c r="N6">
        <v>2.0020199999999998E-2</v>
      </c>
      <c r="O6" t="s">
        <v>65</v>
      </c>
      <c r="P6" t="s">
        <v>65</v>
      </c>
      <c r="Q6" t="s">
        <v>65</v>
      </c>
      <c r="R6" t="s">
        <v>65</v>
      </c>
      <c r="S6" s="54"/>
      <c r="T6">
        <v>1.000000000098145E-7</v>
      </c>
      <c r="U6">
        <f t="shared" si="0"/>
        <v>2.0000000000000002E-5</v>
      </c>
      <c r="AA6">
        <v>1.0020800000000001</v>
      </c>
      <c r="AB6" s="54"/>
      <c r="AD6" s="26"/>
      <c r="AE6" s="26"/>
      <c r="AF6" s="26"/>
      <c r="AG6" s="24"/>
      <c r="AI6" s="54"/>
      <c r="AK6" s="26"/>
      <c r="AL6" s="26"/>
      <c r="AM6" s="26"/>
      <c r="AN6" s="24"/>
      <c r="AO6" s="54"/>
      <c r="AX6" s="54"/>
      <c r="BH6" s="54"/>
      <c r="BJ6" s="24"/>
      <c r="BK6" s="24"/>
      <c r="BL6" s="24"/>
      <c r="BM6" s="24"/>
      <c r="BN6" s="24"/>
      <c r="BO6" s="24"/>
      <c r="BP6" s="24"/>
      <c r="BQ6" s="24"/>
    </row>
    <row r="7" spans="1:70" x14ac:dyDescent="0.25">
      <c r="D7" s="1" t="s">
        <v>71</v>
      </c>
      <c r="E7">
        <v>1.7773000000000001E-2</v>
      </c>
      <c r="F7">
        <v>7.2269999999999999E-3</v>
      </c>
      <c r="G7">
        <v>-2.2460000000000002E-3</v>
      </c>
      <c r="H7">
        <v>-1.2793000000000001E-2</v>
      </c>
      <c r="I7" t="s">
        <v>65</v>
      </c>
      <c r="J7" t="s">
        <v>65</v>
      </c>
      <c r="K7" t="s">
        <v>65</v>
      </c>
      <c r="L7" s="56"/>
      <c r="M7" s="1"/>
      <c r="N7">
        <v>2.0000839999999999E-2</v>
      </c>
      <c r="O7" t="s">
        <v>65</v>
      </c>
      <c r="P7" t="s">
        <v>65</v>
      </c>
      <c r="Q7" t="s">
        <v>65</v>
      </c>
      <c r="R7" t="s">
        <v>65</v>
      </c>
      <c r="S7" s="54"/>
      <c r="T7">
        <v>1.000000000098145E-7</v>
      </c>
      <c r="U7">
        <f t="shared" si="0"/>
        <v>2.0000000000000002E-5</v>
      </c>
      <c r="AA7">
        <v>0.99985599999999997</v>
      </c>
      <c r="AB7" s="54"/>
      <c r="AD7" s="26"/>
      <c r="AE7" s="26"/>
      <c r="AF7" s="26"/>
      <c r="AG7" s="24"/>
      <c r="AI7" s="54"/>
      <c r="AK7" s="26"/>
      <c r="AL7" s="26"/>
      <c r="AM7" s="26"/>
      <c r="AN7" s="24"/>
      <c r="AO7" s="54"/>
      <c r="AP7">
        <v>-2.0520400000000002E-3</v>
      </c>
      <c r="AQ7">
        <v>-2.052799999999997E-3</v>
      </c>
      <c r="AR7">
        <v>-2.052799999999997E-3</v>
      </c>
      <c r="AX7" s="54"/>
      <c r="BE7" s="5"/>
      <c r="BH7" s="54"/>
      <c r="BJ7" s="24"/>
      <c r="BK7" s="24"/>
      <c r="BL7" s="24"/>
      <c r="BM7" s="24"/>
      <c r="BN7" s="24"/>
      <c r="BO7" s="24"/>
      <c r="BP7" s="24"/>
      <c r="BQ7" s="24"/>
    </row>
    <row r="8" spans="1:70" x14ac:dyDescent="0.25">
      <c r="D8" s="1" t="s">
        <v>72</v>
      </c>
      <c r="E8">
        <v>1.5771E-2</v>
      </c>
      <c r="F8">
        <v>4.9800000000000001E-3</v>
      </c>
      <c r="G8">
        <v>-4.248E-3</v>
      </c>
      <c r="H8">
        <v>-1.5039E-2</v>
      </c>
      <c r="I8" t="s">
        <v>65</v>
      </c>
      <c r="J8" t="s">
        <v>65</v>
      </c>
      <c r="K8" t="s">
        <v>65</v>
      </c>
      <c r="L8" s="56"/>
      <c r="M8" s="1"/>
      <c r="N8">
        <v>2.0008120000000001E-2</v>
      </c>
      <c r="O8">
        <v>2.0001600000000001E-2</v>
      </c>
      <c r="P8" t="s">
        <v>65</v>
      </c>
      <c r="Q8" t="s">
        <v>65</v>
      </c>
      <c r="R8" t="s">
        <v>65</v>
      </c>
      <c r="S8" s="54"/>
      <c r="T8">
        <v>1.000000000098145E-7</v>
      </c>
      <c r="U8">
        <f t="shared" si="0"/>
        <v>2.0000000000000002E-5</v>
      </c>
      <c r="AA8">
        <v>0.99842399999999998</v>
      </c>
      <c r="AB8" s="54"/>
      <c r="AD8" s="26"/>
      <c r="AE8" s="26"/>
      <c r="AF8" s="26"/>
      <c r="AG8" s="24"/>
      <c r="AI8" s="54"/>
      <c r="AK8" s="26"/>
      <c r="AL8" s="26"/>
      <c r="AM8" s="26"/>
      <c r="AN8" s="24"/>
      <c r="AO8" s="54"/>
      <c r="AX8" s="54"/>
      <c r="BH8" s="54"/>
      <c r="BJ8" s="24"/>
      <c r="BK8" s="24"/>
      <c r="BL8" s="24"/>
      <c r="BM8" s="24"/>
      <c r="BN8" s="24"/>
      <c r="BO8" s="24"/>
      <c r="BP8" s="24"/>
      <c r="BQ8" s="24"/>
    </row>
    <row r="9" spans="1:70" x14ac:dyDescent="0.25">
      <c r="D9" s="1" t="s">
        <v>74</v>
      </c>
      <c r="E9">
        <v>2.3925999999999999E-2</v>
      </c>
      <c r="F9">
        <v>1.4697E-2</v>
      </c>
      <c r="G9">
        <v>3.9060000000000002E-3</v>
      </c>
      <c r="H9">
        <v>-5.2729999999999999E-3</v>
      </c>
      <c r="I9" t="s">
        <v>65</v>
      </c>
      <c r="J9" t="s">
        <v>65</v>
      </c>
      <c r="K9" t="s">
        <v>65</v>
      </c>
      <c r="L9" s="56"/>
      <c r="M9" s="1"/>
      <c r="N9">
        <v>2.00019E-2</v>
      </c>
      <c r="O9" t="s">
        <v>65</v>
      </c>
      <c r="P9" t="s">
        <v>65</v>
      </c>
      <c r="Q9" t="s">
        <v>65</v>
      </c>
      <c r="R9" t="s">
        <v>65</v>
      </c>
      <c r="S9" s="54"/>
      <c r="T9">
        <v>1.000000000098145E-7</v>
      </c>
      <c r="U9">
        <f t="shared" si="0"/>
        <v>2.0000000000000002E-5</v>
      </c>
      <c r="AA9">
        <v>0.99964800000000009</v>
      </c>
      <c r="AB9" s="54"/>
      <c r="AD9" s="26"/>
      <c r="AE9" s="26"/>
      <c r="AF9" s="26"/>
      <c r="AG9" s="24"/>
      <c r="AI9" s="54"/>
      <c r="AK9" s="26"/>
      <c r="AL9" s="26"/>
      <c r="AM9" s="26"/>
      <c r="AN9" s="24"/>
      <c r="AO9" s="54"/>
      <c r="AP9">
        <v>-2.0250000000000012E-3</v>
      </c>
      <c r="AQ9">
        <v>-2.0241999999999999E-3</v>
      </c>
      <c r="AR9">
        <v>-2.031699999999997E-3</v>
      </c>
      <c r="AX9" s="54"/>
      <c r="BH9" s="54"/>
      <c r="BJ9" s="24"/>
      <c r="BK9" s="24"/>
      <c r="BL9" s="24"/>
      <c r="BM9" s="24"/>
      <c r="BN9" s="24"/>
      <c r="BO9" s="24"/>
      <c r="BP9" s="24"/>
      <c r="BQ9" s="46" t="s">
        <v>239</v>
      </c>
    </row>
    <row r="10" spans="1:70" x14ac:dyDescent="0.25">
      <c r="D10" s="1" t="s">
        <v>76</v>
      </c>
      <c r="E10">
        <v>2.1874999999999999E-2</v>
      </c>
      <c r="F10">
        <v>1.2451E-2</v>
      </c>
      <c r="G10">
        <v>1.9040000000000001E-3</v>
      </c>
      <c r="H10">
        <v>-7.5679999999999992E-3</v>
      </c>
      <c r="I10" t="s">
        <v>65</v>
      </c>
      <c r="J10" t="s">
        <v>65</v>
      </c>
      <c r="K10" t="s">
        <v>65</v>
      </c>
      <c r="L10" s="56"/>
      <c r="M10" s="1"/>
      <c r="N10">
        <v>2.0071539999999999E-2</v>
      </c>
      <c r="O10">
        <v>2.0008600000000001E-2</v>
      </c>
      <c r="P10" t="s">
        <v>65</v>
      </c>
      <c r="Q10" t="s">
        <v>65</v>
      </c>
      <c r="R10" t="s">
        <v>65</v>
      </c>
      <c r="S10" s="54"/>
      <c r="T10">
        <v>1.000000000098145E-7</v>
      </c>
      <c r="U10">
        <f t="shared" si="0"/>
        <v>2.0000000000000002E-5</v>
      </c>
      <c r="AA10">
        <v>1.0004</v>
      </c>
      <c r="AB10" s="54"/>
      <c r="AD10" s="27"/>
      <c r="AE10" s="26"/>
      <c r="AF10" s="27"/>
      <c r="AG10" s="24"/>
      <c r="AI10" s="54"/>
      <c r="AK10" s="26"/>
      <c r="AL10" s="26"/>
      <c r="AM10" s="26"/>
      <c r="AN10" s="24"/>
      <c r="AO10" s="54"/>
      <c r="AX10" s="54"/>
      <c r="BH10" s="54"/>
      <c r="BJ10" s="24"/>
      <c r="BK10" s="24"/>
      <c r="BL10" s="24"/>
      <c r="BM10" s="24"/>
      <c r="BN10" s="24"/>
      <c r="BO10" s="24"/>
      <c r="BP10" s="24"/>
      <c r="BQ10" s="47" t="s">
        <v>240</v>
      </c>
      <c r="BR10">
        <f>+BI3-(1.96*BP3)</f>
        <v>2.3028083682843578E-3</v>
      </c>
    </row>
    <row r="11" spans="1:70" x14ac:dyDescent="0.25">
      <c r="D11" s="1" t="s">
        <v>78</v>
      </c>
      <c r="E11">
        <v>2.3975E-2</v>
      </c>
      <c r="F11">
        <v>1.4795000000000001E-2</v>
      </c>
      <c r="G11">
        <v>4.0039999999999997E-3</v>
      </c>
      <c r="H11">
        <v>-5.2249999999999996E-3</v>
      </c>
      <c r="I11" t="s">
        <v>65</v>
      </c>
      <c r="J11" t="s">
        <v>65</v>
      </c>
      <c r="K11" t="s">
        <v>65</v>
      </c>
      <c r="L11" s="56"/>
      <c r="M11" s="1"/>
      <c r="N11">
        <v>2.0001000000000001E-2</v>
      </c>
      <c r="O11" t="s">
        <v>65</v>
      </c>
      <c r="P11" t="s">
        <v>65</v>
      </c>
      <c r="Q11" t="s">
        <v>65</v>
      </c>
      <c r="R11" t="s">
        <v>65</v>
      </c>
      <c r="S11" s="54"/>
      <c r="T11">
        <v>1.000000000098145E-7</v>
      </c>
      <c r="U11">
        <f t="shared" si="0"/>
        <v>2.0000000000000002E-5</v>
      </c>
      <c r="AA11">
        <v>0.99967200000000001</v>
      </c>
      <c r="AB11" s="54"/>
      <c r="AD11" s="26"/>
      <c r="AE11" s="26"/>
      <c r="AF11" s="27"/>
      <c r="AG11" s="24"/>
      <c r="AI11" s="54"/>
      <c r="AK11" s="26"/>
      <c r="AL11" s="26"/>
      <c r="AM11" s="26"/>
      <c r="AN11" s="24"/>
      <c r="AO11" s="54"/>
      <c r="AP11">
        <v>-2.0212000000000012E-3</v>
      </c>
      <c r="AQ11">
        <v>-2.0213000000000002E-3</v>
      </c>
      <c r="AR11">
        <v>-2.049800000000004E-3</v>
      </c>
      <c r="AX11" s="54"/>
      <c r="BH11" s="54"/>
      <c r="BJ11" s="24"/>
      <c r="BK11" s="24"/>
      <c r="BL11" s="24"/>
      <c r="BM11" s="24"/>
      <c r="BN11" s="24"/>
      <c r="BO11" s="24"/>
      <c r="BP11" s="24"/>
      <c r="BQ11" s="48" t="s">
        <v>241</v>
      </c>
      <c r="BR11">
        <f>+BI3+(1.96*BP3)</f>
        <v>2.448669816095022E-3</v>
      </c>
    </row>
    <row r="12" spans="1:70" x14ac:dyDescent="0.25">
      <c r="D12" s="1" t="s">
        <v>80</v>
      </c>
      <c r="E12">
        <v>2.1972999999999999E-2</v>
      </c>
      <c r="F12">
        <v>1.2451E-2</v>
      </c>
      <c r="G12">
        <v>2.0019999999999999E-3</v>
      </c>
      <c r="H12">
        <v>-7.5199999999999998E-3</v>
      </c>
      <c r="I12" t="s">
        <v>65</v>
      </c>
      <c r="J12" t="s">
        <v>65</v>
      </c>
      <c r="K12" t="s">
        <v>65</v>
      </c>
      <c r="L12" s="56"/>
      <c r="M12" s="1"/>
      <c r="N12">
        <v>2.0020980000000001E-2</v>
      </c>
      <c r="O12">
        <v>2.0029600000000002E-2</v>
      </c>
      <c r="P12" t="s">
        <v>65</v>
      </c>
      <c r="Q12" t="s">
        <v>65</v>
      </c>
      <c r="R12" t="s">
        <v>65</v>
      </c>
      <c r="S12" s="54"/>
      <c r="T12">
        <v>1.000000000098145E-7</v>
      </c>
      <c r="U12">
        <f t="shared" si="0"/>
        <v>2.0000000000000002E-5</v>
      </c>
      <c r="AA12">
        <v>1.0018720000000001</v>
      </c>
      <c r="AB12" s="54"/>
      <c r="AD12" s="26"/>
      <c r="AE12" s="26"/>
      <c r="AF12" s="26"/>
      <c r="AG12" s="24"/>
      <c r="AI12" s="54"/>
      <c r="AK12" s="26"/>
      <c r="AL12" s="26"/>
      <c r="AM12" s="26"/>
      <c r="AN12" s="24"/>
      <c r="AO12" s="54"/>
      <c r="AX12" s="54"/>
      <c r="BH12" s="54"/>
      <c r="BJ12" s="24"/>
      <c r="BK12" s="24"/>
      <c r="BL12" s="24"/>
      <c r="BM12" s="24"/>
      <c r="BN12" s="24"/>
      <c r="BO12" s="24"/>
      <c r="BP12" s="24"/>
      <c r="BQ12" s="24"/>
    </row>
    <row r="13" spans="1:70" x14ac:dyDescent="0.25">
      <c r="D13" s="1" t="s">
        <v>83</v>
      </c>
      <c r="E13">
        <v>1.2939000000000001E-2</v>
      </c>
      <c r="F13">
        <v>2.3440000000000002E-3</v>
      </c>
      <c r="G13">
        <v>-7.0309999999999999E-3</v>
      </c>
      <c r="H13">
        <v>-1.7627E-2</v>
      </c>
      <c r="I13" t="s">
        <v>65</v>
      </c>
      <c r="J13" t="s">
        <v>65</v>
      </c>
      <c r="K13" t="s">
        <v>65</v>
      </c>
      <c r="L13" s="56"/>
      <c r="M13" s="1"/>
      <c r="N13">
        <v>2.00024E-2</v>
      </c>
      <c r="O13" t="s">
        <v>65</v>
      </c>
      <c r="P13" t="s">
        <v>65</v>
      </c>
      <c r="Q13" t="s">
        <v>65</v>
      </c>
      <c r="R13" t="s">
        <v>65</v>
      </c>
      <c r="S13" s="54"/>
      <c r="T13">
        <v>1.000000000098145E-7</v>
      </c>
      <c r="U13">
        <f t="shared" si="0"/>
        <v>2.0000000000000002E-5</v>
      </c>
      <c r="AA13">
        <v>1.0001439999999999</v>
      </c>
      <c r="AB13" s="54"/>
      <c r="AD13" s="26"/>
      <c r="AE13" s="26"/>
      <c r="AF13" s="26"/>
      <c r="AG13" s="24"/>
      <c r="AI13" s="54"/>
      <c r="AK13" s="26"/>
      <c r="AL13" s="26"/>
      <c r="AM13" s="26"/>
      <c r="AN13" s="24"/>
      <c r="AO13" s="54"/>
      <c r="AP13">
        <v>-2.0298E-3</v>
      </c>
      <c r="AQ13">
        <v>-2.035700000000001E-3</v>
      </c>
      <c r="AR13">
        <v>-2.0367999999999979E-3</v>
      </c>
      <c r="AX13" s="54"/>
      <c r="BH13" s="54"/>
      <c r="BJ13" s="24"/>
      <c r="BK13" s="24"/>
      <c r="BL13" s="24"/>
      <c r="BM13" s="24"/>
      <c r="BN13" s="24"/>
      <c r="BO13" s="24"/>
      <c r="BP13" s="24"/>
      <c r="BQ13" s="24"/>
    </row>
    <row r="14" spans="1:70" x14ac:dyDescent="0.25">
      <c r="D14" s="1" t="s">
        <v>84</v>
      </c>
      <c r="E14">
        <v>1.0547000000000001E-2</v>
      </c>
      <c r="F14">
        <v>4.3899999999999999E-4</v>
      </c>
      <c r="G14">
        <v>-9.4240000000000001E-3</v>
      </c>
      <c r="H14">
        <v>-1.958E-2</v>
      </c>
      <c r="I14" t="s">
        <v>65</v>
      </c>
      <c r="J14" t="s">
        <v>65</v>
      </c>
      <c r="K14" t="s">
        <v>65</v>
      </c>
      <c r="L14" s="56"/>
      <c r="M14" s="1"/>
      <c r="N14">
        <v>2.0023039999999999E-2</v>
      </c>
      <c r="O14">
        <v>2.00094E-2</v>
      </c>
      <c r="P14" t="s">
        <v>65</v>
      </c>
      <c r="Q14" t="s">
        <v>65</v>
      </c>
      <c r="R14" t="s">
        <v>65</v>
      </c>
      <c r="S14" s="54"/>
      <c r="T14">
        <v>1.000000000098145E-7</v>
      </c>
      <c r="U14">
        <f t="shared" si="0"/>
        <v>2.0000000000000002E-5</v>
      </c>
      <c r="AA14">
        <v>1.0003280000000001</v>
      </c>
      <c r="AB14" s="54"/>
      <c r="AD14" s="26"/>
      <c r="AE14" s="26"/>
      <c r="AF14" s="26"/>
      <c r="AG14" s="24"/>
      <c r="AI14" s="54"/>
      <c r="AK14" s="26"/>
      <c r="AL14" s="26"/>
      <c r="AM14" s="26"/>
      <c r="AN14" s="24"/>
      <c r="AO14" s="54"/>
      <c r="AX14" s="54"/>
      <c r="BH14" s="54"/>
      <c r="BJ14" s="24"/>
      <c r="BK14" s="24"/>
      <c r="BL14" s="24"/>
      <c r="BM14" s="24"/>
      <c r="BN14" s="24"/>
      <c r="BO14" s="24"/>
      <c r="BP14" s="24"/>
      <c r="BQ14" s="24"/>
    </row>
    <row r="15" spans="1:70" x14ac:dyDescent="0.25">
      <c r="D15" s="1" t="s">
        <v>85</v>
      </c>
      <c r="E15">
        <v>6.4939999999999998E-3</v>
      </c>
      <c r="F15">
        <v>-2.8319999999999999E-3</v>
      </c>
      <c r="G15">
        <v>-1.5771E-2</v>
      </c>
      <c r="H15">
        <v>-2.4902000000000001E-2</v>
      </c>
      <c r="I15" t="s">
        <v>65</v>
      </c>
      <c r="J15" t="s">
        <v>65</v>
      </c>
      <c r="K15" t="s">
        <v>65</v>
      </c>
      <c r="L15" s="56"/>
      <c r="M15" s="1"/>
      <c r="N15">
        <v>2.0000799999999999E-2</v>
      </c>
      <c r="O15" t="s">
        <v>65</v>
      </c>
      <c r="P15" t="s">
        <v>65</v>
      </c>
      <c r="Q15" t="s">
        <v>65</v>
      </c>
      <c r="R15" t="s">
        <v>65</v>
      </c>
      <c r="S15" s="54"/>
      <c r="T15">
        <v>1.000000000098145E-7</v>
      </c>
      <c r="U15">
        <f t="shared" si="0"/>
        <v>2.0000000000000002E-5</v>
      </c>
      <c r="AA15">
        <v>1.00004</v>
      </c>
      <c r="AB15" s="54"/>
      <c r="AD15" s="26"/>
      <c r="AE15" s="26"/>
      <c r="AF15" s="26"/>
      <c r="AG15" s="24"/>
      <c r="AI15" s="54"/>
      <c r="AK15" s="26"/>
      <c r="AL15" s="26"/>
      <c r="AM15" s="29"/>
      <c r="AN15" s="24"/>
      <c r="AO15" s="54"/>
      <c r="AP15">
        <v>-2.048299999999999E-3</v>
      </c>
      <c r="AQ15">
        <v>-2.055700000000001E-3</v>
      </c>
      <c r="AR15">
        <v>-2.0552000000000001E-3</v>
      </c>
      <c r="AX15" s="54"/>
      <c r="BH15" s="54"/>
      <c r="BJ15" s="24"/>
      <c r="BK15" s="24"/>
      <c r="BL15" s="24"/>
      <c r="BM15" s="24"/>
      <c r="BN15" s="24"/>
      <c r="BO15" s="24"/>
      <c r="BP15" s="24"/>
      <c r="BQ15" s="24"/>
    </row>
    <row r="16" spans="1:70" x14ac:dyDescent="0.25">
      <c r="D16" s="1" t="s">
        <v>86</v>
      </c>
      <c r="E16">
        <v>4.248E-3</v>
      </c>
      <c r="F16">
        <v>-4.8830000000000002E-3</v>
      </c>
      <c r="G16">
        <v>-1.3525000000000001E-2</v>
      </c>
      <c r="H16">
        <v>-2.2852000000000001E-2</v>
      </c>
      <c r="I16" t="s">
        <v>65</v>
      </c>
      <c r="J16" t="s">
        <v>65</v>
      </c>
      <c r="K16" t="s">
        <v>65</v>
      </c>
      <c r="L16" s="56"/>
      <c r="M16" s="1"/>
      <c r="N16">
        <v>2.000832E-2</v>
      </c>
      <c r="O16">
        <v>2.00077E-2</v>
      </c>
      <c r="P16" t="s">
        <v>65</v>
      </c>
      <c r="Q16" t="s">
        <v>65</v>
      </c>
      <c r="R16" t="s">
        <v>65</v>
      </c>
      <c r="S16" s="54"/>
      <c r="T16">
        <v>1.000000000098145E-7</v>
      </c>
      <c r="U16">
        <f t="shared" si="0"/>
        <v>2.0000000000000002E-5</v>
      </c>
      <c r="AA16">
        <v>1.0014879999999999</v>
      </c>
      <c r="AB16" s="54"/>
      <c r="AD16" s="26"/>
      <c r="AE16" s="26"/>
      <c r="AF16" s="26"/>
      <c r="AG16" s="24"/>
      <c r="AI16" s="54"/>
      <c r="AK16" s="26"/>
      <c r="AL16" s="26"/>
      <c r="AM16" s="26"/>
      <c r="AN16" s="24"/>
      <c r="AO16" s="54"/>
      <c r="AX16" s="54"/>
      <c r="BH16" s="54"/>
      <c r="BJ16" s="24"/>
      <c r="BK16" s="24"/>
      <c r="BL16" s="24"/>
      <c r="BM16" s="24"/>
      <c r="BN16" s="24"/>
      <c r="BO16" s="24"/>
      <c r="BP16" s="24"/>
      <c r="BQ16" s="24"/>
    </row>
    <row r="17" spans="4:69" x14ac:dyDescent="0.25">
      <c r="D17" s="1" t="s">
        <v>87</v>
      </c>
      <c r="E17">
        <v>1.0791E-2</v>
      </c>
      <c r="F17">
        <v>6.3500000000000004E-4</v>
      </c>
      <c r="G17">
        <v>-9.1799999999999989E-3</v>
      </c>
      <c r="H17">
        <v>-1.9335999999999999E-2</v>
      </c>
      <c r="I17" t="s">
        <v>65</v>
      </c>
      <c r="J17" t="s">
        <v>65</v>
      </c>
      <c r="K17" t="s">
        <v>65</v>
      </c>
      <c r="L17" s="56"/>
      <c r="M17" s="1"/>
      <c r="N17">
        <v>2.0004999999999998E-2</v>
      </c>
      <c r="O17" t="s">
        <v>65</v>
      </c>
      <c r="P17" t="s">
        <v>65</v>
      </c>
      <c r="Q17" t="s">
        <v>65</v>
      </c>
      <c r="R17" t="s">
        <v>65</v>
      </c>
      <c r="S17" s="54"/>
      <c r="T17">
        <v>1.000000000098145E-7</v>
      </c>
      <c r="U17">
        <f t="shared" si="0"/>
        <v>2.0000000000000002E-5</v>
      </c>
      <c r="AA17">
        <v>0.99979200000000001</v>
      </c>
      <c r="AB17" s="54"/>
      <c r="AD17" s="26"/>
      <c r="AE17" s="26"/>
      <c r="AF17" s="26"/>
      <c r="AG17" s="24"/>
      <c r="AI17" s="54"/>
      <c r="AK17" s="26"/>
      <c r="AL17" s="26"/>
      <c r="AM17" s="26"/>
      <c r="AN17" s="24"/>
      <c r="AO17" s="54"/>
      <c r="AP17">
        <v>-2.0684999999999992E-3</v>
      </c>
      <c r="AQ17">
        <v>-2.0706999999999978E-3</v>
      </c>
      <c r="AR17">
        <v>-2.067800000000002E-3</v>
      </c>
      <c r="AX17" s="54"/>
      <c r="BH17" s="54"/>
      <c r="BJ17" s="24"/>
      <c r="BK17" s="24"/>
      <c r="BL17" s="24"/>
      <c r="BM17" s="24"/>
      <c r="BN17" s="24"/>
      <c r="BO17" s="24"/>
      <c r="BP17" s="24"/>
      <c r="BQ17" s="24"/>
    </row>
    <row r="18" spans="4:69" x14ac:dyDescent="0.25">
      <c r="D18" s="1" t="s">
        <v>88</v>
      </c>
      <c r="E18">
        <v>8.3979999999999992E-3</v>
      </c>
      <c r="F18">
        <v>-1.2700000000000001E-3</v>
      </c>
      <c r="G18">
        <v>-1.1572000000000001E-2</v>
      </c>
      <c r="H18">
        <v>-2.1239999999999998E-2</v>
      </c>
      <c r="I18" t="s">
        <v>65</v>
      </c>
      <c r="J18" t="s">
        <v>65</v>
      </c>
      <c r="K18" t="s">
        <v>65</v>
      </c>
      <c r="L18" s="56"/>
      <c r="M18" s="1"/>
      <c r="N18">
        <v>2.0032660000000001E-2</v>
      </c>
      <c r="O18">
        <v>2.0004299999999999E-2</v>
      </c>
      <c r="P18" t="s">
        <v>65</v>
      </c>
      <c r="Q18" t="s">
        <v>65</v>
      </c>
      <c r="R18" t="s">
        <v>65</v>
      </c>
      <c r="S18" s="54"/>
      <c r="T18">
        <v>1.000000000098145E-7</v>
      </c>
      <c r="U18">
        <f t="shared" si="0"/>
        <v>2.0000000000000002E-5</v>
      </c>
      <c r="AA18">
        <v>0.99921599999999999</v>
      </c>
      <c r="AB18" s="54"/>
      <c r="AD18" s="26"/>
      <c r="AE18" s="26"/>
      <c r="AF18" s="26"/>
      <c r="AG18" s="24"/>
      <c r="AI18" s="54"/>
      <c r="AK18" s="26"/>
      <c r="AL18" s="26"/>
      <c r="AM18" s="26"/>
      <c r="AN18" s="24"/>
      <c r="AO18" s="54"/>
      <c r="AX18" s="54"/>
      <c r="BH18" s="54"/>
      <c r="BJ18" s="24"/>
      <c r="BK18" s="24"/>
      <c r="BL18" s="24"/>
      <c r="BM18" s="24"/>
      <c r="BN18" s="24"/>
      <c r="BO18" s="24"/>
      <c r="BP18" s="24"/>
      <c r="BQ18" s="24"/>
    </row>
    <row r="19" spans="4:69" x14ac:dyDescent="0.25">
      <c r="D19" s="1" t="s">
        <v>89</v>
      </c>
      <c r="E19">
        <v>2.0653999999999999E-2</v>
      </c>
      <c r="F19">
        <v>1.0791E-2</v>
      </c>
      <c r="G19">
        <v>6.3500000000000004E-4</v>
      </c>
      <c r="H19">
        <v>-9.1799999999999989E-3</v>
      </c>
      <c r="I19" t="s">
        <v>65</v>
      </c>
      <c r="J19" t="s">
        <v>65</v>
      </c>
      <c r="K19" t="s">
        <v>65</v>
      </c>
      <c r="L19" s="56"/>
      <c r="M19" s="1"/>
      <c r="N19">
        <v>2.0006280000000001E-2</v>
      </c>
      <c r="O19" t="s">
        <v>65</v>
      </c>
      <c r="P19" t="s">
        <v>65</v>
      </c>
      <c r="Q19" t="s">
        <v>65</v>
      </c>
      <c r="R19" t="s">
        <v>65</v>
      </c>
      <c r="S19" s="54"/>
      <c r="T19">
        <v>1.0000000000287561E-7</v>
      </c>
      <c r="U19">
        <f t="shared" si="0"/>
        <v>2.0000000000000002E-5</v>
      </c>
      <c r="AA19">
        <v>0.99990400000000002</v>
      </c>
      <c r="AB19" s="54"/>
      <c r="AD19" s="26"/>
      <c r="AE19" s="26"/>
      <c r="AF19" s="26"/>
      <c r="AG19" s="24"/>
      <c r="AI19" s="54"/>
      <c r="AK19" s="26"/>
      <c r="AL19" s="26"/>
      <c r="AM19" s="26"/>
      <c r="AN19" s="24"/>
      <c r="AO19" s="54"/>
      <c r="AP19">
        <v>-2.00512E-3</v>
      </c>
      <c r="AQ19">
        <v>-2.005399999999997E-3</v>
      </c>
      <c r="AR19">
        <v>-2.0358000000000008E-3</v>
      </c>
      <c r="AX19" s="54"/>
      <c r="BH19" s="54"/>
      <c r="BJ19" s="24"/>
      <c r="BK19" s="24"/>
      <c r="BL19" s="24"/>
      <c r="BM19" s="24"/>
      <c r="BN19" s="24"/>
      <c r="BO19" s="24"/>
      <c r="BP19" s="24"/>
      <c r="BQ19" s="24"/>
    </row>
    <row r="20" spans="4:69" x14ac:dyDescent="0.25">
      <c r="D20" s="1" t="s">
        <v>90</v>
      </c>
      <c r="E20">
        <v>1.8749999999999999E-2</v>
      </c>
      <c r="F20">
        <v>8.3979999999999992E-3</v>
      </c>
      <c r="G20">
        <v>-1.2210000000000001E-3</v>
      </c>
      <c r="H20">
        <v>-1.1572000000000001E-2</v>
      </c>
      <c r="I20" t="s">
        <v>65</v>
      </c>
      <c r="J20" t="s">
        <v>65</v>
      </c>
      <c r="K20" t="s">
        <v>65</v>
      </c>
      <c r="L20" s="56"/>
      <c r="M20" s="1"/>
      <c r="N20">
        <v>2.0027E-2</v>
      </c>
      <c r="O20">
        <v>2.0036959999999999E-2</v>
      </c>
      <c r="P20" t="s">
        <v>65</v>
      </c>
      <c r="Q20" t="s">
        <v>65</v>
      </c>
      <c r="R20" t="s">
        <v>65</v>
      </c>
      <c r="S20" s="54"/>
      <c r="T20">
        <v>1.0000000000287561E-7</v>
      </c>
      <c r="U20">
        <f t="shared" si="0"/>
        <v>2.0000000000000002E-5</v>
      </c>
      <c r="AA20" s="2"/>
      <c r="AB20" s="54"/>
      <c r="AD20" s="26"/>
      <c r="AE20" s="26"/>
      <c r="AF20" s="26"/>
      <c r="AG20" s="24"/>
      <c r="AI20" s="54"/>
      <c r="AK20" s="26"/>
      <c r="AL20" s="26"/>
      <c r="AM20" s="26"/>
      <c r="AN20" s="24"/>
      <c r="AO20" s="54"/>
      <c r="AX20" s="54"/>
      <c r="BH20" s="54"/>
      <c r="BJ20" s="24"/>
      <c r="BK20" s="24"/>
      <c r="BL20" s="24"/>
      <c r="BM20" s="24"/>
      <c r="BN20" s="24"/>
      <c r="BO20" s="24"/>
      <c r="BP20" s="24"/>
      <c r="BQ20" s="24"/>
    </row>
    <row r="21" spans="4:69" x14ac:dyDescent="0.25">
      <c r="E21">
        <v>1.6275999999999999E-2</v>
      </c>
      <c r="F21">
        <v>2.63024E-2</v>
      </c>
      <c r="G21">
        <v>3.63138E-2</v>
      </c>
      <c r="H21" t="s">
        <v>65</v>
      </c>
      <c r="N21">
        <v>2.0037800000000001E-2</v>
      </c>
      <c r="O21" t="s">
        <v>65</v>
      </c>
      <c r="S21" s="54"/>
      <c r="T21">
        <v>1.000000000098145E-7</v>
      </c>
      <c r="U21">
        <f t="shared" si="0"/>
        <v>2.0000000000000002E-5</v>
      </c>
      <c r="AB21" s="54"/>
      <c r="AD21" s="26"/>
      <c r="AE21" s="26"/>
      <c r="AF21" s="26"/>
      <c r="AG21" s="24"/>
      <c r="AI21" s="54"/>
      <c r="AK21" s="26"/>
      <c r="AL21" s="26"/>
      <c r="AM21" s="26"/>
      <c r="AN21" s="24"/>
      <c r="AO21" s="54"/>
      <c r="AP21">
        <v>-2.065900000000002E-3</v>
      </c>
      <c r="AQ21">
        <v>-2.0716999999999988E-3</v>
      </c>
      <c r="AR21">
        <v>-2.0606000000000031E-3</v>
      </c>
      <c r="AX21" s="54"/>
      <c r="BH21" s="54"/>
      <c r="BJ21" s="24"/>
      <c r="BK21" s="24"/>
      <c r="BL21" s="24"/>
      <c r="BM21" s="24"/>
      <c r="BN21" s="24"/>
      <c r="BO21" s="24"/>
      <c r="BP21" s="24"/>
      <c r="BQ21" s="24"/>
    </row>
    <row r="22" spans="4:69" x14ac:dyDescent="0.25">
      <c r="E22">
        <v>8.3175999999999996E-3</v>
      </c>
      <c r="F22">
        <v>1.8341900000000001E-2</v>
      </c>
      <c r="G22">
        <v>2.8374099999999999E-2</v>
      </c>
      <c r="H22">
        <v>3.8374400000000003E-2</v>
      </c>
      <c r="N22">
        <v>2.0056500000000001E-2</v>
      </c>
      <c r="O22">
        <v>2.0032500000000002E-2</v>
      </c>
      <c r="T22">
        <v>1.000000000098145E-7</v>
      </c>
      <c r="U22">
        <f t="shared" si="0"/>
        <v>2.0000000000000002E-5</v>
      </c>
      <c r="AD22" s="26"/>
      <c r="AE22" s="26"/>
      <c r="AF22" s="26"/>
      <c r="AG22" s="24"/>
    </row>
  </sheetData>
  <mergeCells count="9">
    <mergeCell ref="AO3:AO21"/>
    <mergeCell ref="AX3:AX21"/>
    <mergeCell ref="BH3:BH21"/>
    <mergeCell ref="A1:C2"/>
    <mergeCell ref="AG2:AH2"/>
    <mergeCell ref="L3:L20"/>
    <mergeCell ref="S3:S21"/>
    <mergeCell ref="AB3:AB21"/>
    <mergeCell ref="AI3:AI2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F226-5A74-4A8C-8F3A-66E607FC90C8}">
  <dimension ref="A1:BR24"/>
  <sheetViews>
    <sheetView topLeftCell="AE2" workbookViewId="0">
      <selection activeCell="AJ28" sqref="AJ28"/>
    </sheetView>
  </sheetViews>
  <sheetFormatPr defaultRowHeight="15" x14ac:dyDescent="0.25"/>
  <cols>
    <col min="4" max="4" width="19.85546875" customWidth="1"/>
    <col min="5" max="5" width="14.5703125" customWidth="1"/>
    <col min="6" max="6" width="12.28515625" customWidth="1"/>
    <col min="7" max="7" width="13.5703125" customWidth="1"/>
    <col min="8" max="8" width="14" customWidth="1"/>
    <col min="9" max="9" width="0.140625" customWidth="1"/>
    <col min="10" max="10" width="8.5703125" hidden="1" customWidth="1"/>
    <col min="11" max="11" width="0.140625" customWidth="1"/>
    <col min="12" max="12" width="9.7109375" customWidth="1"/>
    <col min="13" max="13" width="19.28515625" hidden="1" customWidth="1"/>
    <col min="14" max="14" width="32.140625" customWidth="1"/>
    <col min="15" max="15" width="29.28515625" customWidth="1"/>
    <col min="16" max="16" width="11" customWidth="1"/>
    <col min="17" max="17" width="9.140625" hidden="1" customWidth="1"/>
    <col min="18" max="18" width="0.140625" customWidth="1"/>
    <col min="19" max="19" width="18.28515625" customWidth="1"/>
    <col min="20" max="20" width="14.42578125" customWidth="1"/>
    <col min="21" max="21" width="12.42578125" customWidth="1"/>
    <col min="22" max="22" width="0.140625" customWidth="1"/>
    <col min="23" max="24" width="9.140625" hidden="1" customWidth="1"/>
    <col min="25" max="25" width="0.140625" customWidth="1"/>
    <col min="26" max="26" width="0.42578125" hidden="1" customWidth="1"/>
    <col min="27" max="27" width="9.140625" hidden="1" customWidth="1"/>
    <col min="28" max="28" width="13" customWidth="1"/>
    <col min="29" max="29" width="15.28515625" customWidth="1"/>
    <col min="30" max="30" width="34" customWidth="1"/>
    <col min="31" max="31" width="11.7109375" customWidth="1"/>
    <col min="32" max="32" width="11.5703125" customWidth="1"/>
    <col min="33" max="33" width="11" customWidth="1"/>
    <col min="34" max="34" width="37.140625" customWidth="1"/>
    <col min="35" max="35" width="11.42578125" customWidth="1"/>
    <col min="36" max="36" width="12.7109375" customWidth="1"/>
    <col min="40" max="40" width="38" customWidth="1"/>
    <col min="41" max="41" width="13.140625" customWidth="1"/>
    <col min="42" max="42" width="15.42578125" customWidth="1"/>
    <col min="48" max="48" width="12" bestFit="1" customWidth="1"/>
    <col min="51" max="51" width="16.140625" customWidth="1"/>
    <col min="52" max="52" width="12" bestFit="1" customWidth="1"/>
    <col min="54" max="54" width="11.5703125" customWidth="1"/>
    <col min="55" max="55" width="12" bestFit="1" customWidth="1"/>
    <col min="57" max="57" width="22" bestFit="1" customWidth="1"/>
    <col min="59" max="59" width="39.85546875" customWidth="1"/>
    <col min="61" max="61" width="13.5703125" customWidth="1"/>
    <col min="64" max="64" width="13.42578125" customWidth="1"/>
    <col min="67" max="67" width="16.140625" customWidth="1"/>
    <col min="69" max="69" width="30.5703125" customWidth="1"/>
  </cols>
  <sheetData>
    <row r="1" spans="1:70" ht="28.5" customHeight="1" x14ac:dyDescent="0.25">
      <c r="A1" s="55" t="s">
        <v>191</v>
      </c>
      <c r="B1" s="55"/>
      <c r="C1" s="55"/>
    </row>
    <row r="2" spans="1:70" ht="96" customHeight="1" x14ac:dyDescent="0.25">
      <c r="A2" s="55"/>
      <c r="B2" s="55"/>
      <c r="C2" s="55"/>
      <c r="D2" s="19" t="s">
        <v>235</v>
      </c>
      <c r="E2" s="17" t="s">
        <v>194</v>
      </c>
      <c r="F2" s="17" t="s">
        <v>195</v>
      </c>
      <c r="G2" s="17" t="s">
        <v>196</v>
      </c>
      <c r="H2" s="17" t="s">
        <v>197</v>
      </c>
      <c r="L2" s="31" t="s">
        <v>193</v>
      </c>
      <c r="M2" s="20"/>
      <c r="N2" s="21" t="s">
        <v>198</v>
      </c>
      <c r="O2" s="21" t="s">
        <v>199</v>
      </c>
      <c r="S2" s="31" t="s">
        <v>192</v>
      </c>
      <c r="T2" s="18" t="s">
        <v>201</v>
      </c>
      <c r="U2" s="18" t="s">
        <v>200</v>
      </c>
      <c r="AB2" s="31" t="s">
        <v>204</v>
      </c>
      <c r="AC2" s="21" t="s">
        <v>202</v>
      </c>
      <c r="AD2" s="37" t="s">
        <v>203</v>
      </c>
      <c r="AE2" s="37" t="s">
        <v>205</v>
      </c>
      <c r="AF2" s="37" t="s">
        <v>206</v>
      </c>
      <c r="AG2" s="57" t="s">
        <v>207</v>
      </c>
      <c r="AH2" s="58"/>
      <c r="AI2" s="31" t="s">
        <v>208</v>
      </c>
      <c r="AJ2" s="38" t="s">
        <v>209</v>
      </c>
      <c r="AK2" s="28" t="s">
        <v>211</v>
      </c>
      <c r="AL2" s="26" t="s">
        <v>212</v>
      </c>
      <c r="AM2" s="28" t="s">
        <v>210</v>
      </c>
      <c r="AN2" s="30" t="s">
        <v>213</v>
      </c>
      <c r="AO2" s="31" t="s">
        <v>228</v>
      </c>
      <c r="AP2" s="33" t="s">
        <v>214</v>
      </c>
      <c r="AQ2" s="32" t="s">
        <v>216</v>
      </c>
      <c r="AR2" s="32" t="s">
        <v>215</v>
      </c>
      <c r="AS2" s="32" t="s">
        <v>217</v>
      </c>
      <c r="AU2" s="32" t="s">
        <v>218</v>
      </c>
      <c r="AV2" s="32" t="s">
        <v>219</v>
      </c>
      <c r="AW2" s="34" t="s">
        <v>220</v>
      </c>
      <c r="AX2" s="31" t="s">
        <v>227</v>
      </c>
      <c r="AY2" s="32" t="s">
        <v>236</v>
      </c>
      <c r="AZ2" s="36" t="s">
        <v>222</v>
      </c>
      <c r="BA2" s="37" t="s">
        <v>212</v>
      </c>
      <c r="BB2" s="36" t="s">
        <v>221</v>
      </c>
      <c r="BC2" s="37" t="s">
        <v>223</v>
      </c>
      <c r="BD2" s="36" t="s">
        <v>225</v>
      </c>
      <c r="BE2" s="41" t="s">
        <v>226</v>
      </c>
      <c r="BF2" s="35" t="s">
        <v>224</v>
      </c>
      <c r="BG2" s="30" t="s">
        <v>237</v>
      </c>
      <c r="BH2" s="31" t="s">
        <v>229</v>
      </c>
      <c r="BI2" s="38" t="s">
        <v>230</v>
      </c>
      <c r="BJ2" s="42" t="s">
        <v>238</v>
      </c>
      <c r="BK2" s="43" t="s">
        <v>224</v>
      </c>
      <c r="BL2" s="42" t="s">
        <v>233</v>
      </c>
      <c r="BM2" s="43" t="s">
        <v>234</v>
      </c>
      <c r="BN2" s="42" t="s">
        <v>231</v>
      </c>
      <c r="BO2" s="44" t="s">
        <v>226</v>
      </c>
      <c r="BP2" s="45" t="s">
        <v>268</v>
      </c>
      <c r="BQ2" s="30" t="s">
        <v>232</v>
      </c>
    </row>
    <row r="3" spans="1:70" x14ac:dyDescent="0.25">
      <c r="D3" s="1" t="s">
        <v>64</v>
      </c>
      <c r="E3">
        <v>1.6816080000000001E-2</v>
      </c>
      <c r="F3">
        <v>2.1816080000000002E-2</v>
      </c>
      <c r="G3">
        <v>2.6815039999999998E-2</v>
      </c>
      <c r="H3" t="s">
        <v>65</v>
      </c>
      <c r="I3" t="s">
        <v>65</v>
      </c>
      <c r="J3" t="s">
        <v>65</v>
      </c>
      <c r="K3" t="s">
        <v>65</v>
      </c>
      <c r="L3" s="56" t="s">
        <v>65</v>
      </c>
      <c r="M3" s="1"/>
      <c r="N3">
        <v>9.9989599999999977E-3</v>
      </c>
      <c r="O3" t="s">
        <v>65</v>
      </c>
      <c r="P3" t="s">
        <v>65</v>
      </c>
      <c r="Q3" t="s">
        <v>65</v>
      </c>
      <c r="R3" t="s">
        <v>65</v>
      </c>
      <c r="S3" s="54"/>
      <c r="T3">
        <v>3.4694469519536142E-18</v>
      </c>
      <c r="U3">
        <f>2.5*0.0001*0.02*2</f>
        <v>1.0000000000000001E-5</v>
      </c>
      <c r="AA3">
        <v>1.000024</v>
      </c>
      <c r="AB3" s="54"/>
      <c r="AC3" s="2">
        <f>+_xlfn.STDEV.S(N3:O24)/SQRT(28)</f>
        <v>1.8699889450403261E-6</v>
      </c>
      <c r="AD3" s="26">
        <f>+U3</f>
        <v>1.0000000000000001E-5</v>
      </c>
      <c r="AE3" s="26">
        <f>+SQRT((AC3^2)+(AD3^2))</f>
        <v>1.0173340584811512E-5</v>
      </c>
      <c r="AF3" s="26">
        <f>+AVERAGE(N3:O24)</f>
        <v>1.000130857142857E-2</v>
      </c>
      <c r="AG3" s="24" t="str">
        <f>AF3 &amp; " ± " &amp; AE3</f>
        <v>0,0100013085714286 ± 1,01733405848115E-05</v>
      </c>
      <c r="AI3" s="54"/>
      <c r="AJ3" s="16">
        <f>1/AF3</f>
        <v>99.986915997849437</v>
      </c>
      <c r="AK3" s="26">
        <f>+(1/(AF3^2))</f>
        <v>9997.3833707609992</v>
      </c>
      <c r="AL3" s="26">
        <f>+AE3</f>
        <v>1.0173340584811512E-5</v>
      </c>
      <c r="AM3" s="26">
        <f>+AK3*AL3</f>
        <v>0.1017067859876826</v>
      </c>
      <c r="AN3" s="24" t="str">
        <f>AJ3 &amp; " ± " &amp; AM3</f>
        <v>99,9869159978494 ± 0,101706785987683</v>
      </c>
      <c r="AO3" s="54"/>
      <c r="AP3">
        <v>-1.5428E-3</v>
      </c>
      <c r="AQ3">
        <v>-1.551999999999998E-3</v>
      </c>
      <c r="AR3">
        <v>-1.5308000000000021E-3</v>
      </c>
      <c r="AU3">
        <f>+AVERAGE(AP3:AR23)</f>
        <v>-1.5482399999999996E-3</v>
      </c>
      <c r="AV3">
        <f>+_xlfn.STDEV.S(AP3:AR23)/SQRT(33)</f>
        <v>1.9339173621528296E-6</v>
      </c>
      <c r="AW3">
        <f>+SQRT((AV3^2)+(U3^2))</f>
        <v>1.0185285286315557E-5</v>
      </c>
      <c r="AX3" s="54"/>
      <c r="AY3" s="12">
        <f>(AU3/AF3)*2*PI()</f>
        <v>-0.97266060241137087</v>
      </c>
      <c r="AZ3">
        <f>ABS(2*PI()*(AU3/(AF3^2)))</f>
        <v>97.253333947723362</v>
      </c>
      <c r="BA3">
        <f>+AE3</f>
        <v>1.0173340584811512E-5</v>
      </c>
      <c r="BB3">
        <f>(2*PI())*(1/AF3)</f>
        <v>628.23632150788706</v>
      </c>
      <c r="BC3">
        <f>+AW3</f>
        <v>1.0185285286315557E-5</v>
      </c>
      <c r="BD3">
        <f>(2*PI())*(1/AF3)</f>
        <v>628.23632150788706</v>
      </c>
      <c r="BE3" s="14">
        <v>1E-14</v>
      </c>
      <c r="BF3">
        <f>+(ABS(AZ3*BA3))+(ABS(BB3*BC3))+(ABS(BD3*BE3))</f>
        <v>7.3881574573242568E-3</v>
      </c>
      <c r="BG3" s="24" t="str">
        <f>AY3 &amp; " ± " &amp; BF3</f>
        <v>-0,972660602411371 ± 0,00738815745732426</v>
      </c>
      <c r="BH3" s="54"/>
      <c r="BI3">
        <f>ABS(+TAN(AY3)/(2*PI()*AJ3))</f>
        <v>2.3359988661398215E-3</v>
      </c>
      <c r="BJ3" s="24">
        <f>+ABS((1/(COS(AY3)^2))*(1/(2*PI()*AJ3)))</f>
        <v>5.0199746384063148E-3</v>
      </c>
      <c r="BK3" s="24">
        <f>+BF3</f>
        <v>7.3881574573242568E-3</v>
      </c>
      <c r="BL3" s="24">
        <f>+ABS((TAN(AY3))/(2*PI()*(AJ3^2)))</f>
        <v>2.3363045482771615E-5</v>
      </c>
      <c r="BM3" s="24">
        <f>+AM3</f>
        <v>0.1017067859876826</v>
      </c>
      <c r="BN3" s="24">
        <f>+ABS((TAN(AY3))/(2*PI()*PI()*AJ3))</f>
        <v>7.4357153320643056E-4</v>
      </c>
      <c r="BO3" s="24">
        <v>1E-14</v>
      </c>
      <c r="BP3">
        <f>+(BJ3*BK3)+(BL3*BM3)+(BN3*BO3)</f>
        <v>3.9464543327264432E-5</v>
      </c>
      <c r="BQ3" s="24" t="str">
        <f>BI3 &amp; " ± " &amp; BP3</f>
        <v>0,00233599886613982 ± 3,94645433272644E-05</v>
      </c>
    </row>
    <row r="4" spans="1:70" x14ac:dyDescent="0.25">
      <c r="D4" s="1" t="s">
        <v>68</v>
      </c>
      <c r="E4">
        <v>1.8358880000000001E-2</v>
      </c>
      <c r="F4">
        <v>2.3368079999999999E-2</v>
      </c>
      <c r="G4">
        <v>2.8345840000000001E-2</v>
      </c>
      <c r="H4" t="s">
        <v>65</v>
      </c>
      <c r="I4" t="s">
        <v>65</v>
      </c>
      <c r="J4" t="s">
        <v>65</v>
      </c>
      <c r="K4" t="s">
        <v>65</v>
      </c>
      <c r="L4" s="56"/>
      <c r="M4" s="1"/>
      <c r="N4">
        <v>9.9869599999999996E-3</v>
      </c>
      <c r="O4" t="s">
        <v>65</v>
      </c>
      <c r="P4" t="s">
        <v>65</v>
      </c>
      <c r="Q4" t="s">
        <v>65</v>
      </c>
      <c r="R4" t="s">
        <v>65</v>
      </c>
      <c r="S4" s="54"/>
      <c r="T4">
        <v>3.4694469519536142E-18</v>
      </c>
      <c r="U4">
        <f t="shared" ref="U4:U24" si="0">2.5*0.0001*0.02*2</f>
        <v>1.0000000000000001E-5</v>
      </c>
      <c r="AA4">
        <v>1.000224</v>
      </c>
      <c r="AB4" s="54"/>
      <c r="AC4" s="2"/>
      <c r="AD4" s="26"/>
      <c r="AE4" s="26"/>
      <c r="AF4" s="26"/>
      <c r="AG4" s="24"/>
      <c r="AI4" s="54"/>
      <c r="AK4" s="26"/>
      <c r="AL4" s="26"/>
      <c r="AM4" s="26"/>
      <c r="AN4" s="24"/>
      <c r="AO4" s="54"/>
      <c r="AX4" s="54"/>
      <c r="BH4" s="54"/>
      <c r="BJ4" s="24"/>
      <c r="BK4" s="24"/>
      <c r="BL4" s="24"/>
      <c r="BM4" s="24"/>
      <c r="BN4" s="24"/>
      <c r="BO4" s="24"/>
      <c r="BP4" s="24"/>
      <c r="BQ4" s="24"/>
    </row>
    <row r="5" spans="1:70" x14ac:dyDescent="0.25">
      <c r="D5" s="1" t="s">
        <v>69</v>
      </c>
      <c r="E5">
        <v>1.7418880000000001E-2</v>
      </c>
      <c r="F5">
        <v>2.241808E-2</v>
      </c>
      <c r="G5">
        <v>2.7420159999999999E-2</v>
      </c>
      <c r="H5" t="s">
        <v>65</v>
      </c>
      <c r="I5" t="s">
        <v>65</v>
      </c>
      <c r="J5" t="s">
        <v>65</v>
      </c>
      <c r="K5" t="s">
        <v>65</v>
      </c>
      <c r="L5" s="56"/>
      <c r="M5" s="1"/>
      <c r="N5">
        <v>1.000128E-2</v>
      </c>
      <c r="O5" t="s">
        <v>65</v>
      </c>
      <c r="P5" t="s">
        <v>65</v>
      </c>
      <c r="Q5" t="s">
        <v>65</v>
      </c>
      <c r="R5" t="s">
        <v>65</v>
      </c>
      <c r="S5" s="54"/>
      <c r="T5">
        <v>3.4694469519536142E-18</v>
      </c>
      <c r="U5">
        <f t="shared" si="0"/>
        <v>1.0000000000000001E-5</v>
      </c>
      <c r="AA5">
        <v>0.99997599999999998</v>
      </c>
      <c r="AB5" s="54"/>
      <c r="AD5" s="26"/>
      <c r="AE5" s="26"/>
      <c r="AF5" s="26"/>
      <c r="AG5" s="24"/>
      <c r="AI5" s="54"/>
      <c r="AK5" s="26"/>
      <c r="AL5" s="26"/>
      <c r="AM5" s="26"/>
      <c r="AN5" s="24"/>
      <c r="AO5" s="54"/>
      <c r="AP5">
        <v>-1.56208E-3</v>
      </c>
      <c r="AQ5">
        <v>-1.5446399999999999E-3</v>
      </c>
      <c r="AR5">
        <v>-1.541600000000001E-3</v>
      </c>
      <c r="AX5" s="54"/>
      <c r="BE5" s="40"/>
      <c r="BH5" s="54"/>
      <c r="BJ5" s="24"/>
      <c r="BK5" s="24"/>
      <c r="BL5" s="24"/>
      <c r="BM5" s="24"/>
      <c r="BN5" s="24"/>
      <c r="BO5" s="24"/>
      <c r="BP5" s="24"/>
      <c r="BQ5" s="24"/>
    </row>
    <row r="6" spans="1:70" x14ac:dyDescent="0.25">
      <c r="D6" s="1" t="s">
        <v>70</v>
      </c>
      <c r="E6">
        <v>1.392856E-2</v>
      </c>
      <c r="F6">
        <v>1.8980960000000002E-2</v>
      </c>
      <c r="G6">
        <v>2.396272E-2</v>
      </c>
      <c r="H6">
        <v>2.896176E-2</v>
      </c>
      <c r="I6" t="s">
        <v>65</v>
      </c>
      <c r="J6" t="s">
        <v>65</v>
      </c>
      <c r="K6" t="s">
        <v>65</v>
      </c>
      <c r="L6" s="56"/>
      <c r="M6" s="1"/>
      <c r="N6">
        <v>1.003416E-2</v>
      </c>
      <c r="O6">
        <v>9.980799999999998E-3</v>
      </c>
      <c r="P6" t="s">
        <v>65</v>
      </c>
      <c r="Q6" t="s">
        <v>65</v>
      </c>
      <c r="R6" t="s">
        <v>65</v>
      </c>
      <c r="S6" s="54"/>
      <c r="T6">
        <v>3.4694469519536142E-18</v>
      </c>
      <c r="U6">
        <f t="shared" si="0"/>
        <v>1.0000000000000001E-5</v>
      </c>
      <c r="AA6">
        <v>1.0020800000000001</v>
      </c>
      <c r="AB6" s="54"/>
      <c r="AD6" s="26"/>
      <c r="AE6" s="26"/>
      <c r="AF6" s="26"/>
      <c r="AG6" s="24"/>
      <c r="AI6" s="54"/>
      <c r="AK6" s="26"/>
      <c r="AL6" s="26"/>
      <c r="AM6" s="26"/>
      <c r="AN6" s="24"/>
      <c r="AO6" s="54"/>
      <c r="AX6" s="54"/>
      <c r="BH6" s="54"/>
      <c r="BJ6" s="24"/>
      <c r="BK6" s="24"/>
      <c r="BL6" s="24"/>
      <c r="BM6" s="24"/>
      <c r="BN6" s="24"/>
      <c r="BO6" s="24"/>
      <c r="BP6" s="24"/>
      <c r="BQ6" s="24"/>
    </row>
    <row r="7" spans="1:70" x14ac:dyDescent="0.25">
      <c r="D7" s="1" t="s">
        <v>71</v>
      </c>
      <c r="E7">
        <v>1.6389839999999999E-2</v>
      </c>
      <c r="F7">
        <v>2.138704E-2</v>
      </c>
      <c r="G7">
        <v>2.639E-2</v>
      </c>
      <c r="H7" t="s">
        <v>65</v>
      </c>
      <c r="I7" t="s">
        <v>65</v>
      </c>
      <c r="J7" t="s">
        <v>65</v>
      </c>
      <c r="K7" t="s">
        <v>65</v>
      </c>
      <c r="L7" s="56"/>
      <c r="M7" s="1"/>
      <c r="N7">
        <v>1.0000159999999999E-2</v>
      </c>
      <c r="O7" t="s">
        <v>65</v>
      </c>
      <c r="P7" t="s">
        <v>65</v>
      </c>
      <c r="Q7" t="s">
        <v>65</v>
      </c>
      <c r="R7" t="s">
        <v>65</v>
      </c>
      <c r="S7" s="54"/>
      <c r="T7">
        <v>3.4694469519536142E-18</v>
      </c>
      <c r="U7">
        <f t="shared" si="0"/>
        <v>1.0000000000000001E-5</v>
      </c>
      <c r="AA7">
        <v>0.99985599999999997</v>
      </c>
      <c r="AB7" s="54"/>
      <c r="AD7" s="26"/>
      <c r="AE7" s="26"/>
      <c r="AF7" s="26"/>
      <c r="AG7" s="24"/>
      <c r="AI7" s="54"/>
      <c r="AK7" s="26"/>
      <c r="AL7" s="26"/>
      <c r="AM7" s="26"/>
      <c r="AN7" s="24"/>
      <c r="AO7" s="54"/>
      <c r="AP7">
        <v>-1.5717600000000019E-3</v>
      </c>
      <c r="AQ7">
        <v>-1.5610400000000001E-3</v>
      </c>
      <c r="AR7">
        <v>-1.5648800000000009E-3</v>
      </c>
      <c r="AX7" s="54"/>
      <c r="BE7" s="5"/>
      <c r="BH7" s="54"/>
      <c r="BJ7" s="24"/>
      <c r="BK7" s="24"/>
      <c r="BL7" s="24"/>
      <c r="BM7" s="24"/>
      <c r="BN7" s="24"/>
      <c r="BO7" s="24"/>
      <c r="BP7" s="24"/>
      <c r="BQ7" s="24"/>
    </row>
    <row r="8" spans="1:70" x14ac:dyDescent="0.25">
      <c r="D8" s="1" t="s">
        <v>72</v>
      </c>
      <c r="E8">
        <v>1.2934879999999999E-2</v>
      </c>
      <c r="F8">
        <v>1.7961600000000001E-2</v>
      </c>
      <c r="G8">
        <v>2.2948079999999999E-2</v>
      </c>
      <c r="H8">
        <v>2.7954880000000001E-2</v>
      </c>
      <c r="I8" t="s">
        <v>65</v>
      </c>
      <c r="J8" t="s">
        <v>65</v>
      </c>
      <c r="K8" t="s">
        <v>65</v>
      </c>
      <c r="L8" s="56"/>
      <c r="M8" s="1"/>
      <c r="N8">
        <v>1.00132E-2</v>
      </c>
      <c r="O8">
        <v>9.9932800000000002E-3</v>
      </c>
      <c r="P8" t="s">
        <v>65</v>
      </c>
      <c r="Q8" t="s">
        <v>65</v>
      </c>
      <c r="R8" t="s">
        <v>65</v>
      </c>
      <c r="S8" s="54"/>
      <c r="T8">
        <v>3.4694469519536142E-18</v>
      </c>
      <c r="U8">
        <f t="shared" si="0"/>
        <v>1.0000000000000001E-5</v>
      </c>
      <c r="AA8">
        <v>0.99842399999999998</v>
      </c>
      <c r="AB8" s="54"/>
      <c r="AD8" s="26"/>
      <c r="AE8" s="26"/>
      <c r="AF8" s="26"/>
      <c r="AG8" s="24"/>
      <c r="AI8" s="54"/>
      <c r="AK8" s="26"/>
      <c r="AL8" s="26"/>
      <c r="AM8" s="26"/>
      <c r="AN8" s="24"/>
      <c r="AO8" s="54"/>
      <c r="AX8" s="54"/>
      <c r="BH8" s="54"/>
      <c r="BJ8" s="24"/>
      <c r="BK8" s="24"/>
      <c r="BL8" s="24"/>
      <c r="BM8" s="24"/>
      <c r="BN8" s="24"/>
      <c r="BO8" s="24"/>
      <c r="BP8" s="24"/>
      <c r="BQ8" s="24"/>
    </row>
    <row r="9" spans="1:70" x14ac:dyDescent="0.25">
      <c r="D9" s="1" t="s">
        <v>74</v>
      </c>
      <c r="E9">
        <v>1.37284E-2</v>
      </c>
      <c r="F9">
        <v>1.872944E-2</v>
      </c>
      <c r="G9">
        <v>2.3729119999999999E-2</v>
      </c>
      <c r="H9" t="s">
        <v>65</v>
      </c>
      <c r="I9" t="s">
        <v>65</v>
      </c>
      <c r="J9" t="s">
        <v>65</v>
      </c>
      <c r="K9" t="s">
        <v>65</v>
      </c>
      <c r="L9" s="56"/>
      <c r="M9" s="1"/>
      <c r="N9">
        <v>1.0000719999999999E-2</v>
      </c>
      <c r="O9" t="s">
        <v>65</v>
      </c>
      <c r="P9" t="s">
        <v>65</v>
      </c>
      <c r="Q9" t="s">
        <v>65</v>
      </c>
      <c r="R9" t="s">
        <v>65</v>
      </c>
      <c r="S9" s="54"/>
      <c r="T9">
        <v>3.4694469519536142E-18</v>
      </c>
      <c r="U9">
        <f t="shared" si="0"/>
        <v>1.0000000000000001E-5</v>
      </c>
      <c r="AA9">
        <v>0.99964800000000009</v>
      </c>
      <c r="AB9" s="54"/>
      <c r="AD9" s="26"/>
      <c r="AE9" s="26"/>
      <c r="AF9" s="26"/>
      <c r="AG9" s="24"/>
      <c r="AI9" s="54"/>
      <c r="AK9" s="26"/>
      <c r="AL9" s="26"/>
      <c r="AM9" s="26"/>
      <c r="AN9" s="24"/>
      <c r="AO9" s="54"/>
      <c r="AP9">
        <v>-1.5501600000000001E-3</v>
      </c>
      <c r="AQ9">
        <v>-1.571759999999998E-3</v>
      </c>
      <c r="AR9">
        <v>-1.5511999999999991E-3</v>
      </c>
      <c r="AX9" s="54"/>
      <c r="BH9" s="54"/>
      <c r="BJ9" s="24"/>
      <c r="BK9" s="24"/>
      <c r="BL9" s="24"/>
      <c r="BM9" s="24"/>
      <c r="BN9" s="24"/>
      <c r="BO9" s="24"/>
      <c r="BP9" s="24"/>
      <c r="BQ9" s="46" t="s">
        <v>243</v>
      </c>
    </row>
    <row r="10" spans="1:70" x14ac:dyDescent="0.25">
      <c r="D10" s="1" t="s">
        <v>76</v>
      </c>
      <c r="E10">
        <v>1.527856E-2</v>
      </c>
      <c r="F10">
        <v>2.0301199999999998E-2</v>
      </c>
      <c r="G10">
        <v>2.5280319999999998E-2</v>
      </c>
      <c r="H10" t="s">
        <v>65</v>
      </c>
      <c r="I10" t="s">
        <v>65</v>
      </c>
      <c r="J10" t="s">
        <v>65</v>
      </c>
      <c r="K10" t="s">
        <v>65</v>
      </c>
      <c r="L10" s="56"/>
      <c r="M10" s="1"/>
      <c r="N10">
        <v>1.000176E-2</v>
      </c>
      <c r="O10" t="s">
        <v>65</v>
      </c>
      <c r="P10" t="s">
        <v>65</v>
      </c>
      <c r="Q10" t="s">
        <v>65</v>
      </c>
      <c r="R10" t="s">
        <v>65</v>
      </c>
      <c r="S10" s="54"/>
      <c r="T10">
        <v>3.4694469519536142E-18</v>
      </c>
      <c r="U10">
        <f t="shared" si="0"/>
        <v>1.0000000000000001E-5</v>
      </c>
      <c r="AA10">
        <v>1.0004</v>
      </c>
      <c r="AB10" s="54"/>
      <c r="AD10" s="27"/>
      <c r="AE10" s="26"/>
      <c r="AF10" s="27"/>
      <c r="AG10" s="24"/>
      <c r="AI10" s="54"/>
      <c r="AK10" s="26"/>
      <c r="AL10" s="26"/>
      <c r="AM10" s="26"/>
      <c r="AN10" s="24"/>
      <c r="AO10" s="54"/>
      <c r="AX10" s="54"/>
      <c r="BH10" s="54"/>
      <c r="BJ10" s="24"/>
      <c r="BK10" s="24"/>
      <c r="BL10" s="24"/>
      <c r="BM10" s="24"/>
      <c r="BN10" s="24"/>
      <c r="BO10" s="24"/>
      <c r="BP10" s="24"/>
      <c r="BQ10" s="47" t="s">
        <v>240</v>
      </c>
      <c r="BR10">
        <f>+BI3-(1.96*BP3)</f>
        <v>2.2586483612183831E-3</v>
      </c>
    </row>
    <row r="11" spans="1:70" x14ac:dyDescent="0.25">
      <c r="D11" s="1" t="s">
        <v>78</v>
      </c>
      <c r="E11">
        <v>1.6620880000000001E-2</v>
      </c>
      <c r="F11">
        <v>2.1622880000000001E-2</v>
      </c>
      <c r="G11">
        <v>2.662312E-2</v>
      </c>
      <c r="H11" t="s">
        <v>65</v>
      </c>
      <c r="I11" t="s">
        <v>65</v>
      </c>
      <c r="J11" t="s">
        <v>65</v>
      </c>
      <c r="K11" t="s">
        <v>65</v>
      </c>
      <c r="L11" s="56"/>
      <c r="M11" s="1"/>
      <c r="N11">
        <v>1.0002240000000001E-2</v>
      </c>
      <c r="O11" t="s">
        <v>65</v>
      </c>
      <c r="P11" t="s">
        <v>65</v>
      </c>
      <c r="Q11" t="s">
        <v>65</v>
      </c>
      <c r="R11" t="s">
        <v>65</v>
      </c>
      <c r="S11" s="54"/>
      <c r="T11">
        <v>3.4694469519536142E-18</v>
      </c>
      <c r="U11">
        <f t="shared" si="0"/>
        <v>1.0000000000000001E-5</v>
      </c>
      <c r="AA11">
        <v>0.99967200000000001</v>
      </c>
      <c r="AB11" s="54"/>
      <c r="AD11" s="26"/>
      <c r="AE11" s="26"/>
      <c r="AF11" s="27"/>
      <c r="AG11" s="24"/>
      <c r="AI11" s="54"/>
      <c r="AK11" s="26"/>
      <c r="AL11" s="26"/>
      <c r="AM11" s="26"/>
      <c r="AN11" s="24"/>
      <c r="AO11" s="54"/>
      <c r="AP11">
        <v>-1.541839999999999E-3</v>
      </c>
      <c r="AQ11">
        <v>-1.5589599999999979E-3</v>
      </c>
      <c r="AR11">
        <v>-1.5435999999999989E-3</v>
      </c>
      <c r="AX11" s="54"/>
      <c r="BH11" s="54"/>
      <c r="BJ11" s="24"/>
      <c r="BK11" s="24"/>
      <c r="BL11" s="24"/>
      <c r="BM11" s="24"/>
      <c r="BN11" s="24"/>
      <c r="BO11" s="24"/>
      <c r="BP11" s="24"/>
      <c r="BQ11" s="48" t="s">
        <v>241</v>
      </c>
      <c r="BR11">
        <f>+BI3+(1.96*BP3)</f>
        <v>2.4133493710612598E-3</v>
      </c>
    </row>
    <row r="12" spans="1:70" x14ac:dyDescent="0.25">
      <c r="D12" s="1" t="s">
        <v>80</v>
      </c>
      <c r="E12">
        <v>1.318184E-2</v>
      </c>
      <c r="F12">
        <v>1.816272E-2</v>
      </c>
      <c r="G12">
        <v>2.3181839999999999E-2</v>
      </c>
      <c r="H12">
        <v>2.8166719999999999E-2</v>
      </c>
      <c r="I12" t="s">
        <v>65</v>
      </c>
      <c r="J12" t="s">
        <v>65</v>
      </c>
      <c r="K12" t="s">
        <v>65</v>
      </c>
      <c r="L12" s="56"/>
      <c r="M12" s="1"/>
      <c r="N12">
        <v>9.9999999999999985E-3</v>
      </c>
      <c r="O12">
        <v>1.0004000000000001E-2</v>
      </c>
      <c r="P12" t="s">
        <v>65</v>
      </c>
      <c r="Q12" t="s">
        <v>65</v>
      </c>
      <c r="R12" t="s">
        <v>65</v>
      </c>
      <c r="S12" s="54"/>
      <c r="T12">
        <v>3.4694469519536142E-18</v>
      </c>
      <c r="U12">
        <f t="shared" si="0"/>
        <v>1.0000000000000001E-5</v>
      </c>
      <c r="AA12">
        <v>1.0018720000000001</v>
      </c>
      <c r="AB12" s="54"/>
      <c r="AD12" s="26"/>
      <c r="AE12" s="26"/>
      <c r="AF12" s="26"/>
      <c r="AG12" s="24"/>
      <c r="AI12" s="54"/>
      <c r="AK12" s="26"/>
      <c r="AL12" s="26"/>
      <c r="AM12" s="26"/>
      <c r="AN12" s="24"/>
      <c r="AO12" s="54"/>
      <c r="AX12" s="54"/>
      <c r="BH12" s="54"/>
      <c r="BJ12" s="24"/>
      <c r="BK12" s="24"/>
      <c r="BL12" s="24"/>
      <c r="BM12" s="24"/>
      <c r="BN12" s="24"/>
      <c r="BO12" s="24"/>
      <c r="BP12" s="24"/>
      <c r="BQ12" s="24"/>
    </row>
    <row r="13" spans="1:70" x14ac:dyDescent="0.25">
      <c r="D13" s="1" t="s">
        <v>83</v>
      </c>
      <c r="E13">
        <v>1.343928E-2</v>
      </c>
      <c r="F13">
        <v>1.8440399999999999E-2</v>
      </c>
      <c r="G13">
        <v>2.3440160000000002E-2</v>
      </c>
      <c r="H13">
        <v>2.8440320000000002E-2</v>
      </c>
      <c r="I13" t="s">
        <v>65</v>
      </c>
      <c r="J13" t="s">
        <v>65</v>
      </c>
      <c r="K13" t="s">
        <v>65</v>
      </c>
      <c r="L13" s="56"/>
      <c r="M13" s="1"/>
      <c r="N13">
        <v>1.000088E-2</v>
      </c>
      <c r="O13">
        <v>9.9999200000000024E-3</v>
      </c>
      <c r="P13" t="s">
        <v>65</v>
      </c>
      <c r="Q13" t="s">
        <v>65</v>
      </c>
      <c r="R13" t="s">
        <v>65</v>
      </c>
      <c r="S13" s="54"/>
      <c r="T13">
        <v>3.4694469519536142E-18</v>
      </c>
      <c r="U13">
        <f t="shared" si="0"/>
        <v>1.0000000000000001E-5</v>
      </c>
      <c r="AA13">
        <v>1.0001439999999999</v>
      </c>
      <c r="AB13" s="54"/>
      <c r="AD13" s="26"/>
      <c r="AE13" s="26"/>
      <c r="AF13" s="26"/>
      <c r="AG13" s="24"/>
      <c r="AI13" s="54"/>
      <c r="AK13" s="26"/>
      <c r="AL13" s="26"/>
      <c r="AM13" s="26"/>
      <c r="AN13" s="24"/>
      <c r="AO13" s="54"/>
      <c r="AP13">
        <v>-1.5458399999999999E-3</v>
      </c>
      <c r="AQ13">
        <v>-1.547679999999999E-3</v>
      </c>
      <c r="AR13">
        <v>-1.5587999999999991E-3</v>
      </c>
      <c r="AX13" s="54"/>
      <c r="BH13" s="54"/>
      <c r="BJ13" s="24"/>
      <c r="BK13" s="24"/>
      <c r="BL13" s="24"/>
      <c r="BM13" s="24"/>
      <c r="BN13" s="24"/>
      <c r="BO13" s="24"/>
      <c r="BP13" s="24"/>
      <c r="BQ13" s="24"/>
    </row>
    <row r="14" spans="1:70" x14ac:dyDescent="0.25">
      <c r="D14" s="1" t="s">
        <v>84</v>
      </c>
      <c r="E14">
        <v>1.4985119999999999E-2</v>
      </c>
      <c r="F14">
        <v>1.9988079999999998E-2</v>
      </c>
      <c r="G14">
        <v>2.4998960000000001E-2</v>
      </c>
      <c r="H14" t="s">
        <v>65</v>
      </c>
      <c r="I14" t="s">
        <v>65</v>
      </c>
      <c r="J14" t="s">
        <v>65</v>
      </c>
      <c r="K14" t="s">
        <v>65</v>
      </c>
      <c r="L14" s="56"/>
      <c r="M14" s="1"/>
      <c r="N14">
        <v>1.001384E-2</v>
      </c>
      <c r="O14" t="s">
        <v>65</v>
      </c>
      <c r="P14" t="s">
        <v>65</v>
      </c>
      <c r="Q14" t="s">
        <v>65</v>
      </c>
      <c r="R14" t="s">
        <v>65</v>
      </c>
      <c r="S14" s="54"/>
      <c r="T14">
        <v>3.4694469519536142E-18</v>
      </c>
      <c r="U14">
        <f t="shared" si="0"/>
        <v>1.0000000000000001E-5</v>
      </c>
      <c r="AA14">
        <v>1.0003280000000001</v>
      </c>
      <c r="AB14" s="54"/>
      <c r="AD14" s="26"/>
      <c r="AE14" s="26"/>
      <c r="AF14" s="26"/>
      <c r="AG14" s="24"/>
      <c r="AI14" s="54"/>
      <c r="AK14" s="26"/>
      <c r="AL14" s="26"/>
      <c r="AM14" s="26"/>
      <c r="AN14" s="24"/>
      <c r="AO14" s="54"/>
      <c r="AX14" s="54"/>
      <c r="BH14" s="54"/>
      <c r="BJ14" s="24"/>
      <c r="BK14" s="24"/>
      <c r="BL14" s="24"/>
      <c r="BM14" s="24"/>
      <c r="BN14" s="24"/>
      <c r="BO14" s="24"/>
      <c r="BP14" s="24"/>
      <c r="BQ14" s="24"/>
    </row>
    <row r="15" spans="1:70" x14ac:dyDescent="0.25">
      <c r="D15" s="1" t="s">
        <v>85</v>
      </c>
      <c r="E15">
        <v>1.350808E-2</v>
      </c>
      <c r="F15">
        <v>1.8505440000000001E-2</v>
      </c>
      <c r="G15">
        <v>2.350936E-2</v>
      </c>
      <c r="H15">
        <v>2.8504720000000001E-2</v>
      </c>
      <c r="I15" t="s">
        <v>65</v>
      </c>
      <c r="J15" t="s">
        <v>65</v>
      </c>
      <c r="K15" t="s">
        <v>65</v>
      </c>
      <c r="L15" s="56"/>
      <c r="M15" s="1"/>
      <c r="N15">
        <v>1.000128E-2</v>
      </c>
      <c r="O15">
        <v>9.9992799999999993E-3</v>
      </c>
      <c r="P15" t="s">
        <v>65</v>
      </c>
      <c r="Q15" t="s">
        <v>65</v>
      </c>
      <c r="R15" t="s">
        <v>65</v>
      </c>
      <c r="S15" s="54"/>
      <c r="T15">
        <v>3.4694469519536142E-18</v>
      </c>
      <c r="U15">
        <f t="shared" si="0"/>
        <v>1.0000000000000001E-5</v>
      </c>
      <c r="AA15">
        <v>1.00004</v>
      </c>
      <c r="AB15" s="54"/>
      <c r="AD15" s="26"/>
      <c r="AE15" s="26"/>
      <c r="AF15" s="26"/>
      <c r="AG15" s="24"/>
      <c r="AI15" s="54"/>
      <c r="AK15" s="26"/>
      <c r="AL15" s="26"/>
      <c r="AM15" s="29"/>
      <c r="AN15" s="24"/>
      <c r="AO15" s="54"/>
      <c r="AP15">
        <v>-1.5417600000000001E-3</v>
      </c>
      <c r="AQ15">
        <v>-1.547839999999998E-3</v>
      </c>
      <c r="AR15">
        <v>-1.5262400000000021E-3</v>
      </c>
      <c r="AX15" s="54"/>
      <c r="BH15" s="54"/>
      <c r="BJ15" s="24"/>
      <c r="BK15" s="24"/>
      <c r="BL15" s="24"/>
      <c r="BM15" s="24"/>
      <c r="BN15" s="24"/>
      <c r="BO15" s="24"/>
      <c r="BP15" s="24"/>
      <c r="BQ15" s="24"/>
    </row>
    <row r="16" spans="1:70" x14ac:dyDescent="0.25">
      <c r="D16" s="1" t="s">
        <v>86</v>
      </c>
      <c r="E16">
        <v>1.504984E-2</v>
      </c>
      <c r="F16">
        <v>2.005328E-2</v>
      </c>
      <c r="G16">
        <v>2.5035600000000002E-2</v>
      </c>
      <c r="H16" t="s">
        <v>65</v>
      </c>
      <c r="I16" t="s">
        <v>65</v>
      </c>
      <c r="J16" t="s">
        <v>65</v>
      </c>
      <c r="K16" t="s">
        <v>65</v>
      </c>
      <c r="L16" s="56"/>
      <c r="M16" s="1"/>
      <c r="N16">
        <v>9.9857600000000015E-3</v>
      </c>
      <c r="O16" t="s">
        <v>65</v>
      </c>
      <c r="P16" t="s">
        <v>65</v>
      </c>
      <c r="Q16" t="s">
        <v>65</v>
      </c>
      <c r="R16" t="s">
        <v>65</v>
      </c>
      <c r="S16" s="54"/>
      <c r="T16">
        <v>3.4694469519536142E-18</v>
      </c>
      <c r="U16">
        <f t="shared" si="0"/>
        <v>1.0000000000000001E-5</v>
      </c>
      <c r="AA16">
        <v>1.0014879999999999</v>
      </c>
      <c r="AB16" s="54"/>
      <c r="AD16" s="26"/>
      <c r="AE16" s="26"/>
      <c r="AF16" s="26"/>
      <c r="AG16" s="24"/>
      <c r="AI16" s="54"/>
      <c r="AK16" s="26"/>
      <c r="AL16" s="26"/>
      <c r="AM16" s="26"/>
      <c r="AN16" s="24"/>
      <c r="AO16" s="54"/>
      <c r="AX16" s="54"/>
      <c r="BH16" s="54"/>
      <c r="BJ16" s="24"/>
      <c r="BK16" s="24"/>
      <c r="BL16" s="24"/>
      <c r="BM16" s="24"/>
      <c r="BN16" s="24"/>
      <c r="BO16" s="24"/>
      <c r="BP16" s="24"/>
      <c r="BQ16" s="24"/>
    </row>
    <row r="17" spans="4:69" x14ac:dyDescent="0.25">
      <c r="D17" s="1" t="s">
        <v>87</v>
      </c>
      <c r="E17">
        <v>1.3994879999999999E-2</v>
      </c>
      <c r="F17">
        <v>1.899344E-2</v>
      </c>
      <c r="G17">
        <v>2.39948E-2</v>
      </c>
      <c r="H17" t="s">
        <v>65</v>
      </c>
      <c r="I17" t="s">
        <v>65</v>
      </c>
      <c r="J17" t="s">
        <v>65</v>
      </c>
      <c r="K17" t="s">
        <v>65</v>
      </c>
      <c r="L17" s="56"/>
      <c r="M17" s="1"/>
      <c r="N17">
        <v>9.9999200000000007E-3</v>
      </c>
      <c r="O17" t="s">
        <v>65</v>
      </c>
      <c r="P17" t="s">
        <v>65</v>
      </c>
      <c r="Q17" t="s">
        <v>65</v>
      </c>
      <c r="R17" t="s">
        <v>65</v>
      </c>
      <c r="S17" s="54"/>
      <c r="T17">
        <v>3.4694469519536142E-18</v>
      </c>
      <c r="U17">
        <f t="shared" si="0"/>
        <v>1.0000000000000001E-5</v>
      </c>
      <c r="AA17">
        <v>0.99979200000000001</v>
      </c>
      <c r="AB17" s="54"/>
      <c r="AD17" s="26"/>
      <c r="AE17" s="26"/>
      <c r="AF17" s="26"/>
      <c r="AG17" s="24"/>
      <c r="AI17" s="54"/>
      <c r="AK17" s="26"/>
      <c r="AL17" s="26"/>
      <c r="AM17" s="26"/>
      <c r="AN17" s="24"/>
      <c r="AO17" s="54"/>
      <c r="AP17">
        <v>-1.5515200000000009E-3</v>
      </c>
      <c r="AQ17">
        <v>-1.5461600000000011E-3</v>
      </c>
      <c r="AR17">
        <v>-1.544719999999999E-3</v>
      </c>
      <c r="AX17" s="54"/>
      <c r="BH17" s="54"/>
      <c r="BJ17" s="24"/>
      <c r="BK17" s="24"/>
      <c r="BL17" s="24"/>
      <c r="BM17" s="24"/>
      <c r="BN17" s="24"/>
      <c r="BO17" s="24"/>
      <c r="BP17" s="24"/>
      <c r="BQ17" s="24"/>
    </row>
    <row r="18" spans="4:69" x14ac:dyDescent="0.25">
      <c r="D18" s="1" t="s">
        <v>88</v>
      </c>
      <c r="E18">
        <v>1.55464E-2</v>
      </c>
      <c r="F18">
        <v>2.0539600000000002E-2</v>
      </c>
      <c r="G18">
        <v>2.553952E-2</v>
      </c>
      <c r="H18" t="s">
        <v>65</v>
      </c>
      <c r="I18" t="s">
        <v>65</v>
      </c>
      <c r="J18" t="s">
        <v>65</v>
      </c>
      <c r="K18" t="s">
        <v>65</v>
      </c>
      <c r="L18" s="56"/>
      <c r="M18" s="1"/>
      <c r="N18">
        <v>9.9931199999999994E-3</v>
      </c>
      <c r="O18" t="s">
        <v>65</v>
      </c>
      <c r="P18" t="s">
        <v>65</v>
      </c>
      <c r="Q18" t="s">
        <v>65</v>
      </c>
      <c r="R18" t="s">
        <v>65</v>
      </c>
      <c r="S18" s="54"/>
      <c r="T18">
        <v>3.4694469519536142E-18</v>
      </c>
      <c r="U18">
        <f t="shared" si="0"/>
        <v>1.0000000000000001E-5</v>
      </c>
      <c r="AA18">
        <v>0.99921599999999999</v>
      </c>
      <c r="AB18" s="54"/>
      <c r="AD18" s="26"/>
      <c r="AE18" s="26"/>
      <c r="AF18" s="26"/>
      <c r="AG18" s="24"/>
      <c r="AI18" s="54"/>
      <c r="AK18" s="26"/>
      <c r="AL18" s="26"/>
      <c r="AM18" s="26"/>
      <c r="AN18" s="24"/>
      <c r="AO18" s="54"/>
      <c r="AX18" s="54"/>
      <c r="BH18" s="54"/>
      <c r="BJ18" s="24"/>
      <c r="BK18" s="24"/>
      <c r="BL18" s="24"/>
      <c r="BM18" s="24"/>
      <c r="BN18" s="24"/>
      <c r="BO18" s="24"/>
      <c r="BP18" s="24"/>
      <c r="BQ18" s="24"/>
    </row>
    <row r="19" spans="4:69" x14ac:dyDescent="0.25">
      <c r="D19" s="1" t="s">
        <v>89</v>
      </c>
      <c r="E19">
        <v>1.3996720000000001E-2</v>
      </c>
      <c r="F19">
        <v>1.8993679999999999E-2</v>
      </c>
      <c r="G19">
        <v>2.3995039999999999E-2</v>
      </c>
      <c r="H19" t="s">
        <v>65</v>
      </c>
      <c r="I19" t="s">
        <v>65</v>
      </c>
      <c r="J19" t="s">
        <v>65</v>
      </c>
      <c r="K19" t="s">
        <v>65</v>
      </c>
      <c r="L19" s="56"/>
      <c r="M19" s="1"/>
      <c r="N19">
        <v>9.998319999999998E-3</v>
      </c>
      <c r="O19" t="s">
        <v>65</v>
      </c>
      <c r="P19" t="s">
        <v>65</v>
      </c>
      <c r="Q19" t="s">
        <v>65</v>
      </c>
      <c r="R19" t="s">
        <v>65</v>
      </c>
      <c r="S19" s="54"/>
      <c r="T19">
        <v>3.4694469519536142E-18</v>
      </c>
      <c r="U19">
        <f t="shared" si="0"/>
        <v>1.0000000000000001E-5</v>
      </c>
      <c r="AA19">
        <v>0.99990400000000002</v>
      </c>
      <c r="AB19" s="54"/>
      <c r="AD19" s="26"/>
      <c r="AE19" s="26"/>
      <c r="AF19" s="26"/>
      <c r="AG19" s="24"/>
      <c r="AI19" s="54"/>
      <c r="AK19" s="26"/>
      <c r="AL19" s="26"/>
      <c r="AM19" s="26"/>
      <c r="AN19" s="24"/>
      <c r="AO19" s="54"/>
      <c r="AP19">
        <v>-1.5310399999999989E-3</v>
      </c>
      <c r="AQ19">
        <v>-1.5424800000000021E-3</v>
      </c>
      <c r="AR19">
        <v>-1.535600000000002E-3</v>
      </c>
      <c r="AX19" s="54"/>
      <c r="BH19" s="54"/>
      <c r="BJ19" s="24"/>
      <c r="BK19" s="24"/>
      <c r="BL19" s="24"/>
      <c r="BM19" s="24"/>
      <c r="BN19" s="24"/>
      <c r="BO19" s="24"/>
      <c r="BP19" s="24"/>
      <c r="BQ19" s="24"/>
    </row>
    <row r="20" spans="4:69" x14ac:dyDescent="0.25">
      <c r="D20" s="1" t="s">
        <v>90</v>
      </c>
      <c r="E20">
        <v>1.552776E-2</v>
      </c>
      <c r="F20">
        <v>2.0536160000000001E-2</v>
      </c>
      <c r="G20">
        <v>2.553064E-2</v>
      </c>
      <c r="H20" t="s">
        <v>65</v>
      </c>
      <c r="I20" t="s">
        <v>65</v>
      </c>
      <c r="J20" t="s">
        <v>65</v>
      </c>
      <c r="K20" t="s">
        <v>65</v>
      </c>
      <c r="L20" s="56"/>
      <c r="M20" s="1"/>
      <c r="N20">
        <v>1.000288E-2</v>
      </c>
      <c r="O20" t="s">
        <v>65</v>
      </c>
      <c r="P20" t="s">
        <v>65</v>
      </c>
      <c r="Q20" t="s">
        <v>65</v>
      </c>
      <c r="R20" t="s">
        <v>65</v>
      </c>
      <c r="S20" s="54"/>
      <c r="T20">
        <v>3.4694469519536142E-18</v>
      </c>
      <c r="U20">
        <f t="shared" si="0"/>
        <v>1.0000000000000001E-5</v>
      </c>
      <c r="AA20" s="2"/>
      <c r="AB20" s="54"/>
      <c r="AD20" s="26"/>
      <c r="AE20" s="26"/>
      <c r="AF20" s="26"/>
      <c r="AG20" s="24"/>
      <c r="AI20" s="54"/>
      <c r="AK20" s="26"/>
      <c r="AL20" s="26"/>
      <c r="AM20" s="26"/>
      <c r="AN20" s="24"/>
      <c r="AO20" s="54"/>
      <c r="AX20" s="54"/>
      <c r="BH20" s="54"/>
      <c r="BJ20" s="24"/>
      <c r="BK20" s="24"/>
      <c r="BL20" s="24"/>
      <c r="BM20" s="24"/>
      <c r="BN20" s="24"/>
      <c r="BO20" s="24"/>
      <c r="BP20" s="24"/>
      <c r="BQ20" s="24"/>
    </row>
    <row r="21" spans="4:69" x14ac:dyDescent="0.25">
      <c r="E21">
        <v>1.411576E-2</v>
      </c>
      <c r="F21">
        <v>1.9117760000000001E-2</v>
      </c>
      <c r="G21">
        <v>2.4117360000000001E-2</v>
      </c>
      <c r="H21" t="s">
        <v>65</v>
      </c>
      <c r="N21">
        <v>1.0001599999999999E-2</v>
      </c>
      <c r="O21" t="s">
        <v>65</v>
      </c>
      <c r="S21" s="54"/>
      <c r="T21">
        <v>3.4694469519536142E-18</v>
      </c>
      <c r="U21">
        <f t="shared" si="0"/>
        <v>1.0000000000000001E-5</v>
      </c>
      <c r="AB21" s="54"/>
      <c r="AD21" s="26"/>
      <c r="AE21" s="26"/>
      <c r="AF21" s="26"/>
      <c r="AG21" s="24"/>
      <c r="AI21" s="54"/>
      <c r="AK21" s="26"/>
      <c r="AL21" s="26"/>
      <c r="AM21" s="26"/>
      <c r="AN21" s="24"/>
      <c r="AO21" s="54"/>
      <c r="AP21">
        <v>-1.53736E-3</v>
      </c>
      <c r="AQ21">
        <v>-1.5615200000000001E-3</v>
      </c>
      <c r="AR21">
        <v>-1.540799999999998E-3</v>
      </c>
      <c r="AX21" s="54"/>
      <c r="BH21" s="54"/>
      <c r="BJ21" s="24"/>
      <c r="BK21" s="24"/>
      <c r="BL21" s="24"/>
      <c r="BM21" s="24"/>
      <c r="BN21" s="24"/>
      <c r="BO21" s="24"/>
      <c r="BP21" s="24"/>
      <c r="BQ21" s="24"/>
    </row>
    <row r="22" spans="4:69" x14ac:dyDescent="0.25">
      <c r="E22">
        <v>1.565312E-2</v>
      </c>
      <c r="F22">
        <v>2.0679280000000001E-2</v>
      </c>
      <c r="G22">
        <v>2.5658159999999999E-2</v>
      </c>
      <c r="H22" t="s">
        <v>65</v>
      </c>
      <c r="N22">
        <v>1.000504E-2</v>
      </c>
      <c r="O22" t="s">
        <v>65</v>
      </c>
      <c r="T22">
        <v>3.4694469519536142E-18</v>
      </c>
      <c r="U22">
        <f t="shared" si="0"/>
        <v>1.0000000000000001E-5</v>
      </c>
      <c r="AD22" s="26"/>
      <c r="AE22" s="26"/>
      <c r="AF22" s="26"/>
      <c r="AG22" s="24"/>
    </row>
    <row r="23" spans="4:69" x14ac:dyDescent="0.25">
      <c r="E23">
        <v>1.307608E-2</v>
      </c>
      <c r="F23">
        <v>1.8077360000000001E-2</v>
      </c>
      <c r="G23">
        <v>2.3077520000000001E-2</v>
      </c>
      <c r="H23">
        <v>2.807728E-2</v>
      </c>
      <c r="N23">
        <v>1.000144E-2</v>
      </c>
      <c r="O23">
        <v>9.9999199999999989E-3</v>
      </c>
      <c r="T23">
        <v>3.4694469519536142E-18</v>
      </c>
      <c r="U23">
        <f t="shared" si="0"/>
        <v>1.0000000000000001E-5</v>
      </c>
      <c r="AP23">
        <v>-1.5408799999999999E-3</v>
      </c>
      <c r="AQ23">
        <v>-1.547199999999999E-3</v>
      </c>
      <c r="AR23">
        <v>-1.5553599999999989E-3</v>
      </c>
    </row>
    <row r="24" spans="4:69" x14ac:dyDescent="0.25">
      <c r="E24">
        <v>1.461696E-2</v>
      </c>
      <c r="F24">
        <v>1.9624559999999999E-2</v>
      </c>
      <c r="G24">
        <v>2.4632879999999999E-2</v>
      </c>
      <c r="H24" t="s">
        <v>65</v>
      </c>
      <c r="N24">
        <v>1.0015919999999999E-2</v>
      </c>
      <c r="O24" t="s">
        <v>65</v>
      </c>
      <c r="T24">
        <v>3.4694469519536142E-18</v>
      </c>
      <c r="U24">
        <f t="shared" si="0"/>
        <v>1.0000000000000001E-5</v>
      </c>
    </row>
  </sheetData>
  <mergeCells count="9">
    <mergeCell ref="AO3:AO21"/>
    <mergeCell ref="AX3:AX21"/>
    <mergeCell ref="BH3:BH21"/>
    <mergeCell ref="A1:C2"/>
    <mergeCell ref="AG2:AH2"/>
    <mergeCell ref="L3:L20"/>
    <mergeCell ref="S3:S21"/>
    <mergeCell ref="AB3:AB21"/>
    <mergeCell ref="AI3:AI2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3EA2-B6A0-42C1-8C0F-A43D520F43E8}">
  <dimension ref="A4:AL26"/>
  <sheetViews>
    <sheetView topLeftCell="D1" workbookViewId="0">
      <selection activeCell="AK10" sqref="AK10"/>
    </sheetView>
  </sheetViews>
  <sheetFormatPr defaultRowHeight="15" x14ac:dyDescent="0.25"/>
  <cols>
    <col min="1" max="1" width="25.85546875" customWidth="1"/>
    <col min="2" max="2" width="26.5703125" customWidth="1"/>
    <col min="3" max="3" width="19.85546875" customWidth="1"/>
    <col min="4" max="4" width="18.7109375" customWidth="1"/>
    <col min="5" max="5" width="10.42578125" customWidth="1"/>
    <col min="6" max="6" width="10.28515625" customWidth="1"/>
    <col min="7" max="7" width="11.140625" customWidth="1"/>
    <col min="8" max="8" width="11.7109375" customWidth="1"/>
    <col min="9" max="9" width="35.42578125" customWidth="1"/>
    <col min="10" max="10" width="14.85546875" customWidth="1"/>
    <col min="13" max="13" width="12" bestFit="1" customWidth="1"/>
    <col min="14" max="14" width="12.85546875" customWidth="1"/>
    <col min="15" max="15" width="12" bestFit="1" customWidth="1"/>
    <col min="20" max="20" width="14.5703125" customWidth="1"/>
    <col min="21" max="21" width="12" bestFit="1" customWidth="1"/>
    <col min="25" max="25" width="18.28515625" customWidth="1"/>
    <col min="29" max="29" width="15" customWidth="1"/>
    <col min="30" max="30" width="13.5703125" customWidth="1"/>
    <col min="31" max="31" width="10.42578125" customWidth="1"/>
    <col min="32" max="32" width="11" customWidth="1"/>
    <col min="35" max="35" width="10.28515625" bestFit="1" customWidth="1"/>
    <col min="36" max="36" width="23.42578125" customWidth="1"/>
    <col min="37" max="37" width="21.42578125" customWidth="1"/>
    <col min="38" max="38" width="20.28515625" customWidth="1"/>
  </cols>
  <sheetData>
    <row r="4" spans="1:38" ht="58.5" customHeight="1" x14ac:dyDescent="0.25">
      <c r="A4" s="23" t="s">
        <v>261</v>
      </c>
      <c r="B4" s="1" t="s">
        <v>244</v>
      </c>
      <c r="C4" t="s">
        <v>256</v>
      </c>
      <c r="D4" t="s">
        <v>257</v>
      </c>
      <c r="E4" s="31" t="s">
        <v>262</v>
      </c>
      <c r="F4" s="23" t="s">
        <v>272</v>
      </c>
      <c r="G4" t="s">
        <v>219</v>
      </c>
      <c r="H4" t="s">
        <v>220</v>
      </c>
      <c r="I4" s="23" t="s">
        <v>273</v>
      </c>
      <c r="J4" s="31" t="s">
        <v>263</v>
      </c>
      <c r="K4" s="21" t="s">
        <v>258</v>
      </c>
      <c r="L4" s="21" t="s">
        <v>259</v>
      </c>
      <c r="M4" s="21" t="s">
        <v>260</v>
      </c>
      <c r="N4" s="23" t="s">
        <v>264</v>
      </c>
      <c r="O4" s="31" t="s">
        <v>265</v>
      </c>
      <c r="P4" s="42" t="s">
        <v>283</v>
      </c>
      <c r="Q4" s="43" t="s">
        <v>266</v>
      </c>
      <c r="R4" s="42" t="s">
        <v>267</v>
      </c>
      <c r="S4" s="43" t="s">
        <v>269</v>
      </c>
      <c r="T4" s="42" t="s">
        <v>282</v>
      </c>
      <c r="U4" s="44" t="s">
        <v>271</v>
      </c>
      <c r="V4" s="49" t="s">
        <v>281</v>
      </c>
      <c r="W4" s="62" t="s">
        <v>276</v>
      </c>
      <c r="X4" s="62"/>
      <c r="Y4" s="62"/>
      <c r="AC4" s="31" t="s">
        <v>285</v>
      </c>
      <c r="AD4" s="23" t="s">
        <v>277</v>
      </c>
      <c r="AE4" s="21" t="s">
        <v>278</v>
      </c>
      <c r="AF4" s="44" t="s">
        <v>271</v>
      </c>
      <c r="AG4" s="21" t="s">
        <v>279</v>
      </c>
      <c r="AH4" s="44" t="s">
        <v>274</v>
      </c>
      <c r="AI4" s="53" t="s">
        <v>280</v>
      </c>
      <c r="AJ4" s="62" t="s">
        <v>284</v>
      </c>
      <c r="AK4" s="62"/>
      <c r="AL4" s="62"/>
    </row>
    <row r="5" spans="1:38" x14ac:dyDescent="0.25">
      <c r="A5">
        <v>0.05</v>
      </c>
      <c r="B5" s="1" t="s">
        <v>245</v>
      </c>
      <c r="C5">
        <v>5.9</v>
      </c>
      <c r="D5">
        <v>1.1000000000000001</v>
      </c>
      <c r="E5">
        <f>+C5/D5</f>
        <v>5.3636363636363633</v>
      </c>
      <c r="F5" s="10">
        <f>+AVERAGE(E5:E22)</f>
        <v>5.2599912165129554</v>
      </c>
      <c r="G5">
        <f>+_xlfn.STDEV.S(E5:E22)/SQRT(18)</f>
        <v>2.8104736520203483E-2</v>
      </c>
      <c r="H5" s="10">
        <f>+SQRT((G5^2)+(A5^2))</f>
        <v>5.7357442541226156E-2</v>
      </c>
      <c r="I5" t="str">
        <f>F5 &amp; " ± " &amp; H5</f>
        <v>5,25999121651296 ± 0,0573574425412262</v>
      </c>
      <c r="K5">
        <f>+F5^2</f>
        <v>27.667507597793442</v>
      </c>
      <c r="L5">
        <f>(+'1Hz'!AJ3*2*PI())^2</f>
        <v>39.465620420072398</v>
      </c>
      <c r="M5">
        <f>+('1Hz'!BI3*'1Hz'!BI3)</f>
        <v>9.0805100189456871E-6</v>
      </c>
      <c r="N5" s="52">
        <f>+SQRT(K5/(1+(L5*M5)))</f>
        <v>5.2590489635951148</v>
      </c>
      <c r="P5">
        <f>+N5/F5</f>
        <v>0.99982086416515625</v>
      </c>
      <c r="Q5" s="10">
        <f>+H5</f>
        <v>5.7357442541226156E-2</v>
      </c>
      <c r="R5">
        <f>+((F5^3)*(SQRT(L5))*M5)/K5</f>
        <v>3.000576669375487E-4</v>
      </c>
      <c r="S5">
        <f>+(2+PI())*'1Hz'!AM3</f>
        <v>5.2168371890974237E-3</v>
      </c>
      <c r="T5">
        <f>+((F5^3)*(SQRT(M5))*L5)/K5</f>
        <v>0.62554574513960148</v>
      </c>
      <c r="U5">
        <f>+'1Hz'!BP3</f>
        <v>1.0338616662018253E-3</v>
      </c>
      <c r="V5" s="52">
        <f>+SQRT(((P5*Q5)^2)+((R5*S5)^2)+((T5*U5)^2))</f>
        <v>5.7350814381755412E-2</v>
      </c>
      <c r="W5" s="63" t="str">
        <f>N5 &amp; " ± " &amp; V5</f>
        <v>5,25904896359511 ± 0,0573508143817554</v>
      </c>
      <c r="X5" s="63"/>
      <c r="Y5" s="63"/>
      <c r="AD5" s="51">
        <f>+'1Hz'!BI3*N5</f>
        <v>1.5847557464527137E-2</v>
      </c>
      <c r="AE5">
        <f>+N5</f>
        <v>5.2590489635951148</v>
      </c>
      <c r="AF5">
        <f>+'1Hz'!BP3</f>
        <v>1.0338616662018253E-3</v>
      </c>
      <c r="AG5" s="50">
        <f>+'1Hz'!BI3</f>
        <v>3.0133884613414326E-3</v>
      </c>
      <c r="AH5" s="52">
        <f>+V5</f>
        <v>5.7350814381755412E-2</v>
      </c>
      <c r="AI5" s="39">
        <f>+SQRT(((AE5*AF5)^2)+((AG5*AH5)^2))</f>
        <v>5.4398749951209066E-3</v>
      </c>
      <c r="AJ5" s="64" t="str">
        <f>AD5 &amp; " ± " &amp; AI5</f>
        <v>0,0158475574645271 ± 0,00543987499512091</v>
      </c>
      <c r="AK5" s="64"/>
      <c r="AL5" s="64"/>
    </row>
    <row r="6" spans="1:38" x14ac:dyDescent="0.25">
      <c r="B6" s="1" t="s">
        <v>246</v>
      </c>
      <c r="C6">
        <v>5.9</v>
      </c>
      <c r="D6">
        <v>1.1000000000000001</v>
      </c>
      <c r="E6">
        <f t="shared" ref="E6:E22" si="0">+C6/D6</f>
        <v>5.3636363636363633</v>
      </c>
    </row>
    <row r="7" spans="1:38" x14ac:dyDescent="0.25">
      <c r="B7" s="1" t="s">
        <v>247</v>
      </c>
      <c r="C7">
        <v>5.9</v>
      </c>
      <c r="D7">
        <v>1.1000000000000001</v>
      </c>
      <c r="E7">
        <f t="shared" si="0"/>
        <v>5.3636363636363633</v>
      </c>
    </row>
    <row r="8" spans="1:38" x14ac:dyDescent="0.25">
      <c r="B8" s="1" t="s">
        <v>248</v>
      </c>
      <c r="C8">
        <v>5.9</v>
      </c>
      <c r="D8">
        <v>1.1000000000000001</v>
      </c>
      <c r="E8">
        <f t="shared" si="0"/>
        <v>5.3636363636363633</v>
      </c>
      <c r="AC8" s="65" t="s">
        <v>275</v>
      </c>
      <c r="AD8" s="65"/>
      <c r="AE8" s="65"/>
    </row>
    <row r="9" spans="1:38" x14ac:dyDescent="0.25">
      <c r="B9" s="1" t="s">
        <v>249</v>
      </c>
      <c r="C9">
        <v>5.9</v>
      </c>
      <c r="D9">
        <v>1.1499999999999999</v>
      </c>
      <c r="E9">
        <f t="shared" si="0"/>
        <v>5.1304347826086962</v>
      </c>
      <c r="AC9" s="65"/>
      <c r="AD9" s="65"/>
      <c r="AE9" s="65"/>
    </row>
    <row r="10" spans="1:38" x14ac:dyDescent="0.25">
      <c r="B10" s="1" t="s">
        <v>250</v>
      </c>
      <c r="C10">
        <v>5.9</v>
      </c>
      <c r="D10">
        <v>1.1499999999999999</v>
      </c>
      <c r="E10">
        <f t="shared" si="0"/>
        <v>5.1304347826086962</v>
      </c>
      <c r="AC10" s="65"/>
      <c r="AD10" s="65"/>
      <c r="AE10" s="65"/>
      <c r="AK10" s="46" t="s">
        <v>239</v>
      </c>
    </row>
    <row r="11" spans="1:38" x14ac:dyDescent="0.25">
      <c r="B11" s="1" t="s">
        <v>251</v>
      </c>
      <c r="C11">
        <v>5.9</v>
      </c>
      <c r="D11">
        <v>1.1499999999999999</v>
      </c>
      <c r="E11">
        <f t="shared" si="0"/>
        <v>5.1304347826086962</v>
      </c>
      <c r="AC11" s="65"/>
      <c r="AD11" s="65"/>
      <c r="AE11" s="65"/>
      <c r="AK11" s="47" t="s">
        <v>287</v>
      </c>
      <c r="AL11" s="39">
        <f>+AD5-(1.96*AI5)</f>
        <v>5.1854024740901599E-3</v>
      </c>
    </row>
    <row r="12" spans="1:38" x14ac:dyDescent="0.25">
      <c r="B12" s="1" t="s">
        <v>252</v>
      </c>
      <c r="C12">
        <v>5.9</v>
      </c>
      <c r="D12">
        <v>1.1499999999999999</v>
      </c>
      <c r="E12">
        <f t="shared" si="0"/>
        <v>5.1304347826086962</v>
      </c>
      <c r="AC12" s="65"/>
      <c r="AD12" s="65"/>
      <c r="AE12" s="65"/>
      <c r="AK12" s="48" t="s">
        <v>288</v>
      </c>
      <c r="AL12" s="39">
        <f>+AD5+(1.96*AI5)</f>
        <v>2.6509712454964113E-2</v>
      </c>
    </row>
    <row r="13" spans="1:38" x14ac:dyDescent="0.25">
      <c r="B13" s="1" t="s">
        <v>253</v>
      </c>
      <c r="C13">
        <v>5.9</v>
      </c>
      <c r="D13">
        <v>1.1499999999999999</v>
      </c>
      <c r="E13">
        <f t="shared" si="0"/>
        <v>5.1304347826086962</v>
      </c>
      <c r="AC13" s="65"/>
      <c r="AD13" s="65"/>
      <c r="AE13" s="65"/>
    </row>
    <row r="14" spans="1:38" x14ac:dyDescent="0.25">
      <c r="B14" s="1" t="s">
        <v>254</v>
      </c>
      <c r="C14">
        <v>5.9</v>
      </c>
      <c r="D14">
        <v>1.1000000000000001</v>
      </c>
      <c r="E14">
        <f>+C14/D14</f>
        <v>5.3636363636363633</v>
      </c>
      <c r="AC14" s="65"/>
      <c r="AD14" s="65"/>
      <c r="AE14" s="65"/>
    </row>
    <row r="15" spans="1:38" x14ac:dyDescent="0.25">
      <c r="B15" s="1" t="s">
        <v>255</v>
      </c>
      <c r="C15">
        <v>5.9</v>
      </c>
      <c r="D15">
        <v>1.1000000000000001</v>
      </c>
      <c r="E15">
        <f t="shared" si="0"/>
        <v>5.3636363636363633</v>
      </c>
      <c r="AC15" s="65"/>
      <c r="AD15" s="65"/>
      <c r="AE15" s="65"/>
    </row>
    <row r="16" spans="1:38" x14ac:dyDescent="0.25">
      <c r="C16">
        <v>5.9</v>
      </c>
      <c r="D16">
        <v>1.1000000000000001</v>
      </c>
      <c r="E16">
        <f t="shared" si="0"/>
        <v>5.3636363636363633</v>
      </c>
      <c r="AC16" s="65"/>
      <c r="AD16" s="65"/>
      <c r="AE16" s="65"/>
    </row>
    <row r="17" spans="3:31" x14ac:dyDescent="0.25">
      <c r="C17">
        <v>5.9</v>
      </c>
      <c r="D17">
        <v>1.1499999999999999</v>
      </c>
      <c r="E17">
        <f t="shared" si="0"/>
        <v>5.1304347826086962</v>
      </c>
      <c r="AC17" s="65"/>
      <c r="AD17" s="65"/>
      <c r="AE17" s="65"/>
    </row>
    <row r="18" spans="3:31" x14ac:dyDescent="0.25">
      <c r="C18">
        <v>5.9</v>
      </c>
      <c r="D18">
        <v>1.1000000000000001</v>
      </c>
      <c r="E18">
        <f t="shared" si="0"/>
        <v>5.3636363636363633</v>
      </c>
    </row>
    <row r="19" spans="3:31" x14ac:dyDescent="0.25">
      <c r="C19">
        <v>5.9</v>
      </c>
      <c r="D19">
        <v>1.1499999999999999</v>
      </c>
      <c r="E19">
        <f t="shared" si="0"/>
        <v>5.1304347826086962</v>
      </c>
    </row>
    <row r="20" spans="3:31" x14ac:dyDescent="0.25">
      <c r="C20">
        <v>5.9</v>
      </c>
      <c r="D20">
        <v>1.1499999999999999</v>
      </c>
      <c r="E20">
        <f t="shared" si="0"/>
        <v>5.1304347826086962</v>
      </c>
    </row>
    <row r="21" spans="3:31" ht="15" customHeight="1" x14ac:dyDescent="0.25">
      <c r="C21">
        <v>5.9</v>
      </c>
      <c r="D21">
        <v>1.1000000000000001</v>
      </c>
      <c r="E21">
        <f t="shared" si="0"/>
        <v>5.3636363636363633</v>
      </c>
      <c r="H21" s="61" t="s">
        <v>270</v>
      </c>
      <c r="I21" s="61"/>
      <c r="J21" s="61"/>
      <c r="K21" s="61"/>
      <c r="L21" s="61"/>
    </row>
    <row r="22" spans="3:31" x14ac:dyDescent="0.25">
      <c r="C22">
        <v>5.9</v>
      </c>
      <c r="D22">
        <v>1.1000000000000001</v>
      </c>
      <c r="E22">
        <f t="shared" si="0"/>
        <v>5.3636363636363633</v>
      </c>
      <c r="H22" s="61"/>
      <c r="I22" s="61"/>
      <c r="J22" s="61"/>
      <c r="K22" s="61"/>
      <c r="L22" s="61"/>
    </row>
    <row r="23" spans="3:31" x14ac:dyDescent="0.25">
      <c r="H23" s="61"/>
      <c r="I23" s="61"/>
      <c r="J23" s="61"/>
      <c r="K23" s="61"/>
      <c r="L23" s="61"/>
    </row>
    <row r="24" spans="3:31" x14ac:dyDescent="0.25">
      <c r="H24" s="61"/>
      <c r="I24" s="61"/>
      <c r="J24" s="61"/>
      <c r="K24" s="61"/>
      <c r="L24" s="61"/>
    </row>
    <row r="25" spans="3:31" x14ac:dyDescent="0.25">
      <c r="H25" s="61"/>
      <c r="I25" s="61"/>
      <c r="J25" s="61"/>
      <c r="K25" s="61"/>
      <c r="L25" s="61"/>
    </row>
    <row r="26" spans="3:31" x14ac:dyDescent="0.25">
      <c r="H26" s="61"/>
      <c r="I26" s="61"/>
      <c r="J26" s="61"/>
      <c r="K26" s="61"/>
      <c r="L26" s="61"/>
    </row>
  </sheetData>
  <mergeCells count="6">
    <mergeCell ref="H21:L26"/>
    <mergeCell ref="W4:Y4"/>
    <mergeCell ref="AJ4:AL4"/>
    <mergeCell ref="W5:Y5"/>
    <mergeCell ref="AJ5:AL5"/>
    <mergeCell ref="AC8:AE1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7B19-E960-4FA2-824E-8C4B6A01AA28}">
  <dimension ref="A4:AO26"/>
  <sheetViews>
    <sheetView topLeftCell="S1" workbookViewId="0">
      <selection activeCell="B26" sqref="B26"/>
    </sheetView>
  </sheetViews>
  <sheetFormatPr defaultRowHeight="15" x14ac:dyDescent="0.25"/>
  <cols>
    <col min="1" max="1" width="25.85546875" customWidth="1"/>
    <col min="2" max="2" width="26.5703125" customWidth="1"/>
    <col min="3" max="3" width="19.85546875" customWidth="1"/>
    <col min="4" max="4" width="18.7109375" customWidth="1"/>
    <col min="5" max="5" width="10.42578125" customWidth="1"/>
    <col min="6" max="6" width="10.28515625" customWidth="1"/>
    <col min="7" max="7" width="11.140625" customWidth="1"/>
    <col min="8" max="8" width="11.7109375" customWidth="1"/>
    <col min="9" max="9" width="35.42578125" customWidth="1"/>
    <col min="10" max="10" width="14.85546875" customWidth="1"/>
    <col min="13" max="13" width="12" bestFit="1" customWidth="1"/>
    <col min="14" max="14" width="12.85546875" customWidth="1"/>
    <col min="15" max="15" width="12" bestFit="1" customWidth="1"/>
    <col min="20" max="20" width="14.5703125" customWidth="1"/>
    <col min="21" max="21" width="12" bestFit="1" customWidth="1"/>
    <col min="25" max="25" width="18.28515625" customWidth="1"/>
    <col min="29" max="29" width="15" customWidth="1"/>
    <col min="30" max="30" width="13.5703125" customWidth="1"/>
    <col min="31" max="31" width="10.42578125" customWidth="1"/>
    <col min="32" max="32" width="11" customWidth="1"/>
    <col min="35" max="35" width="10.28515625" bestFit="1" customWidth="1"/>
    <col min="36" max="36" width="23.42578125" customWidth="1"/>
    <col min="37" max="37" width="20.85546875" customWidth="1"/>
    <col min="38" max="38" width="17" customWidth="1"/>
  </cols>
  <sheetData>
    <row r="4" spans="1:41" ht="58.5" customHeight="1" x14ac:dyDescent="0.25">
      <c r="A4" s="23" t="s">
        <v>261</v>
      </c>
      <c r="B4" s="1" t="s">
        <v>244</v>
      </c>
      <c r="C4" t="s">
        <v>256</v>
      </c>
      <c r="D4" t="s">
        <v>257</v>
      </c>
      <c r="E4" s="31" t="s">
        <v>262</v>
      </c>
      <c r="F4" s="23" t="s">
        <v>272</v>
      </c>
      <c r="G4" t="s">
        <v>219</v>
      </c>
      <c r="H4" t="s">
        <v>220</v>
      </c>
      <c r="I4" s="23" t="s">
        <v>273</v>
      </c>
      <c r="J4" s="31" t="s">
        <v>263</v>
      </c>
      <c r="K4" s="21" t="s">
        <v>258</v>
      </c>
      <c r="L4" s="21" t="s">
        <v>259</v>
      </c>
      <c r="M4" s="21" t="s">
        <v>260</v>
      </c>
      <c r="N4" s="23" t="s">
        <v>264</v>
      </c>
      <c r="O4" s="31" t="s">
        <v>265</v>
      </c>
      <c r="P4" s="42" t="s">
        <v>283</v>
      </c>
      <c r="Q4" s="43" t="s">
        <v>266</v>
      </c>
      <c r="R4" s="42" t="s">
        <v>267</v>
      </c>
      <c r="S4" s="43" t="s">
        <v>269</v>
      </c>
      <c r="T4" s="42" t="s">
        <v>282</v>
      </c>
      <c r="U4" s="44" t="s">
        <v>271</v>
      </c>
      <c r="V4" s="49" t="s">
        <v>281</v>
      </c>
      <c r="W4" s="62" t="s">
        <v>276</v>
      </c>
      <c r="X4" s="62"/>
      <c r="Y4" s="62"/>
      <c r="AC4" s="31" t="s">
        <v>285</v>
      </c>
      <c r="AD4" s="23" t="s">
        <v>277</v>
      </c>
      <c r="AE4" s="21" t="s">
        <v>278</v>
      </c>
      <c r="AF4" s="44" t="s">
        <v>271</v>
      </c>
      <c r="AG4" s="21" t="s">
        <v>279</v>
      </c>
      <c r="AH4" s="44" t="s">
        <v>274</v>
      </c>
      <c r="AI4" s="53" t="s">
        <v>280</v>
      </c>
      <c r="AJ4" s="62" t="s">
        <v>284</v>
      </c>
      <c r="AK4" s="62"/>
      <c r="AL4" s="62"/>
    </row>
    <row r="5" spans="1:41" x14ac:dyDescent="0.25">
      <c r="A5">
        <v>0.05</v>
      </c>
      <c r="B5" s="1" t="s">
        <v>245</v>
      </c>
      <c r="C5">
        <v>5.9</v>
      </c>
      <c r="D5">
        <v>1.1499999999999999</v>
      </c>
      <c r="E5">
        <f>+C5/D5</f>
        <v>5.1304347826086962</v>
      </c>
      <c r="F5" s="10">
        <f>+AVERAGE(E5:E20)</f>
        <v>5.2103507905138349</v>
      </c>
      <c r="G5">
        <f>+_xlfn.STDEV.S(E5:E20)/SQRT(16)</f>
        <v>3.0993645881320312E-2</v>
      </c>
      <c r="H5" s="10">
        <f>+SQRT((G5^2)+(A5^2))</f>
        <v>5.8826916331018782E-2</v>
      </c>
      <c r="I5" t="str">
        <f>F5 &amp; " ± " &amp; H5</f>
        <v>5,21035079051383 ± 0,0588269163310188</v>
      </c>
      <c r="K5">
        <f>+F5^2</f>
        <v>27.147755360208144</v>
      </c>
      <c r="L5">
        <f>(+'5Hz'!AJ3*2*PI())^2</f>
        <v>984.94061508481059</v>
      </c>
      <c r="M5">
        <f>+('5Hz'!BI3*'5Hz'!BI3)</f>
        <v>2.1211053932412222E-6</v>
      </c>
      <c r="N5" s="52">
        <f>+SQRT(K5/(1+(L5*M5)))</f>
        <v>5.2049166679529826</v>
      </c>
      <c r="P5">
        <f>+N5/F5</f>
        <v>0.99895705245590261</v>
      </c>
      <c r="Q5" s="10">
        <f>+H5</f>
        <v>5.8826916331018782E-2</v>
      </c>
      <c r="R5">
        <f>+((F5^3)*(SQRT(L5))*M5)/K5</f>
        <v>3.4684403896672651E-4</v>
      </c>
      <c r="S5">
        <f>+(2+PI())*'5Hz'!AM3</f>
        <v>2.5991089085415874E-2</v>
      </c>
      <c r="T5">
        <f>+((F5^3)*(SQRT(M5))*L5)/K5</f>
        <v>7.4740867447785799</v>
      </c>
      <c r="U5">
        <f>+'5Hz'!BP3</f>
        <v>2.0912910748541752E-4</v>
      </c>
      <c r="V5" s="52">
        <f>+SQRT(((P5*Q5)^2)+((R5*S5)^2)+((T5*U5)^2))</f>
        <v>5.8786346984193244E-2</v>
      </c>
      <c r="W5" s="63" t="str">
        <f>N5 &amp; " ± " &amp; V5</f>
        <v>5,20491666795298 ± 0,0587863469841932</v>
      </c>
      <c r="X5" s="63"/>
      <c r="Y5" s="63"/>
      <c r="AD5" s="51">
        <f>+'5Hz'!BI3*N5</f>
        <v>7.5804485570136011E-3</v>
      </c>
      <c r="AE5">
        <f>+N5</f>
        <v>5.2049166679529826</v>
      </c>
      <c r="AF5">
        <f>+'5Hz'!BP3</f>
        <v>2.0912910748541752E-4</v>
      </c>
      <c r="AG5" s="50">
        <f>+'5Hz'!BI3</f>
        <v>1.4564015219853425E-3</v>
      </c>
      <c r="AH5" s="52">
        <f>+V5</f>
        <v>5.8786346984193244E-2</v>
      </c>
      <c r="AI5" s="39">
        <f>+SQRT(((AE5*AF5)^2)+((AG5*AH5)^2))</f>
        <v>1.0918614926737837E-3</v>
      </c>
      <c r="AJ5" s="64" t="str">
        <f>AD5 &amp; " ± " &amp; AI5</f>
        <v>0,0075804485570136 ± 0,00109186149267378</v>
      </c>
      <c r="AK5" s="64"/>
      <c r="AL5" s="64"/>
    </row>
    <row r="6" spans="1:41" x14ac:dyDescent="0.25">
      <c r="B6" s="1" t="s">
        <v>246</v>
      </c>
      <c r="C6">
        <v>5.9</v>
      </c>
      <c r="D6">
        <v>1.1000000000000001</v>
      </c>
      <c r="E6">
        <f t="shared" ref="E6:E20" si="0">+C6/D6</f>
        <v>5.3636363636363633</v>
      </c>
    </row>
    <row r="7" spans="1:41" x14ac:dyDescent="0.25">
      <c r="B7" s="1" t="s">
        <v>247</v>
      </c>
      <c r="C7">
        <v>5.85</v>
      </c>
      <c r="D7">
        <v>1.1000000000000001</v>
      </c>
      <c r="E7">
        <f t="shared" si="0"/>
        <v>5.3181818181818175</v>
      </c>
    </row>
    <row r="8" spans="1:41" x14ac:dyDescent="0.25">
      <c r="B8" s="1" t="s">
        <v>248</v>
      </c>
      <c r="C8">
        <v>5.85</v>
      </c>
      <c r="D8">
        <v>1.1499999999999999</v>
      </c>
      <c r="E8">
        <f t="shared" si="0"/>
        <v>5.0869565217391308</v>
      </c>
      <c r="AC8" s="65" t="s">
        <v>275</v>
      </c>
      <c r="AD8" s="65"/>
      <c r="AE8" s="65"/>
    </row>
    <row r="9" spans="1:41" x14ac:dyDescent="0.25">
      <c r="B9" s="1" t="s">
        <v>249</v>
      </c>
      <c r="C9">
        <v>5.9</v>
      </c>
      <c r="D9">
        <v>1.1000000000000001</v>
      </c>
      <c r="E9">
        <f t="shared" si="0"/>
        <v>5.3636363636363633</v>
      </c>
      <c r="AC9" s="65"/>
      <c r="AD9" s="65"/>
      <c r="AE9" s="65"/>
    </row>
    <row r="10" spans="1:41" x14ac:dyDescent="0.25">
      <c r="B10" s="1" t="s">
        <v>250</v>
      </c>
      <c r="C10">
        <v>5.85</v>
      </c>
      <c r="D10">
        <v>1.1499999999999999</v>
      </c>
      <c r="E10">
        <f t="shared" si="0"/>
        <v>5.0869565217391308</v>
      </c>
      <c r="AC10" s="65"/>
      <c r="AD10" s="65"/>
      <c r="AE10" s="65"/>
      <c r="AK10" s="66" t="s">
        <v>286</v>
      </c>
      <c r="AL10" s="66"/>
      <c r="AM10" s="66"/>
      <c r="AN10" s="66"/>
      <c r="AO10" s="66"/>
    </row>
    <row r="11" spans="1:41" x14ac:dyDescent="0.25">
      <c r="B11" s="1" t="s">
        <v>251</v>
      </c>
      <c r="C11">
        <v>5.9</v>
      </c>
      <c r="D11">
        <v>1.1499999999999999</v>
      </c>
      <c r="E11">
        <f t="shared" si="0"/>
        <v>5.1304347826086962</v>
      </c>
      <c r="AC11" s="65"/>
      <c r="AD11" s="65"/>
      <c r="AE11" s="65"/>
      <c r="AK11" s="66"/>
      <c r="AL11" s="66"/>
      <c r="AM11" s="66"/>
      <c r="AN11" s="66"/>
      <c r="AO11" s="66"/>
    </row>
    <row r="12" spans="1:41" x14ac:dyDescent="0.25">
      <c r="B12" s="1" t="s">
        <v>252</v>
      </c>
      <c r="C12">
        <v>5.9</v>
      </c>
      <c r="D12">
        <v>1.1000000000000001</v>
      </c>
      <c r="E12">
        <f t="shared" si="0"/>
        <v>5.3636363636363633</v>
      </c>
      <c r="AC12" s="65"/>
      <c r="AD12" s="65"/>
      <c r="AE12" s="65"/>
      <c r="AK12" s="66"/>
      <c r="AL12" s="66"/>
      <c r="AM12" s="66"/>
      <c r="AN12" s="66"/>
      <c r="AO12" s="66"/>
    </row>
    <row r="13" spans="1:41" x14ac:dyDescent="0.25">
      <c r="B13" s="1" t="s">
        <v>253</v>
      </c>
      <c r="C13">
        <v>5.9</v>
      </c>
      <c r="D13">
        <v>1.1000000000000001</v>
      </c>
      <c r="E13">
        <f t="shared" si="0"/>
        <v>5.3636363636363633</v>
      </c>
      <c r="AC13" s="65"/>
      <c r="AD13" s="65"/>
      <c r="AE13" s="65"/>
      <c r="AK13" s="66"/>
      <c r="AL13" s="66"/>
      <c r="AM13" s="66"/>
      <c r="AN13" s="66"/>
      <c r="AO13" s="66"/>
    </row>
    <row r="14" spans="1:41" x14ac:dyDescent="0.25">
      <c r="B14" s="1" t="s">
        <v>254</v>
      </c>
      <c r="C14">
        <v>5.85</v>
      </c>
      <c r="D14">
        <v>1.1499999999999999</v>
      </c>
      <c r="E14">
        <f t="shared" si="0"/>
        <v>5.0869565217391308</v>
      </c>
      <c r="AC14" s="65"/>
      <c r="AD14" s="65"/>
      <c r="AE14" s="65"/>
      <c r="AK14" s="66"/>
      <c r="AL14" s="66"/>
      <c r="AM14" s="66"/>
      <c r="AN14" s="66"/>
      <c r="AO14" s="66"/>
    </row>
    <row r="15" spans="1:41" x14ac:dyDescent="0.25">
      <c r="B15" s="1" t="s">
        <v>255</v>
      </c>
      <c r="C15">
        <v>5.85</v>
      </c>
      <c r="D15">
        <v>1.1000000000000001</v>
      </c>
      <c r="E15">
        <f t="shared" si="0"/>
        <v>5.3181818181818175</v>
      </c>
      <c r="AC15" s="65"/>
      <c r="AD15" s="65"/>
      <c r="AE15" s="65"/>
      <c r="AK15" s="66"/>
      <c r="AL15" s="66"/>
      <c r="AM15" s="66"/>
      <c r="AN15" s="66"/>
      <c r="AO15" s="66"/>
    </row>
    <row r="16" spans="1:41" x14ac:dyDescent="0.25">
      <c r="C16">
        <v>5.85</v>
      </c>
      <c r="D16">
        <v>1.1499999999999999</v>
      </c>
      <c r="E16">
        <f t="shared" si="0"/>
        <v>5.0869565217391308</v>
      </c>
      <c r="AC16" s="65"/>
      <c r="AD16" s="65"/>
      <c r="AE16" s="65"/>
    </row>
    <row r="17" spans="3:38" x14ac:dyDescent="0.25">
      <c r="C17">
        <v>5.85</v>
      </c>
      <c r="D17">
        <v>1.1499999999999999</v>
      </c>
      <c r="E17">
        <f t="shared" si="0"/>
        <v>5.0869565217391308</v>
      </c>
      <c r="AC17" s="65"/>
      <c r="AD17" s="65"/>
      <c r="AE17" s="65"/>
      <c r="AK17" s="46" t="s">
        <v>239</v>
      </c>
    </row>
    <row r="18" spans="3:38" x14ac:dyDescent="0.25">
      <c r="C18">
        <v>5.9</v>
      </c>
      <c r="D18">
        <v>1.1499999999999999</v>
      </c>
      <c r="E18">
        <f t="shared" si="0"/>
        <v>5.1304347826086962</v>
      </c>
      <c r="AK18" s="47" t="s">
        <v>287</v>
      </c>
      <c r="AL18" s="39">
        <f>+AD5-(1.96*AI5)</f>
        <v>5.4404000313729856E-3</v>
      </c>
    </row>
    <row r="19" spans="3:38" x14ac:dyDescent="0.25">
      <c r="C19">
        <v>5.85</v>
      </c>
      <c r="D19">
        <v>1.1000000000000001</v>
      </c>
      <c r="E19">
        <f t="shared" si="0"/>
        <v>5.3181818181818175</v>
      </c>
      <c r="AK19" s="48" t="s">
        <v>288</v>
      </c>
      <c r="AL19" s="39">
        <f>+AD5+(1.96*AI5)</f>
        <v>9.7204970826542166E-3</v>
      </c>
    </row>
    <row r="20" spans="3:38" x14ac:dyDescent="0.25">
      <c r="C20">
        <v>5.9</v>
      </c>
      <c r="D20">
        <v>1.1499999999999999</v>
      </c>
      <c r="E20">
        <f t="shared" si="0"/>
        <v>5.1304347826086962</v>
      </c>
    </row>
    <row r="21" spans="3:38" ht="15" customHeight="1" x14ac:dyDescent="0.25">
      <c r="H21" s="61" t="s">
        <v>270</v>
      </c>
      <c r="I21" s="61"/>
      <c r="J21" s="61"/>
      <c r="K21" s="61"/>
      <c r="L21" s="61"/>
    </row>
    <row r="22" spans="3:38" x14ac:dyDescent="0.25">
      <c r="H22" s="61"/>
      <c r="I22" s="61"/>
      <c r="J22" s="61"/>
      <c r="K22" s="61"/>
      <c r="L22" s="61"/>
    </row>
    <row r="23" spans="3:38" x14ac:dyDescent="0.25">
      <c r="H23" s="61"/>
      <c r="I23" s="61"/>
      <c r="J23" s="61"/>
      <c r="K23" s="61"/>
      <c r="L23" s="61"/>
    </row>
    <row r="24" spans="3:38" x14ac:dyDescent="0.25">
      <c r="H24" s="61"/>
      <c r="I24" s="61"/>
      <c r="J24" s="61"/>
      <c r="K24" s="61"/>
      <c r="L24" s="61"/>
    </row>
    <row r="25" spans="3:38" x14ac:dyDescent="0.25">
      <c r="H25" s="61"/>
      <c r="I25" s="61"/>
      <c r="J25" s="61"/>
      <c r="K25" s="61"/>
      <c r="L25" s="61"/>
    </row>
    <row r="26" spans="3:38" x14ac:dyDescent="0.25">
      <c r="H26" s="61"/>
      <c r="I26" s="61"/>
      <c r="J26" s="61"/>
      <c r="K26" s="61"/>
      <c r="L26" s="61"/>
    </row>
  </sheetData>
  <mergeCells count="7">
    <mergeCell ref="H21:L26"/>
    <mergeCell ref="AK10:AO15"/>
    <mergeCell ref="W4:Y4"/>
    <mergeCell ref="AJ4:AL4"/>
    <mergeCell ref="W5:Y5"/>
    <mergeCell ref="AJ5:AL5"/>
    <mergeCell ref="AC8:AE1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748F-CCEB-43B4-9E71-2FEAD0D1BD06}">
  <dimension ref="A4:AL26"/>
  <sheetViews>
    <sheetView topLeftCell="M1" workbookViewId="0">
      <selection activeCell="AC29" sqref="AC29"/>
    </sheetView>
  </sheetViews>
  <sheetFormatPr defaultRowHeight="15" x14ac:dyDescent="0.25"/>
  <cols>
    <col min="1" max="1" width="25.85546875" customWidth="1"/>
    <col min="2" max="2" width="26.5703125" customWidth="1"/>
    <col min="3" max="3" width="19.85546875" customWidth="1"/>
    <col min="4" max="4" width="18.7109375" customWidth="1"/>
    <col min="5" max="5" width="10.42578125" customWidth="1"/>
    <col min="6" max="6" width="10.28515625" customWidth="1"/>
    <col min="7" max="7" width="11.140625" customWidth="1"/>
    <col min="8" max="8" width="11.7109375" customWidth="1"/>
    <col min="9" max="9" width="35.42578125" customWidth="1"/>
    <col min="10" max="10" width="14.85546875" customWidth="1"/>
    <col min="13" max="13" width="12" bestFit="1" customWidth="1"/>
    <col min="14" max="14" width="12.85546875" customWidth="1"/>
    <col min="15" max="15" width="12" bestFit="1" customWidth="1"/>
    <col min="20" max="20" width="14.5703125" customWidth="1"/>
    <col min="21" max="21" width="12" bestFit="1" customWidth="1"/>
    <col min="25" max="25" width="18.28515625" customWidth="1"/>
    <col min="29" max="29" width="15" customWidth="1"/>
    <col min="30" max="30" width="13.5703125" customWidth="1"/>
    <col min="31" max="31" width="10.42578125" customWidth="1"/>
    <col min="32" max="32" width="11" customWidth="1"/>
    <col min="35" max="35" width="10.28515625" bestFit="1" customWidth="1"/>
    <col min="36" max="36" width="23.42578125" customWidth="1"/>
    <col min="37" max="37" width="21.42578125" customWidth="1"/>
    <col min="38" max="38" width="16.5703125" customWidth="1"/>
  </cols>
  <sheetData>
    <row r="4" spans="1:38" ht="58.5" customHeight="1" x14ac:dyDescent="0.25">
      <c r="A4" s="23" t="s">
        <v>261</v>
      </c>
      <c r="B4" s="1" t="s">
        <v>244</v>
      </c>
      <c r="C4" t="s">
        <v>256</v>
      </c>
      <c r="D4" t="s">
        <v>257</v>
      </c>
      <c r="E4" s="31" t="s">
        <v>262</v>
      </c>
      <c r="F4" s="23" t="s">
        <v>272</v>
      </c>
      <c r="G4" t="s">
        <v>219</v>
      </c>
      <c r="H4" t="s">
        <v>220</v>
      </c>
      <c r="I4" s="23" t="s">
        <v>273</v>
      </c>
      <c r="J4" s="31" t="s">
        <v>263</v>
      </c>
      <c r="K4" s="21" t="s">
        <v>258</v>
      </c>
      <c r="L4" s="21" t="s">
        <v>259</v>
      </c>
      <c r="M4" s="21" t="s">
        <v>260</v>
      </c>
      <c r="N4" s="23" t="s">
        <v>264</v>
      </c>
      <c r="O4" s="31" t="s">
        <v>265</v>
      </c>
      <c r="P4" s="42" t="s">
        <v>283</v>
      </c>
      <c r="Q4" s="43" t="s">
        <v>266</v>
      </c>
      <c r="R4" s="42" t="s">
        <v>267</v>
      </c>
      <c r="S4" s="43" t="s">
        <v>269</v>
      </c>
      <c r="T4" s="42" t="s">
        <v>282</v>
      </c>
      <c r="U4" s="44" t="s">
        <v>271</v>
      </c>
      <c r="V4" s="49" t="s">
        <v>281</v>
      </c>
      <c r="W4" s="62" t="s">
        <v>276</v>
      </c>
      <c r="X4" s="62"/>
      <c r="Y4" s="62"/>
      <c r="AC4" s="31" t="s">
        <v>285</v>
      </c>
      <c r="AD4" s="23" t="s">
        <v>277</v>
      </c>
      <c r="AE4" s="21" t="s">
        <v>278</v>
      </c>
      <c r="AF4" s="44" t="s">
        <v>271</v>
      </c>
      <c r="AG4" s="21" t="s">
        <v>279</v>
      </c>
      <c r="AH4" s="44" t="s">
        <v>274</v>
      </c>
      <c r="AI4" s="49" t="s">
        <v>280</v>
      </c>
      <c r="AJ4" s="62" t="s">
        <v>284</v>
      </c>
      <c r="AK4" s="62"/>
      <c r="AL4" s="62"/>
    </row>
    <row r="5" spans="1:38" x14ac:dyDescent="0.25">
      <c r="A5">
        <v>0.05</v>
      </c>
      <c r="B5" s="1"/>
      <c r="C5">
        <v>6.05</v>
      </c>
      <c r="D5">
        <v>1.1000000000000001</v>
      </c>
      <c r="E5">
        <f>+C5/D5</f>
        <v>5.4999999999999991</v>
      </c>
      <c r="F5" s="10">
        <f>+AVERAGE(E5:E18)</f>
        <v>5.3886222473178984</v>
      </c>
      <c r="G5">
        <f>+_xlfn.STDEV.S(E5:E18)/SQRT(14)</f>
        <v>3.277271499102366E-2</v>
      </c>
      <c r="H5" s="10">
        <f>+SQRT((G5^2)+(A5^2))</f>
        <v>5.9783365979868247E-2</v>
      </c>
      <c r="I5" t="str">
        <f>F5 &amp; " ± " &amp; H5</f>
        <v>5,3886222473179 ± 0,0597833659798682</v>
      </c>
      <c r="K5">
        <f>+F5^2</f>
        <v>29.037249724289399</v>
      </c>
      <c r="L5">
        <f>(+'20Hz'!AJ3*2*PI())^2</f>
        <v>15797.425721330152</v>
      </c>
      <c r="M5">
        <f>+('20Hz'!BI3*'100Hz'!BI3)</f>
        <v>5.1761526917509499E-6</v>
      </c>
      <c r="N5" s="52">
        <f>+SQRT(K5/(1+(L5*M5)))</f>
        <v>5.180960672911926</v>
      </c>
      <c r="P5">
        <f>+N5/F5</f>
        <v>0.96146295567306972</v>
      </c>
      <c r="Q5" s="10">
        <f>+H5</f>
        <v>5.9783365979868247E-2</v>
      </c>
      <c r="R5">
        <f>+((F5^3)*(SQRT(L5))*M5)/K5</f>
        <v>3.5057260837428102E-3</v>
      </c>
      <c r="S5">
        <f>+(2+PI())*'20Hz'!AM3</f>
        <v>0.1068702972142814</v>
      </c>
      <c r="T5">
        <f>+((F5^3)*(SQRT(M5))*L5)/K5</f>
        <v>193.67234068085867</v>
      </c>
      <c r="U5">
        <f>+'20Hz'!BP3</f>
        <v>6.0473260011868503E-5</v>
      </c>
      <c r="V5" s="52">
        <f>+SQRT(((P5*Q5)^2)+((R5*S5)^2)+((T5*U5)^2))</f>
        <v>5.8661769781115779E-2</v>
      </c>
      <c r="W5" s="63" t="str">
        <f>N5 &amp; " ± " &amp; V5</f>
        <v>5,18096067291193 ± 0,0586617697811158</v>
      </c>
      <c r="X5" s="63"/>
      <c r="Y5" s="63"/>
      <c r="AD5" s="51">
        <f>+'20Hz'!BI3*N5</f>
        <v>1.1480075577803691E-2</v>
      </c>
      <c r="AE5">
        <f>+N5</f>
        <v>5.180960672911926</v>
      </c>
      <c r="AF5">
        <f>+'20Hz'!BP3</f>
        <v>6.0473260011868503E-5</v>
      </c>
      <c r="AG5" s="50">
        <f>+'20Hz'!BI3</f>
        <v>2.2158198648034493E-3</v>
      </c>
      <c r="AH5" s="52">
        <f>+V5</f>
        <v>5.8661769781115779E-2</v>
      </c>
      <c r="AI5" s="39">
        <f>+SQRT(((AE5*AF5)^2)+((AG5*AH5)^2))</f>
        <v>3.3920305453144874E-4</v>
      </c>
      <c r="AJ5" s="64" t="str">
        <f>AD5 &amp; " ± " &amp; AI5</f>
        <v>0,0114800755778037 ± 0,000339203054531449</v>
      </c>
      <c r="AK5" s="64"/>
      <c r="AL5" s="64"/>
    </row>
    <row r="6" spans="1:38" x14ac:dyDescent="0.25">
      <c r="B6" s="1"/>
      <c r="C6">
        <v>6.1</v>
      </c>
      <c r="D6">
        <v>1.1000000000000001</v>
      </c>
      <c r="E6">
        <f t="shared" ref="E6:E18" si="0">+C6/D6</f>
        <v>5.545454545454545</v>
      </c>
      <c r="Q6">
        <f>+P5*Q5</f>
        <v>5.7479491755088971E-2</v>
      </c>
      <c r="S6">
        <f>+R5*S5</f>
        <v>3.7465798852145287E-4</v>
      </c>
      <c r="U6">
        <f>+T5*U5</f>
        <v>1.1711997815100744E-2</v>
      </c>
      <c r="AF6">
        <f>+AE5*AF5</f>
        <v>3.133095818842681E-4</v>
      </c>
      <c r="AH6">
        <f>+AG5*AH5</f>
        <v>1.2998391478552304E-4</v>
      </c>
    </row>
    <row r="7" spans="1:38" x14ac:dyDescent="0.25">
      <c r="B7" s="1"/>
      <c r="C7">
        <v>6.1</v>
      </c>
      <c r="D7">
        <v>1.1000000000000001</v>
      </c>
      <c r="E7">
        <f t="shared" si="0"/>
        <v>5.545454545454545</v>
      </c>
    </row>
    <row r="8" spans="1:38" x14ac:dyDescent="0.25">
      <c r="B8" s="1"/>
      <c r="C8">
        <v>6.05</v>
      </c>
      <c r="D8">
        <v>1.1000000000000001</v>
      </c>
      <c r="E8">
        <f t="shared" si="0"/>
        <v>5.4999999999999991</v>
      </c>
      <c r="AC8" s="65" t="s">
        <v>275</v>
      </c>
      <c r="AD8" s="65"/>
      <c r="AE8" s="65"/>
    </row>
    <row r="9" spans="1:38" x14ac:dyDescent="0.25">
      <c r="B9" s="1"/>
      <c r="C9">
        <v>6.05</v>
      </c>
      <c r="D9">
        <v>1.1499999999999999</v>
      </c>
      <c r="E9">
        <f t="shared" si="0"/>
        <v>5.2608695652173916</v>
      </c>
      <c r="AC9" s="65"/>
      <c r="AD9" s="65"/>
      <c r="AE9" s="65"/>
    </row>
    <row r="10" spans="1:38" x14ac:dyDescent="0.25">
      <c r="B10" s="1"/>
      <c r="C10">
        <v>6.1</v>
      </c>
      <c r="D10">
        <v>1.1499999999999999</v>
      </c>
      <c r="E10">
        <f t="shared" si="0"/>
        <v>5.304347826086957</v>
      </c>
      <c r="AC10" s="65"/>
      <c r="AD10" s="65"/>
      <c r="AE10" s="65"/>
      <c r="AK10" s="46" t="s">
        <v>239</v>
      </c>
    </row>
    <row r="11" spans="1:38" x14ac:dyDescent="0.25">
      <c r="B11" s="1"/>
      <c r="C11">
        <v>6.1</v>
      </c>
      <c r="D11">
        <v>1.1499999999999999</v>
      </c>
      <c r="E11">
        <f t="shared" si="0"/>
        <v>5.304347826086957</v>
      </c>
      <c r="AC11" s="65"/>
      <c r="AD11" s="65"/>
      <c r="AE11" s="65"/>
      <c r="AK11" s="47" t="s">
        <v>287</v>
      </c>
      <c r="AL11" s="39">
        <f>+AD5-(1.96*AI5)</f>
        <v>1.0815237590922053E-2</v>
      </c>
    </row>
    <row r="12" spans="1:38" x14ac:dyDescent="0.25">
      <c r="B12" s="1"/>
      <c r="C12">
        <v>6.05</v>
      </c>
      <c r="D12">
        <v>1.1000000000000001</v>
      </c>
      <c r="E12">
        <f t="shared" si="0"/>
        <v>5.4999999999999991</v>
      </c>
      <c r="AC12" s="65"/>
      <c r="AD12" s="65"/>
      <c r="AE12" s="65"/>
      <c r="AK12" s="48" t="s">
        <v>288</v>
      </c>
      <c r="AL12" s="39">
        <f>+AD5+(1.96*AI5)</f>
        <v>1.214491356468533E-2</v>
      </c>
    </row>
    <row r="13" spans="1:38" x14ac:dyDescent="0.25">
      <c r="B13" s="1"/>
      <c r="C13">
        <v>6.1</v>
      </c>
      <c r="D13">
        <v>1.1499999999999999</v>
      </c>
      <c r="E13">
        <f t="shared" si="0"/>
        <v>5.304347826086957</v>
      </c>
      <c r="AC13" s="65"/>
      <c r="AD13" s="65"/>
      <c r="AE13" s="65"/>
    </row>
    <row r="14" spans="1:38" x14ac:dyDescent="0.25">
      <c r="B14" s="1"/>
      <c r="C14">
        <v>6.1</v>
      </c>
      <c r="D14">
        <v>1.1499999999999999</v>
      </c>
      <c r="E14">
        <f t="shared" si="0"/>
        <v>5.304347826086957</v>
      </c>
      <c r="AC14" s="65"/>
      <c r="AD14" s="65"/>
      <c r="AE14" s="65"/>
    </row>
    <row r="15" spans="1:38" x14ac:dyDescent="0.25">
      <c r="B15" s="1"/>
      <c r="C15">
        <v>6.05</v>
      </c>
      <c r="D15">
        <v>1.1499999999999999</v>
      </c>
      <c r="E15">
        <f t="shared" si="0"/>
        <v>5.2608695652173916</v>
      </c>
      <c r="AC15" s="65"/>
      <c r="AD15" s="65"/>
      <c r="AE15" s="65"/>
    </row>
    <row r="16" spans="1:38" x14ac:dyDescent="0.25">
      <c r="C16">
        <v>6.1</v>
      </c>
      <c r="D16">
        <v>1.1000000000000001</v>
      </c>
      <c r="E16">
        <f t="shared" si="0"/>
        <v>5.545454545454545</v>
      </c>
      <c r="AC16" s="65"/>
      <c r="AD16" s="65"/>
      <c r="AE16" s="65"/>
    </row>
    <row r="17" spans="3:31" x14ac:dyDescent="0.25">
      <c r="C17">
        <v>6.1</v>
      </c>
      <c r="D17">
        <v>1.1499999999999999</v>
      </c>
      <c r="E17">
        <f t="shared" si="0"/>
        <v>5.304347826086957</v>
      </c>
      <c r="AC17" s="65"/>
      <c r="AD17" s="65"/>
      <c r="AE17" s="65"/>
    </row>
    <row r="18" spans="3:31" x14ac:dyDescent="0.25">
      <c r="C18">
        <v>6.05</v>
      </c>
      <c r="D18">
        <v>1.1499999999999999</v>
      </c>
      <c r="E18">
        <f t="shared" si="0"/>
        <v>5.2608695652173916</v>
      </c>
    </row>
    <row r="21" spans="3:31" ht="15" customHeight="1" x14ac:dyDescent="0.25">
      <c r="H21" s="61" t="s">
        <v>270</v>
      </c>
      <c r="I21" s="61"/>
      <c r="J21" s="61"/>
      <c r="K21" s="61"/>
      <c r="L21" s="61"/>
    </row>
    <row r="22" spans="3:31" x14ac:dyDescent="0.25">
      <c r="H22" s="61"/>
      <c r="I22" s="61"/>
      <c r="J22" s="61"/>
      <c r="K22" s="61"/>
      <c r="L22" s="61"/>
    </row>
    <row r="23" spans="3:31" x14ac:dyDescent="0.25">
      <c r="H23" s="61"/>
      <c r="I23" s="61"/>
      <c r="J23" s="61"/>
      <c r="K23" s="61"/>
      <c r="L23" s="61"/>
    </row>
    <row r="24" spans="3:31" x14ac:dyDescent="0.25">
      <c r="H24" s="61"/>
      <c r="I24" s="61"/>
      <c r="J24" s="61"/>
      <c r="K24" s="61"/>
      <c r="L24" s="61"/>
    </row>
    <row r="25" spans="3:31" x14ac:dyDescent="0.25">
      <c r="H25" s="61"/>
      <c r="I25" s="61"/>
      <c r="J25" s="61"/>
      <c r="K25" s="61"/>
      <c r="L25" s="61"/>
    </row>
    <row r="26" spans="3:31" x14ac:dyDescent="0.25">
      <c r="H26" s="61"/>
      <c r="I26" s="61"/>
      <c r="J26" s="61"/>
      <c r="K26" s="61"/>
      <c r="L26" s="61"/>
    </row>
  </sheetData>
  <mergeCells count="6">
    <mergeCell ref="H21:L26"/>
    <mergeCell ref="W4:Y4"/>
    <mergeCell ref="AJ4:AL4"/>
    <mergeCell ref="W5:Y5"/>
    <mergeCell ref="AJ5:AL5"/>
    <mergeCell ref="AC8:A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Datos_sucios (No fiables)</vt:lpstr>
      <vt:lpstr>1Hz</vt:lpstr>
      <vt:lpstr>5Hz</vt:lpstr>
      <vt:lpstr>20Hz</vt:lpstr>
      <vt:lpstr>50Hz</vt:lpstr>
      <vt:lpstr>100Hz</vt:lpstr>
      <vt:lpstr>1Hz (magnitude)</vt:lpstr>
      <vt:lpstr>5Hz (magnitude)</vt:lpstr>
      <vt:lpstr>20Hz (magnitude)</vt:lpstr>
      <vt:lpstr>50Hz (magnitude)</vt:lpstr>
      <vt:lpstr>100Hz (magnitude)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RUIZ NIEVAS</cp:lastModifiedBy>
  <dcterms:created xsi:type="dcterms:W3CDTF">2023-12-13T12:34:36Z</dcterms:created>
  <dcterms:modified xsi:type="dcterms:W3CDTF">2024-09-09T05:40:50Z</dcterms:modified>
</cp:coreProperties>
</file>