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225" yWindow="330" windowWidth="24390" windowHeight="11550" activeTab="1"/>
  </bookViews>
  <sheets>
    <sheet name="Finance" sheetId="1" r:id="rId1"/>
    <sheet name="Loading" sheetId="2" r:id="rId2"/>
  </sheets>
  <definedNames>
    <definedName name="_xlnm.Print_Area" localSheetId="0">Finance!$A$1:$AD$78</definedName>
  </definedNames>
  <calcPr calcId="145621"/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C17" i="2"/>
  <c r="D16" i="2"/>
  <c r="E16" i="2"/>
  <c r="F16" i="2"/>
  <c r="G16" i="2"/>
  <c r="H16" i="2"/>
  <c r="I16" i="2"/>
  <c r="J16" i="2"/>
  <c r="K16" i="2"/>
  <c r="L16" i="2"/>
  <c r="M16" i="2"/>
  <c r="N16" i="2"/>
  <c r="C16" i="2"/>
  <c r="D15" i="2"/>
  <c r="E15" i="2"/>
  <c r="F15" i="2"/>
  <c r="G15" i="2"/>
  <c r="H15" i="2"/>
  <c r="I15" i="2"/>
  <c r="J15" i="2"/>
  <c r="K15" i="2"/>
  <c r="L15" i="2"/>
  <c r="M15" i="2"/>
  <c r="N15" i="2"/>
  <c r="C15" i="2"/>
  <c r="D14" i="2"/>
  <c r="E14" i="2"/>
  <c r="F14" i="2"/>
  <c r="G14" i="2"/>
  <c r="H14" i="2"/>
  <c r="I14" i="2"/>
  <c r="J14" i="2"/>
  <c r="K14" i="2"/>
  <c r="L14" i="2"/>
  <c r="M14" i="2"/>
  <c r="N14" i="2"/>
  <c r="C14" i="2"/>
  <c r="D19" i="2"/>
  <c r="E19" i="2"/>
  <c r="F19" i="2"/>
  <c r="G19" i="2"/>
  <c r="H19" i="2"/>
  <c r="I19" i="2"/>
  <c r="J19" i="2"/>
  <c r="K19" i="2"/>
  <c r="L19" i="2"/>
  <c r="M19" i="2"/>
  <c r="N19" i="2"/>
  <c r="C19" i="2"/>
  <c r="D18" i="2"/>
  <c r="E18" i="2"/>
  <c r="F18" i="2"/>
  <c r="G18" i="2"/>
  <c r="H18" i="2"/>
  <c r="I18" i="2"/>
  <c r="J18" i="2"/>
  <c r="K18" i="2"/>
  <c r="L18" i="2"/>
  <c r="M18" i="2"/>
  <c r="N18" i="2"/>
  <c r="C18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D11" i="2"/>
  <c r="E11" i="2"/>
  <c r="F11" i="2"/>
  <c r="G11" i="2"/>
  <c r="H11" i="2"/>
  <c r="I11" i="2"/>
  <c r="J11" i="2"/>
  <c r="K11" i="2"/>
  <c r="L11" i="2"/>
  <c r="M11" i="2"/>
  <c r="N11" i="2"/>
  <c r="C11" i="2"/>
  <c r="D10" i="2"/>
  <c r="E10" i="2"/>
  <c r="F10" i="2"/>
  <c r="G10" i="2"/>
  <c r="H10" i="2"/>
  <c r="I10" i="2"/>
  <c r="J10" i="2"/>
  <c r="K10" i="2"/>
  <c r="L10" i="2"/>
  <c r="M10" i="2"/>
  <c r="N10" i="2"/>
  <c r="C10" i="2"/>
  <c r="D9" i="2"/>
  <c r="E9" i="2"/>
  <c r="F9" i="2"/>
  <c r="G9" i="2"/>
  <c r="H9" i="2"/>
  <c r="I9" i="2"/>
  <c r="J9" i="2"/>
  <c r="K9" i="2"/>
  <c r="L9" i="2"/>
  <c r="M9" i="2"/>
  <c r="N9" i="2"/>
  <c r="C9" i="2"/>
  <c r="D8" i="2"/>
  <c r="E8" i="2"/>
  <c r="F8" i="2"/>
  <c r="G8" i="2"/>
  <c r="H8" i="2"/>
  <c r="I8" i="2"/>
  <c r="J8" i="2"/>
  <c r="K8" i="2"/>
  <c r="L8" i="2"/>
  <c r="M8" i="2"/>
  <c r="N8" i="2"/>
  <c r="C8" i="2"/>
  <c r="D7" i="2"/>
  <c r="E7" i="2"/>
  <c r="F7" i="2"/>
  <c r="G7" i="2"/>
  <c r="H7" i="2"/>
  <c r="I7" i="2"/>
  <c r="J7" i="2"/>
  <c r="K7" i="2"/>
  <c r="L7" i="2"/>
  <c r="M7" i="2"/>
  <c r="N7" i="2"/>
  <c r="C7" i="2"/>
  <c r="D6" i="2"/>
  <c r="E6" i="2"/>
  <c r="F6" i="2"/>
  <c r="G6" i="2"/>
  <c r="H6" i="2"/>
  <c r="I6" i="2"/>
  <c r="J6" i="2"/>
  <c r="K6" i="2"/>
  <c r="L6" i="2"/>
  <c r="M6" i="2"/>
  <c r="N6" i="2"/>
  <c r="C6" i="2"/>
  <c r="D5" i="2"/>
  <c r="E5" i="2"/>
  <c r="F5" i="2"/>
  <c r="G5" i="2"/>
  <c r="H5" i="2"/>
  <c r="I5" i="2"/>
  <c r="J5" i="2"/>
  <c r="K5" i="2"/>
  <c r="L5" i="2"/>
  <c r="M5" i="2"/>
  <c r="N5" i="2"/>
  <c r="C5" i="2"/>
  <c r="D4" i="2"/>
  <c r="E4" i="2"/>
  <c r="F4" i="2"/>
  <c r="G4" i="2"/>
  <c r="H4" i="2"/>
  <c r="I4" i="2"/>
  <c r="J4" i="2"/>
  <c r="K4" i="2"/>
  <c r="L4" i="2"/>
  <c r="M4" i="2"/>
  <c r="N4" i="2"/>
  <c r="C4" i="2"/>
  <c r="D3" i="2"/>
  <c r="E3" i="2"/>
  <c r="F3" i="2"/>
  <c r="G3" i="2"/>
  <c r="H3" i="2"/>
  <c r="I3" i="2"/>
  <c r="J3" i="2"/>
  <c r="K3" i="2"/>
  <c r="L3" i="2"/>
  <c r="M3" i="2"/>
  <c r="N3" i="2"/>
  <c r="C3" i="2"/>
  <c r="D2" i="2"/>
  <c r="E2" i="2"/>
  <c r="F2" i="2"/>
  <c r="G2" i="2"/>
  <c r="H2" i="2"/>
  <c r="I2" i="2"/>
  <c r="J2" i="2"/>
  <c r="K2" i="2"/>
  <c r="L2" i="2"/>
  <c r="M2" i="2"/>
  <c r="N2" i="2"/>
  <c r="C2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35" i="1" l="1"/>
  <c r="J35" i="1"/>
  <c r="I35" i="1"/>
  <c r="H35" i="1"/>
  <c r="G35" i="1"/>
  <c r="F35" i="1"/>
  <c r="E35" i="1"/>
  <c r="D35" i="1"/>
  <c r="C35" i="1"/>
  <c r="K34" i="1"/>
  <c r="J34" i="1"/>
  <c r="H34" i="1"/>
  <c r="G34" i="1"/>
  <c r="F34" i="1"/>
  <c r="E34" i="1"/>
  <c r="K33" i="1"/>
  <c r="K36" i="1" s="1"/>
  <c r="J33" i="1"/>
  <c r="J36" i="1" s="1"/>
  <c r="I33" i="1"/>
  <c r="I36" i="1" s="1"/>
  <c r="H33" i="1"/>
  <c r="H36" i="1" s="1"/>
  <c r="G33" i="1"/>
  <c r="G36" i="1" s="1"/>
  <c r="F33" i="1"/>
  <c r="F36" i="1" s="1"/>
  <c r="E33" i="1"/>
  <c r="E36" i="1" s="1"/>
  <c r="D33" i="1"/>
  <c r="D36" i="1" s="1"/>
  <c r="C33" i="1"/>
  <c r="C36" i="1" s="1"/>
  <c r="K42" i="1" l="1"/>
  <c r="K41" i="1"/>
  <c r="K19" i="1"/>
  <c r="K21" i="1" s="1"/>
  <c r="K13" i="1"/>
  <c r="K14" i="1" s="1"/>
  <c r="K12" i="1"/>
  <c r="K7" i="1"/>
  <c r="J13" i="1" l="1"/>
  <c r="I13" i="1"/>
  <c r="I12" i="1"/>
  <c r="I14" i="1" l="1"/>
  <c r="J14" i="1"/>
  <c r="I19" i="1"/>
  <c r="I21" i="1" s="1"/>
  <c r="J19" i="1"/>
  <c r="J21" i="1" s="1"/>
  <c r="I42" i="1"/>
  <c r="I41" i="1"/>
  <c r="J42" i="1"/>
  <c r="J41" i="1"/>
  <c r="I7" i="1"/>
  <c r="J7" i="1"/>
  <c r="H14" i="1" l="1"/>
  <c r="H42" i="1"/>
  <c r="H41" i="1"/>
  <c r="H21" i="1"/>
  <c r="H19" i="1"/>
  <c r="H7" i="1"/>
  <c r="G42" i="1"/>
  <c r="G41" i="1"/>
  <c r="G21" i="1"/>
  <c r="G19" i="1"/>
  <c r="G14" i="1"/>
  <c r="G13" i="1"/>
  <c r="G12" i="1"/>
  <c r="G7" i="1"/>
  <c r="F42" i="1"/>
  <c r="F41" i="1"/>
  <c r="F21" i="1"/>
  <c r="E21" i="1"/>
  <c r="D21" i="1"/>
  <c r="C21" i="1"/>
  <c r="F19" i="1"/>
  <c r="E14" i="1"/>
  <c r="D14" i="1"/>
  <c r="C13" i="1"/>
  <c r="F12" i="1"/>
  <c r="F14" i="1"/>
  <c r="C12" i="1"/>
  <c r="E7" i="1"/>
  <c r="D7" i="1"/>
  <c r="C7" i="1"/>
</calcChain>
</file>

<file path=xl/sharedStrings.xml><?xml version="1.0" encoding="utf-8"?>
<sst xmlns="http://schemas.openxmlformats.org/spreadsheetml/2006/main" count="80" uniqueCount="44">
  <si>
    <t>Finance</t>
  </si>
  <si>
    <t>Balancesheet Debt to Equity</t>
  </si>
  <si>
    <t>Debt</t>
  </si>
  <si>
    <t>Equity</t>
  </si>
  <si>
    <t>Result</t>
  </si>
  <si>
    <t>Recommended Maximum</t>
  </si>
  <si>
    <t>Profit and Loss Statement: Interest cover</t>
  </si>
  <si>
    <t>NB based on 12 month rolling result</t>
  </si>
  <si>
    <t>Surplus</t>
  </si>
  <si>
    <t>Interest on Debt</t>
  </si>
  <si>
    <t>Recommended Minimum</t>
  </si>
  <si>
    <t>EBITDA : Turnover</t>
  </si>
  <si>
    <t>EBITDA</t>
  </si>
  <si>
    <t>Turnover</t>
  </si>
  <si>
    <t>Balance sheet: Current Ratio adjusted for Resident Bonds</t>
  </si>
  <si>
    <t>Current Assets</t>
  </si>
  <si>
    <t>Current Liabilities</t>
  </si>
  <si>
    <t>Resident Bonds</t>
  </si>
  <si>
    <t>EBITDA : Budget</t>
  </si>
  <si>
    <t>Actual : Budget Year to date</t>
  </si>
  <si>
    <t xml:space="preserve">EBITDA Actual </t>
  </si>
  <si>
    <t>EBITDA Budget</t>
  </si>
  <si>
    <t>Update date:</t>
  </si>
  <si>
    <t>ReportName</t>
  </si>
  <si>
    <t>KPIName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</si>
  <si>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</si>
  <si>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</si>
  <si>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</si>
  <si>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</si>
  <si>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</si>
  <si>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</si>
  <si>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</si>
  <si>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</si>
  <si>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</si>
  <si>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</si>
  <si>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</si>
  <si>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</si>
  <si>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KPI_ID</t>
  </si>
  <si>
    <t>Updatedate</t>
  </si>
  <si>
    <t>BalancesheetDebttoEquity</t>
  </si>
  <si>
    <t>ProfitandLoss Statement_Interest cover</t>
  </si>
  <si>
    <t>EBITDA _Turnover</t>
  </si>
  <si>
    <t>Current Ratio adjusted for Resident Bonds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</si>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</sst>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horizontal="right"/>
    </xf>
    <xf numFmtId="17" fontId="0" fillId="0" borderId="1" xfId="0" applyNumberFormat="1" applyBorder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164" fontId="2" fillId="2" borderId="1" xfId="1" applyNumberFormat="1" applyFont="1" applyFill="1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2" fontId="0" fillId="0" borderId="1" xfId="0" applyNumberFormat="1" applyBorder="1"/>
    <xf numFmtId="2" fontId="2" fillId="2" borderId="1" xfId="0" applyNumberFormat="1" applyFont="1" applyFill="1" applyBorder="1"/>
    <xf numFmtId="10" fontId="2" fillId="2" borderId="1" xfId="1" applyNumberFormat="1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  <xf numFmtId="0" fontId="0" fillId="0" borderId="0" xfId="0" applyFill="1" applyBorder="1"/>
    <xf numFmtId="1" fontId="0" fillId="0" borderId="1" xfId="0" applyNumberFormat="1" applyBorder="1"/>
    <xf numFmtId="4" fontId="2" fillId="2" borderId="1" xfId="1" applyNumberFormat="1" applyFont="1" applyFill="1" applyBorder="1"/>
    <xf numFmtId="0" fontId="2" fillId="0" borderId="0" xfId="0" applyFont="1" applyFill="1"/>
    <xf numFmtId="0" fontId="2" fillId="0" borderId="0" xfId="0" applyFont="1" applyBorder="1"/>
    <xf numFmtId="17" fontId="0" fillId="0" borderId="0" xfId="0" applyNumberFormat="1" applyBorder="1"/>
    <xf numFmtId="3" fontId="0" fillId="0" borderId="0" xfId="0" applyNumberFormat="1" applyBorder="1"/>
    <xf numFmtId="0" fontId="0" fillId="6" borderId="0" xfId="0" applyFill="1"/>
    <xf numFmtId="14" fontId="0" fillId="6" borderId="0" xfId="0" applyNumberFormat="1" applyFill="1"/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165" fontId="4" fillId="4" borderId="1" xfId="1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5" fontId="3" fillId="5" borderId="1" xfId="0" applyNumberFormat="1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left"/>
    </xf>
    <xf numFmtId="165" fontId="4" fillId="5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Balance Sheet Debt to Equity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Finance!$A$5:$B$5</c:f>
              <c:strCache>
                <c:ptCount val="1"/>
                <c:pt idx="0">
                  <c:v>Debt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Finance!$C$5:$P$5</c:f>
              <c:numCache>
                <c:formatCode>#,##0</c:formatCode>
                <c:ptCount val="14"/>
                <c:pt idx="0">
                  <c:v>3100</c:v>
                </c:pt>
                <c:pt idx="1">
                  <c:v>5100</c:v>
                </c:pt>
                <c:pt idx="2" formatCode="General">
                  <c:v>100</c:v>
                </c:pt>
                <c:pt idx="3" formatCode="General">
                  <c:v>100</c:v>
                </c:pt>
                <c:pt idx="4">
                  <c:v>3100</c:v>
                </c:pt>
                <c:pt idx="5">
                  <c:v>3100</c:v>
                </c:pt>
                <c:pt idx="6">
                  <c:v>1600</c:v>
                </c:pt>
                <c:pt idx="7">
                  <c:v>1600</c:v>
                </c:pt>
                <c:pt idx="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Finance!$A$6:$B$6</c:f>
              <c:strCache>
                <c:ptCount val="1"/>
                <c:pt idx="0">
                  <c:v>Equity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Finance!$C$6:$P$6</c:f>
              <c:numCache>
                <c:formatCode>#,##0</c:formatCode>
                <c:ptCount val="14"/>
                <c:pt idx="0">
                  <c:v>134015</c:v>
                </c:pt>
                <c:pt idx="1">
                  <c:v>133680</c:v>
                </c:pt>
                <c:pt idx="2">
                  <c:v>134011</c:v>
                </c:pt>
                <c:pt idx="3">
                  <c:v>143703</c:v>
                </c:pt>
                <c:pt idx="4">
                  <c:v>134547</c:v>
                </c:pt>
                <c:pt idx="5">
                  <c:v>135061</c:v>
                </c:pt>
                <c:pt idx="6">
                  <c:v>135499</c:v>
                </c:pt>
                <c:pt idx="7">
                  <c:v>136124</c:v>
                </c:pt>
                <c:pt idx="8">
                  <c:v>136181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025600"/>
        <c:axId val="50027136"/>
      </c:lineChart>
      <c:dateAx>
        <c:axId val="50025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60000"/>
          <a:lstStyle/>
          <a:p>
            <a:pPr>
              <a:defRPr sz="900"/>
            </a:pPr>
            <a:endParaRPr lang="en-US"/>
          </a:p>
        </c:txPr>
        <c:crossAx val="50027136"/>
        <c:crosses val="autoZero"/>
        <c:auto val="1"/>
        <c:lblOffset val="100"/>
        <c:baseTimeUnit val="months"/>
      </c:dateAx>
      <c:valAx>
        <c:axId val="50027136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50025600"/>
        <c:crosses val="autoZero"/>
        <c:crossBetween val="between"/>
        <c:dispUnits>
          <c:builtInUnit val="millions"/>
          <c:dispUnitsLbl>
            <c:layout/>
          </c:dispUnitsLbl>
        </c:dispUnits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 b="1" i="0" baseline="0">
                <a:effectLst/>
              </a:rPr>
              <a:t>1. Balance Sheet Debt to Equity </a:t>
            </a:r>
            <a:endParaRPr lang="en-AU" sz="14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Finance!$A$7:$B$7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Finance!$C$7:$P$7</c:f>
              <c:numCache>
                <c:formatCode>0.0%</c:formatCode>
                <c:ptCount val="14"/>
                <c:pt idx="0">
                  <c:v>2.3131738984442041E-2</c:v>
                </c:pt>
                <c:pt idx="1">
                  <c:v>3.8150807899461403E-2</c:v>
                </c:pt>
                <c:pt idx="2">
                  <c:v>7.4620740088500199E-4</c:v>
                </c:pt>
                <c:pt idx="3" formatCode="0.00%">
                  <c:v>1E-3</c:v>
                </c:pt>
                <c:pt idx="4">
                  <c:v>2.30402758887229E-2</c:v>
                </c:pt>
                <c:pt idx="5">
                  <c:v>2.2952591791857012E-2</c:v>
                </c:pt>
                <c:pt idx="6">
                  <c:v>1.1808205226606838E-2</c:v>
                </c:pt>
                <c:pt idx="7">
                  <c:v>1.1753989010020276E-2</c:v>
                </c:pt>
                <c:pt idx="8">
                  <c:v>7.3431682833875506E-4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Finance!$A$8:$B$8</c:f>
              <c:strCache>
                <c:ptCount val="1"/>
                <c:pt idx="0">
                  <c:v>Recommended Maximum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Finance!$C$8:$P$8</c:f>
              <c:numCache>
                <c:formatCode>0%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577600"/>
        <c:axId val="311583488"/>
      </c:lineChart>
      <c:dateAx>
        <c:axId val="3115776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311583488"/>
        <c:crosses val="autoZero"/>
        <c:auto val="1"/>
        <c:lblOffset val="100"/>
        <c:baseTimeUnit val="months"/>
      </c:dateAx>
      <c:valAx>
        <c:axId val="31158348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3115776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Profit &amp; Loss: Interest Cover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873342482324408E-2"/>
          <c:y val="0.47405088337221896"/>
          <c:w val="0.90970623806296513"/>
          <c:h val="0.26222805482648004"/>
        </c:manualLayout>
      </c:layout>
      <c:lineChart>
        <c:grouping val="standard"/>
        <c:varyColors val="0"/>
        <c:ser>
          <c:idx val="0"/>
          <c:order val="0"/>
          <c:tx>
            <c:strRef>
              <c:f>Finance!$A$12</c:f>
              <c:strCache>
                <c:ptCount val="1"/>
                <c:pt idx="0">
                  <c:v>Surplus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Finance!$C$12:$P$12</c:f>
              <c:numCache>
                <c:formatCode>#,##0</c:formatCode>
                <c:ptCount val="14"/>
                <c:pt idx="0">
                  <c:v>1316</c:v>
                </c:pt>
                <c:pt idx="1">
                  <c:v>1668</c:v>
                </c:pt>
                <c:pt idx="2">
                  <c:v>1689</c:v>
                </c:pt>
                <c:pt idx="3">
                  <c:v>3321.9189999999999</c:v>
                </c:pt>
                <c:pt idx="4">
                  <c:v>3111</c:v>
                </c:pt>
                <c:pt idx="5">
                  <c:v>3651</c:v>
                </c:pt>
                <c:pt idx="6">
                  <c:v>4234</c:v>
                </c:pt>
                <c:pt idx="7">
                  <c:v>3918</c:v>
                </c:pt>
                <c:pt idx="8">
                  <c:v>3953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Finance!$A$13</c:f>
              <c:strCache>
                <c:ptCount val="1"/>
                <c:pt idx="0">
                  <c:v>Interest on Debt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Finance!$C$13:$P$13</c:f>
              <c:numCache>
                <c:formatCode>#,##0</c:formatCode>
                <c:ptCount val="14"/>
                <c:pt idx="0">
                  <c:v>94</c:v>
                </c:pt>
                <c:pt idx="1">
                  <c:v>99</c:v>
                </c:pt>
                <c:pt idx="2" formatCode="General">
                  <c:v>111</c:v>
                </c:pt>
                <c:pt idx="3" formatCode="General">
                  <c:v>113</c:v>
                </c:pt>
                <c:pt idx="4" formatCode="General">
                  <c:v>134</c:v>
                </c:pt>
                <c:pt idx="5" formatCode="General">
                  <c:v>177</c:v>
                </c:pt>
                <c:pt idx="6" formatCode="General">
                  <c:v>83</c:v>
                </c:pt>
                <c:pt idx="7" formatCode="General">
                  <c:v>88</c:v>
                </c:pt>
                <c:pt idx="8" formatCode="General">
                  <c:v>88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598080"/>
        <c:axId val="311612160"/>
      </c:lineChart>
      <c:dateAx>
        <c:axId val="3115980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 algn="ctr">
              <a:defRPr lang="en-AU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12160"/>
        <c:crosses val="autoZero"/>
        <c:auto val="1"/>
        <c:lblOffset val="100"/>
        <c:baseTimeUnit val="months"/>
      </c:dateAx>
      <c:valAx>
        <c:axId val="311612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31159808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 b="1" i="0" baseline="0">
                <a:effectLst/>
              </a:rPr>
              <a:t>2. Profit &amp; Loss: Interest Cover</a:t>
            </a:r>
            <a:endParaRPr lang="en-AU" sz="14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0228716498546"/>
          <c:y val="0.37477329095330975"/>
          <c:w val="0.86640757914090649"/>
          <c:h val="0.48334127958775797"/>
        </c:manualLayout>
      </c:layout>
      <c:lineChart>
        <c:grouping val="standard"/>
        <c:varyColors val="0"/>
        <c:ser>
          <c:idx val="2"/>
          <c:order val="0"/>
          <c:tx>
            <c:strRef>
              <c:f>Finance!$A$14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Finance!$C$14:$P$14</c:f>
              <c:numCache>
                <c:formatCode>0.00</c:formatCode>
                <c:ptCount val="14"/>
                <c:pt idx="0">
                  <c:v>14</c:v>
                </c:pt>
                <c:pt idx="1">
                  <c:v>16.848484848484848</c:v>
                </c:pt>
                <c:pt idx="2">
                  <c:v>15.216216216216216</c:v>
                </c:pt>
                <c:pt idx="3">
                  <c:v>29.397513274336283</c:v>
                </c:pt>
                <c:pt idx="4">
                  <c:v>23.21641791044776</c:v>
                </c:pt>
                <c:pt idx="5">
                  <c:v>20.627118644067796</c:v>
                </c:pt>
                <c:pt idx="6">
                  <c:v>51.012048192771083</c:v>
                </c:pt>
                <c:pt idx="7">
                  <c:v>44.522727272727273</c:v>
                </c:pt>
                <c:pt idx="8">
                  <c:v>44.920454545454547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Finance!$A$15</c:f>
              <c:strCache>
                <c:ptCount val="1"/>
                <c:pt idx="0">
                  <c:v>Recommended Minimum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Finance!$C$15:$P$15</c:f>
              <c:numCache>
                <c:formatCode>General</c:formatCode>
                <c:ptCount val="14"/>
                <c:pt idx="0" formatCode="0.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006144"/>
        <c:axId val="356016128"/>
      </c:lineChart>
      <c:dateAx>
        <c:axId val="356006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356016128"/>
        <c:crosses val="autoZero"/>
        <c:auto val="1"/>
        <c:lblOffset val="100"/>
        <c:baseTimeUnit val="months"/>
      </c:dateAx>
      <c:valAx>
        <c:axId val="356016128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3560061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Balance Sheet:Current</a:t>
            </a:r>
            <a:r>
              <a:rPr lang="en-AU" baseline="0"/>
              <a:t> Ratio</a:t>
            </a:r>
          </a:p>
          <a:p>
            <a:pPr>
              <a:defRPr/>
            </a:pPr>
            <a:r>
              <a:rPr lang="en-AU" sz="1000" baseline="0"/>
              <a:t>(adjusted for Resident Bonds)</a:t>
            </a:r>
            <a:endParaRPr lang="en-AU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Finance!$A$33:$B$33</c:f>
              <c:strCache>
                <c:ptCount val="1"/>
                <c:pt idx="0">
                  <c:v>Current Assets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Finance!$C$33:$P$33</c:f>
              <c:numCache>
                <c:formatCode>#,##0</c:formatCode>
                <c:ptCount val="14"/>
                <c:pt idx="0">
                  <c:v>44226</c:v>
                </c:pt>
                <c:pt idx="1">
                  <c:v>41708</c:v>
                </c:pt>
                <c:pt idx="2" formatCode="0">
                  <c:v>47368.43</c:v>
                </c:pt>
                <c:pt idx="3">
                  <c:v>51082</c:v>
                </c:pt>
                <c:pt idx="4">
                  <c:v>48745</c:v>
                </c:pt>
                <c:pt idx="5">
                  <c:v>54432</c:v>
                </c:pt>
                <c:pt idx="6">
                  <c:v>51330</c:v>
                </c:pt>
                <c:pt idx="7">
                  <c:v>60274</c:v>
                </c:pt>
                <c:pt idx="8">
                  <c:v>60294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Finance!$A$34:$B$34</c:f>
              <c:strCache>
                <c:ptCount val="1"/>
                <c:pt idx="0">
                  <c:v>Current Liabilities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Finance!$C$34:$P$34</c:f>
              <c:numCache>
                <c:formatCode>#,##0</c:formatCode>
                <c:ptCount val="14"/>
                <c:pt idx="0">
                  <c:v>25145</c:v>
                </c:pt>
                <c:pt idx="1">
                  <c:v>21162</c:v>
                </c:pt>
                <c:pt idx="2">
                  <c:v>30696</c:v>
                </c:pt>
                <c:pt idx="3">
                  <c:v>32430</c:v>
                </c:pt>
                <c:pt idx="4">
                  <c:v>26460</c:v>
                </c:pt>
                <c:pt idx="5">
                  <c:v>29076</c:v>
                </c:pt>
                <c:pt idx="6">
                  <c:v>27099</c:v>
                </c:pt>
                <c:pt idx="7">
                  <c:v>32897</c:v>
                </c:pt>
                <c:pt idx="8">
                  <c:v>31000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048896"/>
        <c:axId val="356050432"/>
      </c:lineChart>
      <c:dateAx>
        <c:axId val="356048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356050432"/>
        <c:crosses val="autoZero"/>
        <c:auto val="1"/>
        <c:lblOffset val="100"/>
        <c:baseTimeUnit val="months"/>
      </c:dateAx>
      <c:valAx>
        <c:axId val="356050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35604889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26345587596252457"/>
          <c:y val="0.19064814814814815"/>
          <c:w val="0.47642881486861255"/>
          <c:h val="8.3717191601049873E-2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 b="1" i="0" baseline="0">
                <a:effectLst/>
              </a:rPr>
              <a:t>4. Balance Sheet:Current Ratio</a:t>
            </a:r>
            <a:endParaRPr lang="en-AU" sz="14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04259972601174"/>
          <c:y val="0.4097739013556152"/>
          <c:w val="0.86139476233312562"/>
          <c:h val="0.47604002392102496"/>
        </c:manualLayout>
      </c:layout>
      <c:lineChart>
        <c:grouping val="standard"/>
        <c:varyColors val="0"/>
        <c:ser>
          <c:idx val="2"/>
          <c:order val="0"/>
          <c:tx>
            <c:strRef>
              <c:f>Finance!$A$36:$B$36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Finance!$C$36:$P$36</c:f>
              <c:numCache>
                <c:formatCode>#,##0.00</c:formatCode>
                <c:ptCount val="14"/>
                <c:pt idx="0">
                  <c:v>1.7588387353350567</c:v>
                </c:pt>
                <c:pt idx="1">
                  <c:v>1.9708912201115207</c:v>
                </c:pt>
                <c:pt idx="2">
                  <c:v>1.5431466640604639</c:v>
                </c:pt>
                <c:pt idx="3">
                  <c:v>1.5751464693185322</c:v>
                </c:pt>
                <c:pt idx="4">
                  <c:v>1.8422146636432351</c:v>
                </c:pt>
                <c:pt idx="5">
                  <c:v>1.8720594304581097</c:v>
                </c:pt>
                <c:pt idx="6">
                  <c:v>1.8941658363777261</c:v>
                </c:pt>
                <c:pt idx="7">
                  <c:v>1.8322035443961455</c:v>
                </c:pt>
                <c:pt idx="8">
                  <c:v>1.9449677419354838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Finance!$A$37:$B$37</c:f>
              <c:strCache>
                <c:ptCount val="1"/>
                <c:pt idx="0">
                  <c:v>Recommended Minimum</c:v>
                </c:pt>
              </c:strCache>
            </c:strRef>
          </c:tx>
          <c:spPr>
            <a:ln cap="flat">
              <a:solidFill>
                <a:srgbClr val="7030A0"/>
              </a:solidFill>
            </a:ln>
          </c:spPr>
          <c:marker>
            <c:symbol val="x"/>
            <c:size val="7"/>
            <c:spPr>
              <a:solidFill>
                <a:schemeClr val="bg1">
                  <a:alpha val="0"/>
                </a:schemeClr>
              </a:solidFill>
              <a:ln>
                <a:solidFill>
                  <a:srgbClr val="7030A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Finance!$C$37:$P$37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086528"/>
        <c:axId val="356088064"/>
      </c:lineChart>
      <c:dateAx>
        <c:axId val="356086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356088064"/>
        <c:crosses val="autoZero"/>
        <c:auto val="1"/>
        <c:lblOffset val="100"/>
        <c:baseTimeUnit val="months"/>
      </c:dateAx>
      <c:valAx>
        <c:axId val="356088064"/>
        <c:scaling>
          <c:orientation val="minMax"/>
          <c:max val="5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crossAx val="356086528"/>
        <c:crosses val="autoZero"/>
        <c:crossBetween val="between"/>
        <c:majorUnit val="5"/>
        <c:minorUnit val="1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3. Balance Sheet : Return on Assets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Finance!$A$19:$B$19</c:f>
              <c:strCache>
                <c:ptCount val="1"/>
                <c:pt idx="0">
                  <c:v>EBITDA</c:v>
                </c:pt>
              </c:strCache>
            </c:strRef>
          </c:tx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Finance!$C$19:$P$19</c:f>
              <c:numCache>
                <c:formatCode>#,##0</c:formatCode>
                <c:ptCount val="14"/>
                <c:pt idx="0">
                  <c:v>342</c:v>
                </c:pt>
                <c:pt idx="1">
                  <c:v>475</c:v>
                </c:pt>
                <c:pt idx="2">
                  <c:v>478</c:v>
                </c:pt>
                <c:pt idx="3" formatCode="General">
                  <c:v>841</c:v>
                </c:pt>
                <c:pt idx="4" formatCode="General">
                  <c:v>426</c:v>
                </c:pt>
                <c:pt idx="5" formatCode="General">
                  <c:v>952</c:v>
                </c:pt>
                <c:pt idx="6">
                  <c:v>1016</c:v>
                </c:pt>
                <c:pt idx="7" formatCode="General">
                  <c:v>683</c:v>
                </c:pt>
                <c:pt idx="8" formatCode="General">
                  <c:v>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Finance!$A$20:$B$20</c:f>
              <c:strCache>
                <c:ptCount val="1"/>
                <c:pt idx="0">
                  <c:v>Turnover</c:v>
                </c:pt>
              </c:strCache>
            </c:strRef>
          </c:tx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Finance!$C$20:$P$20</c:f>
              <c:numCache>
                <c:formatCode>#,##0</c:formatCode>
                <c:ptCount val="14"/>
                <c:pt idx="0">
                  <c:v>9727</c:v>
                </c:pt>
                <c:pt idx="1">
                  <c:v>10412</c:v>
                </c:pt>
                <c:pt idx="2">
                  <c:v>9175</c:v>
                </c:pt>
                <c:pt idx="3">
                  <c:v>9907</c:v>
                </c:pt>
                <c:pt idx="4">
                  <c:v>9749</c:v>
                </c:pt>
                <c:pt idx="5">
                  <c:v>9991</c:v>
                </c:pt>
                <c:pt idx="6">
                  <c:v>9812</c:v>
                </c:pt>
                <c:pt idx="7">
                  <c:v>9955</c:v>
                </c:pt>
                <c:pt idx="8">
                  <c:v>9331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01120"/>
        <c:axId val="356115200"/>
      </c:lineChart>
      <c:dateAx>
        <c:axId val="356101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56115200"/>
        <c:crosses val="autoZero"/>
        <c:auto val="1"/>
        <c:lblOffset val="100"/>
        <c:baseTimeUnit val="months"/>
      </c:dateAx>
      <c:valAx>
        <c:axId val="356115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5610112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AU" sz="1400"/>
              <a:t>3. EBITDA : Turnover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6897239110934"/>
          <c:y val="0.29240959463400407"/>
          <c:w val="0.86892680819960799"/>
          <c:h val="0.5777216389617964"/>
        </c:manualLayout>
      </c:layout>
      <c:lineChart>
        <c:grouping val="standard"/>
        <c:varyColors val="0"/>
        <c:ser>
          <c:idx val="2"/>
          <c:order val="0"/>
          <c:tx>
            <c:strRef>
              <c:f>Finance!$A$21:$B$21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Finance!$C$21:$P$21</c:f>
              <c:numCache>
                <c:formatCode>0.00%</c:formatCode>
                <c:ptCount val="14"/>
                <c:pt idx="0">
                  <c:v>3.5159864295260614E-2</c:v>
                </c:pt>
                <c:pt idx="1">
                  <c:v>4.5620437956204379E-2</c:v>
                </c:pt>
                <c:pt idx="2">
                  <c:v>5.209809264305177E-2</c:v>
                </c:pt>
                <c:pt idx="3">
                  <c:v>8.4889472090441107E-2</c:v>
                </c:pt>
                <c:pt idx="4">
                  <c:v>4.3696789414298901E-2</c:v>
                </c:pt>
                <c:pt idx="5">
                  <c:v>9.5285757181463315E-2</c:v>
                </c:pt>
                <c:pt idx="6">
                  <c:v>0.10354667753770892</c:v>
                </c:pt>
                <c:pt idx="7">
                  <c:v>6.8608739326971369E-2</c:v>
                </c:pt>
                <c:pt idx="8">
                  <c:v>7.0624799056907078E-2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Finance!$A$22:$B$22</c:f>
              <c:strCache>
                <c:ptCount val="1"/>
                <c:pt idx="0">
                  <c:v>Recommended Minimum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Finance!$C$22:$P$22</c:f>
              <c:numCache>
                <c:formatCode>0.00%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6291328"/>
        <c:axId val="356292864"/>
      </c:lineChart>
      <c:dateAx>
        <c:axId val="356291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356292864"/>
        <c:crosses val="autoZero"/>
        <c:auto val="1"/>
        <c:lblOffset val="100"/>
        <c:baseTimeUnit val="months"/>
      </c:dateAx>
      <c:valAx>
        <c:axId val="3562928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35629132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600"/>
              <a:t>5.</a:t>
            </a:r>
            <a:r>
              <a:rPr lang="en-AU" sz="1600" baseline="0"/>
              <a:t> EBITDA : Budget</a:t>
            </a:r>
            <a:endParaRPr lang="en-AU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231280243713481E-2"/>
          <c:y val="0.15891534453715675"/>
          <c:w val="0.90350744072638478"/>
          <c:h val="0.78570392242636333"/>
        </c:manualLayout>
      </c:layout>
      <c:lineChart>
        <c:grouping val="standard"/>
        <c:varyColors val="0"/>
        <c:ser>
          <c:idx val="0"/>
          <c:order val="0"/>
          <c:tx>
            <c:strRef>
              <c:f>Finance!$A$41</c:f>
              <c:strCache>
                <c:ptCount val="1"/>
                <c:pt idx="0">
                  <c:v>EBITDA Actual 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Finance!$B$39:$P$40</c:f>
              <c:strCache>
                <c:ptCount val="15"/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</c:strCache>
            </c:strRef>
          </c:cat>
          <c:val>
            <c:numRef>
              <c:f>Finance!$B$41:$P$41</c:f>
              <c:numCache>
                <c:formatCode>#,##0</c:formatCode>
                <c:ptCount val="15"/>
                <c:pt idx="1">
                  <c:v>6625</c:v>
                </c:pt>
                <c:pt idx="2">
                  <c:v>7083</c:v>
                </c:pt>
                <c:pt idx="3">
                  <c:v>478</c:v>
                </c:pt>
                <c:pt idx="4" formatCode="General">
                  <c:v>1326</c:v>
                </c:pt>
                <c:pt idx="5">
                  <c:v>1736</c:v>
                </c:pt>
                <c:pt idx="6">
                  <c:v>2687</c:v>
                </c:pt>
                <c:pt idx="7">
                  <c:v>3703</c:v>
                </c:pt>
                <c:pt idx="8">
                  <c:v>4386</c:v>
                </c:pt>
                <c:pt idx="9">
                  <c:v>5045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Finance!$A$42</c:f>
              <c:strCache>
                <c:ptCount val="1"/>
                <c:pt idx="0">
                  <c:v>EBITDA Budget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Finance!$B$39:$P$40</c:f>
              <c:strCache>
                <c:ptCount val="15"/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</c:strCache>
            </c:strRef>
          </c:cat>
          <c:val>
            <c:numRef>
              <c:f>Finance!$B$42:$P$42</c:f>
              <c:numCache>
                <c:formatCode>#,##0</c:formatCode>
                <c:ptCount val="15"/>
                <c:pt idx="1">
                  <c:v>5457</c:v>
                </c:pt>
                <c:pt idx="2">
                  <c:v>5908</c:v>
                </c:pt>
                <c:pt idx="3">
                  <c:v>-84</c:v>
                </c:pt>
                <c:pt idx="4" formatCode="General">
                  <c:v>257</c:v>
                </c:pt>
                <c:pt idx="5" formatCode="General">
                  <c:v>798</c:v>
                </c:pt>
                <c:pt idx="6">
                  <c:v>1247</c:v>
                </c:pt>
                <c:pt idx="7">
                  <c:v>1844</c:v>
                </c:pt>
                <c:pt idx="8">
                  <c:v>2667</c:v>
                </c:pt>
                <c:pt idx="9">
                  <c:v>3712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7458304"/>
        <c:axId val="357459840"/>
      </c:lineChart>
      <c:catAx>
        <c:axId val="35745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7459840"/>
        <c:crosses val="autoZero"/>
        <c:auto val="1"/>
        <c:lblAlgn val="ctr"/>
        <c:lblOffset val="100"/>
        <c:noMultiLvlLbl val="0"/>
      </c:catAx>
      <c:valAx>
        <c:axId val="35745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458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</xdr:colOff>
      <xdr:row>1</xdr:row>
      <xdr:rowOff>103654</xdr:rowOff>
    </xdr:from>
    <xdr:to>
      <xdr:col>29</xdr:col>
      <xdr:colOff>221876</xdr:colOff>
      <xdr:row>19</xdr:row>
      <xdr:rowOff>138393</xdr:rowOff>
    </xdr:to>
    <xdr:grpSp>
      <xdr:nvGrpSpPr>
        <xdr:cNvPr id="2" name="Group 1"/>
        <xdr:cNvGrpSpPr/>
      </xdr:nvGrpSpPr>
      <xdr:grpSpPr>
        <a:xfrm>
          <a:off x="12350752" y="294154"/>
          <a:ext cx="7587874" cy="3463739"/>
          <a:chOff x="11616335" y="160804"/>
          <a:chExt cx="7007842" cy="3463739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1616335" y="795618"/>
          <a:ext cx="7007842" cy="2828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1620499" y="160804"/>
          <a:ext cx="7003676" cy="27639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17</xdr:col>
      <xdr:colOff>40902</xdr:colOff>
      <xdr:row>20</xdr:row>
      <xdr:rowOff>40340</xdr:rowOff>
    </xdr:from>
    <xdr:to>
      <xdr:col>29</xdr:col>
      <xdr:colOff>255216</xdr:colOff>
      <xdr:row>36</xdr:row>
      <xdr:rowOff>33618</xdr:rowOff>
    </xdr:to>
    <xdr:grpSp>
      <xdr:nvGrpSpPr>
        <xdr:cNvPr id="5" name="Group 4"/>
        <xdr:cNvGrpSpPr/>
      </xdr:nvGrpSpPr>
      <xdr:grpSpPr>
        <a:xfrm>
          <a:off x="12391652" y="3850340"/>
          <a:ext cx="7580314" cy="3041278"/>
          <a:chOff x="11680452" y="3716990"/>
          <a:chExt cx="7529514" cy="2676282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1688577" y="4308979"/>
          <a:ext cx="7521389" cy="20842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1680452" y="3716990"/>
          <a:ext cx="7523069" cy="2076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97307</xdr:colOff>
      <xdr:row>42</xdr:row>
      <xdr:rowOff>166218</xdr:rowOff>
    </xdr:from>
    <xdr:to>
      <xdr:col>10</xdr:col>
      <xdr:colOff>133351</xdr:colOff>
      <xdr:row>60</xdr:row>
      <xdr:rowOff>6536</xdr:rowOff>
    </xdr:to>
    <xdr:grpSp>
      <xdr:nvGrpSpPr>
        <xdr:cNvPr id="8" name="Group 7"/>
        <xdr:cNvGrpSpPr/>
      </xdr:nvGrpSpPr>
      <xdr:grpSpPr>
        <a:xfrm>
          <a:off x="97307" y="8167218"/>
          <a:ext cx="8089961" cy="3269318"/>
          <a:chOff x="11667007" y="6630518"/>
          <a:chExt cx="7525893" cy="3269318"/>
        </a:xfrm>
      </xdr:grpSpPr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1668124" y="7543800"/>
          <a:ext cx="7524776" cy="23560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1667007" y="6630518"/>
          <a:ext cx="7525870" cy="2580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17</xdr:col>
      <xdr:colOff>38100</xdr:colOff>
      <xdr:row>38</xdr:row>
      <xdr:rowOff>38100</xdr:rowOff>
    </xdr:from>
    <xdr:to>
      <xdr:col>29</xdr:col>
      <xdr:colOff>247650</xdr:colOff>
      <xdr:row>55</xdr:row>
      <xdr:rowOff>38100</xdr:rowOff>
    </xdr:to>
    <xdr:grpSp>
      <xdr:nvGrpSpPr>
        <xdr:cNvPr id="14" name="Group 13"/>
        <xdr:cNvGrpSpPr/>
      </xdr:nvGrpSpPr>
      <xdr:grpSpPr>
        <a:xfrm>
          <a:off x="12388850" y="7277100"/>
          <a:ext cx="7575550" cy="3238500"/>
          <a:chOff x="11830050" y="7067550"/>
          <a:chExt cx="7524750" cy="3562350"/>
        </a:xfrm>
      </xdr:grpSpPr>
      <xdr:graphicFrame macro="">
        <xdr:nvGraphicFramePr>
          <xdr:cNvPr id="15" name="Chart 14"/>
          <xdr:cNvGraphicFramePr/>
        </xdr:nvGraphicFramePr>
        <xdr:xfrm>
          <a:off x="11830050" y="7886700"/>
          <a:ext cx="7524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Chart 15"/>
          <xdr:cNvGraphicFramePr/>
        </xdr:nvGraphicFramePr>
        <xdr:xfrm>
          <a:off x="11830050" y="7067550"/>
          <a:ext cx="7524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138110</xdr:colOff>
      <xdr:row>60</xdr:row>
      <xdr:rowOff>133349</xdr:rowOff>
    </xdr:from>
    <xdr:to>
      <xdr:col>10</xdr:col>
      <xdr:colOff>152399</xdr:colOff>
      <xdr:row>77</xdr:row>
      <xdr:rowOff>85724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topLeftCell="A25" zoomScale="90" zoomScaleNormal="100" zoomScaleSheetLayoutView="90" workbookViewId="0">
      <selection activeCell="A41" sqref="A41:A42"/>
    </sheetView>
  </sheetViews>
  <sheetFormatPr defaultRowHeight="15" x14ac:dyDescent="0.25"/>
  <cols>
    <col min="1" max="1" width="27.85546875" customWidth="1"/>
    <col min="2" max="2" width="9.140625" style="1"/>
    <col min="3" max="3" width="15" customWidth="1"/>
    <col min="4" max="4" width="13.28515625" customWidth="1"/>
  </cols>
  <sheetData>
    <row r="1" spans="1:17" x14ac:dyDescent="0.25">
      <c r="A1" t="s">
        <v>0</v>
      </c>
      <c r="C1" s="26" t="s">
        <v>22</v>
      </c>
      <c r="D1" s="27">
        <v>42444</v>
      </c>
    </row>
    <row r="3" spans="1:17" x14ac:dyDescent="0.25">
      <c r="A3" s="2" t="s">
        <v>1</v>
      </c>
      <c r="C3" s="3"/>
    </row>
    <row r="4" spans="1:17" x14ac:dyDescent="0.25">
      <c r="C4" s="4">
        <v>42125</v>
      </c>
      <c r="D4" s="4">
        <v>42156</v>
      </c>
      <c r="E4" s="4">
        <v>42186</v>
      </c>
      <c r="F4" s="4">
        <v>42217</v>
      </c>
      <c r="G4" s="4">
        <v>42248</v>
      </c>
      <c r="H4" s="4">
        <v>42278</v>
      </c>
      <c r="I4" s="4">
        <v>42309</v>
      </c>
      <c r="J4" s="4">
        <v>42339</v>
      </c>
      <c r="K4" s="4">
        <v>42370</v>
      </c>
      <c r="L4" s="4">
        <v>42401</v>
      </c>
      <c r="M4" s="4">
        <v>42430</v>
      </c>
      <c r="N4" s="4">
        <v>42461</v>
      </c>
      <c r="O4" s="4">
        <v>42491</v>
      </c>
      <c r="P4" s="4">
        <v>42522</v>
      </c>
      <c r="Q4" s="5"/>
    </row>
    <row r="5" spans="1:17" x14ac:dyDescent="0.25">
      <c r="A5" s="6" t="s">
        <v>2</v>
      </c>
      <c r="B5" s="7"/>
      <c r="C5" s="8">
        <v>3100</v>
      </c>
      <c r="D5" s="8">
        <v>5100</v>
      </c>
      <c r="E5" s="6">
        <v>100</v>
      </c>
      <c r="F5" s="6">
        <v>100</v>
      </c>
      <c r="G5" s="8">
        <v>3100</v>
      </c>
      <c r="H5" s="8">
        <v>3100</v>
      </c>
      <c r="I5" s="8">
        <v>1600</v>
      </c>
      <c r="J5" s="8">
        <v>1600</v>
      </c>
      <c r="K5" s="8">
        <v>100</v>
      </c>
      <c r="L5" s="8"/>
      <c r="M5" s="8"/>
      <c r="N5" s="8"/>
      <c r="O5" s="8"/>
      <c r="P5" s="8"/>
    </row>
    <row r="6" spans="1:17" x14ac:dyDescent="0.25">
      <c r="A6" s="6" t="s">
        <v>3</v>
      </c>
      <c r="B6" s="7"/>
      <c r="C6" s="8">
        <v>134015</v>
      </c>
      <c r="D6" s="8">
        <v>133680</v>
      </c>
      <c r="E6" s="8">
        <v>134011</v>
      </c>
      <c r="F6" s="8">
        <v>143703</v>
      </c>
      <c r="G6" s="8">
        <v>134547</v>
      </c>
      <c r="H6" s="8">
        <v>135061</v>
      </c>
      <c r="I6" s="8">
        <v>135499</v>
      </c>
      <c r="J6" s="8">
        <v>136124</v>
      </c>
      <c r="K6" s="8">
        <v>136181</v>
      </c>
      <c r="L6" s="8"/>
      <c r="M6" s="8"/>
      <c r="N6" s="8"/>
      <c r="O6" s="8"/>
      <c r="P6" s="8"/>
    </row>
    <row r="7" spans="1:17" x14ac:dyDescent="0.25">
      <c r="A7" s="6" t="s">
        <v>4</v>
      </c>
      <c r="B7" s="7"/>
      <c r="C7" s="9">
        <f>C5/C6</f>
        <v>2.3131738984442041E-2</v>
      </c>
      <c r="D7" s="9">
        <f t="shared" ref="D7:E7" si="0">D5/D6</f>
        <v>3.8150807899461403E-2</v>
      </c>
      <c r="E7" s="9">
        <f t="shared" si="0"/>
        <v>7.4620740088500199E-4</v>
      </c>
      <c r="F7" s="10">
        <v>1E-3</v>
      </c>
      <c r="G7" s="9">
        <f t="shared" ref="G7:K7" si="1">G5/G6</f>
        <v>2.30402758887229E-2</v>
      </c>
      <c r="H7" s="9">
        <f t="shared" si="1"/>
        <v>2.2952591791857012E-2</v>
      </c>
      <c r="I7" s="9">
        <f t="shared" si="1"/>
        <v>1.1808205226606838E-2</v>
      </c>
      <c r="J7" s="9">
        <f t="shared" si="1"/>
        <v>1.1753989010020276E-2</v>
      </c>
      <c r="K7" s="9">
        <f t="shared" si="1"/>
        <v>7.3431682833875506E-4</v>
      </c>
      <c r="L7" s="6"/>
      <c r="M7" s="6"/>
      <c r="N7" s="6"/>
      <c r="O7" s="6"/>
      <c r="P7" s="6"/>
    </row>
    <row r="8" spans="1:17" x14ac:dyDescent="0.25">
      <c r="A8" s="6" t="s">
        <v>5</v>
      </c>
      <c r="B8" s="7"/>
      <c r="C8" s="11">
        <v>0.3</v>
      </c>
      <c r="D8" s="11">
        <v>0.3</v>
      </c>
      <c r="E8" s="11">
        <v>0.3</v>
      </c>
      <c r="F8" s="11">
        <v>0.3</v>
      </c>
      <c r="G8" s="11">
        <v>0.3</v>
      </c>
      <c r="H8" s="11">
        <v>0.3</v>
      </c>
      <c r="I8" s="11">
        <v>0.3</v>
      </c>
      <c r="J8" s="11">
        <v>0.3</v>
      </c>
      <c r="K8" s="11">
        <v>0.3</v>
      </c>
      <c r="L8" s="6"/>
      <c r="M8" s="6"/>
      <c r="N8" s="6"/>
      <c r="O8" s="6"/>
      <c r="P8" s="6"/>
    </row>
    <row r="10" spans="1:17" x14ac:dyDescent="0.25">
      <c r="A10" s="2" t="s">
        <v>6</v>
      </c>
    </row>
    <row r="11" spans="1:17" x14ac:dyDescent="0.25">
      <c r="A11" t="s">
        <v>7</v>
      </c>
      <c r="C11" s="4">
        <v>42125</v>
      </c>
      <c r="D11" s="4">
        <v>42156</v>
      </c>
      <c r="E11" s="4">
        <v>42186</v>
      </c>
      <c r="F11" s="4">
        <v>42217</v>
      </c>
      <c r="G11" s="4">
        <v>42248</v>
      </c>
      <c r="H11" s="4">
        <v>42278</v>
      </c>
      <c r="I11" s="4">
        <v>42309</v>
      </c>
      <c r="J11" s="4">
        <v>42339</v>
      </c>
      <c r="K11" s="4">
        <v>42370</v>
      </c>
      <c r="L11" s="4">
        <v>42401</v>
      </c>
      <c r="M11" s="4">
        <v>42430</v>
      </c>
      <c r="N11" s="4">
        <v>42461</v>
      </c>
      <c r="O11" s="4">
        <v>42491</v>
      </c>
      <c r="P11" s="4">
        <v>42522</v>
      </c>
    </row>
    <row r="12" spans="1:17" x14ac:dyDescent="0.25">
      <c r="A12" s="6" t="s">
        <v>8</v>
      </c>
      <c r="B12" s="12"/>
      <c r="C12" s="8">
        <f>1669-353</f>
        <v>1316</v>
      </c>
      <c r="D12" s="8">
        <v>1668</v>
      </c>
      <c r="E12" s="8">
        <v>1689</v>
      </c>
      <c r="F12" s="8">
        <f>2817.026+504.893</f>
        <v>3321.9189999999999</v>
      </c>
      <c r="G12" s="8">
        <f>2574+537</f>
        <v>3111</v>
      </c>
      <c r="H12" s="8">
        <v>3651</v>
      </c>
      <c r="I12" s="8">
        <f>2547+1687</f>
        <v>4234</v>
      </c>
      <c r="J12" s="8">
        <v>3918</v>
      </c>
      <c r="K12" s="8">
        <f>2187+1766</f>
        <v>3953</v>
      </c>
      <c r="L12" s="8"/>
      <c r="M12" s="8"/>
      <c r="N12" s="8"/>
      <c r="O12" s="8"/>
      <c r="P12" s="8"/>
    </row>
    <row r="13" spans="1:17" x14ac:dyDescent="0.25">
      <c r="A13" s="6" t="s">
        <v>9</v>
      </c>
      <c r="B13" s="12"/>
      <c r="C13" s="8">
        <f>91+3</f>
        <v>94</v>
      </c>
      <c r="D13" s="8">
        <v>99</v>
      </c>
      <c r="E13" s="6">
        <v>111</v>
      </c>
      <c r="F13" s="6">
        <v>113</v>
      </c>
      <c r="G13" s="6">
        <f>122+12</f>
        <v>134</v>
      </c>
      <c r="H13" s="6">
        <v>177</v>
      </c>
      <c r="I13" s="6">
        <f>53+30</f>
        <v>83</v>
      </c>
      <c r="J13" s="6">
        <f>52+36</f>
        <v>88</v>
      </c>
      <c r="K13" s="6">
        <f>52+36</f>
        <v>88</v>
      </c>
      <c r="L13" s="6"/>
      <c r="M13" s="6"/>
      <c r="N13" s="6"/>
      <c r="O13" s="6"/>
      <c r="P13" s="6"/>
    </row>
    <row r="14" spans="1:17" x14ac:dyDescent="0.25">
      <c r="A14" s="6" t="s">
        <v>4</v>
      </c>
      <c r="B14" s="12"/>
      <c r="C14" s="13">
        <v>14</v>
      </c>
      <c r="D14" s="14">
        <f>+D12/D13</f>
        <v>16.848484848484848</v>
      </c>
      <c r="E14" s="14">
        <f>+E12/E13</f>
        <v>15.216216216216216</v>
      </c>
      <c r="F14" s="14">
        <f>+F12/F13</f>
        <v>29.397513274336283</v>
      </c>
      <c r="G14" s="14">
        <f>+G12/G13</f>
        <v>23.21641791044776</v>
      </c>
      <c r="H14" s="14">
        <f>+H12/H13</f>
        <v>20.627118644067796</v>
      </c>
      <c r="I14" s="14">
        <f t="shared" ref="I14:K14" si="2">+I12/I13</f>
        <v>51.012048192771083</v>
      </c>
      <c r="J14" s="14">
        <f t="shared" si="2"/>
        <v>44.522727272727273</v>
      </c>
      <c r="K14" s="14">
        <f t="shared" si="2"/>
        <v>44.920454545454547</v>
      </c>
      <c r="L14" s="6"/>
      <c r="M14" s="6"/>
      <c r="N14" s="6"/>
      <c r="O14" s="6"/>
      <c r="P14" s="6"/>
    </row>
    <row r="15" spans="1:17" x14ac:dyDescent="0.25">
      <c r="A15" s="6" t="s">
        <v>10</v>
      </c>
      <c r="B15" s="12"/>
      <c r="C15" s="13">
        <v>3</v>
      </c>
      <c r="D15" s="6">
        <v>3</v>
      </c>
      <c r="E15" s="6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4</v>
      </c>
      <c r="L15" s="6"/>
      <c r="M15" s="6"/>
      <c r="N15" s="6"/>
      <c r="O15" s="6"/>
      <c r="P15" s="6"/>
    </row>
    <row r="17" spans="1:16" x14ac:dyDescent="0.25">
      <c r="A17" s="22" t="s">
        <v>11</v>
      </c>
    </row>
    <row r="18" spans="1:16" x14ac:dyDescent="0.25">
      <c r="C18" s="4">
        <v>42125</v>
      </c>
      <c r="D18" s="4">
        <v>42156</v>
      </c>
      <c r="E18" s="4">
        <v>42186</v>
      </c>
      <c r="F18" s="4">
        <v>42217</v>
      </c>
      <c r="G18" s="4">
        <v>42248</v>
      </c>
      <c r="H18" s="4">
        <v>42278</v>
      </c>
      <c r="I18" s="4">
        <v>42309</v>
      </c>
      <c r="J18" s="4">
        <v>42339</v>
      </c>
      <c r="K18" s="4">
        <v>42370</v>
      </c>
      <c r="L18" s="4">
        <v>42401</v>
      </c>
      <c r="M18" s="4">
        <v>42430</v>
      </c>
      <c r="N18" s="4">
        <v>42461</v>
      </c>
      <c r="O18" s="4">
        <v>42491</v>
      </c>
      <c r="P18" s="4">
        <v>42522</v>
      </c>
    </row>
    <row r="19" spans="1:16" x14ac:dyDescent="0.25">
      <c r="A19" s="6" t="s">
        <v>12</v>
      </c>
      <c r="B19" s="12"/>
      <c r="C19" s="8">
        <v>342</v>
      </c>
      <c r="D19" s="8">
        <v>475</v>
      </c>
      <c r="E19" s="8">
        <v>478</v>
      </c>
      <c r="F19" s="6">
        <f>466+375</f>
        <v>841</v>
      </c>
      <c r="G19" s="6">
        <f>32+394</f>
        <v>426</v>
      </c>
      <c r="H19" s="6">
        <f>596+9+347</f>
        <v>952</v>
      </c>
      <c r="I19" s="8">
        <f>554+1+461</f>
        <v>1016</v>
      </c>
      <c r="J19" s="6">
        <f>258+6+419</f>
        <v>683</v>
      </c>
      <c r="K19" s="6">
        <f>242+417</f>
        <v>659</v>
      </c>
      <c r="L19" s="6"/>
      <c r="M19" s="6"/>
      <c r="N19" s="6"/>
      <c r="O19" s="6"/>
      <c r="P19" s="6"/>
    </row>
    <row r="20" spans="1:16" x14ac:dyDescent="0.25">
      <c r="A20" s="6" t="s">
        <v>13</v>
      </c>
      <c r="B20" s="12"/>
      <c r="C20" s="8">
        <v>9727</v>
      </c>
      <c r="D20" s="8">
        <v>10412</v>
      </c>
      <c r="E20" s="8">
        <v>9175</v>
      </c>
      <c r="F20" s="8">
        <v>9907</v>
      </c>
      <c r="G20" s="8">
        <v>9749</v>
      </c>
      <c r="H20" s="8">
        <v>9991</v>
      </c>
      <c r="I20" s="8">
        <v>9812</v>
      </c>
      <c r="J20" s="8">
        <v>9955</v>
      </c>
      <c r="K20" s="8">
        <v>9331</v>
      </c>
      <c r="L20" s="8"/>
      <c r="M20" s="8"/>
      <c r="N20" s="8"/>
      <c r="O20" s="8"/>
      <c r="P20" s="8"/>
    </row>
    <row r="21" spans="1:16" x14ac:dyDescent="0.25">
      <c r="A21" s="6" t="s">
        <v>4</v>
      </c>
      <c r="B21" s="12"/>
      <c r="C21" s="15">
        <f t="shared" ref="C21:H21" si="3">+C19/C20</f>
        <v>3.5159864295260614E-2</v>
      </c>
      <c r="D21" s="15">
        <f t="shared" si="3"/>
        <v>4.5620437956204379E-2</v>
      </c>
      <c r="E21" s="15">
        <f t="shared" si="3"/>
        <v>5.209809264305177E-2</v>
      </c>
      <c r="F21" s="15">
        <f t="shared" si="3"/>
        <v>8.4889472090441107E-2</v>
      </c>
      <c r="G21" s="15">
        <f t="shared" si="3"/>
        <v>4.3696789414298901E-2</v>
      </c>
      <c r="H21" s="15">
        <f t="shared" si="3"/>
        <v>9.5285757181463315E-2</v>
      </c>
      <c r="I21" s="15">
        <f t="shared" ref="I21" si="4">+I19/I20</f>
        <v>0.10354667753770892</v>
      </c>
      <c r="J21" s="15">
        <f t="shared" ref="J21:K21" si="5">+J19/J20</f>
        <v>6.8608739326971369E-2</v>
      </c>
      <c r="K21" s="15">
        <f t="shared" si="5"/>
        <v>7.0624799056907078E-2</v>
      </c>
      <c r="L21" s="6"/>
      <c r="M21" s="6"/>
      <c r="N21" s="6"/>
      <c r="O21" s="6"/>
      <c r="P21" s="6"/>
    </row>
    <row r="22" spans="1:16" x14ac:dyDescent="0.25">
      <c r="A22" s="16" t="s">
        <v>10</v>
      </c>
      <c r="B22" s="17"/>
      <c r="C22" s="18">
        <v>0.03</v>
      </c>
      <c r="D22" s="18">
        <v>0.03</v>
      </c>
      <c r="E22" s="18">
        <v>0.03</v>
      </c>
      <c r="F22" s="18">
        <v>0.03</v>
      </c>
      <c r="G22" s="18">
        <v>0.03</v>
      </c>
      <c r="H22" s="18">
        <v>0.03</v>
      </c>
      <c r="I22" s="18">
        <v>0.03</v>
      </c>
      <c r="J22" s="18">
        <v>0.03</v>
      </c>
      <c r="K22" s="18">
        <v>0.03</v>
      </c>
      <c r="L22" s="18"/>
      <c r="M22" s="18"/>
      <c r="N22" s="18"/>
      <c r="O22" s="18"/>
      <c r="P22" s="18"/>
    </row>
    <row r="23" spans="1:16" x14ac:dyDescent="0.25">
      <c r="A23" s="19"/>
    </row>
    <row r="24" spans="1:16" x14ac:dyDescent="0.25">
      <c r="A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6" x14ac:dyDescent="0.25">
      <c r="A26" s="1"/>
      <c r="C26" s="1"/>
      <c r="D26" s="25"/>
      <c r="E26" s="25"/>
      <c r="F26" s="25"/>
      <c r="G26" s="25"/>
      <c r="H26" s="25"/>
      <c r="I26" s="25"/>
      <c r="J26" s="25"/>
      <c r="K26" s="1"/>
      <c r="L26" s="1"/>
      <c r="M26" s="1"/>
      <c r="N26" s="1"/>
      <c r="O26" s="1"/>
      <c r="P26" s="1"/>
    </row>
    <row r="27" spans="1:16" x14ac:dyDescent="0.25">
      <c r="A27" s="1"/>
      <c r="C27" s="25"/>
      <c r="D27" s="25"/>
      <c r="E27" s="25"/>
      <c r="F27" s="25"/>
      <c r="G27" s="25"/>
      <c r="H27" s="25"/>
      <c r="I27" s="25"/>
      <c r="J27" s="25"/>
      <c r="K27" s="1"/>
      <c r="L27" s="1"/>
      <c r="M27" s="1"/>
      <c r="N27" s="1"/>
      <c r="O27" s="1"/>
      <c r="P27" s="1"/>
    </row>
    <row r="28" spans="1:16" x14ac:dyDescent="0.25">
      <c r="A28" s="1"/>
      <c r="C28" s="18"/>
      <c r="D28" s="18"/>
      <c r="E28" s="18"/>
      <c r="F28" s="18"/>
      <c r="G28" s="18"/>
      <c r="H28" s="18"/>
      <c r="I28" s="18"/>
      <c r="J28" s="18"/>
      <c r="K28" s="1"/>
      <c r="L28" s="1"/>
      <c r="M28" s="1"/>
      <c r="N28" s="1"/>
      <c r="O28" s="1"/>
      <c r="P28" s="1"/>
    </row>
    <row r="29" spans="1:16" x14ac:dyDescent="0.25">
      <c r="A29" s="16"/>
      <c r="B29" s="17"/>
      <c r="C29" s="18"/>
      <c r="D29" s="18"/>
      <c r="E29" s="18"/>
      <c r="F29" s="18"/>
      <c r="G29" s="18"/>
      <c r="H29" s="18"/>
      <c r="I29" s="18"/>
      <c r="J29" s="18"/>
      <c r="K29" s="1"/>
      <c r="L29" s="1"/>
      <c r="M29" s="1"/>
      <c r="N29" s="1"/>
      <c r="O29" s="1"/>
      <c r="P29" s="1"/>
    </row>
    <row r="31" spans="1:16" x14ac:dyDescent="0.25">
      <c r="A31" s="2" t="s">
        <v>14</v>
      </c>
    </row>
    <row r="32" spans="1:16" x14ac:dyDescent="0.25">
      <c r="C32" s="4">
        <v>42125</v>
      </c>
      <c r="D32" s="4">
        <v>42156</v>
      </c>
      <c r="E32" s="4">
        <v>42186</v>
      </c>
      <c r="F32" s="4">
        <v>42217</v>
      </c>
      <c r="G32" s="4">
        <v>42248</v>
      </c>
      <c r="H32" s="4">
        <v>42278</v>
      </c>
      <c r="I32" s="4">
        <v>42309</v>
      </c>
      <c r="J32" s="4">
        <v>42339</v>
      </c>
      <c r="K32" s="4">
        <v>42370</v>
      </c>
      <c r="L32" s="4">
        <v>42401</v>
      </c>
      <c r="M32" s="4">
        <v>42430</v>
      </c>
      <c r="N32" s="4">
        <v>42461</v>
      </c>
      <c r="O32" s="4">
        <v>42491</v>
      </c>
      <c r="P32" s="4">
        <v>42522</v>
      </c>
    </row>
    <row r="33" spans="1:16" x14ac:dyDescent="0.25">
      <c r="A33" s="6" t="s">
        <v>15</v>
      </c>
      <c r="B33" s="12"/>
      <c r="C33" s="8">
        <f>26548+17678</f>
        <v>44226</v>
      </c>
      <c r="D33" s="8">
        <f>24256+17452</f>
        <v>41708</v>
      </c>
      <c r="E33" s="20">
        <f>29502.43+17866</f>
        <v>47368.43</v>
      </c>
      <c r="F33" s="8">
        <f>33693+17389</f>
        <v>51082</v>
      </c>
      <c r="G33" s="8">
        <f>31663+17082</f>
        <v>48745</v>
      </c>
      <c r="H33" s="8">
        <f>37475+16957</f>
        <v>54432</v>
      </c>
      <c r="I33" s="8">
        <f>34475+16855</f>
        <v>51330</v>
      </c>
      <c r="J33" s="8">
        <f>42958+17316</f>
        <v>60274</v>
      </c>
      <c r="K33" s="8">
        <f>43163+17131</f>
        <v>60294</v>
      </c>
      <c r="L33" s="6"/>
      <c r="M33" s="6"/>
      <c r="N33" s="6"/>
      <c r="O33" s="6"/>
      <c r="P33" s="6"/>
    </row>
    <row r="34" spans="1:16" x14ac:dyDescent="0.25">
      <c r="A34" s="6" t="s">
        <v>16</v>
      </c>
      <c r="B34" s="12"/>
      <c r="C34" s="8">
        <v>25145</v>
      </c>
      <c r="D34" s="8">
        <v>21162</v>
      </c>
      <c r="E34" s="8">
        <f>30696</f>
        <v>30696</v>
      </c>
      <c r="F34" s="8">
        <f>32430</f>
        <v>32430</v>
      </c>
      <c r="G34" s="8">
        <f>26460</f>
        <v>26460</v>
      </c>
      <c r="H34" s="8">
        <f>29076</f>
        <v>29076</v>
      </c>
      <c r="I34" s="8">
        <v>27099</v>
      </c>
      <c r="J34" s="8">
        <f>32897</f>
        <v>32897</v>
      </c>
      <c r="K34" s="8">
        <f>31000</f>
        <v>31000</v>
      </c>
      <c r="L34" s="6"/>
      <c r="M34" s="6"/>
      <c r="N34" s="6"/>
      <c r="O34" s="6"/>
      <c r="P34" s="6"/>
    </row>
    <row r="35" spans="1:16" x14ac:dyDescent="0.25">
      <c r="A35" s="6" t="s">
        <v>17</v>
      </c>
      <c r="B35" s="12"/>
      <c r="C35" s="8">
        <f>9168+6310</f>
        <v>15478</v>
      </c>
      <c r="D35" s="8">
        <f>9281+6102</f>
        <v>15383</v>
      </c>
      <c r="E35" s="8">
        <f>10956+5720</f>
        <v>16676</v>
      </c>
      <c r="F35" s="8">
        <f>11720+8000</f>
        <v>19720</v>
      </c>
      <c r="G35" s="8">
        <f>12460+8225</f>
        <v>20685</v>
      </c>
      <c r="H35" s="8">
        <f>13979+9321</f>
        <v>23300</v>
      </c>
      <c r="I35" s="8">
        <f>14262+9236</f>
        <v>23498</v>
      </c>
      <c r="J35" s="8">
        <f>15531+10668</f>
        <v>26199</v>
      </c>
      <c r="K35" s="8">
        <f>10228+18734</f>
        <v>28962</v>
      </c>
      <c r="L35" s="6"/>
      <c r="M35" s="6"/>
      <c r="N35" s="6"/>
      <c r="O35" s="6"/>
      <c r="P35" s="6"/>
    </row>
    <row r="36" spans="1:16" x14ac:dyDescent="0.25">
      <c r="A36" s="6" t="s">
        <v>4</v>
      </c>
      <c r="B36" s="12"/>
      <c r="C36" s="21">
        <f>+C33/C34</f>
        <v>1.7588387353350567</v>
      </c>
      <c r="D36" s="21">
        <f t="shared" ref="D36:K36" si="6">+D33/D34</f>
        <v>1.9708912201115207</v>
      </c>
      <c r="E36" s="21">
        <f t="shared" si="6"/>
        <v>1.5431466640604639</v>
      </c>
      <c r="F36" s="21">
        <f t="shared" si="6"/>
        <v>1.5751464693185322</v>
      </c>
      <c r="G36" s="21">
        <f t="shared" si="6"/>
        <v>1.8422146636432351</v>
      </c>
      <c r="H36" s="21">
        <f t="shared" si="6"/>
        <v>1.8720594304581097</v>
      </c>
      <c r="I36" s="21">
        <f t="shared" si="6"/>
        <v>1.8941658363777261</v>
      </c>
      <c r="J36" s="21">
        <f t="shared" si="6"/>
        <v>1.8322035443961455</v>
      </c>
      <c r="K36" s="21">
        <f t="shared" si="6"/>
        <v>1.9449677419354838</v>
      </c>
      <c r="L36" s="6"/>
      <c r="M36" s="6"/>
      <c r="N36" s="6"/>
      <c r="O36" s="6"/>
      <c r="P36" s="6"/>
    </row>
    <row r="37" spans="1:16" x14ac:dyDescent="0.25">
      <c r="A37" s="6" t="s">
        <v>10</v>
      </c>
      <c r="C37" s="6">
        <v>1.5</v>
      </c>
      <c r="D37" s="6">
        <v>1.5</v>
      </c>
      <c r="E37" s="6">
        <v>1.5</v>
      </c>
      <c r="F37" s="6">
        <v>1.5</v>
      </c>
      <c r="G37" s="6">
        <v>1.5</v>
      </c>
      <c r="H37" s="6">
        <v>1.5</v>
      </c>
      <c r="I37" s="6">
        <v>1.5</v>
      </c>
      <c r="J37" s="6">
        <v>1.5</v>
      </c>
      <c r="K37" s="6">
        <v>1.5</v>
      </c>
    </row>
    <row r="39" spans="1:16" x14ac:dyDescent="0.25">
      <c r="A39" s="2" t="s">
        <v>18</v>
      </c>
    </row>
    <row r="40" spans="1:16" x14ac:dyDescent="0.25">
      <c r="A40" t="s">
        <v>19</v>
      </c>
      <c r="C40" s="4">
        <v>42125</v>
      </c>
      <c r="D40" s="4">
        <v>42156</v>
      </c>
      <c r="E40" s="4">
        <v>42186</v>
      </c>
      <c r="F40" s="4">
        <v>42217</v>
      </c>
      <c r="G40" s="4">
        <v>42248</v>
      </c>
      <c r="H40" s="4">
        <v>42278</v>
      </c>
      <c r="I40" s="4">
        <v>42309</v>
      </c>
      <c r="J40" s="4">
        <v>42339</v>
      </c>
      <c r="K40" s="4">
        <v>42370</v>
      </c>
      <c r="L40" s="4">
        <v>42401</v>
      </c>
      <c r="M40" s="4">
        <v>42430</v>
      </c>
      <c r="N40" s="4">
        <v>42461</v>
      </c>
      <c r="O40" s="4">
        <v>42491</v>
      </c>
      <c r="P40" s="4">
        <v>42522</v>
      </c>
    </row>
    <row r="41" spans="1:16" x14ac:dyDescent="0.25">
      <c r="A41" s="6" t="s">
        <v>20</v>
      </c>
      <c r="B41" s="12"/>
      <c r="C41" s="8">
        <v>6625</v>
      </c>
      <c r="D41" s="8">
        <v>7083</v>
      </c>
      <c r="E41" s="8">
        <v>478</v>
      </c>
      <c r="F41" s="6">
        <f>505+782+39</f>
        <v>1326</v>
      </c>
      <c r="G41" s="8">
        <f>537+1179+20</f>
        <v>1736</v>
      </c>
      <c r="H41" s="8">
        <f>1133+29+1525</f>
        <v>2687</v>
      </c>
      <c r="I41" s="8">
        <f>1687+30+1986</f>
        <v>3703</v>
      </c>
      <c r="J41" s="8">
        <f>1945+36+2405</f>
        <v>4386</v>
      </c>
      <c r="K41" s="8">
        <f>2187+2822+36</f>
        <v>5045</v>
      </c>
      <c r="L41" s="8"/>
      <c r="M41" s="8"/>
      <c r="N41" s="8"/>
      <c r="O41" s="8"/>
      <c r="P41" s="8"/>
    </row>
    <row r="42" spans="1:16" x14ac:dyDescent="0.25">
      <c r="A42" s="6" t="s">
        <v>21</v>
      </c>
      <c r="B42" s="12"/>
      <c r="C42" s="8">
        <v>5457</v>
      </c>
      <c r="D42" s="8">
        <v>5908</v>
      </c>
      <c r="E42" s="8">
        <v>-84</v>
      </c>
      <c r="F42" s="6">
        <f>-522+774+5</f>
        <v>257</v>
      </c>
      <c r="G42" s="6">
        <f>-381+1171+8</f>
        <v>798</v>
      </c>
      <c r="H42" s="8">
        <f>-335+10+1572</f>
        <v>1247</v>
      </c>
      <c r="I42" s="8">
        <f>-142+13+1973</f>
        <v>1844</v>
      </c>
      <c r="J42" s="8">
        <f>275+15+2377</f>
        <v>2667</v>
      </c>
      <c r="K42" s="8">
        <f>909+2785+18</f>
        <v>3712</v>
      </c>
      <c r="L42" s="8"/>
      <c r="M42" s="8"/>
      <c r="N42" s="8"/>
      <c r="O42" s="8"/>
      <c r="P42" s="8"/>
    </row>
  </sheetData>
  <pageMargins left="0.7" right="0.7" top="0.75" bottom="0.75" header="0.3" footer="0.3"/>
  <pageSetup paperSize="8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tabSelected="1" workbookViewId="0">
      <selection activeCell="C21" sqref="C21"/>
    </sheetView>
  </sheetViews>
  <sheetFormatPr defaultRowHeight="15" x14ac:dyDescent="0.25"/>
  <cols>
    <col min="1" max="1" width="33.5703125" customWidth="1"/>
    <col min="2" max="2" width="21.28515625" customWidth="1"/>
    <col min="3" max="3" width="10" bestFit="1" customWidth="1"/>
    <col min="4" max="4" width="11.42578125" customWidth="1"/>
    <col min="5" max="5" width="11.7109375" customWidth="1"/>
    <col min="6" max="6" width="10.7109375" customWidth="1"/>
    <col min="7" max="7" width="11.7109375" customWidth="1"/>
    <col min="8" max="8" width="12.28515625" customWidth="1"/>
    <col min="9" max="9" width="11.42578125" customWidth="1"/>
  </cols>
  <sheetData>
    <row r="1" spans="1:16" x14ac:dyDescent="0.25">
      <c r="A1" s="40" t="s">
        <v>23</v>
      </c>
      <c r="B1" s="40" t="s">
        <v>24</v>
      </c>
      <c r="C1" s="41" t="s">
        <v>25</v>
      </c>
      <c r="D1" s="41" t="s">
        <v>26</v>
      </c>
      <c r="E1" s="41" t="s">
        <v>27</v>
      </c>
      <c r="F1" s="41" t="s">
        <v>28</v>
      </c>
      <c r="G1" s="41" t="s">
        <v>29</v>
      </c>
      <c r="H1" s="41" t="s">
        <v>30</v>
      </c>
      <c r="I1" s="41" t="s">
        <v>31</v>
      </c>
      <c r="J1" s="41" t="s">
        <v>32</v>
      </c>
      <c r="K1" s="41" t="s">
        <v>33</v>
      </c>
      <c r="L1" s="41" t="s">
        <v>34</v>
      </c>
      <c r="M1" s="41" t="s">
        <v>35</v>
      </c>
      <c r="N1" s="41" t="s">
        <v>36</v>
      </c>
      <c r="O1" s="40" t="s">
        <v>37</v>
      </c>
      <c r="P1" s="39" t="s">
        <v>38</v>
      </c>
    </row>
    <row r="2" spans="1:16" x14ac:dyDescent="0.25">
      <c r="A2" s="31" t="s">
        <v>39</v>
      </c>
      <c r="B2" s="31" t="s">
        <v>2</v>
      </c>
      <c r="C2" s="32">
        <f>Finance!E5</f>
        <v>100</v>
      </c>
      <c r="D2" s="32">
        <f>Finance!F5</f>
        <v>100</v>
      </c>
      <c r="E2" s="32">
        <f>Finance!G5</f>
        <v>3100</v>
      </c>
      <c r="F2" s="32">
        <f>Finance!H5</f>
        <v>3100</v>
      </c>
      <c r="G2" s="32">
        <f>Finance!I5</f>
        <v>1600</v>
      </c>
      <c r="H2" s="32">
        <f>Finance!J5</f>
        <v>1600</v>
      </c>
      <c r="I2" s="32">
        <f>Finance!K5</f>
        <v>100</v>
      </c>
      <c r="J2" s="32">
        <f>Finance!L5</f>
        <v>0</v>
      </c>
      <c r="K2" s="32">
        <f>Finance!M5</f>
        <v>0</v>
      </c>
      <c r="L2" s="32">
        <f>Finance!N5</f>
        <v>0</v>
      </c>
      <c r="M2" s="32">
        <f>Finance!O5</f>
        <v>0</v>
      </c>
      <c r="N2" s="32">
        <f>Finance!P5</f>
        <v>0</v>
      </c>
      <c r="O2" s="31">
        <v>1</v>
      </c>
      <c r="P2" s="42">
        <f>Finance!$D$1</f>
        <v>42444</v>
      </c>
    </row>
    <row r="3" spans="1:16" x14ac:dyDescent="0.25">
      <c r="A3" s="31" t="s">
        <v>39</v>
      </c>
      <c r="B3" s="31" t="s">
        <v>3</v>
      </c>
      <c r="C3" s="32">
        <f>Finance!E6</f>
        <v>134011</v>
      </c>
      <c r="D3" s="32">
        <f>Finance!F6</f>
        <v>143703</v>
      </c>
      <c r="E3" s="32">
        <f>Finance!G6</f>
        <v>134547</v>
      </c>
      <c r="F3" s="32">
        <f>Finance!H6</f>
        <v>135061</v>
      </c>
      <c r="G3" s="32">
        <f>Finance!I6</f>
        <v>135499</v>
      </c>
      <c r="H3" s="32">
        <f>Finance!J6</f>
        <v>136124</v>
      </c>
      <c r="I3" s="32">
        <f>Finance!K6</f>
        <v>136181</v>
      </c>
      <c r="J3" s="32">
        <f>Finance!L6</f>
        <v>0</v>
      </c>
      <c r="K3" s="32">
        <f>Finance!M6</f>
        <v>0</v>
      </c>
      <c r="L3" s="32">
        <f>Finance!N6</f>
        <v>0</v>
      </c>
      <c r="M3" s="32">
        <f>Finance!O6</f>
        <v>0</v>
      </c>
      <c r="N3" s="32">
        <f>Finance!P6</f>
        <v>0</v>
      </c>
      <c r="O3" s="33">
        <v>2</v>
      </c>
      <c r="P3" s="42">
        <f>Finance!$D$1</f>
        <v>42444</v>
      </c>
    </row>
    <row r="4" spans="1:16" x14ac:dyDescent="0.25">
      <c r="A4" s="31" t="s">
        <v>39</v>
      </c>
      <c r="B4" s="31" t="s">
        <v>4</v>
      </c>
      <c r="C4" s="34">
        <f>Finance!E7</f>
        <v>7.4620740088500199E-4</v>
      </c>
      <c r="D4" s="34">
        <f>Finance!F7</f>
        <v>1E-3</v>
      </c>
      <c r="E4" s="34">
        <f>Finance!G7</f>
        <v>2.30402758887229E-2</v>
      </c>
      <c r="F4" s="34">
        <f>Finance!H7</f>
        <v>2.2952591791857012E-2</v>
      </c>
      <c r="G4" s="34">
        <f>Finance!I7</f>
        <v>1.1808205226606838E-2</v>
      </c>
      <c r="H4" s="34">
        <f>Finance!J7</f>
        <v>1.1753989010020276E-2</v>
      </c>
      <c r="I4" s="34">
        <f>Finance!K7</f>
        <v>7.3431682833875506E-4</v>
      </c>
      <c r="J4" s="34">
        <f>Finance!L7</f>
        <v>0</v>
      </c>
      <c r="K4" s="34">
        <f>Finance!M7</f>
        <v>0</v>
      </c>
      <c r="L4" s="34">
        <f>Finance!N7</f>
        <v>0</v>
      </c>
      <c r="M4" s="34">
        <f>Finance!O7</f>
        <v>0</v>
      </c>
      <c r="N4" s="34">
        <f>Finance!P7</f>
        <v>0</v>
      </c>
      <c r="O4" s="31">
        <v>3</v>
      </c>
      <c r="P4" s="42">
        <f>Finance!$D$1</f>
        <v>42444</v>
      </c>
    </row>
    <row r="5" spans="1:16" x14ac:dyDescent="0.25">
      <c r="A5" s="31" t="s">
        <v>39</v>
      </c>
      <c r="B5" s="31" t="s">
        <v>5</v>
      </c>
      <c r="C5" s="32">
        <f>Finance!E8</f>
        <v>0.3</v>
      </c>
      <c r="D5" s="32">
        <f>Finance!F8</f>
        <v>0.3</v>
      </c>
      <c r="E5" s="32">
        <f>Finance!G8</f>
        <v>0.3</v>
      </c>
      <c r="F5" s="32">
        <f>Finance!H8</f>
        <v>0.3</v>
      </c>
      <c r="G5" s="32">
        <f>Finance!I8</f>
        <v>0.3</v>
      </c>
      <c r="H5" s="32">
        <f>Finance!J8</f>
        <v>0.3</v>
      </c>
      <c r="I5" s="32">
        <f>Finance!K8</f>
        <v>0.3</v>
      </c>
      <c r="J5" s="32">
        <f>Finance!L8</f>
        <v>0</v>
      </c>
      <c r="K5" s="32">
        <f>Finance!M8</f>
        <v>0</v>
      </c>
      <c r="L5" s="32">
        <f>Finance!N8</f>
        <v>0</v>
      </c>
      <c r="M5" s="32">
        <f>Finance!O8</f>
        <v>0</v>
      </c>
      <c r="N5" s="32">
        <f>Finance!P8</f>
        <v>0</v>
      </c>
      <c r="O5" s="31">
        <v>4</v>
      </c>
      <c r="P5" s="42">
        <f>Finance!$D$1</f>
        <v>42444</v>
      </c>
    </row>
    <row r="6" spans="1:16" x14ac:dyDescent="0.25">
      <c r="A6" s="35" t="s">
        <v>40</v>
      </c>
      <c r="B6" s="35" t="s">
        <v>8</v>
      </c>
      <c r="C6" s="36">
        <f>Finance!E12</f>
        <v>1689</v>
      </c>
      <c r="D6" s="36">
        <f>Finance!F12</f>
        <v>3321.9189999999999</v>
      </c>
      <c r="E6" s="36">
        <f>Finance!G12</f>
        <v>3111</v>
      </c>
      <c r="F6" s="36">
        <f>Finance!H12</f>
        <v>3651</v>
      </c>
      <c r="G6" s="36">
        <f>Finance!I12</f>
        <v>4234</v>
      </c>
      <c r="H6" s="36">
        <f>Finance!J12</f>
        <v>3918</v>
      </c>
      <c r="I6" s="36">
        <f>Finance!K12</f>
        <v>3953</v>
      </c>
      <c r="J6" s="36">
        <f>Finance!L12</f>
        <v>0</v>
      </c>
      <c r="K6" s="36">
        <f>Finance!M12</f>
        <v>0</v>
      </c>
      <c r="L6" s="36">
        <f>Finance!N12</f>
        <v>0</v>
      </c>
      <c r="M6" s="36">
        <f>Finance!O12</f>
        <v>0</v>
      </c>
      <c r="N6" s="36">
        <f>Finance!P12</f>
        <v>0</v>
      </c>
      <c r="O6" s="35">
        <v>1</v>
      </c>
      <c r="P6" s="42">
        <f>Finance!$D$1</f>
        <v>42444</v>
      </c>
    </row>
    <row r="7" spans="1:16" x14ac:dyDescent="0.25">
      <c r="A7" s="35" t="s">
        <v>40</v>
      </c>
      <c r="B7" s="35" t="s">
        <v>9</v>
      </c>
      <c r="C7" s="36">
        <f>Finance!E13</f>
        <v>111</v>
      </c>
      <c r="D7" s="36">
        <f>Finance!F13</f>
        <v>113</v>
      </c>
      <c r="E7" s="36">
        <f>Finance!G13</f>
        <v>134</v>
      </c>
      <c r="F7" s="36">
        <f>Finance!H13</f>
        <v>177</v>
      </c>
      <c r="G7" s="36">
        <f>Finance!I13</f>
        <v>83</v>
      </c>
      <c r="H7" s="36">
        <f>Finance!J13</f>
        <v>88</v>
      </c>
      <c r="I7" s="36">
        <f>Finance!K13</f>
        <v>88</v>
      </c>
      <c r="J7" s="36">
        <f>Finance!L13</f>
        <v>0</v>
      </c>
      <c r="K7" s="36">
        <f>Finance!M13</f>
        <v>0</v>
      </c>
      <c r="L7" s="36">
        <f>Finance!N13</f>
        <v>0</v>
      </c>
      <c r="M7" s="36">
        <f>Finance!O13</f>
        <v>0</v>
      </c>
      <c r="N7" s="36">
        <f>Finance!P13</f>
        <v>0</v>
      </c>
      <c r="O7" s="37">
        <v>2</v>
      </c>
      <c r="P7" s="42">
        <f>Finance!$D$1</f>
        <v>42444</v>
      </c>
    </row>
    <row r="8" spans="1:16" x14ac:dyDescent="0.25">
      <c r="A8" s="35" t="s">
        <v>40</v>
      </c>
      <c r="B8" s="35" t="s">
        <v>4</v>
      </c>
      <c r="C8" s="38">
        <f>Finance!E14</f>
        <v>15.216216216216216</v>
      </c>
      <c r="D8" s="38">
        <f>Finance!F14</f>
        <v>29.397513274336283</v>
      </c>
      <c r="E8" s="38">
        <f>Finance!G14</f>
        <v>23.21641791044776</v>
      </c>
      <c r="F8" s="38">
        <f>Finance!H14</f>
        <v>20.627118644067796</v>
      </c>
      <c r="G8" s="38">
        <f>Finance!I14</f>
        <v>51.012048192771083</v>
      </c>
      <c r="H8" s="38">
        <f>Finance!J14</f>
        <v>44.522727272727273</v>
      </c>
      <c r="I8" s="38">
        <f>Finance!K14</f>
        <v>44.920454545454547</v>
      </c>
      <c r="J8" s="38">
        <f>Finance!L14</f>
        <v>0</v>
      </c>
      <c r="K8" s="38">
        <f>Finance!M14</f>
        <v>0</v>
      </c>
      <c r="L8" s="38">
        <f>Finance!N14</f>
        <v>0</v>
      </c>
      <c r="M8" s="38">
        <f>Finance!O14</f>
        <v>0</v>
      </c>
      <c r="N8" s="38">
        <f>Finance!P14</f>
        <v>0</v>
      </c>
      <c r="O8" s="35">
        <v>3</v>
      </c>
      <c r="P8" s="42">
        <f>Finance!$D$1</f>
        <v>42444</v>
      </c>
    </row>
    <row r="9" spans="1:16" x14ac:dyDescent="0.25">
      <c r="A9" s="35" t="s">
        <v>40</v>
      </c>
      <c r="B9" s="35" t="s">
        <v>10</v>
      </c>
      <c r="C9" s="36">
        <f>Finance!E15</f>
        <v>3</v>
      </c>
      <c r="D9" s="36">
        <f>Finance!F15</f>
        <v>3</v>
      </c>
      <c r="E9" s="36">
        <f>Finance!G15</f>
        <v>3</v>
      </c>
      <c r="F9" s="36">
        <f>Finance!H15</f>
        <v>3</v>
      </c>
      <c r="G9" s="36">
        <f>Finance!I15</f>
        <v>3</v>
      </c>
      <c r="H9" s="36">
        <f>Finance!J15</f>
        <v>3</v>
      </c>
      <c r="I9" s="36">
        <f>Finance!K15</f>
        <v>4</v>
      </c>
      <c r="J9" s="36">
        <f>Finance!L15</f>
        <v>0</v>
      </c>
      <c r="K9" s="36">
        <f>Finance!M15</f>
        <v>0</v>
      </c>
      <c r="L9" s="36">
        <f>Finance!N15</f>
        <v>0</v>
      </c>
      <c r="M9" s="36">
        <f>Finance!O15</f>
        <v>0</v>
      </c>
      <c r="N9" s="36">
        <f>Finance!P15</f>
        <v>0</v>
      </c>
      <c r="O9" s="35">
        <v>4</v>
      </c>
      <c r="P9" s="42">
        <f>Finance!$D$1</f>
        <v>42444</v>
      </c>
    </row>
    <row r="10" spans="1:16" x14ac:dyDescent="0.25">
      <c r="A10" s="31" t="s">
        <v>41</v>
      </c>
      <c r="B10" s="31" t="s">
        <v>12</v>
      </c>
      <c r="C10" s="32">
        <f>Finance!E19</f>
        <v>478</v>
      </c>
      <c r="D10" s="32">
        <f>Finance!F19</f>
        <v>841</v>
      </c>
      <c r="E10" s="32">
        <f>Finance!G19</f>
        <v>426</v>
      </c>
      <c r="F10" s="32">
        <f>Finance!H19</f>
        <v>952</v>
      </c>
      <c r="G10" s="32">
        <f>Finance!I19</f>
        <v>1016</v>
      </c>
      <c r="H10" s="32">
        <f>Finance!J19</f>
        <v>683</v>
      </c>
      <c r="I10" s="32">
        <f>Finance!K19</f>
        <v>659</v>
      </c>
      <c r="J10" s="32">
        <f>Finance!L19</f>
        <v>0</v>
      </c>
      <c r="K10" s="32">
        <f>Finance!M19</f>
        <v>0</v>
      </c>
      <c r="L10" s="32">
        <f>Finance!N19</f>
        <v>0</v>
      </c>
      <c r="M10" s="32">
        <f>Finance!O19</f>
        <v>0</v>
      </c>
      <c r="N10" s="32">
        <f>Finance!P19</f>
        <v>0</v>
      </c>
      <c r="O10" s="31">
        <v>1</v>
      </c>
      <c r="P10" s="42">
        <f>Finance!$D$1</f>
        <v>42444</v>
      </c>
    </row>
    <row r="11" spans="1:16" x14ac:dyDescent="0.25">
      <c r="A11" s="31" t="s">
        <v>41</v>
      </c>
      <c r="B11" s="31" t="s">
        <v>13</v>
      </c>
      <c r="C11" s="32">
        <f>Finance!E20</f>
        <v>9175</v>
      </c>
      <c r="D11" s="32">
        <f>Finance!F20</f>
        <v>9907</v>
      </c>
      <c r="E11" s="32">
        <f>Finance!G20</f>
        <v>9749</v>
      </c>
      <c r="F11" s="32">
        <f>Finance!H20</f>
        <v>9991</v>
      </c>
      <c r="G11" s="32">
        <f>Finance!I20</f>
        <v>9812</v>
      </c>
      <c r="H11" s="32">
        <f>Finance!J20</f>
        <v>9955</v>
      </c>
      <c r="I11" s="32">
        <f>Finance!K20</f>
        <v>9331</v>
      </c>
      <c r="J11" s="32">
        <f>Finance!L20</f>
        <v>0</v>
      </c>
      <c r="K11" s="32">
        <f>Finance!M20</f>
        <v>0</v>
      </c>
      <c r="L11" s="32">
        <f>Finance!N20</f>
        <v>0</v>
      </c>
      <c r="M11" s="32">
        <f>Finance!O20</f>
        <v>0</v>
      </c>
      <c r="N11" s="32">
        <f>Finance!P20</f>
        <v>0</v>
      </c>
      <c r="O11" s="31">
        <v>2</v>
      </c>
      <c r="P11" s="42">
        <f>Finance!$D$1</f>
        <v>42444</v>
      </c>
    </row>
    <row r="12" spans="1:16" x14ac:dyDescent="0.25">
      <c r="A12" s="31" t="s">
        <v>41</v>
      </c>
      <c r="B12" s="31" t="s">
        <v>4</v>
      </c>
      <c r="C12" s="32">
        <f>Finance!E21</f>
        <v>5.209809264305177E-2</v>
      </c>
      <c r="D12" s="32">
        <f>Finance!F21</f>
        <v>8.4889472090441107E-2</v>
      </c>
      <c r="E12" s="32">
        <f>Finance!G21</f>
        <v>4.3696789414298901E-2</v>
      </c>
      <c r="F12" s="32">
        <f>Finance!H21</f>
        <v>9.5285757181463315E-2</v>
      </c>
      <c r="G12" s="32">
        <f>Finance!I21</f>
        <v>0.10354667753770892</v>
      </c>
      <c r="H12" s="32">
        <f>Finance!J21</f>
        <v>6.8608739326971369E-2</v>
      </c>
      <c r="I12" s="32">
        <f>Finance!K21</f>
        <v>7.0624799056907078E-2</v>
      </c>
      <c r="J12" s="32">
        <f>Finance!L21</f>
        <v>0</v>
      </c>
      <c r="K12" s="32">
        <f>Finance!M21</f>
        <v>0</v>
      </c>
      <c r="L12" s="32">
        <f>Finance!N21</f>
        <v>0</v>
      </c>
      <c r="M12" s="32">
        <f>Finance!O21</f>
        <v>0</v>
      </c>
      <c r="N12" s="32">
        <f>Finance!P21</f>
        <v>0</v>
      </c>
      <c r="O12" s="31">
        <v>3</v>
      </c>
      <c r="P12" s="42">
        <f>Finance!$D$1</f>
        <v>42444</v>
      </c>
    </row>
    <row r="13" spans="1:16" x14ac:dyDescent="0.25">
      <c r="A13" s="31" t="s">
        <v>41</v>
      </c>
      <c r="B13" s="31" t="s">
        <v>10</v>
      </c>
      <c r="C13" s="32">
        <f>Finance!E22</f>
        <v>0.03</v>
      </c>
      <c r="D13" s="32">
        <f>Finance!F22</f>
        <v>0.03</v>
      </c>
      <c r="E13" s="32">
        <f>Finance!G22</f>
        <v>0.03</v>
      </c>
      <c r="F13" s="32">
        <f>Finance!H22</f>
        <v>0.03</v>
      </c>
      <c r="G13" s="32">
        <f>Finance!I22</f>
        <v>0.03</v>
      </c>
      <c r="H13" s="32">
        <f>Finance!J22</f>
        <v>0.03</v>
      </c>
      <c r="I13" s="32">
        <f>Finance!K22</f>
        <v>0.03</v>
      </c>
      <c r="J13" s="32">
        <f>Finance!L22</f>
        <v>0</v>
      </c>
      <c r="K13" s="32">
        <f>Finance!M22</f>
        <v>0</v>
      </c>
      <c r="L13" s="32">
        <f>Finance!N22</f>
        <v>0</v>
      </c>
      <c r="M13" s="32">
        <f>Finance!O22</f>
        <v>0</v>
      </c>
      <c r="N13" s="32">
        <f>Finance!P22</f>
        <v>0</v>
      </c>
      <c r="O13" s="31">
        <v>4</v>
      </c>
      <c r="P13" s="42">
        <f>Finance!$D$1</f>
        <v>42444</v>
      </c>
    </row>
    <row r="14" spans="1:16" x14ac:dyDescent="0.25">
      <c r="A14" s="28" t="s">
        <v>42</v>
      </c>
      <c r="B14" s="28" t="s">
        <v>15</v>
      </c>
      <c r="C14" s="29">
        <f>Finance!E33</f>
        <v>47368.43</v>
      </c>
      <c r="D14" s="29">
        <f>Finance!F33</f>
        <v>51082</v>
      </c>
      <c r="E14" s="29">
        <f>Finance!G33</f>
        <v>48745</v>
      </c>
      <c r="F14" s="29">
        <f>Finance!H33</f>
        <v>54432</v>
      </c>
      <c r="G14" s="29">
        <f>Finance!I33</f>
        <v>51330</v>
      </c>
      <c r="H14" s="29">
        <f>Finance!J33</f>
        <v>60274</v>
      </c>
      <c r="I14" s="29">
        <f>Finance!K33</f>
        <v>60294</v>
      </c>
      <c r="J14" s="29">
        <f>Finance!L33</f>
        <v>0</v>
      </c>
      <c r="K14" s="29">
        <f>Finance!M33</f>
        <v>0</v>
      </c>
      <c r="L14" s="29">
        <f>Finance!N33</f>
        <v>0</v>
      </c>
      <c r="M14" s="29">
        <f>Finance!O33</f>
        <v>0</v>
      </c>
      <c r="N14" s="29">
        <f>Finance!P33</f>
        <v>0</v>
      </c>
      <c r="O14" s="30">
        <v>1</v>
      </c>
      <c r="P14" s="42">
        <f>Finance!$D$1</f>
        <v>42444</v>
      </c>
    </row>
    <row r="15" spans="1:16" x14ac:dyDescent="0.25">
      <c r="A15" s="28" t="s">
        <v>42</v>
      </c>
      <c r="B15" s="28" t="s">
        <v>16</v>
      </c>
      <c r="C15" s="29">
        <f>Finance!E34</f>
        <v>30696</v>
      </c>
      <c r="D15" s="29">
        <f>Finance!F34</f>
        <v>32430</v>
      </c>
      <c r="E15" s="29">
        <f>Finance!G34</f>
        <v>26460</v>
      </c>
      <c r="F15" s="29">
        <f>Finance!H34</f>
        <v>29076</v>
      </c>
      <c r="G15" s="29">
        <f>Finance!I34</f>
        <v>27099</v>
      </c>
      <c r="H15" s="29">
        <f>Finance!J34</f>
        <v>32897</v>
      </c>
      <c r="I15" s="29">
        <f>Finance!K34</f>
        <v>31000</v>
      </c>
      <c r="J15" s="29">
        <f>Finance!L34</f>
        <v>0</v>
      </c>
      <c r="K15" s="29">
        <f>Finance!M34</f>
        <v>0</v>
      </c>
      <c r="L15" s="29">
        <f>Finance!N34</f>
        <v>0</v>
      </c>
      <c r="M15" s="29">
        <f>Finance!O34</f>
        <v>0</v>
      </c>
      <c r="N15" s="29">
        <f>Finance!P34</f>
        <v>0</v>
      </c>
      <c r="O15" s="30">
        <v>2</v>
      </c>
      <c r="P15" s="42">
        <f>Finance!$D$1</f>
        <v>42444</v>
      </c>
    </row>
    <row r="16" spans="1:16" x14ac:dyDescent="0.25">
      <c r="A16" s="28" t="s">
        <v>42</v>
      </c>
      <c r="B16" s="28" t="s">
        <v>4</v>
      </c>
      <c r="C16" s="29">
        <f>Finance!E36</f>
        <v>1.5431466640604639</v>
      </c>
      <c r="D16" s="29">
        <f>Finance!F36</f>
        <v>1.5751464693185322</v>
      </c>
      <c r="E16" s="29">
        <f>Finance!G36</f>
        <v>1.8422146636432351</v>
      </c>
      <c r="F16" s="29">
        <f>Finance!H36</f>
        <v>1.8720594304581097</v>
      </c>
      <c r="G16" s="29">
        <f>Finance!I36</f>
        <v>1.8941658363777261</v>
      </c>
      <c r="H16" s="29">
        <f>Finance!J36</f>
        <v>1.8322035443961455</v>
      </c>
      <c r="I16" s="29">
        <f>Finance!K36</f>
        <v>1.9449677419354838</v>
      </c>
      <c r="J16" s="29">
        <f>Finance!L36</f>
        <v>0</v>
      </c>
      <c r="K16" s="29">
        <f>Finance!M36</f>
        <v>0</v>
      </c>
      <c r="L16" s="29">
        <f>Finance!N36</f>
        <v>0</v>
      </c>
      <c r="M16" s="29">
        <f>Finance!O36</f>
        <v>0</v>
      </c>
      <c r="N16" s="29">
        <f>Finance!P36</f>
        <v>0</v>
      </c>
      <c r="O16" s="30">
        <v>3</v>
      </c>
      <c r="P16" s="42">
        <f>Finance!$D$1</f>
        <v>42444</v>
      </c>
    </row>
    <row r="17" spans="1:16" x14ac:dyDescent="0.25">
      <c r="A17" s="28" t="s">
        <v>42</v>
      </c>
      <c r="B17" s="28" t="s">
        <v>10</v>
      </c>
      <c r="C17" s="29">
        <f>Finance!E37</f>
        <v>1.5</v>
      </c>
      <c r="D17" s="29">
        <f>Finance!F37</f>
        <v>1.5</v>
      </c>
      <c r="E17" s="29">
        <f>Finance!G37</f>
        <v>1.5</v>
      </c>
      <c r="F17" s="29">
        <f>Finance!H37</f>
        <v>1.5</v>
      </c>
      <c r="G17" s="29">
        <f>Finance!I37</f>
        <v>1.5</v>
      </c>
      <c r="H17" s="29">
        <f>Finance!J37</f>
        <v>1.5</v>
      </c>
      <c r="I17" s="29">
        <f>Finance!K37</f>
        <v>1.5</v>
      </c>
      <c r="J17" s="29">
        <f>Finance!L37</f>
        <v>0</v>
      </c>
      <c r="K17" s="29">
        <f>Finance!M37</f>
        <v>0</v>
      </c>
      <c r="L17" s="29">
        <f>Finance!N37</f>
        <v>0</v>
      </c>
      <c r="M17" s="29">
        <f>Finance!O37</f>
        <v>0</v>
      </c>
      <c r="N17" s="29">
        <f>Finance!P37</f>
        <v>0</v>
      </c>
      <c r="O17" s="30">
        <v>4</v>
      </c>
      <c r="P17" s="42">
        <f>Finance!$D$1</f>
        <v>42444</v>
      </c>
    </row>
    <row r="18" spans="1:16" x14ac:dyDescent="0.25">
      <c r="A18" s="31" t="s">
        <v>43</v>
      </c>
      <c r="B18" s="31" t="s">
        <v>20</v>
      </c>
      <c r="C18" s="32">
        <f>Finance!E41</f>
        <v>478</v>
      </c>
      <c r="D18" s="32">
        <f>Finance!F41</f>
        <v>1326</v>
      </c>
      <c r="E18" s="32">
        <f>Finance!G41</f>
        <v>1736</v>
      </c>
      <c r="F18" s="32">
        <f>Finance!H41</f>
        <v>2687</v>
      </c>
      <c r="G18" s="32">
        <f>Finance!I41</f>
        <v>3703</v>
      </c>
      <c r="H18" s="32">
        <f>Finance!J41</f>
        <v>4386</v>
      </c>
      <c r="I18" s="32">
        <f>Finance!K41</f>
        <v>5045</v>
      </c>
      <c r="J18" s="32">
        <f>Finance!L41</f>
        <v>0</v>
      </c>
      <c r="K18" s="32">
        <f>Finance!M41</f>
        <v>0</v>
      </c>
      <c r="L18" s="32">
        <f>Finance!N41</f>
        <v>0</v>
      </c>
      <c r="M18" s="32">
        <f>Finance!O41</f>
        <v>0</v>
      </c>
      <c r="N18" s="32">
        <f>Finance!P41</f>
        <v>0</v>
      </c>
      <c r="O18" s="31">
        <v>1</v>
      </c>
      <c r="P18" s="42">
        <f>Finance!$D$1</f>
        <v>42444</v>
      </c>
    </row>
    <row r="19" spans="1:16" x14ac:dyDescent="0.25">
      <c r="A19" s="31" t="s">
        <v>43</v>
      </c>
      <c r="B19" s="31" t="s">
        <v>21</v>
      </c>
      <c r="C19" s="32">
        <f>Finance!E42</f>
        <v>-84</v>
      </c>
      <c r="D19" s="32">
        <f>Finance!F42</f>
        <v>257</v>
      </c>
      <c r="E19" s="32">
        <f>Finance!G42</f>
        <v>798</v>
      </c>
      <c r="F19" s="32">
        <f>Finance!H42</f>
        <v>1247</v>
      </c>
      <c r="G19" s="32">
        <f>Finance!I42</f>
        <v>1844</v>
      </c>
      <c r="H19" s="32">
        <f>Finance!J42</f>
        <v>2667</v>
      </c>
      <c r="I19" s="32">
        <f>Finance!K42</f>
        <v>3712</v>
      </c>
      <c r="J19" s="32">
        <f>Finance!L42</f>
        <v>0</v>
      </c>
      <c r="K19" s="32">
        <f>Finance!M42</f>
        <v>0</v>
      </c>
      <c r="L19" s="32">
        <f>Finance!N42</f>
        <v>0</v>
      </c>
      <c r="M19" s="32">
        <f>Finance!O42</f>
        <v>0</v>
      </c>
      <c r="N19" s="32">
        <f>Finance!P42</f>
        <v>0</v>
      </c>
      <c r="O19" s="31">
        <v>2</v>
      </c>
      <c r="P19" s="42">
        <f>Finance!$D$1</f>
        <v>42444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Finance</vt:lpstr>
      <vt:lpstr>Loading</vt:lpstr>
      <vt:lpstr>Finance!Print_Area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Sainsbury</dc:creator>
  <cp:lastModifiedBy>Jerry Shen</cp:lastModifiedBy>
  <cp:lastPrinted>2016-02-19T02:42:05Z</cp:lastPrinted>
  <dcterms:created xsi:type="dcterms:W3CDTF">2015-10-21T04:25:27Z</dcterms:created>
  <dcterms:modified xsi:type="dcterms:W3CDTF">2016-03-18T06:13:49Z</dcterms:modified>
</cp:coreProperties>
</file>