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760" yWindow="420" windowWidth="49280" windowHeight="25580" tabRatio="500" activeTab="6"/>
  </bookViews>
  <sheets>
    <sheet name="One Period" sheetId="1" r:id="rId1"/>
    <sheet name="Answer Report 1" sheetId="11" r:id="rId2"/>
    <sheet name="Sensitivity Report 1" sheetId="12" r:id="rId3"/>
    <sheet name="Limits Report 1" sheetId="13" r:id="rId4"/>
    <sheet name="Feasibility Report 1" sheetId="14" r:id="rId5"/>
    <sheet name="Another Period" sheetId="10" r:id="rId6"/>
    <sheet name="multiperiod" sheetId="15" r:id="rId7"/>
  </sheets>
  <definedNames>
    <definedName name="solver_adj" localSheetId="5" hidden="1">'Another Period'!$G$37,'Another Period'!$G$38,'Another Period'!$G$39,'Another Period'!$G$49,'Another Period'!$G$50,'Another Period'!$G$51</definedName>
    <definedName name="solver_adj" localSheetId="6" hidden="1">multiperiod!$G$5:$G$7,multiperiod!$G$17:$G$19,multiperiod!$O$5:$O$7,multiperiod!$O$17:$O$19</definedName>
    <definedName name="solver_adj" localSheetId="0" hidden="1">'One Period'!$E$6:$E$8,'One Period'!$E$12:$E$14</definedName>
    <definedName name="solver_cvg" localSheetId="5" hidden="1">0.0001</definedName>
    <definedName name="solver_cvg" localSheetId="6" hidden="1">0.0001</definedName>
    <definedName name="solver_cvg" localSheetId="0" hidden="1">0.0001</definedName>
    <definedName name="solver_drv" localSheetId="5" hidden="1">1</definedName>
    <definedName name="solver_drv" localSheetId="6" hidden="1">1</definedName>
    <definedName name="solver_drv" localSheetId="0" hidden="1">1</definedName>
    <definedName name="solver_eng" localSheetId="5" hidden="1">2</definedName>
    <definedName name="solver_eng" localSheetId="6" hidden="1">1</definedName>
    <definedName name="solver_eng" localSheetId="0" hidden="1">2</definedName>
    <definedName name="solver_est" localSheetId="5" hidden="1">1</definedName>
    <definedName name="solver_itr" localSheetId="5" hidden="1">2147483647</definedName>
    <definedName name="solver_itr" localSheetId="6" hidden="1">2147483647</definedName>
    <definedName name="solver_itr" localSheetId="0" hidden="1">2147483647</definedName>
    <definedName name="solver_lhs1" localSheetId="5" hidden="1">'Another Period'!$D$52</definedName>
    <definedName name="solver_lhs1" localSheetId="6" hidden="1">multiperiod!$K$14</definedName>
    <definedName name="solver_lhs1" localSheetId="0" hidden="1">'One Period'!$B$19</definedName>
    <definedName name="solver_lhs10" localSheetId="6" hidden="1">multiperiod!$S$6</definedName>
    <definedName name="solver_lhs11" localSheetId="6" hidden="1">multiperiod!$S$9</definedName>
    <definedName name="solver_lhs2" localSheetId="5" hidden="1">'Another Period'!$D$57</definedName>
    <definedName name="solver_lhs2" localSheetId="6" hidden="1">multiperiod!$K$20</definedName>
    <definedName name="solver_lhs2" localSheetId="0" hidden="1">'One Period'!$B$24</definedName>
    <definedName name="solver_lhs3" localSheetId="5" hidden="1">'Another Period'!$G$60</definedName>
    <definedName name="solver_lhs3" localSheetId="6" hidden="1">multiperiod!$K$25</definedName>
    <definedName name="solver_lhs3" localSheetId="0" hidden="1">'One Period'!$E$19</definedName>
    <definedName name="solver_lhs4" localSheetId="5" hidden="1">'Another Period'!$G$63</definedName>
    <definedName name="solver_lhs4" localSheetId="6" hidden="1">multiperiod!$K$6</definedName>
    <definedName name="solver_lhs4" localSheetId="0" hidden="1">'One Period'!$E$24</definedName>
    <definedName name="solver_lhs5" localSheetId="5" hidden="1">'Another Period'!$G$64</definedName>
    <definedName name="solver_lhs5" localSheetId="6" hidden="1">multiperiod!$K$9</definedName>
    <definedName name="solver_lhs5" localSheetId="0" hidden="1">'One Period'!$E$6</definedName>
    <definedName name="solver_lhs6" localSheetId="5" hidden="1">'Another Period'!$G$65</definedName>
    <definedName name="solver_lhs6" localSheetId="6" hidden="1">multiperiod!$O$28</definedName>
    <definedName name="solver_lhs6" localSheetId="0" hidden="1">'One Period'!$E$7</definedName>
    <definedName name="solver_lhs7" localSheetId="6" hidden="1">multiperiod!$S$14</definedName>
    <definedName name="solver_lhs8" localSheetId="6" hidden="1">multiperiod!$S$20</definedName>
    <definedName name="solver_lhs9" localSheetId="6" hidden="1">multiperiod!$S$25</definedName>
    <definedName name="solver_lin" localSheetId="5" hidden="1">1</definedName>
    <definedName name="solver_lin" localSheetId="6" hidden="1">2</definedName>
    <definedName name="solver_lin" localSheetId="0" hidden="1">1</definedName>
    <definedName name="solver_mip" localSheetId="5" hidden="1">2147483647</definedName>
    <definedName name="solver_mip" localSheetId="6" hidden="1">2147483647</definedName>
    <definedName name="solver_mip" localSheetId="0" hidden="1">2147483647</definedName>
    <definedName name="solver_mni" localSheetId="5" hidden="1">30</definedName>
    <definedName name="solver_mni" localSheetId="6" hidden="1">30</definedName>
    <definedName name="solver_mni" localSheetId="0" hidden="1">30</definedName>
    <definedName name="solver_mrt" localSheetId="5" hidden="1">0.075</definedName>
    <definedName name="solver_mrt" localSheetId="6" hidden="1">0.075</definedName>
    <definedName name="solver_mrt" localSheetId="0" hidden="1">0.075</definedName>
    <definedName name="solver_msl" localSheetId="5" hidden="1">2</definedName>
    <definedName name="solver_msl" localSheetId="6" hidden="1">2</definedName>
    <definedName name="solver_msl" localSheetId="0" hidden="1">2</definedName>
    <definedName name="solver_neg" localSheetId="5" hidden="1">1</definedName>
    <definedName name="solver_neg" localSheetId="6" hidden="1">1</definedName>
    <definedName name="solver_neg" localSheetId="0" hidden="1">1</definedName>
    <definedName name="solver_nod" localSheetId="5" hidden="1">2147483647</definedName>
    <definedName name="solver_nod" localSheetId="6" hidden="1">2147483647</definedName>
    <definedName name="solver_nod" localSheetId="0" hidden="1">2147483647</definedName>
    <definedName name="solver_num" localSheetId="5" hidden="1">6</definedName>
    <definedName name="solver_num" localSheetId="6" hidden="1">11</definedName>
    <definedName name="solver_num" localSheetId="0" hidden="1">6</definedName>
    <definedName name="solver_nwt" localSheetId="5" hidden="1">1</definedName>
    <definedName name="solver_opt" localSheetId="5" hidden="1">'Another Period'!$D$50</definedName>
    <definedName name="solver_opt" localSheetId="6" hidden="1">multiperiod!$S$18</definedName>
    <definedName name="solver_opt" localSheetId="0" hidden="1">'One Period'!$B$17</definedName>
    <definedName name="solver_pre" localSheetId="5" hidden="1">0.000001</definedName>
    <definedName name="solver_pre" localSheetId="6" hidden="1">0.000001</definedName>
    <definedName name="solver_pre" localSheetId="0" hidden="1">0.000001</definedName>
    <definedName name="solver_rbv" localSheetId="5" hidden="1">1</definedName>
    <definedName name="solver_rbv" localSheetId="6" hidden="1">1</definedName>
    <definedName name="solver_rbv" localSheetId="0" hidden="1">1</definedName>
    <definedName name="solver_rel1" localSheetId="5" hidden="1">2</definedName>
    <definedName name="solver_rel1" localSheetId="6" hidden="1">1</definedName>
    <definedName name="solver_rel1" localSheetId="0" hidden="1">2</definedName>
    <definedName name="solver_rel10" localSheetId="6" hidden="1">1</definedName>
    <definedName name="solver_rel11" localSheetId="6" hidden="1">1</definedName>
    <definedName name="solver_rel2" localSheetId="5" hidden="1">1</definedName>
    <definedName name="solver_rel2" localSheetId="6" hidden="1">2</definedName>
    <definedName name="solver_rel2" localSheetId="0" hidden="1">1</definedName>
    <definedName name="solver_rel3" localSheetId="5" hidden="1">1</definedName>
    <definedName name="solver_rel3" localSheetId="6" hidden="1">1</definedName>
    <definedName name="solver_rel3" localSheetId="0" hidden="1">1</definedName>
    <definedName name="solver_rel4" localSheetId="5" hidden="1">3</definedName>
    <definedName name="solver_rel4" localSheetId="6" hidden="1">1</definedName>
    <definedName name="solver_rel4" localSheetId="0" hidden="1">1</definedName>
    <definedName name="solver_rel5" localSheetId="5" hidden="1">3</definedName>
    <definedName name="solver_rel5" localSheetId="6" hidden="1">1</definedName>
    <definedName name="solver_rel5" localSheetId="0" hidden="1">1</definedName>
    <definedName name="solver_rel6" localSheetId="5" hidden="1">1</definedName>
    <definedName name="solver_rel6" localSheetId="6" hidden="1">1</definedName>
    <definedName name="solver_rel6" localSheetId="0" hidden="1">1</definedName>
    <definedName name="solver_rel7" localSheetId="6" hidden="1">1</definedName>
    <definedName name="solver_rel8" localSheetId="6" hidden="1">2</definedName>
    <definedName name="solver_rel9" localSheetId="6" hidden="1">1</definedName>
    <definedName name="solver_rhs1" localSheetId="5" hidden="1">'Another Period'!$D$53</definedName>
    <definedName name="solver_rhs1" localSheetId="6" hidden="1">multiperiod!$C$25</definedName>
    <definedName name="solver_rhs1" localSheetId="0" hidden="1">'One Period'!$B$20</definedName>
    <definedName name="solver_rhs10" localSheetId="6" hidden="1">multiperiod!$C$26</definedName>
    <definedName name="solver_rhs11" localSheetId="6" hidden="1">multiperiod!$C$27</definedName>
    <definedName name="solver_rhs2" localSheetId="5" hidden="1">'Another Period'!$D$56</definedName>
    <definedName name="solver_rhs2" localSheetId="6" hidden="1">multiperiod!$K$21</definedName>
    <definedName name="solver_rhs2" localSheetId="0" hidden="1">'One Period'!$B$23</definedName>
    <definedName name="solver_rhs3" localSheetId="5" hidden="1">'Another Period'!$G$61</definedName>
    <definedName name="solver_rhs3" localSheetId="6" hidden="1">multiperiod!$C$23</definedName>
    <definedName name="solver_rhs3" localSheetId="0" hidden="1">'One Period'!$E$20</definedName>
    <definedName name="solver_rhs4" localSheetId="5" hidden="1">'Another Period'!$G$37</definedName>
    <definedName name="solver_rhs4" localSheetId="6" hidden="1">multiperiod!$C$26</definedName>
    <definedName name="solver_rhs4" localSheetId="0" hidden="1">'One Period'!$E$21</definedName>
    <definedName name="solver_rhs5" localSheetId="5" hidden="1">'Another Period'!$G$38</definedName>
    <definedName name="solver_rhs5" localSheetId="6" hidden="1">multiperiod!$C$27</definedName>
    <definedName name="solver_rhs5" localSheetId="0" hidden="1">'One Period'!$E$22</definedName>
    <definedName name="solver_rhs6" localSheetId="5" hidden="1">'Another Period'!$G$62</definedName>
    <definedName name="solver_rhs6" localSheetId="6" hidden="1">multiperiod!$K$24</definedName>
    <definedName name="solver_rhs6" localSheetId="0" hidden="1">'One Period'!$E$23</definedName>
    <definedName name="solver_rhs7" localSheetId="6" hidden="1">multiperiod!$C$25</definedName>
    <definedName name="solver_rhs8" localSheetId="6" hidden="1">multiperiod!$S$21</definedName>
    <definedName name="solver_rhs9" localSheetId="6" hidden="1">multiperiod!$K$24</definedName>
    <definedName name="solver_rlx" localSheetId="5" hidden="1">1</definedName>
    <definedName name="solver_rlx" localSheetId="6" hidden="1">2</definedName>
    <definedName name="solver_rlx" localSheetId="0" hidden="1">1</definedName>
    <definedName name="solver_rsd" localSheetId="5" hidden="1">0</definedName>
    <definedName name="solver_rsd" localSheetId="6" hidden="1">0</definedName>
    <definedName name="solver_rsd" localSheetId="0" hidden="1">0</definedName>
    <definedName name="solver_scl" localSheetId="5" hidden="1">2</definedName>
    <definedName name="solver_scl" localSheetId="6" hidden="1">1</definedName>
    <definedName name="solver_scl" localSheetId="0" hidden="1">2</definedName>
    <definedName name="solver_sho" localSheetId="5" hidden="1">2</definedName>
    <definedName name="solver_sho" localSheetId="6" hidden="1">2</definedName>
    <definedName name="solver_sho" localSheetId="0" hidden="1">2</definedName>
    <definedName name="solver_ssz" localSheetId="5" hidden="1">100</definedName>
    <definedName name="solver_ssz" localSheetId="6" hidden="1">100</definedName>
    <definedName name="solver_ssz" localSheetId="0" hidden="1">100</definedName>
    <definedName name="solver_tim" localSheetId="5" hidden="1">2147483647</definedName>
    <definedName name="solver_tim" localSheetId="6" hidden="1">2147483647</definedName>
    <definedName name="solver_tim" localSheetId="0" hidden="1">2147483647</definedName>
    <definedName name="solver_tol" localSheetId="5" hidden="1">0.01</definedName>
    <definedName name="solver_tol" localSheetId="6" hidden="1">0.01</definedName>
    <definedName name="solver_tol" localSheetId="0" hidden="1">0.01</definedName>
    <definedName name="solver_typ" localSheetId="5" hidden="1">1</definedName>
    <definedName name="solver_typ" localSheetId="6" hidden="1">1</definedName>
    <definedName name="solver_typ" localSheetId="0" hidden="1">1</definedName>
    <definedName name="solver_val" localSheetId="5" hidden="1">0</definedName>
    <definedName name="solver_val" localSheetId="6" hidden="1">0</definedName>
    <definedName name="solver_val" localSheetId="0" hidden="1">0</definedName>
    <definedName name="solver_ver" localSheetId="5" hidden="1">2</definedName>
    <definedName name="solver_ver" localSheetId="6" hidden="1">2</definedName>
    <definedName name="solver_ver" localSheetId="0" hidden="1">2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7" i="15" l="1"/>
  <c r="C18" i="15"/>
  <c r="K17" i="15"/>
  <c r="C19" i="15"/>
  <c r="C22" i="15"/>
  <c r="C23" i="15"/>
  <c r="D5" i="15"/>
  <c r="O22" i="15"/>
  <c r="G22" i="15"/>
  <c r="G23" i="15"/>
  <c r="K14" i="15"/>
  <c r="L14" i="15"/>
  <c r="O23" i="15"/>
  <c r="T14" i="15"/>
  <c r="S14" i="15"/>
  <c r="P19" i="15"/>
  <c r="H19" i="15"/>
  <c r="T15" i="15"/>
  <c r="L15" i="15"/>
  <c r="T11" i="15"/>
  <c r="L11" i="15"/>
  <c r="G15" i="15"/>
  <c r="K9" i="15"/>
  <c r="S8" i="15"/>
  <c r="O15" i="15"/>
  <c r="T9" i="15"/>
  <c r="S9" i="15"/>
  <c r="O14" i="15"/>
  <c r="G14" i="15"/>
  <c r="K6" i="15"/>
  <c r="S5" i="15"/>
  <c r="S6" i="15"/>
  <c r="L6" i="15"/>
  <c r="T5" i="15"/>
  <c r="T6" i="15"/>
  <c r="L8" i="15"/>
  <c r="L9" i="15"/>
  <c r="K11" i="15"/>
  <c r="K12" i="15"/>
  <c r="L12" i="15"/>
  <c r="G27" i="15"/>
  <c r="G25" i="15"/>
  <c r="S11" i="15"/>
  <c r="S12" i="15"/>
  <c r="S20" i="15"/>
  <c r="K15" i="15"/>
  <c r="S15" i="15"/>
  <c r="S13" i="15"/>
  <c r="S21" i="15"/>
  <c r="K20" i="15"/>
  <c r="K13" i="15"/>
  <c r="K21" i="15"/>
  <c r="D57" i="10"/>
  <c r="C27" i="15"/>
  <c r="C25" i="15"/>
  <c r="C26" i="15"/>
  <c r="L13" i="15"/>
  <c r="S18" i="15"/>
  <c r="S27" i="15"/>
  <c r="K27" i="15"/>
  <c r="S26" i="15"/>
  <c r="K18" i="15"/>
  <c r="S25" i="15"/>
  <c r="S4" i="15"/>
  <c r="S22" i="15"/>
  <c r="T4" i="15"/>
  <c r="T13" i="15"/>
  <c r="S23" i="15"/>
  <c r="S24" i="15"/>
  <c r="K4" i="15"/>
  <c r="K22" i="15"/>
  <c r="L4" i="15"/>
  <c r="K23" i="15"/>
  <c r="K24" i="15"/>
  <c r="G26" i="15"/>
  <c r="C21" i="15"/>
  <c r="C20" i="15"/>
  <c r="T12" i="15"/>
  <c r="D12" i="15"/>
  <c r="D4" i="15"/>
  <c r="K8" i="15"/>
  <c r="K5" i="15"/>
  <c r="L7" i="15"/>
  <c r="L10" i="15"/>
  <c r="C28" i="15"/>
  <c r="T7" i="15"/>
  <c r="T10" i="15"/>
  <c r="T8" i="15"/>
  <c r="O27" i="15"/>
  <c r="L5" i="15"/>
  <c r="O26" i="15"/>
  <c r="O25" i="15"/>
  <c r="P21" i="15"/>
  <c r="P12" i="15"/>
  <c r="P13" i="15"/>
  <c r="P18" i="15"/>
  <c r="P17" i="15"/>
  <c r="P6" i="15"/>
  <c r="P15" i="15"/>
  <c r="P5" i="15"/>
  <c r="P14" i="15"/>
  <c r="P11" i="15"/>
  <c r="P10" i="15"/>
  <c r="P7" i="15"/>
  <c r="C5" i="15"/>
  <c r="D7" i="15"/>
  <c r="C6" i="15"/>
  <c r="D10" i="15"/>
  <c r="C8" i="15"/>
  <c r="C9" i="15"/>
  <c r="C12" i="15"/>
  <c r="D8" i="15"/>
  <c r="D14" i="15"/>
  <c r="C14" i="15"/>
  <c r="D15" i="15"/>
  <c r="C15" i="15"/>
  <c r="D13" i="15"/>
  <c r="K26" i="15"/>
  <c r="H21" i="15"/>
  <c r="H12" i="15"/>
  <c r="H13" i="15"/>
  <c r="H18" i="15"/>
  <c r="H17" i="15"/>
  <c r="C17" i="15"/>
  <c r="H6" i="15"/>
  <c r="H15" i="15"/>
  <c r="H5" i="15"/>
  <c r="H14" i="15"/>
  <c r="H11" i="15"/>
  <c r="H10" i="15"/>
  <c r="D9" i="15"/>
  <c r="H7" i="15"/>
  <c r="D6" i="15"/>
  <c r="D58" i="10"/>
  <c r="D54" i="10"/>
  <c r="G46" i="10"/>
  <c r="G47" i="10"/>
  <c r="D52" i="10"/>
  <c r="G54" i="10"/>
  <c r="G55" i="10"/>
  <c r="D53" i="10"/>
  <c r="G58" i="10"/>
  <c r="E42" i="10"/>
  <c r="E39" i="10"/>
  <c r="H51" i="10"/>
  <c r="H50" i="10"/>
  <c r="H49" i="10"/>
  <c r="H41" i="10"/>
  <c r="H39" i="10"/>
  <c r="H38" i="10"/>
  <c r="H37" i="10"/>
  <c r="E47" i="10"/>
  <c r="E46" i="10"/>
  <c r="E40" i="10"/>
  <c r="E37" i="10"/>
  <c r="O48" i="10"/>
  <c r="M48" i="10"/>
  <c r="H40" i="10"/>
  <c r="O47" i="10"/>
  <c r="M47" i="10"/>
  <c r="G64" i="10"/>
  <c r="G63" i="10"/>
  <c r="O45" i="10"/>
  <c r="M45" i="10"/>
  <c r="O44" i="10"/>
  <c r="M44" i="10"/>
  <c r="O43" i="10"/>
  <c r="M43" i="10"/>
  <c r="H43" i="10"/>
  <c r="O56" i="10"/>
  <c r="O57" i="10"/>
  <c r="M56" i="10"/>
  <c r="M57" i="10"/>
  <c r="H42" i="10"/>
  <c r="H53" i="10"/>
  <c r="O55" i="10"/>
  <c r="M55" i="10"/>
  <c r="H45" i="10"/>
  <c r="O53" i="10"/>
  <c r="O54" i="10"/>
  <c r="M53" i="10"/>
  <c r="M54" i="10"/>
  <c r="H44" i="10"/>
  <c r="O52" i="10"/>
  <c r="M52" i="10"/>
  <c r="D38" i="10"/>
  <c r="D41" i="10"/>
  <c r="D44" i="10"/>
  <c r="O51" i="10"/>
  <c r="M51" i="10"/>
  <c r="O50" i="10"/>
  <c r="M50" i="10"/>
  <c r="O49" i="10"/>
  <c r="M49" i="10"/>
  <c r="O41" i="10"/>
  <c r="M41" i="10"/>
  <c r="D47" i="10"/>
  <c r="D46" i="10"/>
  <c r="O40" i="10"/>
  <c r="M40" i="10"/>
  <c r="D40" i="10"/>
  <c r="D37" i="10"/>
  <c r="O39" i="10"/>
  <c r="M39" i="10"/>
  <c r="O38" i="10"/>
  <c r="M38" i="10"/>
  <c r="O37" i="10"/>
  <c r="M37" i="10"/>
  <c r="E36" i="10"/>
  <c r="E45" i="10"/>
  <c r="D55" i="10"/>
  <c r="D56" i="10"/>
  <c r="G61" i="10"/>
  <c r="A44" i="10"/>
  <c r="A43" i="10"/>
  <c r="G65" i="10"/>
  <c r="A42" i="10"/>
  <c r="A41" i="10"/>
  <c r="A40" i="10"/>
  <c r="G60" i="10"/>
  <c r="A39" i="10"/>
  <c r="A38" i="10"/>
  <c r="A37" i="10"/>
  <c r="A36" i="10"/>
  <c r="E44" i="10"/>
  <c r="D50" i="10"/>
  <c r="A35" i="10"/>
  <c r="A14" i="10"/>
  <c r="A13" i="10"/>
  <c r="A12" i="10"/>
  <c r="A11" i="10"/>
  <c r="G27" i="10"/>
  <c r="A10" i="10"/>
  <c r="G22" i="10"/>
  <c r="G23" i="10"/>
  <c r="A9" i="10"/>
  <c r="D27" i="10"/>
  <c r="A8" i="10"/>
  <c r="G12" i="10"/>
  <c r="G13" i="10"/>
  <c r="D22" i="10"/>
  <c r="D23" i="10"/>
  <c r="A7" i="10"/>
  <c r="A6" i="10"/>
  <c r="D20" i="10"/>
  <c r="A5" i="10"/>
  <c r="G62" i="10"/>
  <c r="H46" i="10"/>
  <c r="D8" i="10"/>
  <c r="D11" i="10"/>
  <c r="D14" i="10"/>
  <c r="E14" i="10"/>
  <c r="H7" i="10"/>
  <c r="H12" i="10"/>
  <c r="E15" i="10"/>
  <c r="G57" i="10"/>
  <c r="D49" i="10"/>
  <c r="H47" i="10"/>
  <c r="E41" i="10"/>
  <c r="E38" i="10"/>
  <c r="G26" i="10"/>
  <c r="O22" i="10"/>
  <c r="M22" i="10"/>
  <c r="D24" i="10"/>
  <c r="O18" i="10"/>
  <c r="M18" i="10"/>
  <c r="O13" i="10"/>
  <c r="O14" i="10"/>
  <c r="M13" i="10"/>
  <c r="M14" i="10"/>
  <c r="M8" i="10"/>
  <c r="M17" i="10"/>
  <c r="M19" i="10"/>
  <c r="M20" i="10"/>
  <c r="M21" i="10"/>
  <c r="M7" i="10"/>
  <c r="O8" i="10"/>
  <c r="O17" i="10"/>
  <c r="O19" i="10"/>
  <c r="O20" i="10"/>
  <c r="O21" i="10"/>
  <c r="O7" i="10"/>
  <c r="E11" i="10"/>
  <c r="E8" i="10"/>
  <c r="H13" i="10"/>
  <c r="G20" i="10"/>
  <c r="E6" i="10"/>
  <c r="D25" i="10"/>
  <c r="D26" i="10"/>
  <c r="G25" i="10"/>
  <c r="G24" i="10"/>
  <c r="G19" i="10"/>
  <c r="D19" i="10"/>
  <c r="B21" i="1"/>
  <c r="B22" i="1"/>
  <c r="B23" i="1"/>
  <c r="E10" i="1"/>
  <c r="E9" i="1"/>
  <c r="F6" i="1"/>
  <c r="J12" i="1"/>
  <c r="J8" i="1"/>
  <c r="J9" i="1"/>
  <c r="J10" i="1"/>
  <c r="J11" i="1"/>
  <c r="J7" i="1"/>
  <c r="E22" i="1"/>
  <c r="B19" i="1"/>
  <c r="B9" i="1"/>
  <c r="B7" i="1"/>
  <c r="B11" i="1"/>
  <c r="C11" i="1"/>
  <c r="E19" i="1"/>
  <c r="B24" i="1"/>
  <c r="E20" i="1"/>
  <c r="B17" i="1"/>
  <c r="C5" i="1"/>
  <c r="C12" i="1"/>
  <c r="B16" i="1"/>
  <c r="E21" i="1"/>
  <c r="B20" i="1"/>
  <c r="E16" i="1"/>
  <c r="E24" i="1"/>
</calcChain>
</file>

<file path=xl/sharedStrings.xml><?xml version="1.0" encoding="utf-8"?>
<sst xmlns="http://schemas.openxmlformats.org/spreadsheetml/2006/main" count="580" uniqueCount="217">
  <si>
    <t>Deposit A</t>
  </si>
  <si>
    <t>Deposit B</t>
  </si>
  <si>
    <t>ST Debt</t>
  </si>
  <si>
    <t>ST Loan</t>
  </si>
  <si>
    <t>Balance</t>
  </si>
  <si>
    <t>Return Rate</t>
  </si>
  <si>
    <t>te Asset Sum</t>
  </si>
  <si>
    <t>te Liab Sum</t>
  </si>
  <si>
    <t xml:space="preserve"> </t>
  </si>
  <si>
    <t>ts Cash</t>
  </si>
  <si>
    <t>te Cash</t>
  </si>
  <si>
    <t>Max Leverage</t>
  </si>
  <si>
    <t>New Investment</t>
  </si>
  <si>
    <t>Net Short Term</t>
  </si>
  <si>
    <t>Deposit Limit</t>
  </si>
  <si>
    <t>Mortgage Limit</t>
  </si>
  <si>
    <t>Cell</t>
  </si>
  <si>
    <t>Name</t>
  </si>
  <si>
    <t>Cell Value</t>
  </si>
  <si>
    <t>Formula</t>
  </si>
  <si>
    <t>Status</t>
  </si>
  <si>
    <t>Slack</t>
  </si>
  <si>
    <t>Binding</t>
  </si>
  <si>
    <t>Microsoft Excel 14.5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</si>
  <si>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</si>
  <si>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</si>
  <si>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</si>
  <si>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</si>
  <si>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Iterations Unlimited, Precision 0.000001</t>
  </si>
  <si>
    <t>Max Subproblems Unlimited, Max Integer Sols Unlimited, Integer Tolerance 1%, Solve Without Integer Constraints, Assume NonNegative</t>
  </si>
  <si>
    <t>Objective Cell (Max)</t>
  </si>
  <si>
    <t>Original Value</t>
  </si>
  <si>
    <t>Final Value</t>
  </si>
  <si>
    <t>Variable Cells</t>
  </si>
  <si>
    <t>Integer</t>
  </si>
  <si>
    <t>Constraints</t>
  </si>
  <si>
    <t>Deposit A Balance</t>
  </si>
  <si>
    <t>Contin</t>
  </si>
  <si>
    <t>Deposit B Balance</t>
  </si>
  <si>
    <t>ST Debt Balance</t>
  </si>
  <si>
    <t>Not Binding</t>
  </si>
  <si>
    <t>te NIM</t>
  </si>
  <si>
    <t>Runoff</t>
  </si>
  <si>
    <t>Deposit</t>
  </si>
  <si>
    <t>New Liabilities</t>
  </si>
  <si>
    <t>New Assets</t>
  </si>
  <si>
    <t>ts Cards</t>
  </si>
  <si>
    <t>te Cards</t>
  </si>
  <si>
    <t>ts Mortgage</t>
  </si>
  <si>
    <t>te Mortgage</t>
  </si>
  <si>
    <t>ts Total Assets</t>
  </si>
  <si>
    <t>ts Total Liabilities</t>
  </si>
  <si>
    <t>te NIM (exp)</t>
  </si>
  <si>
    <t>ts NIM (exp)</t>
  </si>
  <si>
    <t>Prospective Investments</t>
  </si>
  <si>
    <t>Cards Limit</t>
  </si>
  <si>
    <t>te Total Assets</t>
  </si>
  <si>
    <t>Net Short Term Balance</t>
  </si>
  <si>
    <t>Microsoft Excel 14.5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</si>
  <si>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</si>
  <si>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</si>
  <si>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</si>
  <si>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</si>
  <si>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</si>
  <si>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</si>
  <si>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</si>
  <si>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</si>
  <si>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</si>
  <si>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</si>
  <si>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</si>
  <si>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</si>
  <si>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</si>
  <si>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te Excess Leverage</t>
  </si>
  <si>
    <t>Iterations: 4 Subproblems: 0</t>
  </si>
  <si>
    <t xml:space="preserve">Sum Deposits </t>
  </si>
  <si>
    <t>Asset +10bps</t>
  </si>
  <si>
    <t>Liability + 10bps</t>
  </si>
  <si>
    <t>Asset def - 100bps</t>
  </si>
  <si>
    <t>Leverage + 10%</t>
  </si>
  <si>
    <t>Leverage - 10%</t>
  </si>
  <si>
    <t>ts NIR</t>
  </si>
  <si>
    <t>te NIR</t>
  </si>
  <si>
    <t>ts cash  - 0.2</t>
  </si>
  <si>
    <t>Base</t>
  </si>
  <si>
    <t>Scenario</t>
  </si>
  <si>
    <t>Delta to Base</t>
  </si>
  <si>
    <t>Max Leverage Cash</t>
  </si>
  <si>
    <t>Max Leverage Rate</t>
  </si>
  <si>
    <t>te Cards 100-def rate</t>
  </si>
  <si>
    <t>Rate</t>
  </si>
  <si>
    <t>te Mortgage 100-def rate</t>
  </si>
  <si>
    <t>te Cards 100 - def rate</t>
  </si>
  <si>
    <t>te Mortgage 100 - def rate</t>
  </si>
  <si>
    <t>NA</t>
  </si>
  <si>
    <t xml:space="preserve">te NIR </t>
  </si>
  <si>
    <t>Cards def - 100bps</t>
  </si>
  <si>
    <t>Mortgage def - 100bps</t>
  </si>
  <si>
    <t>ts cash  - 10%</t>
  </si>
  <si>
    <t>Worksheet: [Funding NIMo (version 1).xlsx]Another Period</t>
  </si>
  <si>
    <t>Report Created: 7/31/2015 3:33:11 PM</t>
  </si>
  <si>
    <t>Solution Time: 0.73412 Seconds.</t>
  </si>
  <si>
    <t>$D$20</t>
  </si>
  <si>
    <t>te NIR NA</t>
  </si>
  <si>
    <t>$G$7</t>
  </si>
  <si>
    <t>ts Cards Balance</t>
  </si>
  <si>
    <t>$G$8</t>
  </si>
  <si>
    <t>ts Mortgage Balance</t>
  </si>
  <si>
    <t>$G$9</t>
  </si>
  <si>
    <t>ST Loan Balance</t>
  </si>
  <si>
    <t>$G$15</t>
  </si>
  <si>
    <t>$G$16</t>
  </si>
  <si>
    <t>$G$17</t>
  </si>
  <si>
    <t>$D$22</t>
  </si>
  <si>
    <t>te Asset Sum NA</t>
  </si>
  <si>
    <t>$D$22=$D$23</t>
  </si>
  <si>
    <t>$D$27</t>
  </si>
  <si>
    <t>New Investment NA</t>
  </si>
  <si>
    <t>$D$27&lt;=$D$26</t>
  </si>
  <si>
    <t>$G$22</t>
  </si>
  <si>
    <t>$G$22&lt;=$G$23</t>
  </si>
  <si>
    <t>$G$27</t>
  </si>
  <si>
    <t>Sum Deposits  Balance</t>
  </si>
  <si>
    <t>$G$27&lt;=$G$24</t>
  </si>
  <si>
    <t>$G$7&lt;=$G$25</t>
  </si>
  <si>
    <t>$G$8&lt;=$G$26</t>
  </si>
  <si>
    <t>Report Created: 7/31/2015 3:33:12 PM</t>
  </si>
  <si>
    <t>Microsoft Excel 14.5 Limits Report</t>
  </si>
  <si>
    <t>Report Created: 7/31/2015 3:33:22 PM</t>
  </si>
  <si>
    <t>Variable</t>
  </si>
  <si>
    <t>Lower</t>
  </si>
  <si>
    <t>Limit</t>
  </si>
  <si>
    <t>Result</t>
  </si>
  <si>
    <t>Upper</t>
  </si>
  <si>
    <t>Mortgage Limit +10%</t>
  </si>
  <si>
    <t>te Cards Impl Factor</t>
  </si>
  <si>
    <t>te Mortgage Impl Factor</t>
  </si>
  <si>
    <t>te Deposit A Impl Factor</t>
  </si>
  <si>
    <t>te Deposit B Impl Factor</t>
  </si>
  <si>
    <t>New Asset Rate + 10 bps</t>
  </si>
  <si>
    <t>New Liability Rate +10 bps</t>
  </si>
  <si>
    <t>Runoff Model Sensitivity</t>
  </si>
  <si>
    <t>New Liability Balance + 10 bps</t>
  </si>
  <si>
    <t>New Asset Balance +10 bps</t>
  </si>
  <si>
    <t>Runoff Liability Default + 10 bps</t>
  </si>
  <si>
    <t>Runoff Asset Default +10 bps</t>
  </si>
  <si>
    <t>Runoff Liability Balance + 10 bps</t>
  </si>
  <si>
    <t>Runoff Asset Balance +10 bps</t>
  </si>
  <si>
    <t>Runoff Liability Rate + 10 bps</t>
  </si>
  <si>
    <t>Runoff Asset Rate +10 bps</t>
  </si>
  <si>
    <t>New Invest Model Sensitivity</t>
  </si>
  <si>
    <t>Capital Plan Sensitivity</t>
  </si>
  <si>
    <t>Cards Implementation</t>
  </si>
  <si>
    <t>Mortgage Implementation</t>
  </si>
  <si>
    <t>Deposit Implementation</t>
  </si>
  <si>
    <t>te Cards Timing</t>
  </si>
  <si>
    <t>te Mortgage Timing</t>
  </si>
  <si>
    <t>ts Deposit A</t>
  </si>
  <si>
    <t>ts Deposit B</t>
  </si>
  <si>
    <t>te Deposit A</t>
  </si>
  <si>
    <t>te Deposit B</t>
  </si>
  <si>
    <t>Microsoft Excel 14.5 Feasibility Report</t>
  </si>
  <si>
    <t>Worksheet: [Funding NIMo (version 2).xlsx]Another Period</t>
  </si>
  <si>
    <t>Report Created: 8/9/2015 11:25:10 AM</t>
  </si>
  <si>
    <t>Constraints Which Make the Problem Infeasible</t>
  </si>
  <si>
    <t>$G$60</t>
  </si>
  <si>
    <t>Net Short Term NA</t>
  </si>
  <si>
    <t>$G$60&lt;=$G$61</t>
  </si>
  <si>
    <t>$G$63</t>
  </si>
  <si>
    <t>Cards Limit NA</t>
  </si>
  <si>
    <t>$G$63&lt;=$G$37</t>
  </si>
  <si>
    <t>$G$64</t>
  </si>
  <si>
    <t>Mortgage Limit NA</t>
  </si>
  <si>
    <t>$G$64&lt;=$G$38</t>
  </si>
  <si>
    <t>Violated</t>
  </si>
  <si>
    <t>Cards Implementation - 10%</t>
  </si>
  <si>
    <t>Mortgage Implementation -10%</t>
  </si>
  <si>
    <t>Deposit B Implementation -10%</t>
  </si>
  <si>
    <t>Cards Timing - 10%</t>
  </si>
  <si>
    <t>Mortgage Timing -10%</t>
  </si>
  <si>
    <t>Cards def + 10bps</t>
  </si>
  <si>
    <t>Mortgage def + 10bps</t>
  </si>
  <si>
    <t>Period 1</t>
  </si>
  <si>
    <t>Period 2</t>
  </si>
  <si>
    <t>P0 ts Runoff Cash</t>
  </si>
  <si>
    <t>P0 ts Runoff NIR</t>
  </si>
  <si>
    <t>Global Limits</t>
  </si>
  <si>
    <t>Period 0</t>
  </si>
  <si>
    <t>P1 ts Runoff NIR</t>
  </si>
  <si>
    <t>P1 ts Runoff Cash</t>
  </si>
  <si>
    <t>P1 te Asset Sum</t>
  </si>
  <si>
    <t>P1 te Liab Sum</t>
  </si>
  <si>
    <t>P1 te Cash</t>
  </si>
  <si>
    <t>P1 Max Leverage Cash</t>
  </si>
  <si>
    <t>P1 New Investment</t>
  </si>
  <si>
    <t>P2 te Runoff NIR</t>
  </si>
  <si>
    <t>P2 ts Runoff NIR</t>
  </si>
  <si>
    <t>P2 te Asset Sum</t>
  </si>
  <si>
    <t>P2 te Liab Sum</t>
  </si>
  <si>
    <t>P2 ts Runoff Cash</t>
  </si>
  <si>
    <t>P2 te Cash</t>
  </si>
  <si>
    <t>P2 Max Leverage Cash</t>
  </si>
  <si>
    <t>P2 New Investment</t>
  </si>
  <si>
    <t>P0 te Asset Sum</t>
  </si>
  <si>
    <t>P0 te Liab Sum</t>
  </si>
  <si>
    <t>P1 ts NIM (exp)</t>
  </si>
  <si>
    <t>P1 te NIM (exp)</t>
  </si>
  <si>
    <t>P2 ts NIM (exp)</t>
  </si>
  <si>
    <t>P2 te NIM (exp)</t>
  </si>
  <si>
    <t>P0 te Runoff NIR (act)</t>
  </si>
  <si>
    <t>P0 Max Leverage</t>
  </si>
  <si>
    <t>ts_te Total Liabilities</t>
  </si>
  <si>
    <t>Runoff Portfolio</t>
  </si>
  <si>
    <t>Updated Runoff Portfolio</t>
  </si>
  <si>
    <t>te Deposit</t>
  </si>
  <si>
    <t>te ST Debt</t>
  </si>
  <si>
    <t>P0 te Runoff NIM(ann)</t>
  </si>
  <si>
    <t>P1 te Runoff NIR(ann)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</si>
</sst>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b/>
      <sz val="12"/>
      <color indexed="18"/>
      <name val="Calibri"/>
      <family val="2"/>
      <scheme val="minor"/>
    </font>
    <font>
      <sz val="1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0" applyFont="1" applyAlignment="1">
      <alignment vertical="center"/>
    </xf>
    <xf numFmtId="0" fontId="3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0" borderId="0" xfId="0" applyFont="1"/>
    <xf numFmtId="0" fontId="0" fillId="0" borderId="0" xfId="0" applyFill="1"/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9" fillId="0" borderId="0" xfId="0" applyFont="1" applyAlignment="1">
      <alignment vertical="center"/>
    </xf>
    <xf numFmtId="0" fontId="10" fillId="0" borderId="1" xfId="0" applyFont="1" applyFill="1" applyBorder="1" applyAlignment="1">
      <alignment horizontal="center"/>
    </xf>
    <xf numFmtId="0" fontId="0" fillId="0" borderId="0" xfId="0" applyNumberFormat="1"/>
    <xf numFmtId="0" fontId="0" fillId="2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right"/>
    </xf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3" fillId="2" borderId="0" xfId="0" applyFont="1" applyFill="1" applyAlignment="1">
      <alignment horizontal="center"/>
    </xf>
    <xf numFmtId="0" fontId="3" fillId="6" borderId="0" xfId="0" applyFont="1" applyFill="1"/>
  </cellXfs>
  <cellStyles count="3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24"/>
  <sheetViews>
    <sheetView topLeftCell="A3" zoomScale="200" zoomScaleNormal="200" zoomScalePageLayoutView="200" workbookViewId="0">
      <selection activeCell="H5" sqref="H5:J12"/>
    </sheetView>
  </sheetViews>
  <sheetFormatPr baseColWidth="10" defaultRowHeight="15" x14ac:dyDescent="0"/>
  <cols>
    <col min="1" max="1" width="14.6640625" customWidth="1"/>
    <col min="4" max="4" width="15.6640625" customWidth="1"/>
    <col min="6" max="6" width="15.6640625" customWidth="1"/>
    <col min="7" max="7" width="7.5" customWidth="1"/>
    <col min="8" max="8" width="20.83203125" customWidth="1"/>
  </cols>
  <sheetData>
    <row r="4" spans="1:10">
      <c r="A4" s="8" t="s">
        <v>42</v>
      </c>
      <c r="B4" s="7" t="s">
        <v>4</v>
      </c>
      <c r="C4" s="7" t="s">
        <v>5</v>
      </c>
      <c r="D4" s="8" t="s">
        <v>54</v>
      </c>
      <c r="E4" s="7"/>
      <c r="F4" s="7"/>
    </row>
    <row r="5" spans="1:10">
      <c r="A5" s="2" t="s">
        <v>50</v>
      </c>
      <c r="B5" s="2">
        <v>10.5</v>
      </c>
      <c r="C5" s="2">
        <f>(C6*B6+C8*B8)/B5</f>
        <v>3.1428571428571431E-2</v>
      </c>
      <c r="D5" s="8" t="s">
        <v>45</v>
      </c>
      <c r="E5" s="7">
        <v>0</v>
      </c>
      <c r="F5" s="7" t="s">
        <v>5</v>
      </c>
      <c r="H5" t="s">
        <v>84</v>
      </c>
      <c r="I5" t="s">
        <v>41</v>
      </c>
      <c r="J5" t="s">
        <v>85</v>
      </c>
    </row>
    <row r="6" spans="1:10">
      <c r="A6" t="s">
        <v>46</v>
      </c>
      <c r="B6">
        <v>5</v>
      </c>
      <c r="C6">
        <v>2.75E-2</v>
      </c>
      <c r="D6" t="s">
        <v>46</v>
      </c>
      <c r="E6" s="9">
        <v>0.3</v>
      </c>
      <c r="F6">
        <f>0.028</f>
        <v>2.8000000000000001E-2</v>
      </c>
      <c r="H6" t="s">
        <v>83</v>
      </c>
      <c r="I6">
        <v>268.04808940565556</v>
      </c>
      <c r="J6">
        <v>0</v>
      </c>
    </row>
    <row r="7" spans="1:10">
      <c r="A7" t="s">
        <v>47</v>
      </c>
      <c r="B7">
        <f>0.98*B6</f>
        <v>4.9000000000000004</v>
      </c>
      <c r="C7">
        <v>2.75E-2</v>
      </c>
      <c r="D7" t="s">
        <v>48</v>
      </c>
      <c r="E7" s="9">
        <v>0.4</v>
      </c>
      <c r="F7">
        <v>3.6999999999999998E-2</v>
      </c>
      <c r="H7" t="s">
        <v>75</v>
      </c>
      <c r="J7">
        <f t="shared" ref="J7:J12" si="0">I7-$I$6</f>
        <v>-268.04808940565556</v>
      </c>
    </row>
    <row r="8" spans="1:10">
      <c r="A8" t="s">
        <v>48</v>
      </c>
      <c r="B8">
        <v>5.5</v>
      </c>
      <c r="C8">
        <v>3.5000000000000003E-2</v>
      </c>
      <c r="D8" t="s">
        <v>3</v>
      </c>
      <c r="E8" s="9">
        <v>1.6562499999999453E-2</v>
      </c>
      <c r="F8">
        <v>7.4999999999999997E-3</v>
      </c>
      <c r="H8" s="1" t="s">
        <v>76</v>
      </c>
      <c r="J8">
        <f t="shared" si="0"/>
        <v>-268.04808940565556</v>
      </c>
    </row>
    <row r="9" spans="1:10">
      <c r="A9" t="s">
        <v>49</v>
      </c>
      <c r="B9">
        <f>0.99*B8</f>
        <v>5.4450000000000003</v>
      </c>
      <c r="C9">
        <v>3.5000000000000003E-2</v>
      </c>
      <c r="D9" t="s">
        <v>47</v>
      </c>
      <c r="E9">
        <f>0.98*E6</f>
        <v>0.29399999999999998</v>
      </c>
      <c r="H9" s="1" t="s">
        <v>77</v>
      </c>
      <c r="J9">
        <f t="shared" si="0"/>
        <v>-268.04808940565556</v>
      </c>
    </row>
    <row r="10" spans="1:10">
      <c r="A10" t="s">
        <v>3</v>
      </c>
      <c r="B10">
        <v>0</v>
      </c>
      <c r="C10">
        <v>7.4999999999999997E-3</v>
      </c>
      <c r="D10" t="s">
        <v>49</v>
      </c>
      <c r="E10">
        <f>0.99*E7</f>
        <v>0.39600000000000002</v>
      </c>
      <c r="H10" s="1" t="s">
        <v>78</v>
      </c>
      <c r="J10">
        <f t="shared" si="0"/>
        <v>-268.04808940565556</v>
      </c>
    </row>
    <row r="11" spans="1:10">
      <c r="A11" s="2" t="s">
        <v>56</v>
      </c>
      <c r="B11" s="2">
        <f>B7+B9+B10</f>
        <v>10.345000000000001</v>
      </c>
      <c r="C11" s="2">
        <f>(B6*C6+B8*C8)/B11</f>
        <v>3.1899468342194294E-2</v>
      </c>
      <c r="D11" s="8" t="s">
        <v>44</v>
      </c>
      <c r="E11" s="7" t="s">
        <v>4</v>
      </c>
      <c r="F11" s="7" t="s">
        <v>5</v>
      </c>
      <c r="H11" s="1" t="s">
        <v>79</v>
      </c>
      <c r="J11">
        <f t="shared" si="0"/>
        <v>-268.04808940565556</v>
      </c>
    </row>
    <row r="12" spans="1:10">
      <c r="A12" s="2" t="s">
        <v>51</v>
      </c>
      <c r="B12" s="2">
        <v>10.5</v>
      </c>
      <c r="C12" s="2">
        <f>(C13*B13+C14*B14)/B12</f>
        <v>5.1190476190476194E-3</v>
      </c>
      <c r="D12" t="s">
        <v>0</v>
      </c>
      <c r="E12" s="9">
        <v>0</v>
      </c>
      <c r="F12">
        <v>5.1500000000000001E-3</v>
      </c>
      <c r="H12" s="1" t="s">
        <v>82</v>
      </c>
      <c r="J12">
        <f t="shared" si="0"/>
        <v>-268.04808940565556</v>
      </c>
    </row>
    <row r="13" spans="1:10">
      <c r="A13" t="s">
        <v>43</v>
      </c>
      <c r="B13">
        <v>10</v>
      </c>
      <c r="C13">
        <v>5.0000000000000001E-3</v>
      </c>
      <c r="D13" t="s">
        <v>1</v>
      </c>
      <c r="E13" s="9">
        <v>0.55156250000000029</v>
      </c>
      <c r="F13">
        <v>5.1000000000000004E-3</v>
      </c>
    </row>
    <row r="14" spans="1:10">
      <c r="A14" t="s">
        <v>2</v>
      </c>
      <c r="B14">
        <v>0.5</v>
      </c>
      <c r="C14">
        <v>7.4999999999999997E-3</v>
      </c>
      <c r="D14" t="s">
        <v>2</v>
      </c>
      <c r="E14" s="9">
        <v>0</v>
      </c>
      <c r="F14">
        <v>7.4999999999999997E-3</v>
      </c>
    </row>
    <row r="15" spans="1:10">
      <c r="A15" s="7"/>
      <c r="B15" s="7"/>
      <c r="C15" s="7"/>
      <c r="D15" s="7"/>
      <c r="E15" s="7"/>
      <c r="F15" s="7"/>
    </row>
    <row r="16" spans="1:10">
      <c r="A16" t="s">
        <v>80</v>
      </c>
      <c r="B16">
        <f>B5*C5-B12*C12</f>
        <v>0.27625</v>
      </c>
      <c r="D16" t="s">
        <v>53</v>
      </c>
      <c r="E16">
        <f>10000*(C5-C12)</f>
        <v>263.09523809523813</v>
      </c>
      <c r="F16" t="s">
        <v>8</v>
      </c>
    </row>
    <row r="17" spans="1:5">
      <c r="A17" t="s">
        <v>81</v>
      </c>
      <c r="B17">
        <f>B11*C11 + E6*F6+ E7*F7 +E8 *F8 -(B12*C12+E12*F12+E13*F13+E14*F14)</f>
        <v>0.29676125000000003</v>
      </c>
      <c r="D17" t="s">
        <v>52</v>
      </c>
      <c r="E17" s="10">
        <v>268.24990680000002</v>
      </c>
    </row>
    <row r="18" spans="1:5">
      <c r="D18" t="s">
        <v>8</v>
      </c>
    </row>
    <row r="19" spans="1:5">
      <c r="A19" t="s">
        <v>6</v>
      </c>
      <c r="B19">
        <f>B7+B9+SUM(E8:E10)</f>
        <v>11.051562499999999</v>
      </c>
      <c r="D19" t="s">
        <v>13</v>
      </c>
      <c r="E19">
        <f>E8</f>
        <v>1.6562499999999453E-2</v>
      </c>
    </row>
    <row r="20" spans="1:5">
      <c r="A20" t="s">
        <v>7</v>
      </c>
      <c r="B20">
        <f>B12+SUM(E12:E14)</f>
        <v>11.051562500000001</v>
      </c>
      <c r="D20" t="s">
        <v>72</v>
      </c>
      <c r="E20">
        <f>B23-SUM(E6:E8)</f>
        <v>1.656249999999948E-2</v>
      </c>
    </row>
    <row r="21" spans="1:5">
      <c r="A21" t="s">
        <v>9</v>
      </c>
      <c r="B21">
        <f>B5-B11</f>
        <v>0.15499999999999936</v>
      </c>
      <c r="D21" t="s">
        <v>14</v>
      </c>
      <c r="E21">
        <f>0.1*B12</f>
        <v>1.05</v>
      </c>
    </row>
    <row r="22" spans="1:5">
      <c r="A22" t="s">
        <v>10</v>
      </c>
      <c r="B22">
        <f>B21+B5*C5-B12*C12</f>
        <v>0.43124999999999936</v>
      </c>
      <c r="D22" t="s">
        <v>55</v>
      </c>
      <c r="E22">
        <f>0.06*B6</f>
        <v>0.3</v>
      </c>
    </row>
    <row r="23" spans="1:5">
      <c r="A23" t="s">
        <v>11</v>
      </c>
      <c r="B23">
        <f>1.7*B22</f>
        <v>0.73312499999999892</v>
      </c>
      <c r="D23" t="s">
        <v>15</v>
      </c>
      <c r="E23">
        <v>0.4</v>
      </c>
    </row>
    <row r="24" spans="1:5">
      <c r="A24" t="s">
        <v>12</v>
      </c>
      <c r="B24">
        <f>SUM(E6:E8)</f>
        <v>0.71656249999999944</v>
      </c>
      <c r="D24" t="s">
        <v>74</v>
      </c>
      <c r="E24">
        <f>E12+E13</f>
        <v>0.55156250000000029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workbookViewId="0"/>
  </sheetViews>
  <sheetFormatPr baseColWidth="10" defaultRowHeight="15" x14ac:dyDescent="0"/>
  <cols>
    <col min="1" max="1" width="2.33203125" customWidth="1"/>
    <col min="2" max="2" width="6.5" customWidth="1"/>
    <col min="3" max="3" width="20.5" customWidth="1"/>
    <col min="4" max="4" width="13" bestFit="1" customWidth="1"/>
    <col min="5" max="5" width="13.83203125" customWidth="1"/>
    <col min="6" max="6" width="10.83203125" customWidth="1"/>
    <col min="7" max="7" width="9.1640625" customWidth="1"/>
  </cols>
  <sheetData>
    <row r="1" spans="1:5">
      <c r="A1" s="2" t="s">
        <v>23</v>
      </c>
    </row>
    <row r="2" spans="1:5">
      <c r="A2" s="2" t="s">
        <v>98</v>
      </c>
    </row>
    <row r="3" spans="1:5">
      <c r="A3" s="2" t="s">
        <v>99</v>
      </c>
    </row>
    <row r="4" spans="1:5">
      <c r="A4" s="2" t="s">
        <v>24</v>
      </c>
    </row>
    <row r="5" spans="1:5">
      <c r="A5" s="2" t="s">
        <v>25</v>
      </c>
    </row>
    <row r="6" spans="1:5">
      <c r="A6" s="2"/>
      <c r="B6" t="s">
        <v>26</v>
      </c>
    </row>
    <row r="7" spans="1:5">
      <c r="A7" s="2"/>
      <c r="B7" t="s">
        <v>100</v>
      </c>
    </row>
    <row r="8" spans="1:5">
      <c r="A8" s="2"/>
      <c r="B8" t="s">
        <v>73</v>
      </c>
    </row>
    <row r="9" spans="1:5">
      <c r="A9" s="2" t="s">
        <v>27</v>
      </c>
    </row>
    <row r="10" spans="1:5">
      <c r="B10" t="s">
        <v>28</v>
      </c>
    </row>
    <row r="11" spans="1:5">
      <c r="B11" t="s">
        <v>29</v>
      </c>
    </row>
    <row r="14" spans="1:5" ht="16" thickBot="1">
      <c r="A14" t="s">
        <v>30</v>
      </c>
    </row>
    <row r="15" spans="1:5" ht="16" thickBot="1">
      <c r="B15" s="18" t="s">
        <v>16</v>
      </c>
      <c r="C15" s="18" t="s">
        <v>17</v>
      </c>
      <c r="D15" s="18" t="s">
        <v>31</v>
      </c>
      <c r="E15" s="18" t="s">
        <v>32</v>
      </c>
    </row>
    <row r="16" spans="1:5" ht="16" thickBot="1">
      <c r="B16" s="3" t="s">
        <v>101</v>
      </c>
      <c r="C16" s="3" t="s">
        <v>102</v>
      </c>
      <c r="D16" s="5">
        <v>0.30000000000000004</v>
      </c>
      <c r="E16" s="5">
        <v>0.31621920150000005</v>
      </c>
    </row>
    <row r="19" spans="1:7" ht="16" thickBot="1">
      <c r="A19" t="s">
        <v>33</v>
      </c>
    </row>
    <row r="20" spans="1:7" ht="16" thickBot="1">
      <c r="B20" s="18" t="s">
        <v>16</v>
      </c>
      <c r="C20" s="18" t="s">
        <v>17</v>
      </c>
      <c r="D20" s="18" t="s">
        <v>31</v>
      </c>
      <c r="E20" s="18" t="s">
        <v>32</v>
      </c>
      <c r="F20" s="18" t="s">
        <v>34</v>
      </c>
    </row>
    <row r="21" spans="1:7">
      <c r="B21" s="4" t="s">
        <v>103</v>
      </c>
      <c r="C21" s="4" t="s">
        <v>104</v>
      </c>
      <c r="D21" s="6">
        <v>0</v>
      </c>
      <c r="E21" s="6">
        <v>0.12650000000000061</v>
      </c>
      <c r="F21" s="4" t="s">
        <v>37</v>
      </c>
    </row>
    <row r="22" spans="1:7">
      <c r="B22" s="4" t="s">
        <v>105</v>
      </c>
      <c r="C22" s="4" t="s">
        <v>106</v>
      </c>
      <c r="D22" s="6">
        <v>0</v>
      </c>
      <c r="E22" s="6">
        <v>0.4</v>
      </c>
      <c r="F22" s="4" t="s">
        <v>37</v>
      </c>
    </row>
    <row r="23" spans="1:7">
      <c r="B23" s="4" t="s">
        <v>107</v>
      </c>
      <c r="C23" s="4" t="s">
        <v>108</v>
      </c>
      <c r="D23" s="6">
        <v>0</v>
      </c>
      <c r="E23" s="6">
        <v>0</v>
      </c>
      <c r="F23" s="4" t="s">
        <v>37</v>
      </c>
    </row>
    <row r="24" spans="1:7">
      <c r="B24" s="4" t="s">
        <v>109</v>
      </c>
      <c r="C24" s="4" t="s">
        <v>36</v>
      </c>
      <c r="D24" s="6">
        <v>0</v>
      </c>
      <c r="E24" s="6">
        <v>0</v>
      </c>
      <c r="F24" s="4" t="s">
        <v>37</v>
      </c>
    </row>
    <row r="25" spans="1:7">
      <c r="B25" s="4" t="s">
        <v>110</v>
      </c>
      <c r="C25" s="4" t="s">
        <v>38</v>
      </c>
      <c r="D25" s="6">
        <v>0</v>
      </c>
      <c r="E25" s="6">
        <v>0.41623500000000024</v>
      </c>
      <c r="F25" s="4" t="s">
        <v>37</v>
      </c>
    </row>
    <row r="26" spans="1:7" ht="16" thickBot="1">
      <c r="B26" s="3" t="s">
        <v>111</v>
      </c>
      <c r="C26" s="3" t="s">
        <v>39</v>
      </c>
      <c r="D26" s="5">
        <v>0</v>
      </c>
      <c r="E26" s="5">
        <v>0</v>
      </c>
      <c r="F26" s="3" t="s">
        <v>37</v>
      </c>
    </row>
    <row r="29" spans="1:7" ht="16" thickBot="1">
      <c r="A29" t="s">
        <v>35</v>
      </c>
    </row>
    <row r="30" spans="1:7" ht="16" thickBot="1">
      <c r="B30" s="18" t="s">
        <v>16</v>
      </c>
      <c r="C30" s="18" t="s">
        <v>17</v>
      </c>
      <c r="D30" s="18" t="s">
        <v>18</v>
      </c>
      <c r="E30" s="18" t="s">
        <v>19</v>
      </c>
      <c r="F30" s="18" t="s">
        <v>20</v>
      </c>
      <c r="G30" s="18" t="s">
        <v>21</v>
      </c>
    </row>
    <row r="31" spans="1:7">
      <c r="B31" s="4" t="s">
        <v>112</v>
      </c>
      <c r="C31" s="4" t="s">
        <v>113</v>
      </c>
      <c r="D31" s="6">
        <v>10.916235</v>
      </c>
      <c r="E31" s="4" t="s">
        <v>114</v>
      </c>
      <c r="F31" s="4" t="s">
        <v>22</v>
      </c>
      <c r="G31" s="4">
        <v>0</v>
      </c>
    </row>
    <row r="32" spans="1:7">
      <c r="B32" s="4" t="s">
        <v>115</v>
      </c>
      <c r="C32" s="4" t="s">
        <v>116</v>
      </c>
      <c r="D32" s="6">
        <v>0.52650000000000063</v>
      </c>
      <c r="E32" s="4" t="s">
        <v>117</v>
      </c>
      <c r="F32" s="4" t="s">
        <v>22</v>
      </c>
      <c r="G32" s="4">
        <v>0</v>
      </c>
    </row>
    <row r="33" spans="2:7">
      <c r="B33" s="4" t="s">
        <v>118</v>
      </c>
      <c r="C33" s="4" t="s">
        <v>57</v>
      </c>
      <c r="D33" s="6">
        <v>0</v>
      </c>
      <c r="E33" s="4" t="s">
        <v>119</v>
      </c>
      <c r="F33" s="4" t="s">
        <v>22</v>
      </c>
      <c r="G33" s="4">
        <v>0</v>
      </c>
    </row>
    <row r="34" spans="2:7">
      <c r="B34" s="4" t="s">
        <v>120</v>
      </c>
      <c r="C34" s="4" t="s">
        <v>121</v>
      </c>
      <c r="D34" s="6">
        <v>0.41623500000000024</v>
      </c>
      <c r="E34" s="4" t="s">
        <v>122</v>
      </c>
      <c r="F34" s="4" t="s">
        <v>40</v>
      </c>
      <c r="G34" s="4">
        <v>0.6337649999999998</v>
      </c>
    </row>
    <row r="35" spans="2:7">
      <c r="B35" s="4" t="s">
        <v>103</v>
      </c>
      <c r="C35" s="4" t="s">
        <v>104</v>
      </c>
      <c r="D35" s="6">
        <v>0.12650000000000061</v>
      </c>
      <c r="E35" s="4" t="s">
        <v>123</v>
      </c>
      <c r="F35" s="4" t="s">
        <v>40</v>
      </c>
      <c r="G35" s="4">
        <v>0.17349999999999938</v>
      </c>
    </row>
    <row r="36" spans="2:7" ht="16" thickBot="1">
      <c r="B36" s="3" t="s">
        <v>105</v>
      </c>
      <c r="C36" s="3" t="s">
        <v>106</v>
      </c>
      <c r="D36" s="5">
        <v>0.4</v>
      </c>
      <c r="E36" s="3" t="s">
        <v>124</v>
      </c>
      <c r="F36" s="3" t="s">
        <v>22</v>
      </c>
      <c r="G36" s="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selection sqref="A1:A3"/>
    </sheetView>
  </sheetViews>
  <sheetFormatPr baseColWidth="10" defaultRowHeight="15" x14ac:dyDescent="0"/>
  <cols>
    <col min="1" max="1" width="2.33203125" customWidth="1"/>
    <col min="2" max="2" width="6.5" bestFit="1" customWidth="1"/>
    <col min="3" max="3" width="20.5" bestFit="1" customWidth="1"/>
    <col min="4" max="4" width="10.1640625" bestFit="1" customWidth="1"/>
    <col min="5" max="5" width="9.83203125" bestFit="1" customWidth="1"/>
    <col min="6" max="6" width="10.1640625" bestFit="1" customWidth="1"/>
    <col min="7" max="8" width="9.5" customWidth="1"/>
  </cols>
  <sheetData>
    <row r="1" spans="1:8">
      <c r="A1" s="2" t="s">
        <v>58</v>
      </c>
    </row>
    <row r="2" spans="1:8">
      <c r="A2" s="2" t="s">
        <v>98</v>
      </c>
    </row>
    <row r="3" spans="1:8">
      <c r="A3" s="2" t="s">
        <v>125</v>
      </c>
    </row>
    <row r="6" spans="1:8" ht="16" thickBot="1">
      <c r="A6" t="s">
        <v>33</v>
      </c>
    </row>
    <row r="7" spans="1:8">
      <c r="B7" s="19"/>
      <c r="C7" s="19"/>
      <c r="D7" s="19" t="s">
        <v>59</v>
      </c>
      <c r="E7" s="19" t="s">
        <v>61</v>
      </c>
      <c r="F7" s="19" t="s">
        <v>63</v>
      </c>
      <c r="G7" s="19" t="s">
        <v>65</v>
      </c>
      <c r="H7" s="19" t="s">
        <v>65</v>
      </c>
    </row>
    <row r="8" spans="1:8" ht="16" thickBot="1">
      <c r="B8" s="20" t="s">
        <v>16</v>
      </c>
      <c r="C8" s="20" t="s">
        <v>17</v>
      </c>
      <c r="D8" s="20" t="s">
        <v>60</v>
      </c>
      <c r="E8" s="20" t="s">
        <v>62</v>
      </c>
      <c r="F8" s="20" t="s">
        <v>64</v>
      </c>
      <c r="G8" s="20" t="s">
        <v>66</v>
      </c>
      <c r="H8" s="20" t="s">
        <v>67</v>
      </c>
    </row>
    <row r="9" spans="1:8">
      <c r="B9" s="4" t="s">
        <v>103</v>
      </c>
      <c r="C9" s="4" t="s">
        <v>104</v>
      </c>
      <c r="D9" s="4">
        <v>0.12650000000000061</v>
      </c>
      <c r="E9" s="4">
        <v>0</v>
      </c>
      <c r="F9" s="4">
        <v>2.8000000000000025E-2</v>
      </c>
      <c r="G9" s="4">
        <v>8.9999999999999525E-3</v>
      </c>
      <c r="H9" s="4">
        <v>2.0551000000000014E-2</v>
      </c>
    </row>
    <row r="10" spans="1:8">
      <c r="B10" s="4" t="s">
        <v>105</v>
      </c>
      <c r="C10" s="4" t="s">
        <v>106</v>
      </c>
      <c r="D10" s="4">
        <v>0.4</v>
      </c>
      <c r="E10" s="4">
        <v>8.9999999999999525E-3</v>
      </c>
      <c r="F10" s="4">
        <v>3.6999999999999977E-2</v>
      </c>
      <c r="G10" s="4">
        <v>1E+30</v>
      </c>
      <c r="H10" s="4">
        <v>8.9999999999999525E-3</v>
      </c>
    </row>
    <row r="11" spans="1:8">
      <c r="B11" s="4" t="s">
        <v>107</v>
      </c>
      <c r="C11" s="4" t="s">
        <v>108</v>
      </c>
      <c r="D11" s="4">
        <v>0</v>
      </c>
      <c r="E11" s="4">
        <v>-2.0551000000000014E-2</v>
      </c>
      <c r="F11" s="4">
        <v>7.5000000000000067E-3</v>
      </c>
      <c r="G11" s="4">
        <v>2.0551000000000014E-2</v>
      </c>
      <c r="H11" s="4">
        <v>1E+30</v>
      </c>
    </row>
    <row r="12" spans="1:8">
      <c r="B12" s="4" t="s">
        <v>109</v>
      </c>
      <c r="C12" s="4" t="s">
        <v>36</v>
      </c>
      <c r="D12" s="4">
        <v>0</v>
      </c>
      <c r="E12" s="4">
        <v>-4.9999999999994493E-5</v>
      </c>
      <c r="F12" s="4">
        <v>-5.1499999999999879E-3</v>
      </c>
      <c r="G12" s="4">
        <v>4.9999999999994493E-5</v>
      </c>
      <c r="H12" s="4">
        <v>1E+30</v>
      </c>
    </row>
    <row r="13" spans="1:8">
      <c r="B13" s="4" t="s">
        <v>110</v>
      </c>
      <c r="C13" s="4" t="s">
        <v>38</v>
      </c>
      <c r="D13" s="4">
        <v>0.41623500000000024</v>
      </c>
      <c r="E13" s="4">
        <v>0</v>
      </c>
      <c r="F13" s="4">
        <v>-5.0999999999999934E-3</v>
      </c>
      <c r="G13" s="4">
        <v>2.0551000000000226</v>
      </c>
      <c r="H13" s="4">
        <v>4.9999999999994493E-5</v>
      </c>
    </row>
    <row r="14" spans="1:8" ht="16" thickBot="1">
      <c r="B14" s="3" t="s">
        <v>111</v>
      </c>
      <c r="C14" s="3" t="s">
        <v>39</v>
      </c>
      <c r="D14" s="3">
        <v>0</v>
      </c>
      <c r="E14" s="3">
        <v>-2.4000000000000132E-3</v>
      </c>
      <c r="F14" s="3">
        <v>-7.5000000000000067E-3</v>
      </c>
      <c r="G14" s="3">
        <v>2.4000000000000132E-3</v>
      </c>
      <c r="H14" s="3">
        <v>1E+30</v>
      </c>
    </row>
    <row r="16" spans="1:8" ht="16" thickBot="1">
      <c r="A16" t="s">
        <v>35</v>
      </c>
    </row>
    <row r="17" spans="2:8">
      <c r="B17" s="19"/>
      <c r="C17" s="19"/>
      <c r="D17" s="19" t="s">
        <v>59</v>
      </c>
      <c r="E17" s="19" t="s">
        <v>68</v>
      </c>
      <c r="F17" s="19" t="s">
        <v>70</v>
      </c>
      <c r="G17" s="19" t="s">
        <v>65</v>
      </c>
      <c r="H17" s="19" t="s">
        <v>65</v>
      </c>
    </row>
    <row r="18" spans="2:8" ht="16" thickBot="1">
      <c r="B18" s="20" t="s">
        <v>16</v>
      </c>
      <c r="C18" s="20" t="s">
        <v>17</v>
      </c>
      <c r="D18" s="20" t="s">
        <v>60</v>
      </c>
      <c r="E18" s="20" t="s">
        <v>69</v>
      </c>
      <c r="F18" s="20" t="s">
        <v>71</v>
      </c>
      <c r="G18" s="20" t="s">
        <v>66</v>
      </c>
      <c r="H18" s="20" t="s">
        <v>67</v>
      </c>
    </row>
    <row r="19" spans="2:8">
      <c r="B19" s="4" t="s">
        <v>112</v>
      </c>
      <c r="C19" s="4" t="s">
        <v>113</v>
      </c>
      <c r="D19" s="4">
        <v>10.916235</v>
      </c>
      <c r="E19" s="4">
        <v>5.0999999999999934E-3</v>
      </c>
      <c r="F19" s="4">
        <v>0</v>
      </c>
      <c r="G19" s="4">
        <v>0.41623500000000024</v>
      </c>
      <c r="H19" s="4">
        <v>0.63376499999999969</v>
      </c>
    </row>
    <row r="20" spans="2:8">
      <c r="B20" s="4" t="s">
        <v>115</v>
      </c>
      <c r="C20" s="4" t="s">
        <v>116</v>
      </c>
      <c r="D20" s="4">
        <v>0.52650000000000063</v>
      </c>
      <c r="E20" s="4">
        <v>2.2951000000000027E-2</v>
      </c>
      <c r="F20" s="4">
        <v>0.52650000000000063</v>
      </c>
      <c r="G20" s="4">
        <v>0</v>
      </c>
      <c r="H20" s="4">
        <v>0.12650000000000061</v>
      </c>
    </row>
    <row r="21" spans="2:8">
      <c r="B21" s="4" t="s">
        <v>118</v>
      </c>
      <c r="C21" s="4" t="s">
        <v>57</v>
      </c>
      <c r="D21" s="4">
        <v>0</v>
      </c>
      <c r="E21" s="4">
        <v>0</v>
      </c>
      <c r="F21" s="4">
        <v>0</v>
      </c>
      <c r="G21" s="4">
        <v>1E+30</v>
      </c>
      <c r="H21" s="4">
        <v>0</v>
      </c>
    </row>
    <row r="22" spans="2:8" ht="16" thickBot="1">
      <c r="B22" s="3" t="s">
        <v>120</v>
      </c>
      <c r="C22" s="3" t="s">
        <v>121</v>
      </c>
      <c r="D22" s="3">
        <v>0.41623500000000024</v>
      </c>
      <c r="E22" s="3">
        <v>0</v>
      </c>
      <c r="F22" s="3">
        <v>1.05</v>
      </c>
      <c r="G22" s="3">
        <v>1E+30</v>
      </c>
      <c r="H22" s="3">
        <v>0.63376499999999969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workbookViewId="0">
      <selection sqref="A1:A3"/>
    </sheetView>
  </sheetViews>
  <sheetFormatPr baseColWidth="10" defaultRowHeight="15" x14ac:dyDescent="0"/>
  <cols>
    <col min="1" max="1" width="2.33203125" customWidth="1"/>
    <col min="2" max="2" width="6.5" bestFit="1" customWidth="1"/>
    <col min="3" max="3" width="18" bestFit="1" customWidth="1"/>
    <col min="4" max="4" width="12.1640625" bestFit="1" customWidth="1"/>
    <col min="5" max="5" width="2.33203125" customWidth="1"/>
    <col min="6" max="6" width="9.1640625" bestFit="1" customWidth="1"/>
    <col min="7" max="7" width="12.1640625" bestFit="1" customWidth="1"/>
    <col min="8" max="8" width="2.33203125" customWidth="1"/>
    <col min="9" max="9" width="9.1640625" bestFit="1" customWidth="1"/>
    <col min="10" max="10" width="12.1640625" bestFit="1" customWidth="1"/>
  </cols>
  <sheetData>
    <row r="1" spans="1:10">
      <c r="A1" s="2" t="s">
        <v>126</v>
      </c>
    </row>
    <row r="2" spans="1:10">
      <c r="A2" s="2" t="s">
        <v>98</v>
      </c>
    </row>
    <row r="3" spans="1:10">
      <c r="A3" s="2" t="s">
        <v>127</v>
      </c>
    </row>
    <row r="5" spans="1:10" ht="16" thickBot="1"/>
    <row r="6" spans="1:10">
      <c r="B6" s="19"/>
      <c r="C6" s="19" t="s">
        <v>63</v>
      </c>
      <c r="D6" s="19"/>
    </row>
    <row r="7" spans="1:10" ht="16" thickBot="1">
      <c r="B7" s="20" t="s">
        <v>16</v>
      </c>
      <c r="C7" s="20" t="s">
        <v>17</v>
      </c>
      <c r="D7" s="20" t="s">
        <v>60</v>
      </c>
    </row>
    <row r="8" spans="1:10" ht="16" thickBot="1">
      <c r="B8" s="3" t="s">
        <v>101</v>
      </c>
      <c r="C8" s="3" t="s">
        <v>102</v>
      </c>
      <c r="D8" s="5">
        <v>0.31621920150000005</v>
      </c>
    </row>
    <row r="10" spans="1:10" ht="16" thickBot="1"/>
    <row r="11" spans="1:10">
      <c r="B11" s="19"/>
      <c r="C11" s="19" t="s">
        <v>128</v>
      </c>
      <c r="D11" s="19"/>
      <c r="F11" s="19" t="s">
        <v>129</v>
      </c>
      <c r="G11" s="19" t="s">
        <v>63</v>
      </c>
      <c r="I11" s="19" t="s">
        <v>132</v>
      </c>
      <c r="J11" s="19" t="s">
        <v>63</v>
      </c>
    </row>
    <row r="12" spans="1:10" ht="16" thickBot="1">
      <c r="B12" s="20" t="s">
        <v>16</v>
      </c>
      <c r="C12" s="20" t="s">
        <v>17</v>
      </c>
      <c r="D12" s="20" t="s">
        <v>60</v>
      </c>
      <c r="F12" s="20" t="s">
        <v>130</v>
      </c>
      <c r="G12" s="20" t="s">
        <v>131</v>
      </c>
      <c r="I12" s="20" t="s">
        <v>130</v>
      </c>
      <c r="J12" s="20" t="s">
        <v>131</v>
      </c>
    </row>
    <row r="13" spans="1:10">
      <c r="B13" s="4" t="s">
        <v>103</v>
      </c>
      <c r="C13" s="4" t="s">
        <v>104</v>
      </c>
      <c r="D13" s="6">
        <v>0.12650000000000061</v>
      </c>
      <c r="F13" s="6">
        <v>0.1265</v>
      </c>
      <c r="G13" s="6">
        <v>0.31621920149999999</v>
      </c>
      <c r="I13" s="6">
        <v>0.1265</v>
      </c>
      <c r="J13" s="6">
        <v>0.31621920149999999</v>
      </c>
    </row>
    <row r="14" spans="1:10">
      <c r="B14" s="4" t="s">
        <v>105</v>
      </c>
      <c r="C14" s="4" t="s">
        <v>106</v>
      </c>
      <c r="D14" s="6">
        <v>0.4</v>
      </c>
      <c r="F14" s="6">
        <v>0.40000000000000102</v>
      </c>
      <c r="G14" s="6">
        <v>0.31621920149999999</v>
      </c>
      <c r="I14" s="6">
        <v>0.40000000000000102</v>
      </c>
      <c r="J14" s="6">
        <v>0.31621920149999999</v>
      </c>
    </row>
    <row r="15" spans="1:10">
      <c r="B15" s="4" t="s">
        <v>107</v>
      </c>
      <c r="C15" s="4" t="s">
        <v>108</v>
      </c>
      <c r="D15" s="6">
        <v>0</v>
      </c>
      <c r="F15" s="6">
        <v>0</v>
      </c>
      <c r="G15" s="6">
        <v>0.31621920149999999</v>
      </c>
      <c r="I15" s="6">
        <v>0</v>
      </c>
      <c r="J15" s="6">
        <v>0.31621920149999999</v>
      </c>
    </row>
    <row r="16" spans="1:10">
      <c r="B16" s="4" t="s">
        <v>109</v>
      </c>
      <c r="C16" s="4" t="s">
        <v>36</v>
      </c>
      <c r="D16" s="6">
        <v>0</v>
      </c>
      <c r="F16" s="6">
        <v>0</v>
      </c>
      <c r="G16" s="6">
        <v>0.31621920149999999</v>
      </c>
      <c r="I16" s="6">
        <v>0</v>
      </c>
      <c r="J16" s="6">
        <v>0.31621920149999999</v>
      </c>
    </row>
    <row r="17" spans="2:10">
      <c r="B17" s="4" t="s">
        <v>110</v>
      </c>
      <c r="C17" s="4" t="s">
        <v>38</v>
      </c>
      <c r="D17" s="6">
        <v>0</v>
      </c>
      <c r="F17" s="6">
        <v>0</v>
      </c>
      <c r="G17" s="6">
        <v>0.31621920149999999</v>
      </c>
      <c r="I17" s="6">
        <v>0</v>
      </c>
      <c r="J17" s="6">
        <v>0.31621920149999999</v>
      </c>
    </row>
    <row r="18" spans="2:10" ht="16" thickBot="1">
      <c r="B18" s="3" t="s">
        <v>111</v>
      </c>
      <c r="C18" s="3" t="s">
        <v>39</v>
      </c>
      <c r="D18" s="5">
        <v>0.1252350000000006</v>
      </c>
      <c r="F18" s="5">
        <v>0.12523500000000001</v>
      </c>
      <c r="G18" s="5">
        <v>0.31621920149999999</v>
      </c>
      <c r="I18" s="5">
        <v>0.12523500000000001</v>
      </c>
      <c r="J18" s="5">
        <v>0.31621920149999999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showGridLines="0" workbookViewId="0"/>
  </sheetViews>
  <sheetFormatPr baseColWidth="10" defaultRowHeight="15" x14ac:dyDescent="0"/>
  <cols>
    <col min="1" max="1" width="2.33203125" customWidth="1"/>
    <col min="2" max="2" width="6.5" bestFit="1" customWidth="1"/>
    <col min="3" max="3" width="16.6640625" bestFit="1" customWidth="1"/>
    <col min="4" max="4" width="9.5" customWidth="1"/>
    <col min="5" max="5" width="13.83203125" bestFit="1" customWidth="1"/>
    <col min="6" max="6" width="8" bestFit="1" customWidth="1"/>
    <col min="7" max="7" width="9.83203125" bestFit="1" customWidth="1"/>
  </cols>
  <sheetData>
    <row r="1" spans="1:7">
      <c r="A1" s="2" t="s">
        <v>160</v>
      </c>
    </row>
    <row r="2" spans="1:7">
      <c r="A2" s="2" t="s">
        <v>161</v>
      </c>
    </row>
    <row r="3" spans="1:7">
      <c r="A3" s="2" t="s">
        <v>162</v>
      </c>
    </row>
    <row r="6" spans="1:7" ht="16" thickBot="1">
      <c r="A6" t="s">
        <v>163</v>
      </c>
    </row>
    <row r="7" spans="1:7" ht="16" thickBot="1">
      <c r="B7" s="24" t="s">
        <v>16</v>
      </c>
      <c r="C7" s="24" t="s">
        <v>17</v>
      </c>
      <c r="D7" s="24" t="s">
        <v>18</v>
      </c>
      <c r="E7" s="24" t="s">
        <v>19</v>
      </c>
      <c r="F7" s="24" t="s">
        <v>20</v>
      </c>
      <c r="G7" s="24" t="s">
        <v>21</v>
      </c>
    </row>
    <row r="8" spans="1:7">
      <c r="B8" t="s">
        <v>164</v>
      </c>
      <c r="C8" t="s">
        <v>165</v>
      </c>
      <c r="D8" s="25">
        <v>0</v>
      </c>
      <c r="E8" t="s">
        <v>166</v>
      </c>
      <c r="F8" t="s">
        <v>22</v>
      </c>
      <c r="G8">
        <v>0</v>
      </c>
    </row>
    <row r="9" spans="1:7">
      <c r="B9" t="s">
        <v>167</v>
      </c>
      <c r="C9" t="s">
        <v>168</v>
      </c>
      <c r="D9" s="25">
        <v>0.3</v>
      </c>
      <c r="E9" t="s">
        <v>169</v>
      </c>
      <c r="F9" t="s">
        <v>22</v>
      </c>
      <c r="G9">
        <v>0</v>
      </c>
    </row>
    <row r="10" spans="1:7">
      <c r="B10" t="s">
        <v>170</v>
      </c>
      <c r="C10" t="s">
        <v>171</v>
      </c>
      <c r="D10" s="25">
        <v>0.4</v>
      </c>
      <c r="E10" t="s">
        <v>172</v>
      </c>
      <c r="F10" t="s">
        <v>173</v>
      </c>
      <c r="G10">
        <v>-0.17291499999999935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65"/>
  <sheetViews>
    <sheetView topLeftCell="A33" zoomScale="150" zoomScaleNormal="150" zoomScalePageLayoutView="150" workbookViewId="0">
      <selection activeCell="D57" sqref="D57"/>
    </sheetView>
  </sheetViews>
  <sheetFormatPr baseColWidth="10" defaultRowHeight="15" x14ac:dyDescent="0"/>
  <cols>
    <col min="3" max="3" width="22.5" customWidth="1"/>
    <col min="6" max="6" width="22.33203125" customWidth="1"/>
    <col min="9" max="9" width="5" customWidth="1"/>
    <col min="10" max="10" width="25" customWidth="1"/>
    <col min="11" max="11" width="26" customWidth="1"/>
    <col min="12" max="12" width="12.1640625" customWidth="1"/>
    <col min="13" max="13" width="15.83203125" customWidth="1"/>
    <col min="15" max="15" width="12.6640625" customWidth="1"/>
  </cols>
  <sheetData>
    <row r="5" spans="1:15">
      <c r="A5">
        <f>MAX($D$20)</f>
        <v>0.31701157388200008</v>
      </c>
      <c r="C5" s="8" t="s">
        <v>42</v>
      </c>
      <c r="D5" s="12" t="s">
        <v>4</v>
      </c>
      <c r="E5" s="12" t="s">
        <v>89</v>
      </c>
      <c r="F5" s="8" t="s">
        <v>54</v>
      </c>
      <c r="G5" s="7"/>
      <c r="H5" s="7"/>
      <c r="K5" s="2" t="s">
        <v>84</v>
      </c>
      <c r="L5" s="2" t="s">
        <v>94</v>
      </c>
      <c r="M5" s="2" t="s">
        <v>85</v>
      </c>
      <c r="N5" s="2" t="s">
        <v>41</v>
      </c>
      <c r="O5" s="2" t="s">
        <v>85</v>
      </c>
    </row>
    <row r="6" spans="1:15">
      <c r="A6">
        <f>COUNT($G$7:$G$9,$G$15:$G$17)</f>
        <v>6</v>
      </c>
      <c r="C6" s="2" t="s">
        <v>50</v>
      </c>
      <c r="D6" s="13">
        <v>10.5</v>
      </c>
      <c r="E6" s="13">
        <f>(E7*D7+E10*D10)/D6</f>
        <v>3.3690476190476194E-2</v>
      </c>
      <c r="F6" s="8" t="s">
        <v>45</v>
      </c>
      <c r="G6" s="12" t="s">
        <v>4</v>
      </c>
      <c r="H6" s="12" t="s">
        <v>89</v>
      </c>
      <c r="K6" t="s">
        <v>83</v>
      </c>
      <c r="L6" s="11">
        <v>0.31621920657780833</v>
      </c>
      <c r="M6" s="11">
        <v>0</v>
      </c>
      <c r="N6" s="11">
        <v>289.67789854446926</v>
      </c>
      <c r="O6">
        <v>0</v>
      </c>
    </row>
    <row r="7" spans="1:15">
      <c r="A7" t="b">
        <f>$D$22=$D$23</f>
        <v>1</v>
      </c>
      <c r="C7" t="s">
        <v>46</v>
      </c>
      <c r="D7" s="14">
        <v>5</v>
      </c>
      <c r="E7" s="14">
        <v>2.9499999999999998E-2</v>
      </c>
      <c r="F7" t="s">
        <v>46</v>
      </c>
      <c r="G7" s="15">
        <v>0.12708500000000067</v>
      </c>
      <c r="H7" s="14">
        <f>0.028</f>
        <v>2.8000000000000001E-2</v>
      </c>
      <c r="J7" s="2" t="s">
        <v>140</v>
      </c>
      <c r="K7" t="s">
        <v>148</v>
      </c>
      <c r="L7">
        <v>0.32136838807749218</v>
      </c>
      <c r="M7">
        <f>L7-$L$6</f>
        <v>5.1491814996838525E-3</v>
      </c>
      <c r="N7">
        <v>294.22145224727132</v>
      </c>
      <c r="O7">
        <f>N7-$N$6</f>
        <v>4.5435537028020576</v>
      </c>
    </row>
    <row r="8" spans="1:15">
      <c r="A8" t="b">
        <f>$D$27&lt;=$D$26</f>
        <v>1</v>
      </c>
      <c r="C8" t="s">
        <v>47</v>
      </c>
      <c r="D8" s="14">
        <f>E9*D7</f>
        <v>4.95</v>
      </c>
      <c r="E8" s="14">
        <f>E7</f>
        <v>2.9499999999999998E-2</v>
      </c>
      <c r="F8" t="s">
        <v>48</v>
      </c>
      <c r="G8" s="15">
        <v>0.4</v>
      </c>
      <c r="H8" s="14">
        <v>3.6999999999999998E-2</v>
      </c>
      <c r="K8" s="1" t="s">
        <v>147</v>
      </c>
      <c r="L8" s="1">
        <v>0.30585520150000006</v>
      </c>
      <c r="M8">
        <f t="shared" ref="M8:M22" si="0">L8-$L$6</f>
        <v>-1.0364005077808269E-2</v>
      </c>
      <c r="N8">
        <v>280.18378268697955</v>
      </c>
      <c r="O8">
        <f t="shared" ref="O8:O22" si="1">N8-$N$6</f>
        <v>-9.4941158574897031</v>
      </c>
    </row>
    <row r="9" spans="1:15">
      <c r="A9" t="b">
        <f>$G$22&lt;=$G$23</f>
        <v>1</v>
      </c>
      <c r="C9" t="s">
        <v>88</v>
      </c>
      <c r="D9" s="14" t="s">
        <v>93</v>
      </c>
      <c r="E9" s="14">
        <v>0.99</v>
      </c>
      <c r="F9" t="s">
        <v>3</v>
      </c>
      <c r="G9" s="15">
        <v>0</v>
      </c>
      <c r="H9" s="14">
        <v>6.6E-3</v>
      </c>
      <c r="K9" t="s">
        <v>146</v>
      </c>
      <c r="L9" s="1"/>
    </row>
    <row r="10" spans="1:15">
      <c r="A10" t="b">
        <f>$G$27&lt;=$G$24</f>
        <v>1</v>
      </c>
      <c r="C10" t="s">
        <v>48</v>
      </c>
      <c r="D10" s="14">
        <v>5.5</v>
      </c>
      <c r="E10" s="14">
        <v>3.7499999999999999E-2</v>
      </c>
      <c r="F10" t="s">
        <v>91</v>
      </c>
      <c r="G10" s="16">
        <v>0</v>
      </c>
      <c r="H10" s="14">
        <v>0.99</v>
      </c>
      <c r="K10" s="1" t="s">
        <v>145</v>
      </c>
      <c r="L10" s="1"/>
    </row>
    <row r="11" spans="1:15">
      <c r="A11" t="b">
        <f>$G$7&lt;=$G$25</f>
        <v>1</v>
      </c>
      <c r="C11" t="s">
        <v>49</v>
      </c>
      <c r="D11" s="14">
        <f>E12*D10</f>
        <v>5.4450000000000003</v>
      </c>
      <c r="E11" s="14">
        <f>E10</f>
        <v>3.7499999999999999E-2</v>
      </c>
      <c r="F11" t="s">
        <v>92</v>
      </c>
      <c r="G11" s="16">
        <v>0</v>
      </c>
      <c r="H11" s="14">
        <v>0.99</v>
      </c>
      <c r="K11" t="s">
        <v>144</v>
      </c>
      <c r="L11" s="1"/>
    </row>
    <row r="12" spans="1:15">
      <c r="A12" t="b">
        <f>$G$8&lt;=$G$26</f>
        <v>1</v>
      </c>
      <c r="C12" t="s">
        <v>90</v>
      </c>
      <c r="D12" s="14" t="s">
        <v>93</v>
      </c>
      <c r="E12" s="14">
        <v>0.99</v>
      </c>
      <c r="F12" t="s">
        <v>47</v>
      </c>
      <c r="G12" s="14">
        <f>G7*H12</f>
        <v>3.558380000000019E-3</v>
      </c>
      <c r="H12" s="14">
        <f>H7</f>
        <v>2.8000000000000001E-2</v>
      </c>
      <c r="K12" s="1" t="s">
        <v>143</v>
      </c>
      <c r="L12" s="1"/>
    </row>
    <row r="13" spans="1:15">
      <c r="A13">
        <f>{32767,32767,0.000001,0.01,TRUE,FALSE,FALSE,1,1,1,0.0001,TRUE}</f>
        <v>32767</v>
      </c>
      <c r="C13" t="s">
        <v>3</v>
      </c>
      <c r="D13" s="14">
        <v>0</v>
      </c>
      <c r="E13" s="14">
        <v>6.6E-3</v>
      </c>
      <c r="F13" t="s">
        <v>49</v>
      </c>
      <c r="G13" s="14">
        <f>H11*G8</f>
        <v>0.39600000000000002</v>
      </c>
      <c r="H13" s="14">
        <f>H8</f>
        <v>3.6999999999999998E-2</v>
      </c>
      <c r="J13" s="2" t="s">
        <v>149</v>
      </c>
      <c r="K13" s="1" t="s">
        <v>138</v>
      </c>
      <c r="L13" s="11">
        <v>0.31634570150000008</v>
      </c>
      <c r="M13">
        <f t="shared" si="0"/>
        <v>1.2649492219174441E-4</v>
      </c>
      <c r="N13">
        <v>289.793781005997</v>
      </c>
      <c r="O13">
        <f t="shared" si="1"/>
        <v>0.11588246152774673</v>
      </c>
    </row>
    <row r="14" spans="1:15">
      <c r="A14">
        <f>{0,0,1,100,0,FALSE,TRUE,0.075,0,0,TRUE,30}</f>
        <v>0</v>
      </c>
      <c r="C14" s="2" t="s">
        <v>56</v>
      </c>
      <c r="D14" s="13">
        <f>D8+D11+D13</f>
        <v>10.395</v>
      </c>
      <c r="E14" s="13">
        <f>(D7*E7+D10*E10)/D14</f>
        <v>3.4030784030784036E-2</v>
      </c>
      <c r="F14" s="8" t="s">
        <v>44</v>
      </c>
      <c r="G14" s="12" t="s">
        <v>4</v>
      </c>
      <c r="H14" s="12" t="s">
        <v>89</v>
      </c>
      <c r="K14" s="21" t="s">
        <v>139</v>
      </c>
      <c r="L14" s="21">
        <v>0.31654529380000002</v>
      </c>
      <c r="M14" s="22">
        <f t="shared" si="0"/>
        <v>3.260872221916844E-4</v>
      </c>
      <c r="N14" s="22">
        <v>293.24569194320611</v>
      </c>
      <c r="O14" s="22">
        <f t="shared" si="1"/>
        <v>3.5677933987368533</v>
      </c>
    </row>
    <row r="15" spans="1:15">
      <c r="C15" s="2" t="s">
        <v>51</v>
      </c>
      <c r="D15" s="13">
        <v>10.5</v>
      </c>
      <c r="E15" s="13">
        <f>(E16*D16+E17*D17)/D15</f>
        <v>5.0761904761904763E-3</v>
      </c>
      <c r="F15" t="s">
        <v>0</v>
      </c>
      <c r="G15" s="15">
        <v>0</v>
      </c>
      <c r="H15" s="14">
        <v>6.1500000000000001E-3</v>
      </c>
      <c r="K15" s="23" t="s">
        <v>142</v>
      </c>
      <c r="L15" s="21"/>
      <c r="M15" s="22"/>
      <c r="N15" s="22"/>
      <c r="O15" s="22"/>
    </row>
    <row r="16" spans="1:15">
      <c r="C16" t="s">
        <v>43</v>
      </c>
      <c r="D16" s="14">
        <v>10</v>
      </c>
      <c r="E16" s="14">
        <v>5.0000000000000001E-3</v>
      </c>
      <c r="F16" t="s">
        <v>1</v>
      </c>
      <c r="G16" s="15">
        <v>0.29455837999999973</v>
      </c>
      <c r="H16" s="14">
        <v>6.1000000000000004E-3</v>
      </c>
      <c r="K16" s="23" t="s">
        <v>141</v>
      </c>
      <c r="L16" s="21"/>
      <c r="M16" s="22"/>
      <c r="N16" s="22"/>
      <c r="O16" s="22"/>
    </row>
    <row r="17" spans="3:15">
      <c r="C17" t="s">
        <v>2</v>
      </c>
      <c r="D17" s="14">
        <v>0.5</v>
      </c>
      <c r="E17" s="14">
        <v>6.6E-3</v>
      </c>
      <c r="F17" t="s">
        <v>2</v>
      </c>
      <c r="G17" s="15">
        <v>0</v>
      </c>
      <c r="H17" s="14">
        <v>6.6E-3</v>
      </c>
      <c r="K17" s="1" t="s">
        <v>95</v>
      </c>
      <c r="L17" s="1">
        <v>0.31797578299999996</v>
      </c>
      <c r="M17">
        <f t="shared" si="0"/>
        <v>1.7565764221916247E-3</v>
      </c>
      <c r="N17">
        <v>290.95560850496901</v>
      </c>
      <c r="O17">
        <f t="shared" si="1"/>
        <v>1.2777099604997488</v>
      </c>
    </row>
    <row r="18" spans="3:15">
      <c r="C18" s="7"/>
      <c r="D18" s="7"/>
      <c r="E18" s="7"/>
      <c r="F18" s="7"/>
      <c r="G18" s="7"/>
      <c r="H18" s="7"/>
      <c r="K18" s="1" t="s">
        <v>96</v>
      </c>
      <c r="L18" s="1">
        <v>0.31816109799999998</v>
      </c>
      <c r="M18">
        <f t="shared" si="0"/>
        <v>1.9418914221916439E-3</v>
      </c>
      <c r="N18">
        <v>291.14249241857169</v>
      </c>
      <c r="O18">
        <f t="shared" si="1"/>
        <v>1.4645938741024338</v>
      </c>
    </row>
    <row r="19" spans="3:15">
      <c r="C19" t="s">
        <v>80</v>
      </c>
      <c r="D19">
        <f>D6*E6-D15*E15</f>
        <v>0.30045000000000005</v>
      </c>
      <c r="F19" t="s">
        <v>53</v>
      </c>
      <c r="G19">
        <f>10000*(E6-E15)</f>
        <v>286.14285714285717</v>
      </c>
      <c r="H19" t="s">
        <v>8</v>
      </c>
      <c r="J19" s="2" t="s">
        <v>150</v>
      </c>
      <c r="K19" s="1" t="s">
        <v>78</v>
      </c>
      <c r="L19" s="1">
        <v>0.31714871700000002</v>
      </c>
      <c r="M19">
        <f t="shared" si="0"/>
        <v>9.2951042219169278E-4</v>
      </c>
      <c r="N19">
        <v>289.46619625367265</v>
      </c>
      <c r="O19">
        <f t="shared" si="1"/>
        <v>-0.21170229079660885</v>
      </c>
    </row>
    <row r="20" spans="3:15">
      <c r="C20" t="s">
        <v>81</v>
      </c>
      <c r="D20" s="17">
        <f>$D$14*$E$14 + $G$7*$H$7+ $G$8*$H$8 +$G$9 *$H$9 -($D$15*$E$15+$G$15*$H$15+$G$16*$H$16+$G$17*$H$17)</f>
        <v>0.31701157388200008</v>
      </c>
      <c r="F20" t="s">
        <v>52</v>
      </c>
      <c r="G20" s="17">
        <f>10000*(($D$14*$E$14 + $G$7*$H$7+ $G$8*$H$8 +$G$9 *$H$9)/$D$22 -($D$15*$E$15+$G$15*$H$15+$G$16*$H$16+$G$17*$H$17)/$D$23)</f>
        <v>293.67720542357205</v>
      </c>
      <c r="K20" s="1" t="s">
        <v>79</v>
      </c>
      <c r="L20" s="1">
        <v>0.31528968600000007</v>
      </c>
      <c r="M20">
        <f t="shared" si="0"/>
        <v>-9.2952057780826269E-4</v>
      </c>
      <c r="N20">
        <v>289.89116175407827</v>
      </c>
      <c r="O20">
        <f t="shared" si="1"/>
        <v>0.21326320960901057</v>
      </c>
    </row>
    <row r="21" spans="3:15">
      <c r="F21" t="s">
        <v>8</v>
      </c>
      <c r="K21" s="1" t="s">
        <v>97</v>
      </c>
      <c r="L21" s="1">
        <v>0.31590592035000004</v>
      </c>
      <c r="M21">
        <f t="shared" si="0"/>
        <v>-3.1328622780829596E-4</v>
      </c>
      <c r="N21">
        <v>289.74960091386362</v>
      </c>
      <c r="O21">
        <f t="shared" si="1"/>
        <v>7.1702369394358811E-2</v>
      </c>
    </row>
    <row r="22" spans="3:15">
      <c r="C22" t="s">
        <v>6</v>
      </c>
      <c r="D22">
        <f>D8+D11+SUM(G9:G13)</f>
        <v>10.79455838</v>
      </c>
      <c r="F22" t="s">
        <v>13</v>
      </c>
      <c r="G22">
        <f>G9</f>
        <v>0</v>
      </c>
      <c r="K22" s="1" t="s">
        <v>133</v>
      </c>
      <c r="L22">
        <v>0.31637724150000013</v>
      </c>
      <c r="M22">
        <f t="shared" si="0"/>
        <v>1.5803492219179649E-4</v>
      </c>
      <c r="N22">
        <v>288.7751061420696</v>
      </c>
      <c r="O22">
        <f t="shared" si="1"/>
        <v>-0.90279240239965475</v>
      </c>
    </row>
    <row r="23" spans="3:15">
      <c r="C23" t="s">
        <v>7</v>
      </c>
      <c r="D23">
        <f>D15+SUM(G15:G17)</f>
        <v>10.79455838</v>
      </c>
      <c r="F23" t="s">
        <v>72</v>
      </c>
      <c r="G23">
        <f>D26-SUM(G7:G9)</f>
        <v>0</v>
      </c>
      <c r="K23" s="1" t="s">
        <v>151</v>
      </c>
    </row>
    <row r="24" spans="3:15">
      <c r="C24" t="s">
        <v>9</v>
      </c>
      <c r="D24" s="9">
        <f>1*(D6-D14)</f>
        <v>0.10500000000000043</v>
      </c>
      <c r="F24" t="s">
        <v>14</v>
      </c>
      <c r="G24" s="9">
        <f>0.1*D15</f>
        <v>1.05</v>
      </c>
      <c r="K24" s="1" t="s">
        <v>152</v>
      </c>
    </row>
    <row r="25" spans="3:15">
      <c r="C25" t="s">
        <v>10</v>
      </c>
      <c r="D25">
        <f>D24+D6*E6-D15*E15</f>
        <v>0.40545000000000048</v>
      </c>
      <c r="F25" t="s">
        <v>55</v>
      </c>
      <c r="G25" s="9">
        <f>0.06*D7</f>
        <v>0.3</v>
      </c>
      <c r="K25" s="1" t="s">
        <v>153</v>
      </c>
    </row>
    <row r="26" spans="3:15">
      <c r="C26" t="s">
        <v>86</v>
      </c>
      <c r="D26">
        <f>D28*D25</f>
        <v>0.52708500000000069</v>
      </c>
      <c r="F26" t="s">
        <v>15</v>
      </c>
      <c r="G26" s="9">
        <f>0.4*1</f>
        <v>0.4</v>
      </c>
    </row>
    <row r="27" spans="3:15">
      <c r="C27" t="s">
        <v>12</v>
      </c>
      <c r="D27">
        <f>SUM(G7:G9)</f>
        <v>0.52708500000000069</v>
      </c>
      <c r="F27" t="s">
        <v>74</v>
      </c>
      <c r="G27">
        <f>G15+G16</f>
        <v>0.29455837999999973</v>
      </c>
    </row>
    <row r="28" spans="3:15">
      <c r="C28" t="s">
        <v>87</v>
      </c>
      <c r="D28" s="9">
        <v>1.3</v>
      </c>
    </row>
    <row r="35" spans="1:15">
      <c r="A35">
        <f>MAX($D$50)</f>
        <v>0.31154902113740918</v>
      </c>
      <c r="C35" s="8" t="s">
        <v>42</v>
      </c>
      <c r="D35" s="36" t="s">
        <v>4</v>
      </c>
      <c r="E35" s="36" t="s">
        <v>89</v>
      </c>
      <c r="F35" s="8" t="s">
        <v>54</v>
      </c>
      <c r="G35" s="7"/>
      <c r="H35" s="7"/>
      <c r="K35" s="2" t="s">
        <v>84</v>
      </c>
      <c r="L35" s="2" t="s">
        <v>94</v>
      </c>
      <c r="M35" s="2" t="s">
        <v>85</v>
      </c>
      <c r="N35" s="2" t="s">
        <v>41</v>
      </c>
      <c r="O35" s="2" t="s">
        <v>85</v>
      </c>
    </row>
    <row r="36" spans="1:15">
      <c r="A36">
        <f>COUNT($G$37,$G$38,$G$39,$G$49,$G$50,$G$51)</f>
        <v>6</v>
      </c>
      <c r="C36" s="2" t="s">
        <v>50</v>
      </c>
      <c r="D36" s="13">
        <v>10.5</v>
      </c>
      <c r="E36" s="13">
        <f>(E37*D37+E40*D40)/D36</f>
        <v>3.3690476190476194E-2</v>
      </c>
      <c r="F36" s="8" t="s">
        <v>45</v>
      </c>
      <c r="G36" s="36" t="s">
        <v>4</v>
      </c>
      <c r="H36" s="36" t="s">
        <v>89</v>
      </c>
      <c r="K36" s="7" t="s">
        <v>83</v>
      </c>
      <c r="L36" s="26">
        <v>0.31243352247590916</v>
      </c>
      <c r="M36" s="26">
        <v>0</v>
      </c>
      <c r="N36" s="26">
        <v>286.81414377077652</v>
      </c>
      <c r="O36" s="26">
        <v>0</v>
      </c>
    </row>
    <row r="37" spans="1:15">
      <c r="A37" t="b">
        <f>$D$52=$D$53</f>
        <v>1</v>
      </c>
      <c r="C37" t="s">
        <v>46</v>
      </c>
      <c r="D37" s="14">
        <f>5*1</f>
        <v>5</v>
      </c>
      <c r="E37" s="14">
        <f>1*0.0295</f>
        <v>2.9499999999999998E-2</v>
      </c>
      <c r="F37" t="s">
        <v>46</v>
      </c>
      <c r="G37" s="15">
        <v>7.4376500000000553E-2</v>
      </c>
      <c r="H37" s="14">
        <f>0.028*1</f>
        <v>2.8000000000000001E-2</v>
      </c>
      <c r="J37" s="2" t="s">
        <v>140</v>
      </c>
      <c r="K37" t="s">
        <v>148</v>
      </c>
      <c r="L37" s="27">
        <v>0.31279692763828404</v>
      </c>
      <c r="M37" s="27">
        <f>L37-$L$36</f>
        <v>3.6340516237487464E-4</v>
      </c>
      <c r="N37" s="27">
        <v>287.14602548888098</v>
      </c>
      <c r="O37" s="27">
        <f>N37-$N$36</f>
        <v>0.3318817181044551</v>
      </c>
    </row>
    <row r="38" spans="1:15">
      <c r="A38" t="b">
        <f>$D$57&lt;=$D$56</f>
        <v>1</v>
      </c>
      <c r="C38" t="s">
        <v>47</v>
      </c>
      <c r="D38" s="14">
        <f>E39*D37</f>
        <v>4.95</v>
      </c>
      <c r="E38" s="14">
        <f>E37</f>
        <v>2.9499999999999998E-2</v>
      </c>
      <c r="F38" t="s">
        <v>48</v>
      </c>
      <c r="G38" s="15">
        <v>0.4</v>
      </c>
      <c r="H38" s="14">
        <f>0.037*1</f>
        <v>3.6999999999999998E-2</v>
      </c>
      <c r="K38" s="1" t="s">
        <v>147</v>
      </c>
      <c r="L38" s="11">
        <v>0.31238099772041916</v>
      </c>
      <c r="M38" s="27">
        <f>L38-$L$36</f>
        <v>-5.2524755490002129E-5</v>
      </c>
      <c r="N38" s="11">
        <v>286.7775816559618</v>
      </c>
      <c r="O38" s="27">
        <f>N38-$N$36</f>
        <v>-3.6562114814728375E-2</v>
      </c>
    </row>
    <row r="39" spans="1:15">
      <c r="A39" t="b">
        <f>$G$60&lt;=$G$61</f>
        <v>1</v>
      </c>
      <c r="C39" t="s">
        <v>88</v>
      </c>
      <c r="D39" s="14" t="s">
        <v>93</v>
      </c>
      <c r="E39" s="14">
        <f>0.99</f>
        <v>0.99</v>
      </c>
      <c r="F39" t="s">
        <v>3</v>
      </c>
      <c r="G39" s="15">
        <v>0</v>
      </c>
      <c r="H39" s="14">
        <f>0.0066*1</f>
        <v>6.6E-3</v>
      </c>
      <c r="K39" t="s">
        <v>146</v>
      </c>
      <c r="L39" s="28">
        <v>0.31251466959478408</v>
      </c>
      <c r="M39" s="27">
        <f>L39-$L$36</f>
        <v>8.1147118874913549E-5</v>
      </c>
      <c r="N39" s="27">
        <v>286.94501825982525</v>
      </c>
      <c r="O39" s="27">
        <f>N39-$N$36</f>
        <v>0.1308744890487219</v>
      </c>
    </row>
    <row r="40" spans="1:15">
      <c r="A40" t="b">
        <f>$G$63&lt;=$G$37</f>
        <v>0</v>
      </c>
      <c r="C40" t="s">
        <v>48</v>
      </c>
      <c r="D40" s="14">
        <f>5.5*1</f>
        <v>5.5</v>
      </c>
      <c r="E40" s="14">
        <f>1*0.0375</f>
        <v>3.7499999999999999E-2</v>
      </c>
      <c r="F40" t="s">
        <v>91</v>
      </c>
      <c r="G40" s="16" t="s">
        <v>93</v>
      </c>
      <c r="H40" s="14">
        <f>0.99*1</f>
        <v>0.99</v>
      </c>
      <c r="K40" s="1" t="s">
        <v>145</v>
      </c>
      <c r="L40" s="28">
        <v>0.31242807620036012</v>
      </c>
      <c r="M40" s="27">
        <f>L40-$L$36</f>
        <v>-5.4462755490480852E-6</v>
      </c>
      <c r="N40" s="27">
        <v>286.80931927862156</v>
      </c>
      <c r="O40" s="27">
        <f>N40-$N$36</f>
        <v>-4.8244921549667197E-3</v>
      </c>
    </row>
    <row r="41" spans="1:15">
      <c r="A41" t="b">
        <f>$G$64&lt;=$G$38</f>
        <v>1</v>
      </c>
      <c r="C41" t="s">
        <v>49</v>
      </c>
      <c r="D41" s="14">
        <f>E42*D40</f>
        <v>5.4450000000000003</v>
      </c>
      <c r="E41" s="14">
        <f>E40</f>
        <v>3.7499999999999999E-2</v>
      </c>
      <c r="F41" t="s">
        <v>92</v>
      </c>
      <c r="G41" s="16" t="s">
        <v>93</v>
      </c>
      <c r="H41" s="14">
        <f>0.99</f>
        <v>0.99</v>
      </c>
      <c r="K41" t="s">
        <v>144</v>
      </c>
      <c r="L41" s="28">
        <v>0.31271384251940898</v>
      </c>
      <c r="M41" s="27">
        <f>L41-$L$36</f>
        <v>2.8032004349981543E-4</v>
      </c>
      <c r="N41" s="11">
        <v>287.00344957398693</v>
      </c>
      <c r="O41" s="27">
        <f>N41-$N$36</f>
        <v>0.18930580321040225</v>
      </c>
    </row>
    <row r="42" spans="1:15">
      <c r="A42" t="b">
        <f>$G$65&lt;=$G$62</f>
        <v>1</v>
      </c>
      <c r="C42" t="s">
        <v>90</v>
      </c>
      <c r="D42" s="14" t="s">
        <v>93</v>
      </c>
      <c r="E42" s="14">
        <f>0.99</f>
        <v>0.99</v>
      </c>
      <c r="F42" t="s">
        <v>154</v>
      </c>
      <c r="G42" s="16" t="s">
        <v>93</v>
      </c>
      <c r="H42" s="14">
        <f>0.8*1</f>
        <v>0.8</v>
      </c>
      <c r="K42" s="1" t="s">
        <v>143</v>
      </c>
      <c r="L42" s="28" t="s">
        <v>93</v>
      </c>
      <c r="M42" s="27"/>
      <c r="N42" s="27" t="s">
        <v>93</v>
      </c>
      <c r="O42" s="27"/>
    </row>
    <row r="43" spans="1:15">
      <c r="A43">
        <f>{32767,32767,0.000001,0.01,TRUE,FALSE,FALSE,1,1,1,0.0001,TRUE}</f>
        <v>32767</v>
      </c>
      <c r="C43" t="s">
        <v>3</v>
      </c>
      <c r="D43" s="14">
        <v>0</v>
      </c>
      <c r="E43" s="14">
        <v>6.6E-3</v>
      </c>
      <c r="F43" t="s">
        <v>155</v>
      </c>
      <c r="G43" s="16" t="s">
        <v>93</v>
      </c>
      <c r="H43" s="14">
        <f>0.8*1</f>
        <v>0.8</v>
      </c>
      <c r="J43" s="2" t="s">
        <v>149</v>
      </c>
      <c r="K43" s="1" t="s">
        <v>138</v>
      </c>
      <c r="L43" s="29">
        <v>0.31244946977878918</v>
      </c>
      <c r="M43" s="27">
        <f>L43-$L$36</f>
        <v>1.5947302880015002E-5</v>
      </c>
      <c r="N43" s="27">
        <v>286.8386894294145</v>
      </c>
      <c r="O43" s="27">
        <f>N43-$N$36</f>
        <v>2.4545658637975976E-2</v>
      </c>
    </row>
    <row r="44" spans="1:15">
      <c r="A44">
        <f>{0,0,1,100,0,FALSE,TRUE,0.075,0,0,TRUE,30}</f>
        <v>0</v>
      </c>
      <c r="C44" s="2" t="s">
        <v>56</v>
      </c>
      <c r="D44" s="13">
        <f>D38+D41+D43</f>
        <v>10.395</v>
      </c>
      <c r="E44" s="13">
        <f>(D37*E37+D40*E40)/D44</f>
        <v>3.4030784030784036E-2</v>
      </c>
      <c r="F44" t="s">
        <v>134</v>
      </c>
      <c r="G44" s="16" t="s">
        <v>93</v>
      </c>
      <c r="H44" s="14">
        <f>0.97*1</f>
        <v>0.97</v>
      </c>
      <c r="K44" s="23" t="s">
        <v>139</v>
      </c>
      <c r="L44" s="30">
        <v>0.31243343663350509</v>
      </c>
      <c r="M44" s="27">
        <f>L44-$L$36</f>
        <v>-8.5842404073943612E-8</v>
      </c>
      <c r="N44" s="31">
        <v>286.82397048499132</v>
      </c>
      <c r="O44" s="27">
        <f>N44-$N$36</f>
        <v>9.826714214796084E-3</v>
      </c>
    </row>
    <row r="45" spans="1:15">
      <c r="C45" s="2" t="s">
        <v>51</v>
      </c>
      <c r="D45" s="13">
        <v>10.5</v>
      </c>
      <c r="E45" s="13">
        <f>(E46*D46+E47*D47)/D45</f>
        <v>5.0761904761904763E-3</v>
      </c>
      <c r="F45" t="s">
        <v>135</v>
      </c>
      <c r="G45" s="16" t="s">
        <v>93</v>
      </c>
      <c r="H45" s="14">
        <f>0.95*1</f>
        <v>0.95</v>
      </c>
      <c r="K45" s="23" t="s">
        <v>142</v>
      </c>
      <c r="L45" s="30">
        <v>0.31243612007590915</v>
      </c>
      <c r="M45" s="27">
        <f>L45-$L$36</f>
        <v>2.5975999999872101E-6</v>
      </c>
      <c r="N45" s="31">
        <v>286.81673690094425</v>
      </c>
      <c r="O45" s="27">
        <f>N45-$N$36</f>
        <v>2.5931301677246665E-3</v>
      </c>
    </row>
    <row r="46" spans="1:15">
      <c r="C46" t="s">
        <v>43</v>
      </c>
      <c r="D46" s="14">
        <f>10*1</f>
        <v>10</v>
      </c>
      <c r="E46" s="14">
        <f>1*0.005</f>
        <v>5.0000000000000001E-3</v>
      </c>
      <c r="F46" t="s">
        <v>47</v>
      </c>
      <c r="G46" s="14">
        <f>G37*H40*H44</f>
        <v>7.142375295000053E-2</v>
      </c>
      <c r="H46" s="14">
        <f>H37</f>
        <v>2.8000000000000001E-2</v>
      </c>
      <c r="K46" s="23" t="s">
        <v>141</v>
      </c>
      <c r="L46" s="30" t="s">
        <v>93</v>
      </c>
      <c r="M46" s="31"/>
      <c r="N46" s="31" t="s">
        <v>93</v>
      </c>
      <c r="O46" s="31"/>
    </row>
    <row r="47" spans="1:15">
      <c r="C47" t="s">
        <v>2</v>
      </c>
      <c r="D47" s="14">
        <f>0.5*1</f>
        <v>0.5</v>
      </c>
      <c r="E47" s="14">
        <f>1*0.0066</f>
        <v>6.6E-3</v>
      </c>
      <c r="F47" t="s">
        <v>49</v>
      </c>
      <c r="G47" s="14">
        <f>H41*G38*H45</f>
        <v>0.37619999999999998</v>
      </c>
      <c r="H47" s="14">
        <f>H38</f>
        <v>3.6999999999999998E-2</v>
      </c>
      <c r="K47" s="1" t="s">
        <v>179</v>
      </c>
      <c r="L47" s="28">
        <v>0.31243415116540418</v>
      </c>
      <c r="M47" s="27">
        <f t="shared" ref="M47:M52" si="2">L47-$L$36</f>
        <v>6.2868949501915239E-7</v>
      </c>
      <c r="N47" s="27">
        <v>286.81793420208521</v>
      </c>
      <c r="O47" s="27">
        <f t="shared" ref="O47:O52" si="3">N47-$N$36</f>
        <v>3.7904313086869479E-3</v>
      </c>
    </row>
    <row r="48" spans="1:15">
      <c r="C48" s="7"/>
      <c r="D48" s="7"/>
      <c r="E48" s="7"/>
      <c r="F48" s="8" t="s">
        <v>44</v>
      </c>
      <c r="G48" s="36" t="s">
        <v>4</v>
      </c>
      <c r="H48" s="36" t="s">
        <v>89</v>
      </c>
      <c r="K48" s="1" t="s">
        <v>180</v>
      </c>
      <c r="L48" s="28">
        <v>0.3124354604759092</v>
      </c>
      <c r="M48" s="27">
        <f t="shared" si="2"/>
        <v>1.9380000000346342E-6</v>
      </c>
      <c r="N48" s="27">
        <v>286.82582843758513</v>
      </c>
      <c r="O48" s="27">
        <f t="shared" si="3"/>
        <v>1.1684666808605471E-2</v>
      </c>
    </row>
    <row r="49" spans="3:15">
      <c r="C49" t="s">
        <v>80</v>
      </c>
      <c r="D49">
        <f>D36*E36-D45*E45</f>
        <v>0.30045000000000005</v>
      </c>
      <c r="F49" t="s">
        <v>156</v>
      </c>
      <c r="G49" s="15">
        <v>0</v>
      </c>
      <c r="H49" s="14">
        <f>0.00515*1</f>
        <v>5.1500000000000001E-3</v>
      </c>
      <c r="J49" s="2" t="s">
        <v>150</v>
      </c>
      <c r="K49" s="1" t="s">
        <v>78</v>
      </c>
      <c r="L49" s="28">
        <v>0.31331802381440915</v>
      </c>
      <c r="M49" s="27">
        <f t="shared" si="2"/>
        <v>8.845013384999878E-4</v>
      </c>
      <c r="N49" s="27">
        <v>286.29582887339865</v>
      </c>
      <c r="O49" s="27">
        <f t="shared" si="3"/>
        <v>-0.51831489737787706</v>
      </c>
    </row>
    <row r="50" spans="3:15">
      <c r="C50" t="s">
        <v>81</v>
      </c>
      <c r="D50" s="17">
        <f>$D$44*$E$44 + $G$37*$H$37*$H$42*$H$44+ $G$38*$H$38*$H$43*$H$45 +$G$39 *$H$39 -($D$45*$E$45+$G$49*$H$49+$G$50*$H$50+$G$51*$H$51)</f>
        <v>0.31154902113740918</v>
      </c>
      <c r="F50" t="s">
        <v>157</v>
      </c>
      <c r="G50" s="15">
        <v>0.34608459893939408</v>
      </c>
      <c r="H50" s="14">
        <f>0.0051*1</f>
        <v>5.1000000000000004E-3</v>
      </c>
      <c r="K50" s="1" t="s">
        <v>79</v>
      </c>
      <c r="L50" s="28">
        <v>0.31154902113740918</v>
      </c>
      <c r="M50" s="27">
        <f t="shared" si="2"/>
        <v>-8.845013384999878E-4</v>
      </c>
      <c r="N50" s="27">
        <v>287.33729790508005</v>
      </c>
      <c r="O50" s="27">
        <f t="shared" si="3"/>
        <v>0.52315413430352464</v>
      </c>
    </row>
    <row r="51" spans="3:15">
      <c r="F51" t="s">
        <v>2</v>
      </c>
      <c r="G51" s="15">
        <v>0</v>
      </c>
      <c r="H51" s="14">
        <f>0.0066*1</f>
        <v>6.6E-3</v>
      </c>
      <c r="K51" s="1" t="s">
        <v>97</v>
      </c>
      <c r="L51" s="28">
        <v>0.31220446182590916</v>
      </c>
      <c r="M51" s="27">
        <f t="shared" si="2"/>
        <v>-2.2906065000000142E-4</v>
      </c>
      <c r="N51" s="27">
        <v>286.94915873142031</v>
      </c>
      <c r="O51" s="27">
        <f t="shared" si="3"/>
        <v>0.13501496064378671</v>
      </c>
    </row>
    <row r="52" spans="3:15">
      <c r="C52" t="s">
        <v>6</v>
      </c>
      <c r="D52">
        <f>D38+D41+G46 + G47+G39</f>
        <v>10.842623752950001</v>
      </c>
      <c r="F52" t="s">
        <v>136</v>
      </c>
      <c r="G52" s="16" t="s">
        <v>93</v>
      </c>
      <c r="H52" s="14">
        <v>0.98</v>
      </c>
      <c r="K52" s="1" t="s">
        <v>133</v>
      </c>
      <c r="L52" s="27">
        <v>0.31269328247590922</v>
      </c>
      <c r="M52" s="27">
        <f t="shared" si="2"/>
        <v>2.5976000000005328E-4</v>
      </c>
      <c r="N52" s="27">
        <v>287.07347545388882</v>
      </c>
      <c r="O52" s="27">
        <f t="shared" si="3"/>
        <v>0.25933168311229338</v>
      </c>
    </row>
    <row r="53" spans="3:15">
      <c r="C53" t="s">
        <v>7</v>
      </c>
      <c r="D53">
        <f>D45+G54+G55+G51</f>
        <v>10.842623752950001</v>
      </c>
      <c r="F53" t="s">
        <v>137</v>
      </c>
      <c r="G53" s="16" t="s">
        <v>93</v>
      </c>
      <c r="H53" s="14">
        <f>0.99*1</f>
        <v>0.99</v>
      </c>
      <c r="K53" s="1" t="s">
        <v>174</v>
      </c>
      <c r="L53" s="27">
        <v>0.31222026113740914</v>
      </c>
      <c r="M53" s="27">
        <f>L53-$L$36</f>
        <v>-2.1326133850002593E-4</v>
      </c>
      <c r="N53" s="27">
        <v>286.93983571624773</v>
      </c>
      <c r="O53" s="27">
        <f>N53-$N$36</f>
        <v>0.12569194547120333</v>
      </c>
    </row>
    <row r="54" spans="3:15">
      <c r="C54" t="s">
        <v>9</v>
      </c>
      <c r="D54" s="9">
        <f>1*(D36-D44)</f>
        <v>0.10500000000000043</v>
      </c>
      <c r="F54" t="s">
        <v>158</v>
      </c>
      <c r="G54" s="16">
        <f>G49*H52</f>
        <v>0</v>
      </c>
      <c r="H54" s="14">
        <v>5.1500000000000001E-3</v>
      </c>
      <c r="K54" s="1" t="s">
        <v>175</v>
      </c>
      <c r="L54" s="27">
        <v>0.3115025224759092</v>
      </c>
      <c r="M54" s="27">
        <f>L54-$L$36</f>
        <v>-9.3099999999995964E-4</v>
      </c>
      <c r="N54" s="27">
        <v>286.95047390448423</v>
      </c>
      <c r="O54" s="27">
        <f>N54-$N$36</f>
        <v>0.13633013370770186</v>
      </c>
    </row>
    <row r="55" spans="3:15">
      <c r="C55" t="s">
        <v>10</v>
      </c>
      <c r="D55">
        <f>D54+D36*E36-D45*E45</f>
        <v>0.40545000000000048</v>
      </c>
      <c r="F55" t="s">
        <v>159</v>
      </c>
      <c r="G55" s="16">
        <f>G50*H53</f>
        <v>0.34262375295000014</v>
      </c>
      <c r="H55" s="14">
        <v>5.1000000000000004E-3</v>
      </c>
      <c r="K55" s="1" t="s">
        <v>176</v>
      </c>
      <c r="L55" s="27">
        <v>0.31239278799599496</v>
      </c>
      <c r="M55" s="27">
        <f>L55-$L$36</f>
        <v>-4.0734479914206201E-5</v>
      </c>
      <c r="N55" s="27">
        <v>286.77674949603306</v>
      </c>
      <c r="O55" s="27">
        <f>N55-$N$36</f>
        <v>-3.7394274743462574E-2</v>
      </c>
    </row>
    <row r="56" spans="3:15">
      <c r="C56" t="s">
        <v>86</v>
      </c>
      <c r="D56">
        <f>D58*D55</f>
        <v>0.47437650000000064</v>
      </c>
      <c r="F56" s="7"/>
      <c r="G56" s="7"/>
      <c r="H56" s="7"/>
      <c r="K56" s="1" t="s">
        <v>177</v>
      </c>
      <c r="L56" s="27">
        <v>0.31215739218790911</v>
      </c>
      <c r="M56" s="27">
        <f>L56-$L$36</f>
        <v>-2.7613028800005379E-4</v>
      </c>
      <c r="N56" s="27">
        <v>286.56065601602376</v>
      </c>
      <c r="O56" s="27">
        <f>N56-$N$36</f>
        <v>-0.25348775475276852</v>
      </c>
    </row>
    <row r="57" spans="3:15">
      <c r="C57" t="s">
        <v>12</v>
      </c>
      <c r="D57">
        <f>SUM(G37:G39)</f>
        <v>0.47437650000000059</v>
      </c>
      <c r="F57" t="s">
        <v>53</v>
      </c>
      <c r="G57">
        <f>10000*(E36-E45)</f>
        <v>286.14285714285717</v>
      </c>
      <c r="H57" t="s">
        <v>8</v>
      </c>
      <c r="K57" s="1" t="s">
        <v>178</v>
      </c>
      <c r="L57" s="27">
        <v>0.31130872247590918</v>
      </c>
      <c r="M57" s="27">
        <f>L57-$L$36</f>
        <v>-1.1247999999999814E-3</v>
      </c>
      <c r="N57" s="27">
        <v>285.78157675825878</v>
      </c>
      <c r="O57" s="27">
        <f>N57-$N$36</f>
        <v>-1.0325670125177453</v>
      </c>
    </row>
    <row r="58" spans="3:15">
      <c r="C58" t="s">
        <v>87</v>
      </c>
      <c r="D58" s="9">
        <f>1.3*0.9</f>
        <v>1.1700000000000002</v>
      </c>
      <c r="F58" t="s">
        <v>52</v>
      </c>
      <c r="G58" s="17">
        <f>10000*(($D$44*$E$44 + $G$37*$H$37*$H$42*$H$44+ $G$38*$H$38*$H$43*$H$45 +$G$39 *$H$39)/$D$52 -($D$45*$E$45+$G$49*$H$49+$G$50*$H$50+$G$51*$H$51)/$D$53)</f>
        <v>287.33729790508005</v>
      </c>
    </row>
    <row r="59" spans="3:15">
      <c r="F59" t="s">
        <v>8</v>
      </c>
    </row>
    <row r="60" spans="3:15">
      <c r="F60" t="s">
        <v>13</v>
      </c>
      <c r="G60">
        <f>G39</f>
        <v>0</v>
      </c>
    </row>
    <row r="61" spans="3:15">
      <c r="F61" t="s">
        <v>72</v>
      </c>
      <c r="G61">
        <f>D56-SUM(G37:G39)</f>
        <v>0</v>
      </c>
    </row>
    <row r="62" spans="3:15">
      <c r="F62" t="s">
        <v>14</v>
      </c>
      <c r="G62" s="9">
        <f>0.1*D45</f>
        <v>1.05</v>
      </c>
    </row>
    <row r="63" spans="3:15">
      <c r="F63" t="s">
        <v>55</v>
      </c>
      <c r="G63" s="9">
        <f>0.06*D37*1</f>
        <v>0.3</v>
      </c>
    </row>
    <row r="64" spans="3:15">
      <c r="F64" t="s">
        <v>15</v>
      </c>
      <c r="G64" s="9">
        <f>0.4*1</f>
        <v>0.4</v>
      </c>
    </row>
    <row r="65" spans="6:7">
      <c r="F65" t="s">
        <v>74</v>
      </c>
      <c r="G65">
        <f>G49+G50</f>
        <v>0.34608459893939408</v>
      </c>
    </row>
  </sheetData>
  <scenarios current="0">
    <scenario name="baseline" count="6" user="Jonathan Sandberg" comment="Created by Jonathan Sandberg on 7/31/2015">
      <inputCells r="G7" val="0.126500000000001"/>
      <inputCells r="G8" val="0.4"/>
      <inputCells r="G9" val="0"/>
      <inputCells r="G15" val="0"/>
      <inputCells r="G16" val="0.416235"/>
      <inputCells r="G17" val="0"/>
    </scenario>
  </scenario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2"/>
  <sheetViews>
    <sheetView tabSelected="1" zoomScale="150" zoomScaleNormal="150" zoomScalePageLayoutView="150" workbookViewId="0">
      <selection activeCell="S17" sqref="S17"/>
    </sheetView>
  </sheetViews>
  <sheetFormatPr baseColWidth="10" defaultRowHeight="15" x14ac:dyDescent="0"/>
  <cols>
    <col min="1" max="1" width="3.6640625" customWidth="1"/>
    <col min="2" max="2" width="21.5" customWidth="1"/>
    <col min="3" max="4" width="12.83203125" customWidth="1"/>
    <col min="5" max="5" width="2.33203125" customWidth="1"/>
    <col min="6" max="6" width="22.83203125" customWidth="1"/>
    <col min="7" max="8" width="12.83203125" customWidth="1"/>
    <col min="9" max="9" width="3.1640625" customWidth="1"/>
    <col min="10" max="10" width="21.5" customWidth="1"/>
    <col min="11" max="11" width="12.5" customWidth="1"/>
    <col min="12" max="12" width="11.83203125" customWidth="1"/>
    <col min="13" max="13" width="1.83203125" customWidth="1"/>
    <col min="14" max="14" width="22.33203125" customWidth="1"/>
    <col min="17" max="17" width="3.33203125" customWidth="1"/>
    <col min="18" max="18" width="21.33203125" customWidth="1"/>
  </cols>
  <sheetData>
    <row r="2" spans="2:20">
      <c r="B2" s="7" t="s">
        <v>186</v>
      </c>
      <c r="C2" s="7"/>
      <c r="D2" s="7"/>
      <c r="E2" s="35"/>
      <c r="F2" s="8" t="s">
        <v>181</v>
      </c>
      <c r="G2" s="8"/>
      <c r="H2" s="8"/>
      <c r="I2" s="2"/>
      <c r="J2" s="8" t="s">
        <v>181</v>
      </c>
      <c r="K2" s="8"/>
      <c r="L2" s="8"/>
      <c r="M2" s="37"/>
      <c r="N2" s="8" t="s">
        <v>182</v>
      </c>
      <c r="O2" s="8"/>
      <c r="P2" s="8"/>
      <c r="Q2" s="2"/>
      <c r="R2" s="8" t="s">
        <v>182</v>
      </c>
      <c r="S2" s="7"/>
      <c r="T2" s="7"/>
    </row>
    <row r="3" spans="2:20">
      <c r="B3" s="8" t="s">
        <v>211</v>
      </c>
      <c r="C3" s="12" t="s">
        <v>4</v>
      </c>
      <c r="D3" s="12" t="s">
        <v>89</v>
      </c>
      <c r="E3" s="32"/>
      <c r="F3" s="8" t="s">
        <v>54</v>
      </c>
      <c r="G3" s="7"/>
      <c r="H3" s="7"/>
      <c r="J3" s="8" t="s">
        <v>212</v>
      </c>
      <c r="K3" s="36" t="s">
        <v>4</v>
      </c>
      <c r="L3" s="36" t="s">
        <v>89</v>
      </c>
      <c r="M3" s="32"/>
      <c r="N3" s="8" t="s">
        <v>54</v>
      </c>
      <c r="O3" s="7"/>
      <c r="P3" s="7"/>
      <c r="R3" s="8" t="s">
        <v>212</v>
      </c>
      <c r="S3" s="36" t="s">
        <v>4</v>
      </c>
      <c r="T3" s="36" t="s">
        <v>89</v>
      </c>
    </row>
    <row r="4" spans="2:20">
      <c r="B4" s="2" t="s">
        <v>50</v>
      </c>
      <c r="C4" s="13">
        <v>10.5</v>
      </c>
      <c r="D4" s="13">
        <f>(D5*C5+D8*C8+C11*D11)/C4</f>
        <v>3.3690476190476194E-2</v>
      </c>
      <c r="E4" s="33"/>
      <c r="F4" s="8" t="s">
        <v>45</v>
      </c>
      <c r="G4" s="36" t="s">
        <v>4</v>
      </c>
      <c r="H4" s="36" t="s">
        <v>89</v>
      </c>
      <c r="J4" s="2" t="s">
        <v>50</v>
      </c>
      <c r="K4" s="13">
        <f>K5+K8+K11</f>
        <v>10.395</v>
      </c>
      <c r="L4" s="13">
        <f>(L5*K5+L8*K8+K11*L11)/K4</f>
        <v>3.3690476190476187E-2</v>
      </c>
      <c r="M4" s="33"/>
      <c r="N4" s="8" t="s">
        <v>45</v>
      </c>
      <c r="O4" s="36" t="s">
        <v>4</v>
      </c>
      <c r="P4" s="36" t="s">
        <v>89</v>
      </c>
      <c r="R4" s="2" t="s">
        <v>50</v>
      </c>
      <c r="S4" s="13">
        <f>S5+S8+S11</f>
        <v>10.795684271656175</v>
      </c>
      <c r="T4" s="13">
        <f>(T5*S5+T8*S8+S11*T11)/S4</f>
        <v>3.370220345727528E-2</v>
      </c>
    </row>
    <row r="5" spans="2:20">
      <c r="B5" t="s">
        <v>46</v>
      </c>
      <c r="C5" s="14">
        <f>5*1</f>
        <v>5</v>
      </c>
      <c r="D5" s="14">
        <f>1*0.0295</f>
        <v>2.9499999999999998E-2</v>
      </c>
      <c r="E5" s="32"/>
      <c r="F5" t="s">
        <v>46</v>
      </c>
      <c r="G5" s="15">
        <v>0.19517608280869547</v>
      </c>
      <c r="H5" s="14">
        <f>0.028*1</f>
        <v>2.8000000000000001E-2</v>
      </c>
      <c r="J5" t="s">
        <v>46</v>
      </c>
      <c r="K5" s="14">
        <f>C6</f>
        <v>4.95</v>
      </c>
      <c r="L5" s="14">
        <f>1*0.0295</f>
        <v>2.9499999999999998E-2</v>
      </c>
      <c r="M5" s="32"/>
      <c r="N5" t="s">
        <v>46</v>
      </c>
      <c r="O5" s="15">
        <v>3.5946860241840434E-2</v>
      </c>
      <c r="P5" s="14">
        <f>0.028*1</f>
        <v>2.8000000000000001E-2</v>
      </c>
      <c r="R5" t="s">
        <v>46</v>
      </c>
      <c r="S5" s="14">
        <f>K6</f>
        <v>5.0898208003244347</v>
      </c>
      <c r="T5" s="14">
        <f>1*L6</f>
        <v>2.9444743437601961E-2</v>
      </c>
    </row>
    <row r="6" spans="2:20">
      <c r="B6" t="s">
        <v>47</v>
      </c>
      <c r="C6" s="14">
        <f>D7*C5</f>
        <v>4.95</v>
      </c>
      <c r="D6" s="14">
        <f>D5</f>
        <v>2.9499999999999998E-2</v>
      </c>
      <c r="E6" s="32"/>
      <c r="F6" t="s">
        <v>48</v>
      </c>
      <c r="G6" s="15">
        <v>0.33190891719130522</v>
      </c>
      <c r="H6" s="14">
        <f>0.037*1</f>
        <v>3.6999999999999998E-2</v>
      </c>
      <c r="J6" t="s">
        <v>47</v>
      </c>
      <c r="K6" s="14">
        <f>K5*L7+G14</f>
        <v>5.0898208003244347</v>
      </c>
      <c r="L6" s="14">
        <f>(K5*L5+G14*H14)/(K5+G14)</f>
        <v>2.9444743437601961E-2</v>
      </c>
      <c r="M6" s="32"/>
      <c r="N6" t="s">
        <v>48</v>
      </c>
      <c r="O6" s="15">
        <v>7.494228041344031E-2</v>
      </c>
      <c r="P6" s="14">
        <f>0.037*1</f>
        <v>3.6999999999999998E-2</v>
      </c>
      <c r="R6" t="s">
        <v>47</v>
      </c>
      <c r="S6" s="14">
        <f>S5*T7+O14</f>
        <v>5.0737910467557761</v>
      </c>
      <c r="T6" s="14">
        <f>(S5*T5+O14*P14)/(S5+O14)</f>
        <v>2.943491338387199E-2</v>
      </c>
    </row>
    <row r="7" spans="2:20">
      <c r="B7" t="s">
        <v>88</v>
      </c>
      <c r="C7" s="14" t="s">
        <v>93</v>
      </c>
      <c r="D7" s="14">
        <f>0.99</f>
        <v>0.99</v>
      </c>
      <c r="E7" s="32"/>
      <c r="F7" t="s">
        <v>3</v>
      </c>
      <c r="G7" s="15">
        <v>0</v>
      </c>
      <c r="H7" s="14">
        <f>0.0066*1</f>
        <v>6.6E-3</v>
      </c>
      <c r="J7" t="s">
        <v>88</v>
      </c>
      <c r="K7" s="14" t="s">
        <v>93</v>
      </c>
      <c r="L7" s="14">
        <f>D7</f>
        <v>0.99</v>
      </c>
      <c r="M7" s="32"/>
      <c r="N7" t="s">
        <v>3</v>
      </c>
      <c r="O7" s="15">
        <v>0</v>
      </c>
      <c r="P7" s="14">
        <f>0.0066*1</f>
        <v>6.6E-3</v>
      </c>
      <c r="R7" t="s">
        <v>88</v>
      </c>
      <c r="S7" s="14" t="s">
        <v>93</v>
      </c>
      <c r="T7" s="14">
        <f>0.99</f>
        <v>0.99</v>
      </c>
    </row>
    <row r="8" spans="2:20">
      <c r="B8" t="s">
        <v>48</v>
      </c>
      <c r="C8" s="14">
        <f>5.5*1</f>
        <v>5.5</v>
      </c>
      <c r="D8" s="14">
        <f>1*0.0375</f>
        <v>3.7499999999999999E-2</v>
      </c>
      <c r="E8" s="32"/>
      <c r="F8" t="s">
        <v>91</v>
      </c>
      <c r="G8" s="16" t="s">
        <v>93</v>
      </c>
      <c r="H8" s="14">
        <v>1</v>
      </c>
      <c r="J8" t="s">
        <v>48</v>
      </c>
      <c r="K8" s="14">
        <f>C9</f>
        <v>5.4450000000000003</v>
      </c>
      <c r="L8" s="14">
        <f>1*0.0375</f>
        <v>3.7499999999999999E-2</v>
      </c>
      <c r="M8" s="32"/>
      <c r="N8" t="s">
        <v>91</v>
      </c>
      <c r="O8" s="16" t="s">
        <v>93</v>
      </c>
      <c r="P8" s="14">
        <v>1</v>
      </c>
      <c r="R8" t="s">
        <v>48</v>
      </c>
      <c r="S8" s="14">
        <f>K9</f>
        <v>5.7058634713317398</v>
      </c>
      <c r="T8" s="14">
        <f>1*0.0375</f>
        <v>3.7499999999999999E-2</v>
      </c>
    </row>
    <row r="9" spans="2:20">
      <c r="B9" t="s">
        <v>49</v>
      </c>
      <c r="C9" s="14">
        <f>D10*C8</f>
        <v>5.4450000000000003</v>
      </c>
      <c r="D9" s="14">
        <f>D8</f>
        <v>3.7499999999999999E-2</v>
      </c>
      <c r="E9" s="32"/>
      <c r="F9" t="s">
        <v>92</v>
      </c>
      <c r="G9" s="16" t="s">
        <v>93</v>
      </c>
      <c r="H9" s="14">
        <v>1</v>
      </c>
      <c r="J9" t="s">
        <v>49</v>
      </c>
      <c r="K9" s="14">
        <f>K8 * L10+G15</f>
        <v>5.7058634713317398</v>
      </c>
      <c r="L9" s="14">
        <f>(K8*L8+G15*H15)/(K8+G15)</f>
        <v>3.7472630528451185E-2</v>
      </c>
      <c r="M9" s="32"/>
      <c r="N9" t="s">
        <v>92</v>
      </c>
      <c r="O9" s="16" t="s">
        <v>93</v>
      </c>
      <c r="P9" s="14">
        <v>1</v>
      </c>
      <c r="R9" t="s">
        <v>49</v>
      </c>
      <c r="S9" s="14">
        <f>S8 * T10+O15</f>
        <v>5.720000003011191</v>
      </c>
      <c r="T9" s="14">
        <f>(S8*T8+O15*P15)/(S8+O15)</f>
        <v>3.7493838112882573E-2</v>
      </c>
    </row>
    <row r="10" spans="2:20">
      <c r="B10" t="s">
        <v>90</v>
      </c>
      <c r="C10" s="14" t="s">
        <v>93</v>
      </c>
      <c r="D10" s="14">
        <f>0.99</f>
        <v>0.99</v>
      </c>
      <c r="E10" s="32"/>
      <c r="F10" t="s">
        <v>154</v>
      </c>
      <c r="G10" s="16" t="s">
        <v>93</v>
      </c>
      <c r="H10" s="14">
        <f>0.8*1</f>
        <v>0.8</v>
      </c>
      <c r="J10" t="s">
        <v>90</v>
      </c>
      <c r="K10" s="14" t="s">
        <v>93</v>
      </c>
      <c r="L10" s="14">
        <f>D10</f>
        <v>0.99</v>
      </c>
      <c r="M10" s="32"/>
      <c r="N10" t="s">
        <v>154</v>
      </c>
      <c r="O10" s="16" t="s">
        <v>93</v>
      </c>
      <c r="P10" s="14">
        <f>0.8*1</f>
        <v>0.8</v>
      </c>
      <c r="R10" t="s">
        <v>90</v>
      </c>
      <c r="S10" s="14" t="s">
        <v>93</v>
      </c>
      <c r="T10" s="14">
        <f>0.99</f>
        <v>0.99</v>
      </c>
    </row>
    <row r="11" spans="2:20">
      <c r="B11" t="s">
        <v>3</v>
      </c>
      <c r="C11" s="14">
        <v>0</v>
      </c>
      <c r="D11" s="14">
        <v>6.6E-3</v>
      </c>
      <c r="E11" s="32"/>
      <c r="F11" t="s">
        <v>155</v>
      </c>
      <c r="G11" s="16" t="s">
        <v>93</v>
      </c>
      <c r="H11" s="14">
        <f>0.8*1</f>
        <v>0.8</v>
      </c>
      <c r="J11" t="s">
        <v>3</v>
      </c>
      <c r="K11" s="14">
        <f>C11+G7</f>
        <v>0</v>
      </c>
      <c r="L11" s="14">
        <f>D11</f>
        <v>6.6E-3</v>
      </c>
      <c r="M11" s="32"/>
      <c r="N11" t="s">
        <v>155</v>
      </c>
      <c r="O11" s="16" t="s">
        <v>93</v>
      </c>
      <c r="P11" s="14">
        <f>0.8*1</f>
        <v>0.8</v>
      </c>
      <c r="R11" t="s">
        <v>3</v>
      </c>
      <c r="S11" s="14">
        <f>K11+O7</f>
        <v>0</v>
      </c>
      <c r="T11" s="14">
        <f>D11</f>
        <v>6.6E-3</v>
      </c>
    </row>
    <row r="12" spans="2:20">
      <c r="B12" s="2" t="s">
        <v>56</v>
      </c>
      <c r="C12" s="13">
        <f>C6+C9+C11</f>
        <v>10.395</v>
      </c>
      <c r="D12" s="13">
        <f>(C5*D5+C8*D8+C11*D11)/C12</f>
        <v>3.4030784030784036E-2</v>
      </c>
      <c r="E12" s="33"/>
      <c r="F12" t="s">
        <v>134</v>
      </c>
      <c r="G12" s="16" t="s">
        <v>93</v>
      </c>
      <c r="H12" s="14">
        <f>0.97*1</f>
        <v>0.97</v>
      </c>
      <c r="J12" s="2" t="s">
        <v>56</v>
      </c>
      <c r="K12" s="13">
        <f>K6+K9+K11</f>
        <v>10.795684271656175</v>
      </c>
      <c r="L12" s="13">
        <f>(K6*L6+K9*L9+K11*L11)/K12</f>
        <v>3.3687737818598719E-2</v>
      </c>
      <c r="M12" s="33"/>
      <c r="N12" t="s">
        <v>134</v>
      </c>
      <c r="O12" s="16" t="s">
        <v>93</v>
      </c>
      <c r="P12" s="14">
        <f>0.97*1</f>
        <v>0.97</v>
      </c>
      <c r="R12" s="2" t="s">
        <v>56</v>
      </c>
      <c r="S12" s="13">
        <f>S6+S9+S11</f>
        <v>10.793791049766966</v>
      </c>
      <c r="T12" s="13">
        <f>(S5*T5+S8*T8+S11*T11)/S12</f>
        <v>3.3708114795470145E-2</v>
      </c>
    </row>
    <row r="13" spans="2:20">
      <c r="B13" s="2" t="s">
        <v>210</v>
      </c>
      <c r="C13" s="13">
        <v>10.5</v>
      </c>
      <c r="D13" s="13">
        <f>(D14*C14+D15*C15)/C13</f>
        <v>5.0761904761904763E-3</v>
      </c>
      <c r="E13" s="33"/>
      <c r="F13" t="s">
        <v>135</v>
      </c>
      <c r="G13" s="16" t="s">
        <v>93</v>
      </c>
      <c r="H13" s="14">
        <f>0.95*1</f>
        <v>0.95</v>
      </c>
      <c r="J13" s="2" t="s">
        <v>210</v>
      </c>
      <c r="K13" s="13">
        <f>K14+K15</f>
        <v>10.801539544610327</v>
      </c>
      <c r="L13" s="13">
        <f>(L14*K14+L15*K15)/K13</f>
        <v>5.0768551511599352E-3</v>
      </c>
      <c r="M13" s="33"/>
      <c r="N13" t="s">
        <v>135</v>
      </c>
      <c r="O13" s="16" t="s">
        <v>93</v>
      </c>
      <c r="P13" s="14">
        <f>0.95*1</f>
        <v>0.95</v>
      </c>
      <c r="R13" s="2" t="s">
        <v>210</v>
      </c>
      <c r="S13" s="13">
        <f>S14+S15</f>
        <v>10.801539544610327</v>
      </c>
      <c r="T13" s="13">
        <f>(T14*S14+T15*S15)/S13</f>
        <v>5.0768551511599352E-3</v>
      </c>
    </row>
    <row r="14" spans="2:20">
      <c r="B14" t="s">
        <v>43</v>
      </c>
      <c r="C14" s="14">
        <f>10*1</f>
        <v>10</v>
      </c>
      <c r="D14" s="14">
        <f>1*0.005</f>
        <v>5.0000000000000001E-3</v>
      </c>
      <c r="E14" s="32"/>
      <c r="F14" t="s">
        <v>47</v>
      </c>
      <c r="G14" s="14">
        <f>G5*H8*H12</f>
        <v>0.1893208003244346</v>
      </c>
      <c r="H14" s="14">
        <f>H5</f>
        <v>2.8000000000000001E-2</v>
      </c>
      <c r="J14" t="s">
        <v>213</v>
      </c>
      <c r="K14" s="14">
        <f>C14+G22+G23</f>
        <v>10.301539544610327</v>
      </c>
      <c r="L14" s="14">
        <f>(C14*D14+G22*H22+G23*H23)/(C14+G22+G23)</f>
        <v>5.0029271308749982E-3</v>
      </c>
      <c r="M14" s="32"/>
      <c r="N14" t="s">
        <v>47</v>
      </c>
      <c r="O14" s="14">
        <f>O5*P8*P12</f>
        <v>3.4868454434585222E-2</v>
      </c>
      <c r="P14" s="14">
        <f>P5</f>
        <v>2.8000000000000001E-2</v>
      </c>
      <c r="R14" t="s">
        <v>43</v>
      </c>
      <c r="S14" s="14">
        <f>K14+O22+O23</f>
        <v>10.301539544610327</v>
      </c>
      <c r="T14" s="14">
        <f>(K14*L14+O22*P22+O23*P23)/(K14+O22+O23)</f>
        <v>5.0029271308749982E-3</v>
      </c>
    </row>
    <row r="15" spans="2:20">
      <c r="B15" t="s">
        <v>2</v>
      </c>
      <c r="C15" s="14">
        <f>0.5*1</f>
        <v>0.5</v>
      </c>
      <c r="D15" s="14">
        <f>1*0.0066</f>
        <v>6.6E-3</v>
      </c>
      <c r="E15" s="32"/>
      <c r="F15" t="s">
        <v>49</v>
      </c>
      <c r="G15" s="14">
        <f>H9*G6*H13</f>
        <v>0.31531347133173993</v>
      </c>
      <c r="H15" s="14">
        <f>H6</f>
        <v>3.6999999999999998E-2</v>
      </c>
      <c r="J15" t="s">
        <v>214</v>
      </c>
      <c r="K15" s="14">
        <f>C15+G19</f>
        <v>0.5</v>
      </c>
      <c r="L15" s="14">
        <f>D15</f>
        <v>6.6E-3</v>
      </c>
      <c r="M15" s="32"/>
      <c r="N15" t="s">
        <v>49</v>
      </c>
      <c r="O15" s="14">
        <f>P9*O6*P13</f>
        <v>7.1195166392768294E-2</v>
      </c>
      <c r="P15" s="14">
        <f>P6</f>
        <v>3.6999999999999998E-2</v>
      </c>
      <c r="R15" t="s">
        <v>2</v>
      </c>
      <c r="S15" s="14">
        <f>K15+O19</f>
        <v>0.5</v>
      </c>
      <c r="T15" s="14">
        <f>D15</f>
        <v>6.6E-3</v>
      </c>
    </row>
    <row r="16" spans="2:20">
      <c r="B16" s="7"/>
      <c r="C16" s="7"/>
      <c r="D16" s="7"/>
      <c r="E16" s="34"/>
      <c r="F16" s="8" t="s">
        <v>44</v>
      </c>
      <c r="G16" s="36" t="s">
        <v>4</v>
      </c>
      <c r="H16" s="36" t="s">
        <v>89</v>
      </c>
      <c r="J16" s="7"/>
      <c r="K16" s="7"/>
      <c r="L16" s="7"/>
      <c r="M16" s="34"/>
      <c r="N16" s="8" t="s">
        <v>44</v>
      </c>
      <c r="O16" s="36" t="s">
        <v>4</v>
      </c>
      <c r="P16" s="36" t="s">
        <v>89</v>
      </c>
      <c r="R16" s="7"/>
      <c r="S16" s="7"/>
      <c r="T16" s="7"/>
    </row>
    <row r="17" spans="2:19">
      <c r="B17" t="s">
        <v>184</v>
      </c>
      <c r="C17">
        <f>C4*D4-C13*D13</f>
        <v>0.30045000000000005</v>
      </c>
      <c r="E17" s="34"/>
      <c r="F17" t="s">
        <v>156</v>
      </c>
      <c r="G17" s="15">
        <v>0</v>
      </c>
      <c r="H17" s="14">
        <f>0.00515*1</f>
        <v>5.1500000000000001E-3</v>
      </c>
      <c r="J17" t="s">
        <v>187</v>
      </c>
      <c r="K17">
        <f>C18</f>
        <v>0.15022500000000003</v>
      </c>
      <c r="M17" s="34"/>
      <c r="N17" t="s">
        <v>156</v>
      </c>
      <c r="O17" s="15">
        <v>0</v>
      </c>
      <c r="P17" s="14">
        <f>0.00515*1</f>
        <v>5.1500000000000001E-3</v>
      </c>
      <c r="R17" t="s">
        <v>195</v>
      </c>
      <c r="S17">
        <f>K18</f>
        <v>0.31247067914584581</v>
      </c>
    </row>
    <row r="18" spans="2:19">
      <c r="B18" t="s">
        <v>208</v>
      </c>
      <c r="C18" s="17">
        <f>(C4*D4-C13*D13)/2</f>
        <v>0.15022500000000003</v>
      </c>
      <c r="E18" s="34"/>
      <c r="F18" t="s">
        <v>157</v>
      </c>
      <c r="G18" s="15">
        <v>0.30458539859628986</v>
      </c>
      <c r="H18" s="14">
        <f>0.0051*1</f>
        <v>5.1000000000000004E-3</v>
      </c>
      <c r="J18" t="s">
        <v>216</v>
      </c>
      <c r="K18" s="17">
        <f>C12*D12 + G5*H5*H10*H12+ G6*H6*H11*H13 +G7 *H7 -(C13*D13+G17*H17+G18*H18+G19*H19)</f>
        <v>0.31247067914584581</v>
      </c>
      <c r="M18" s="34"/>
      <c r="N18" t="s">
        <v>157</v>
      </c>
      <c r="O18" s="15">
        <v>0</v>
      </c>
      <c r="P18" s="14">
        <f>0.0051*1</f>
        <v>5.1000000000000004E-3</v>
      </c>
      <c r="R18" t="s">
        <v>194</v>
      </c>
      <c r="S18" s="17">
        <f>K12*L12 + O5*P5*P10*P12+ O6*P6*P11*P13 +O7 *P7 -(K13*L13+O17*P17+O18*P18+O19*P19)</f>
        <v>0.311732759942971</v>
      </c>
    </row>
    <row r="19" spans="2:19">
      <c r="B19" t="s">
        <v>215</v>
      </c>
      <c r="C19">
        <f>10000*(C4*D4-C13*D13)/C13</f>
        <v>286.14285714285717</v>
      </c>
      <c r="E19" s="34"/>
      <c r="F19" t="s">
        <v>2</v>
      </c>
      <c r="G19" s="15">
        <v>0</v>
      </c>
      <c r="H19" s="14">
        <f>D15</f>
        <v>6.6E-3</v>
      </c>
      <c r="M19" s="34"/>
      <c r="N19" t="s">
        <v>2</v>
      </c>
      <c r="O19" s="15">
        <v>0</v>
      </c>
      <c r="P19" s="14">
        <f>D15</f>
        <v>6.6E-3</v>
      </c>
    </row>
    <row r="20" spans="2:19">
      <c r="B20" t="s">
        <v>202</v>
      </c>
      <c r="C20">
        <f>C6+C9</f>
        <v>10.395</v>
      </c>
      <c r="E20" s="34"/>
      <c r="F20" t="s">
        <v>136</v>
      </c>
      <c r="G20" s="16" t="s">
        <v>93</v>
      </c>
      <c r="H20" s="14">
        <v>0.98</v>
      </c>
      <c r="J20" t="s">
        <v>189</v>
      </c>
      <c r="K20">
        <f>K12</f>
        <v>10.795684271656175</v>
      </c>
      <c r="M20" s="34"/>
      <c r="N20" t="s">
        <v>136</v>
      </c>
      <c r="O20" s="16" t="s">
        <v>93</v>
      </c>
      <c r="P20" s="14">
        <v>0.98</v>
      </c>
      <c r="R20" t="s">
        <v>196</v>
      </c>
      <c r="S20">
        <f>S12</f>
        <v>10.793791049766966</v>
      </c>
    </row>
    <row r="21" spans="2:19">
      <c r="B21" t="s">
        <v>203</v>
      </c>
      <c r="C21">
        <f>C13</f>
        <v>10.5</v>
      </c>
      <c r="E21" s="34"/>
      <c r="F21" t="s">
        <v>137</v>
      </c>
      <c r="G21" s="16" t="s">
        <v>93</v>
      </c>
      <c r="H21" s="14">
        <f>0.99*1</f>
        <v>0.99</v>
      </c>
      <c r="J21" t="s">
        <v>190</v>
      </c>
      <c r="K21">
        <f>K13</f>
        <v>10.801539544610327</v>
      </c>
      <c r="M21" s="34"/>
      <c r="N21" t="s">
        <v>137</v>
      </c>
      <c r="O21" s="16" t="s">
        <v>93</v>
      </c>
      <c r="P21" s="14">
        <f>0.99*1</f>
        <v>0.99</v>
      </c>
      <c r="R21" t="s">
        <v>197</v>
      </c>
      <c r="S21">
        <f>S13</f>
        <v>10.801539544610327</v>
      </c>
    </row>
    <row r="22" spans="2:19">
      <c r="B22" t="s">
        <v>183</v>
      </c>
      <c r="C22" s="9">
        <f>1*(C4-C12) + C18</f>
        <v>0.25522500000000048</v>
      </c>
      <c r="E22" s="34"/>
      <c r="F22" t="s">
        <v>158</v>
      </c>
      <c r="G22" s="16">
        <f>G17*H20</f>
        <v>0</v>
      </c>
      <c r="H22" s="14">
        <v>5.1500000000000001E-3</v>
      </c>
      <c r="J22" t="s">
        <v>188</v>
      </c>
      <c r="K22" s="11">
        <f>1*(K4-K12)</f>
        <v>-0.40068427165617493</v>
      </c>
      <c r="M22" s="34"/>
      <c r="N22" t="s">
        <v>158</v>
      </c>
      <c r="O22" s="16">
        <f>O17*P20</f>
        <v>0</v>
      </c>
      <c r="P22" s="14">
        <v>5.1500000000000001E-3</v>
      </c>
      <c r="R22" t="s">
        <v>198</v>
      </c>
      <c r="S22" s="11">
        <f>1*(S4-S12)</f>
        <v>1.8932218892082631E-3</v>
      </c>
    </row>
    <row r="23" spans="2:19">
      <c r="B23" t="s">
        <v>209</v>
      </c>
      <c r="C23">
        <f>C22*C28</f>
        <v>0.33179250000000066</v>
      </c>
      <c r="E23" s="34"/>
      <c r="F23" t="s">
        <v>159</v>
      </c>
      <c r="G23" s="16">
        <f>G18*H21</f>
        <v>0.30153954461032695</v>
      </c>
      <c r="H23" s="14">
        <v>5.1000000000000004E-3</v>
      </c>
      <c r="J23" t="s">
        <v>191</v>
      </c>
      <c r="K23">
        <f>K22+K4*L4-K13*L13</f>
        <v>-0.10530962333368768</v>
      </c>
      <c r="M23" s="34"/>
      <c r="N23" t="s">
        <v>159</v>
      </c>
      <c r="O23" s="16">
        <f>O18*P21</f>
        <v>0</v>
      </c>
      <c r="P23" s="14">
        <v>5.1000000000000004E-3</v>
      </c>
      <c r="R23" t="s">
        <v>199</v>
      </c>
      <c r="S23">
        <f>S22+S4*T4-S13*T13</f>
        <v>0.31089371799555865</v>
      </c>
    </row>
    <row r="24" spans="2:19">
      <c r="B24" s="7" t="s">
        <v>185</v>
      </c>
      <c r="C24" s="7"/>
      <c r="E24" s="34"/>
      <c r="F24" s="7"/>
      <c r="G24" s="7"/>
      <c r="H24" s="7"/>
      <c r="J24" t="s">
        <v>192</v>
      </c>
      <c r="K24">
        <f>K23*C28</f>
        <v>-0.136902510333794</v>
      </c>
      <c r="M24" s="34"/>
      <c r="N24" s="7"/>
      <c r="O24" s="7"/>
      <c r="P24" s="7"/>
      <c r="R24" t="s">
        <v>200</v>
      </c>
      <c r="S24">
        <f>S23*C28</f>
        <v>0.40416183339422623</v>
      </c>
    </row>
    <row r="25" spans="2:19">
      <c r="B25" t="s">
        <v>14</v>
      </c>
      <c r="C25" s="9">
        <f>1.1*C13</f>
        <v>11.55</v>
      </c>
      <c r="E25" s="34"/>
      <c r="F25" t="s">
        <v>13</v>
      </c>
      <c r="G25">
        <f>G7</f>
        <v>0</v>
      </c>
      <c r="H25" t="s">
        <v>8</v>
      </c>
      <c r="J25" t="s">
        <v>193</v>
      </c>
      <c r="K25">
        <v>1</v>
      </c>
      <c r="M25" s="34"/>
      <c r="N25" t="s">
        <v>13</v>
      </c>
      <c r="O25">
        <f>O7</f>
        <v>0</v>
      </c>
      <c r="P25" t="s">
        <v>8</v>
      </c>
      <c r="R25" t="s">
        <v>201</v>
      </c>
      <c r="S25">
        <f>SUM(O5:O7)</f>
        <v>0.11088914065528074</v>
      </c>
    </row>
    <row r="26" spans="2:19">
      <c r="B26" t="s">
        <v>55</v>
      </c>
      <c r="C26" s="9">
        <f>1.06*C5</f>
        <v>5.3000000000000007</v>
      </c>
      <c r="E26" s="34"/>
      <c r="F26" t="s">
        <v>72</v>
      </c>
      <c r="G26">
        <f>C23-SUM(G5:G7)</f>
        <v>-0.19529250000000004</v>
      </c>
      <c r="J26" t="s">
        <v>204</v>
      </c>
      <c r="K26">
        <f>10000*(D4-D13)</f>
        <v>286.14285714285717</v>
      </c>
      <c r="M26" s="34"/>
      <c r="N26" t="s">
        <v>72</v>
      </c>
      <c r="O26">
        <f>K24-SUM(O5:O7)</f>
        <v>-0.24779165098907474</v>
      </c>
      <c r="R26" t="s">
        <v>206</v>
      </c>
      <c r="S26">
        <f>K27</f>
        <v>289.46790780045575</v>
      </c>
    </row>
    <row r="27" spans="2:19">
      <c r="B27" t="s">
        <v>15</v>
      </c>
      <c r="C27" s="9">
        <f>1.04*C8</f>
        <v>5.7200000000000006</v>
      </c>
      <c r="E27" s="34"/>
      <c r="F27" t="s">
        <v>74</v>
      </c>
      <c r="G27">
        <f>G17+G18</f>
        <v>0.30458539859628986</v>
      </c>
      <c r="J27" t="s">
        <v>205</v>
      </c>
      <c r="K27" s="17">
        <f>10000*((C12*D12 + G5*H5*H10*H12+ G6*H6*H11*H13 +G7 *H7)/K20 -(C13*D13+G17*H17+G18*H18+G19*H19)/K21)</f>
        <v>289.46790780045575</v>
      </c>
      <c r="M27" s="34"/>
      <c r="N27" t="s">
        <v>74</v>
      </c>
      <c r="O27">
        <f>O17+O18</f>
        <v>0</v>
      </c>
      <c r="R27" t="s">
        <v>207</v>
      </c>
      <c r="S27" s="17">
        <f>10000*((K12*L12 + O5*P5*P10*P12+ O6*P6*P11*P13 +O7 *P7)/S20 -(K13*L13+O17*P17+O18*P18+O19*P19)/S21)</f>
        <v>288.84392563413695</v>
      </c>
    </row>
    <row r="28" spans="2:19">
      <c r="B28" t="s">
        <v>87</v>
      </c>
      <c r="C28" s="9">
        <f>1.3</f>
        <v>1.3</v>
      </c>
      <c r="E28" s="34"/>
      <c r="J28" s="11"/>
      <c r="K28" s="11"/>
      <c r="M28" s="34"/>
      <c r="R28" s="11"/>
      <c r="S28" s="11"/>
    </row>
    <row r="29" spans="2:19">
      <c r="E29" s="11"/>
      <c r="J29" s="11"/>
      <c r="K29" s="11"/>
      <c r="M29" s="11"/>
      <c r="R29" s="11"/>
      <c r="S29" s="11"/>
    </row>
    <row r="30" spans="2:19">
      <c r="E30" s="11"/>
      <c r="J30" s="11"/>
      <c r="K30" s="11"/>
      <c r="M30" s="11"/>
      <c r="R30" s="11"/>
      <c r="S30" s="11"/>
    </row>
    <row r="31" spans="2:19">
      <c r="J31" s="11"/>
      <c r="K31" s="11"/>
      <c r="R31" s="11"/>
      <c r="S31" s="11"/>
    </row>
    <row r="32" spans="2:19">
      <c r="F32" t="s">
        <v>8</v>
      </c>
      <c r="N32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One Period</vt:lpstr>
      <vt:lpstr>Answer Report 1</vt:lpstr>
      <vt:lpstr>Sensitivity Report 1</vt:lpstr>
      <vt:lpstr>Limits Report 1</vt:lpstr>
      <vt:lpstr>Feasibility Report 1</vt:lpstr>
      <vt:lpstr>Another Period</vt:lpstr>
      <vt:lpstr>multiperiod</vt:lpstr>
    </vt:vector>
  </TitlesOfParts>
  <Company>PQT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Sandberg</dc:creator>
  <cp:lastModifiedBy>Jonathan Sandberg</cp:lastModifiedBy>
  <dcterms:created xsi:type="dcterms:W3CDTF">2015-07-07T19:49:33Z</dcterms:created>
  <dcterms:modified xsi:type="dcterms:W3CDTF">2015-11-30T12:41:24Z</dcterms:modified>
</cp:coreProperties>
</file>