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ae1644970d9898/Documents/Glasgow/Year 4/ENG4110P Individual Project 4/Code/UK-Electricity-Pricing-Solutions/"/>
    </mc:Choice>
  </mc:AlternateContent>
  <xr:revisionPtr revIDLastSave="12" documentId="8_{C92A4687-2E45-4BA4-B0E3-821609A24051}" xr6:coauthVersionLast="47" xr6:coauthVersionMax="47" xr10:uidLastSave="{0F4FA5B8-9A54-45A2-9FDA-1119FBDE808F}"/>
  <bookViews>
    <workbookView xWindow="-2004" yWindow="672" windowWidth="19032" windowHeight="12024" tabRatio="784" xr2:uid="{A41EF05D-45C9-4285-8C87-4ABA3172A366}"/>
  </bookViews>
  <sheets>
    <sheet name="Storage DB " sheetId="1" r:id="rId1"/>
    <sheet name="pivot" sheetId="15" state="hidden" r:id="rId2"/>
    <sheet name="No and vol by type" sheetId="6" r:id="rId3"/>
    <sheet name="WGV and No by status" sheetId="5" r:id="rId4"/>
    <sheet name="WGV by type and TWh" sheetId="2" r:id="rId5"/>
    <sheet name="Per country by type and number" sheetId="13" r:id="rId6"/>
    <sheet name="Withdrawal chart" sheetId="17" r:id="rId7"/>
    <sheet name="Withdr Oct-March" sheetId="16" state="hidden" r:id="rId8"/>
  </sheets>
  <definedNames>
    <definedName name="_xlnm._FilterDatabase" localSheetId="0" hidden="1">'Storage DB '!$A$4:$AB$260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92" i="1" l="1"/>
  <c r="P192" i="1" l="1"/>
  <c r="O192" i="1" s="1"/>
  <c r="O186" i="1"/>
  <c r="R186" i="1"/>
  <c r="V187" i="1"/>
  <c r="W187" i="1"/>
  <c r="T187" i="1"/>
  <c r="S187" i="1"/>
  <c r="P187" i="1"/>
  <c r="O187" i="1" s="1"/>
  <c r="O185" i="1"/>
  <c r="A184" i="1"/>
  <c r="B184" i="1"/>
  <c r="O184" i="1"/>
  <c r="C13" i="16"/>
  <c r="C12" i="16"/>
  <c r="C11" i="16"/>
  <c r="C10" i="16"/>
  <c r="C9" i="16"/>
  <c r="C8" i="16"/>
  <c r="C7" i="16"/>
  <c r="C6" i="16"/>
  <c r="C5" i="16"/>
  <c r="C4" i="16"/>
  <c r="C3" i="16"/>
  <c r="C2" i="16"/>
  <c r="R187" i="1" l="1"/>
  <c r="B18" i="6"/>
  <c r="C18" i="6"/>
  <c r="D18" i="6"/>
  <c r="E18" i="6"/>
  <c r="F18" i="6"/>
  <c r="G18" i="6"/>
  <c r="B19" i="6"/>
  <c r="C19" i="6"/>
  <c r="B20" i="6"/>
  <c r="C20" i="6"/>
  <c r="D20" i="6"/>
  <c r="F20" i="6"/>
  <c r="G20" i="6"/>
  <c r="B21" i="6"/>
  <c r="G21" i="6"/>
  <c r="I21" i="6"/>
  <c r="C17" i="6"/>
  <c r="B29" i="2"/>
  <c r="C29" i="2"/>
  <c r="C22" i="2"/>
  <c r="D22" i="2"/>
  <c r="E22" i="2"/>
  <c r="F22" i="2"/>
  <c r="G22" i="2"/>
  <c r="C28" i="5"/>
  <c r="D28" i="5"/>
  <c r="F29" i="2"/>
  <c r="G24" i="2"/>
  <c r="G25" i="2"/>
  <c r="G26" i="2"/>
  <c r="G27" i="2"/>
  <c r="D29" i="2"/>
  <c r="E29" i="2"/>
  <c r="I28" i="5"/>
  <c r="J28" i="5"/>
  <c r="H28" i="5"/>
  <c r="B28" i="5"/>
  <c r="C29" i="13"/>
  <c r="D29" i="13"/>
  <c r="E29" i="13"/>
  <c r="F29" i="13"/>
  <c r="B29" i="13"/>
  <c r="C22" i="13"/>
  <c r="D22" i="13"/>
  <c r="E22" i="13"/>
  <c r="F22" i="13"/>
  <c r="B22" i="13"/>
  <c r="B22" i="2"/>
  <c r="J21" i="5"/>
  <c r="I21" i="5"/>
  <c r="H21" i="5"/>
  <c r="C21" i="5"/>
  <c r="D21" i="5"/>
  <c r="B21" i="5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3" i="13"/>
  <c r="F4" i="13"/>
  <c r="F3" i="13"/>
  <c r="F28" i="13"/>
  <c r="F27" i="13"/>
  <c r="F26" i="13"/>
  <c r="F25" i="13"/>
  <c r="F24" i="13"/>
  <c r="E22" i="5"/>
  <c r="E23" i="5"/>
  <c r="E24" i="5"/>
  <c r="E25" i="5"/>
  <c r="E26" i="5"/>
  <c r="K23" i="5"/>
  <c r="K24" i="5"/>
  <c r="K25" i="5"/>
  <c r="K26" i="5"/>
  <c r="K2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7" i="5"/>
  <c r="K2" i="5"/>
  <c r="I13" i="6"/>
  <c r="I12" i="6"/>
  <c r="I11" i="6"/>
  <c r="I10" i="6"/>
  <c r="G8" i="6"/>
  <c r="F8" i="6"/>
  <c r="E8" i="6"/>
  <c r="D8" i="6"/>
  <c r="C8" i="6"/>
  <c r="B8" i="6"/>
  <c r="P226" i="1"/>
  <c r="U84" i="1"/>
  <c r="R84" i="1"/>
  <c r="O84" i="1"/>
  <c r="B84" i="1"/>
  <c r="G28" i="2" l="1"/>
  <c r="C29" i="5"/>
  <c r="K21" i="5"/>
  <c r="K28" i="5"/>
  <c r="D29" i="5"/>
  <c r="U207" i="1"/>
  <c r="R207" i="1"/>
  <c r="O207" i="1"/>
  <c r="U206" i="1"/>
  <c r="R206" i="1"/>
  <c r="P206" i="1"/>
  <c r="O206" i="1" s="1"/>
  <c r="G206" i="1"/>
  <c r="G207" i="1" s="1"/>
  <c r="F206" i="1"/>
  <c r="F207" i="1" s="1"/>
  <c r="H13" i="6" l="1"/>
  <c r="C15" i="6"/>
  <c r="D15" i="6"/>
  <c r="F15" i="6"/>
  <c r="G15" i="6"/>
  <c r="I15" i="6"/>
  <c r="B15" i="6"/>
  <c r="U31" i="1"/>
  <c r="R31" i="1"/>
  <c r="O31" i="1"/>
  <c r="H15" i="6" l="1"/>
  <c r="U258" i="1" l="1"/>
  <c r="U257" i="1"/>
  <c r="R243" i="1"/>
  <c r="U243" i="1"/>
  <c r="O243" i="1"/>
  <c r="B243" i="1"/>
  <c r="S192" i="1"/>
  <c r="P141" i="1"/>
  <c r="P140" i="1"/>
  <c r="P139" i="1"/>
  <c r="S141" i="1"/>
  <c r="S140" i="1"/>
  <c r="S139" i="1"/>
  <c r="V141" i="1"/>
  <c r="V140" i="1"/>
  <c r="V139" i="1"/>
  <c r="V142" i="1"/>
  <c r="S142" i="1"/>
  <c r="P142" i="1"/>
  <c r="U132" i="1"/>
  <c r="R132" i="1"/>
  <c r="O132" i="1"/>
  <c r="U133" i="1" l="1"/>
  <c r="R133" i="1"/>
  <c r="O133" i="1"/>
  <c r="B133" i="1"/>
  <c r="P81" i="1"/>
  <c r="P82" i="1" s="1"/>
  <c r="S80" i="1"/>
  <c r="P80" i="1"/>
  <c r="V80" i="1"/>
  <c r="V71" i="1"/>
  <c r="V73" i="1" s="1"/>
  <c r="S71" i="1"/>
  <c r="S73" i="1" s="1"/>
  <c r="P71" i="1"/>
  <c r="P73" i="1" s="1"/>
  <c r="B73" i="1"/>
  <c r="B47" i="1"/>
  <c r="B51" i="1"/>
  <c r="B53" i="1"/>
  <c r="B58" i="1"/>
  <c r="B63" i="1"/>
  <c r="B69" i="1"/>
  <c r="B174" i="1"/>
  <c r="B148" i="1"/>
  <c r="B143" i="1"/>
  <c r="B137" i="1"/>
  <c r="B107" i="1"/>
  <c r="B103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4" i="1"/>
  <c r="B105" i="1"/>
  <c r="B106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4" i="1"/>
  <c r="B135" i="1"/>
  <c r="B136" i="1"/>
  <c r="B138" i="1"/>
  <c r="B139" i="1"/>
  <c r="B140" i="1"/>
  <c r="B141" i="1"/>
  <c r="B142" i="1"/>
  <c r="B144" i="1"/>
  <c r="B145" i="1"/>
  <c r="B146" i="1"/>
  <c r="B147" i="1"/>
  <c r="B175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6" i="1"/>
  <c r="B177" i="1"/>
  <c r="B178" i="1"/>
  <c r="B179" i="1"/>
  <c r="B180" i="1"/>
  <c r="B181" i="1"/>
  <c r="B182" i="1"/>
  <c r="B183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30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85" i="1"/>
  <c r="B86" i="1"/>
  <c r="B87" i="1"/>
  <c r="B88" i="1"/>
  <c r="B89" i="1"/>
  <c r="B75" i="1"/>
  <c r="B76" i="1"/>
  <c r="B77" i="1"/>
  <c r="B78" i="1"/>
  <c r="B79" i="1"/>
  <c r="B80" i="1"/>
  <c r="B81" i="1"/>
  <c r="B82" i="1"/>
  <c r="B83" i="1"/>
  <c r="B74" i="1"/>
  <c r="U63" i="1"/>
  <c r="R63" i="1"/>
  <c r="O63" i="1"/>
  <c r="B65" i="1"/>
  <c r="B66" i="1"/>
  <c r="B64" i="1"/>
  <c r="B61" i="1"/>
  <c r="B62" i="1"/>
  <c r="B60" i="1"/>
  <c r="B57" i="1"/>
  <c r="B56" i="1"/>
  <c r="B55" i="1"/>
  <c r="B54" i="1"/>
  <c r="U61" i="1"/>
  <c r="R61" i="1"/>
  <c r="O61" i="1"/>
  <c r="U62" i="1" l="1"/>
  <c r="R62" i="1"/>
  <c r="O62" i="1"/>
  <c r="P33" i="1" l="1"/>
  <c r="O33" i="1" s="1"/>
  <c r="R33" i="1"/>
  <c r="U33" i="1"/>
  <c r="P32" i="1"/>
  <c r="S36" i="1"/>
  <c r="R36" i="1" s="1"/>
  <c r="S35" i="1"/>
  <c r="S34" i="1"/>
  <c r="V36" i="1"/>
  <c r="U36" i="1" s="1"/>
  <c r="V35" i="1"/>
  <c r="V34" i="1"/>
  <c r="P39" i="1"/>
  <c r="P38" i="1"/>
  <c r="P37" i="1"/>
  <c r="O37" i="1" s="1"/>
  <c r="P36" i="1"/>
  <c r="O36" i="1" s="1"/>
  <c r="R37" i="1"/>
  <c r="U37" i="1"/>
  <c r="P35" i="1"/>
  <c r="P34" i="1"/>
  <c r="V24" i="1"/>
  <c r="S24" i="1"/>
  <c r="R24" i="1" s="1"/>
  <c r="P24" i="1"/>
  <c r="O23" i="1"/>
  <c r="Q23" i="1" s="1"/>
  <c r="P18" i="1" l="1"/>
  <c r="S12" i="1" l="1"/>
  <c r="V12" i="1"/>
  <c r="S11" i="1"/>
  <c r="V11" i="1"/>
  <c r="S10" i="1"/>
  <c r="V10" i="1"/>
  <c r="P13" i="1"/>
  <c r="P7" i="1"/>
  <c r="S7" i="1"/>
  <c r="V7" i="1"/>
  <c r="G23" i="2" l="1"/>
  <c r="G29" i="2" s="1"/>
  <c r="R214" i="1" l="1"/>
  <c r="U214" i="1"/>
  <c r="O214" i="1"/>
  <c r="I4" i="6"/>
  <c r="I18" i="6" s="1"/>
  <c r="I5" i="6"/>
  <c r="I19" i="6" s="1"/>
  <c r="I6" i="6"/>
  <c r="I20" i="6" s="1"/>
  <c r="I3" i="6"/>
  <c r="I17" i="6" s="1"/>
  <c r="H3" i="6"/>
  <c r="H17" i="6" s="1"/>
  <c r="H7" i="6"/>
  <c r="H21" i="6" s="1"/>
  <c r="H4" i="6"/>
  <c r="H18" i="6" s="1"/>
  <c r="H5" i="6"/>
  <c r="H19" i="6" s="1"/>
  <c r="H6" i="6"/>
  <c r="H20" i="6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7" i="5"/>
  <c r="E28" i="5" s="1"/>
  <c r="E2" i="5"/>
  <c r="R178" i="1"/>
  <c r="U178" i="1"/>
  <c r="O178" i="1"/>
  <c r="E21" i="5" l="1"/>
  <c r="E29" i="5" s="1"/>
  <c r="I8" i="6"/>
  <c r="H8" i="6"/>
  <c r="B22" i="6" l="1"/>
  <c r="C22" i="6"/>
  <c r="D22" i="6"/>
  <c r="E22" i="6"/>
  <c r="F22" i="6"/>
  <c r="G22" i="6"/>
  <c r="H22" i="6"/>
  <c r="I22" i="6"/>
  <c r="B17" i="6"/>
  <c r="R260" i="1"/>
  <c r="R258" i="1"/>
  <c r="R257" i="1"/>
  <c r="R256" i="1"/>
  <c r="R255" i="1"/>
  <c r="R249" i="1"/>
  <c r="R248" i="1"/>
  <c r="R247" i="1"/>
  <c r="R246" i="1"/>
  <c r="R245" i="1"/>
  <c r="R244" i="1"/>
  <c r="R242" i="1"/>
  <c r="R232" i="1"/>
  <c r="R231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3" i="1"/>
  <c r="R212" i="1"/>
  <c r="R205" i="1"/>
  <c r="R204" i="1"/>
  <c r="R202" i="1"/>
  <c r="R200" i="1"/>
  <c r="R199" i="1"/>
  <c r="R198" i="1"/>
  <c r="R197" i="1"/>
  <c r="R196" i="1"/>
  <c r="R193" i="1"/>
  <c r="R192" i="1"/>
  <c r="R191" i="1"/>
  <c r="R190" i="1"/>
  <c r="R189" i="1"/>
  <c r="R188" i="1"/>
  <c r="R185" i="1"/>
  <c r="R183" i="1"/>
  <c r="R182" i="1"/>
  <c r="R181" i="1"/>
  <c r="R180" i="1"/>
  <c r="R179" i="1"/>
  <c r="R177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49" i="1"/>
  <c r="R175" i="1"/>
  <c r="R147" i="1"/>
  <c r="R146" i="1"/>
  <c r="R145" i="1"/>
  <c r="R144" i="1"/>
  <c r="R137" i="1"/>
  <c r="R136" i="1"/>
  <c r="R135" i="1"/>
  <c r="R134" i="1"/>
  <c r="R131" i="1"/>
  <c r="R130" i="1"/>
  <c r="R129" i="1"/>
  <c r="R128" i="1"/>
  <c r="R127" i="1"/>
  <c r="R126" i="1"/>
  <c r="R125" i="1"/>
  <c r="R124" i="1"/>
  <c r="R123" i="1"/>
  <c r="R119" i="1"/>
  <c r="R118" i="1"/>
  <c r="R117" i="1"/>
  <c r="R116" i="1"/>
  <c r="R115" i="1"/>
  <c r="R111" i="1"/>
  <c r="R110" i="1"/>
  <c r="R109" i="1"/>
  <c r="R106" i="1"/>
  <c r="R105" i="1"/>
  <c r="R104" i="1"/>
  <c r="R103" i="1"/>
  <c r="R102" i="1"/>
  <c r="R101" i="1"/>
  <c r="R100" i="1"/>
  <c r="R99" i="1"/>
  <c r="R98" i="1"/>
  <c r="R97" i="1"/>
  <c r="R96" i="1"/>
  <c r="R91" i="1"/>
  <c r="R90" i="1"/>
  <c r="R89" i="1"/>
  <c r="R88" i="1"/>
  <c r="R87" i="1"/>
  <c r="R86" i="1"/>
  <c r="R85" i="1"/>
  <c r="R83" i="1"/>
  <c r="R79" i="1"/>
  <c r="R76" i="1"/>
  <c r="R74" i="1"/>
  <c r="R72" i="1"/>
  <c r="R71" i="1"/>
  <c r="R70" i="1"/>
  <c r="R68" i="1"/>
  <c r="R67" i="1"/>
  <c r="R66" i="1"/>
  <c r="R65" i="1"/>
  <c r="R64" i="1"/>
  <c r="R59" i="1"/>
  <c r="R60" i="1"/>
  <c r="R58" i="1"/>
  <c r="R57" i="1"/>
  <c r="R56" i="1"/>
  <c r="R55" i="1"/>
  <c r="R54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5" i="1"/>
  <c r="R32" i="1"/>
  <c r="R30" i="1"/>
  <c r="R29" i="1"/>
  <c r="R28" i="1"/>
  <c r="R27" i="1"/>
  <c r="R26" i="1"/>
  <c r="R25" i="1"/>
  <c r="R20" i="1"/>
  <c r="R19" i="1"/>
  <c r="R18" i="1"/>
  <c r="R17" i="1"/>
  <c r="R16" i="1"/>
  <c r="R15" i="1"/>
  <c r="R12" i="1"/>
  <c r="R11" i="1"/>
  <c r="R10" i="1"/>
  <c r="R6" i="1"/>
  <c r="R5" i="1"/>
  <c r="U260" i="1"/>
  <c r="U256" i="1"/>
  <c r="U255" i="1"/>
  <c r="U248" i="1"/>
  <c r="U247" i="1"/>
  <c r="U242" i="1"/>
  <c r="U232" i="1"/>
  <c r="U231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3" i="1"/>
  <c r="U212" i="1"/>
  <c r="U205" i="1"/>
  <c r="U204" i="1"/>
  <c r="U202" i="1"/>
  <c r="U200" i="1"/>
  <c r="U199" i="1"/>
  <c r="U198" i="1"/>
  <c r="U197" i="1"/>
  <c r="U196" i="1"/>
  <c r="U193" i="1"/>
  <c r="U192" i="1"/>
  <c r="U191" i="1"/>
  <c r="U190" i="1"/>
  <c r="U189" i="1"/>
  <c r="U188" i="1"/>
  <c r="U187" i="1"/>
  <c r="U186" i="1"/>
  <c r="U185" i="1"/>
  <c r="U183" i="1"/>
  <c r="U182" i="1"/>
  <c r="U181" i="1"/>
  <c r="U180" i="1"/>
  <c r="U179" i="1"/>
  <c r="U177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49" i="1"/>
  <c r="U175" i="1"/>
  <c r="U147" i="1"/>
  <c r="U146" i="1"/>
  <c r="U145" i="1"/>
  <c r="U144" i="1"/>
  <c r="U137" i="1"/>
  <c r="U136" i="1"/>
  <c r="U135" i="1"/>
  <c r="U134" i="1"/>
  <c r="U131" i="1"/>
  <c r="U130" i="1"/>
  <c r="U129" i="1"/>
  <c r="U128" i="1"/>
  <c r="U127" i="1"/>
  <c r="U126" i="1"/>
  <c r="U125" i="1"/>
  <c r="U124" i="1"/>
  <c r="U123" i="1"/>
  <c r="U119" i="1"/>
  <c r="U118" i="1"/>
  <c r="U117" i="1"/>
  <c r="U116" i="1"/>
  <c r="U115" i="1"/>
  <c r="U111" i="1"/>
  <c r="U110" i="1"/>
  <c r="U109" i="1"/>
  <c r="U106" i="1"/>
  <c r="U105" i="1"/>
  <c r="U104" i="1"/>
  <c r="U103" i="1"/>
  <c r="U102" i="1"/>
  <c r="U101" i="1"/>
  <c r="U100" i="1"/>
  <c r="U99" i="1"/>
  <c r="U98" i="1"/>
  <c r="U97" i="1"/>
  <c r="U96" i="1"/>
  <c r="U91" i="1"/>
  <c r="U90" i="1"/>
  <c r="U89" i="1"/>
  <c r="U88" i="1"/>
  <c r="U87" i="1"/>
  <c r="U86" i="1"/>
  <c r="U85" i="1"/>
  <c r="U83" i="1"/>
  <c r="U79" i="1"/>
  <c r="U76" i="1"/>
  <c r="U74" i="1"/>
  <c r="U72" i="1"/>
  <c r="U71" i="1"/>
  <c r="U70" i="1"/>
  <c r="U68" i="1"/>
  <c r="U67" i="1"/>
  <c r="U66" i="1"/>
  <c r="U65" i="1"/>
  <c r="U64" i="1"/>
  <c r="U59" i="1"/>
  <c r="U60" i="1"/>
  <c r="U58" i="1"/>
  <c r="U57" i="1"/>
  <c r="U56" i="1"/>
  <c r="U55" i="1"/>
  <c r="U54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5" i="1"/>
  <c r="U32" i="1"/>
  <c r="U30" i="1"/>
  <c r="U29" i="1"/>
  <c r="U28" i="1"/>
  <c r="U27" i="1"/>
  <c r="U26" i="1"/>
  <c r="U25" i="1"/>
  <c r="U24" i="1"/>
  <c r="U20" i="1"/>
  <c r="U17" i="1"/>
  <c r="U15" i="1"/>
  <c r="U12" i="1"/>
  <c r="U11" i="1"/>
  <c r="U10" i="1"/>
  <c r="U9" i="1"/>
  <c r="U6" i="1"/>
  <c r="U5" i="1"/>
  <c r="O260" i="1"/>
  <c r="O257" i="1"/>
  <c r="O256" i="1"/>
  <c r="O255" i="1"/>
  <c r="O242" i="1"/>
  <c r="O232" i="1"/>
  <c r="O231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05" i="1"/>
  <c r="O204" i="1"/>
  <c r="O202" i="1"/>
  <c r="O200" i="1"/>
  <c r="O199" i="1"/>
  <c r="O198" i="1"/>
  <c r="O197" i="1"/>
  <c r="O196" i="1"/>
  <c r="O193" i="1"/>
  <c r="O191" i="1"/>
  <c r="O190" i="1"/>
  <c r="O189" i="1"/>
  <c r="O188" i="1"/>
  <c r="O183" i="1"/>
  <c r="O182" i="1"/>
  <c r="O181" i="1"/>
  <c r="O180" i="1"/>
  <c r="O179" i="1"/>
  <c r="O177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47" i="1"/>
  <c r="O146" i="1"/>
  <c r="O145" i="1"/>
  <c r="O144" i="1"/>
  <c r="O137" i="1"/>
  <c r="O136" i="1"/>
  <c r="O135" i="1"/>
  <c r="O134" i="1"/>
  <c r="O131" i="1"/>
  <c r="O130" i="1"/>
  <c r="O129" i="1"/>
  <c r="O128" i="1"/>
  <c r="O127" i="1"/>
  <c r="O126" i="1"/>
  <c r="O124" i="1"/>
  <c r="O123" i="1"/>
  <c r="O115" i="1"/>
  <c r="O110" i="1"/>
  <c r="O109" i="1"/>
  <c r="O106" i="1"/>
  <c r="O105" i="1"/>
  <c r="O104" i="1"/>
  <c r="O103" i="1"/>
  <c r="O102" i="1"/>
  <c r="O101" i="1"/>
  <c r="O100" i="1"/>
  <c r="O99" i="1"/>
  <c r="O98" i="1"/>
  <c r="O97" i="1"/>
  <c r="O96" i="1"/>
  <c r="O91" i="1"/>
  <c r="O90" i="1"/>
  <c r="O89" i="1"/>
  <c r="O88" i="1"/>
  <c r="O87" i="1"/>
  <c r="O86" i="1"/>
  <c r="O85" i="1"/>
  <c r="O83" i="1"/>
  <c r="O79" i="1"/>
  <c r="O76" i="1"/>
  <c r="O75" i="1"/>
  <c r="O74" i="1"/>
  <c r="O72" i="1"/>
  <c r="O71" i="1"/>
  <c r="O70" i="1"/>
  <c r="O68" i="1"/>
  <c r="O67" i="1"/>
  <c r="O66" i="1"/>
  <c r="O65" i="1"/>
  <c r="O64" i="1"/>
  <c r="O59" i="1"/>
  <c r="O60" i="1"/>
  <c r="O58" i="1"/>
  <c r="O57" i="1"/>
  <c r="O56" i="1"/>
  <c r="O55" i="1"/>
  <c r="O54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0" i="1"/>
  <c r="O29" i="1"/>
  <c r="O28" i="1"/>
  <c r="O27" i="1"/>
  <c r="O26" i="1"/>
  <c r="O25" i="1"/>
  <c r="O24" i="1"/>
  <c r="O20" i="1"/>
  <c r="O15" i="1"/>
  <c r="O13" i="1"/>
  <c r="O12" i="1"/>
  <c r="O11" i="1"/>
  <c r="O10" i="1"/>
  <c r="O9" i="1"/>
  <c r="O6" i="1"/>
  <c r="O5" i="1"/>
  <c r="P149" i="1"/>
  <c r="O149" i="1" s="1"/>
  <c r="P175" i="1"/>
  <c r="O175" i="1" s="1"/>
  <c r="U73" i="1" l="1"/>
  <c r="R73" i="1"/>
  <c r="O73" i="1"/>
  <c r="T148" i="1"/>
  <c r="R148" i="1" s="1"/>
  <c r="W148" i="1"/>
  <c r="U148" i="1" s="1"/>
  <c r="Q148" i="1"/>
  <c r="O148" i="1" s="1"/>
  <c r="S259" i="1" l="1"/>
  <c r="R259" i="1" s="1"/>
  <c r="V259" i="1"/>
  <c r="U259" i="1" s="1"/>
  <c r="N259" i="1"/>
  <c r="L259" i="1"/>
  <c r="G259" i="1"/>
  <c r="F259" i="1"/>
  <c r="A259" i="1"/>
  <c r="S254" i="1"/>
  <c r="R254" i="1" s="1"/>
  <c r="V254" i="1"/>
  <c r="U254" i="1" s="1"/>
  <c r="P254" i="1"/>
  <c r="O254" i="1" s="1"/>
  <c r="S253" i="1"/>
  <c r="R253" i="1" s="1"/>
  <c r="V253" i="1"/>
  <c r="U253" i="1" s="1"/>
  <c r="P253" i="1"/>
  <c r="O253" i="1" s="1"/>
  <c r="S252" i="1"/>
  <c r="R252" i="1" s="1"/>
  <c r="V252" i="1"/>
  <c r="U252" i="1" s="1"/>
  <c r="P252" i="1"/>
  <c r="O252" i="1" s="1"/>
  <c r="S251" i="1"/>
  <c r="R251" i="1" s="1"/>
  <c r="V251" i="1"/>
  <c r="U251" i="1" s="1"/>
  <c r="P251" i="1"/>
  <c r="O251" i="1" s="1"/>
  <c r="S250" i="1"/>
  <c r="R250" i="1" s="1"/>
  <c r="V250" i="1"/>
  <c r="U250" i="1" s="1"/>
  <c r="P250" i="1"/>
  <c r="O250" i="1" s="1"/>
  <c r="V249" i="1"/>
  <c r="U249" i="1" s="1"/>
  <c r="P249" i="1"/>
  <c r="O249" i="1" s="1"/>
  <c r="P248" i="1"/>
  <c r="O248" i="1" s="1"/>
  <c r="P247" i="1"/>
  <c r="O247" i="1" s="1"/>
  <c r="V246" i="1"/>
  <c r="U246" i="1" s="1"/>
  <c r="P246" i="1"/>
  <c r="O246" i="1" s="1"/>
  <c r="V244" i="1"/>
  <c r="P244" i="1"/>
  <c r="O244" i="1" s="1"/>
  <c r="R241" i="1"/>
  <c r="U241" i="1"/>
  <c r="O241" i="1"/>
  <c r="R240" i="1"/>
  <c r="U240" i="1"/>
  <c r="O240" i="1"/>
  <c r="R239" i="1"/>
  <c r="U239" i="1"/>
  <c r="O239" i="1"/>
  <c r="R238" i="1"/>
  <c r="U238" i="1"/>
  <c r="O238" i="1"/>
  <c r="R237" i="1"/>
  <c r="U237" i="1"/>
  <c r="O237" i="1"/>
  <c r="R236" i="1"/>
  <c r="U236" i="1"/>
  <c r="O236" i="1"/>
  <c r="R235" i="1"/>
  <c r="U235" i="1"/>
  <c r="O235" i="1"/>
  <c r="R234" i="1"/>
  <c r="U234" i="1"/>
  <c r="O234" i="1"/>
  <c r="R233" i="1"/>
  <c r="U233" i="1"/>
  <c r="O233" i="1"/>
  <c r="L212" i="1"/>
  <c r="L213" i="1" s="1"/>
  <c r="G212" i="1"/>
  <c r="G213" i="1" s="1"/>
  <c r="F212" i="1"/>
  <c r="F213" i="1" s="1"/>
  <c r="A212" i="1"/>
  <c r="A213" i="1" s="1"/>
  <c r="S211" i="1"/>
  <c r="R211" i="1" s="1"/>
  <c r="V211" i="1"/>
  <c r="U211" i="1" s="1"/>
  <c r="P211" i="1"/>
  <c r="S210" i="1"/>
  <c r="R210" i="1" s="1"/>
  <c r="V210" i="1"/>
  <c r="U210" i="1" s="1"/>
  <c r="P210" i="1"/>
  <c r="O210" i="1" s="1"/>
  <c r="S209" i="1"/>
  <c r="R209" i="1" s="1"/>
  <c r="V209" i="1"/>
  <c r="U209" i="1" s="1"/>
  <c r="P209" i="1"/>
  <c r="O209" i="1" s="1"/>
  <c r="S208" i="1"/>
  <c r="R208" i="1" s="1"/>
  <c r="V208" i="1"/>
  <c r="U208" i="1" s="1"/>
  <c r="P208" i="1"/>
  <c r="O208" i="1" s="1"/>
  <c r="A206" i="1"/>
  <c r="A207" i="1" s="1"/>
  <c r="S203" i="1"/>
  <c r="R203" i="1" s="1"/>
  <c r="V203" i="1"/>
  <c r="U203" i="1" s="1"/>
  <c r="P203" i="1"/>
  <c r="O203" i="1" s="1"/>
  <c r="S201" i="1"/>
  <c r="R201" i="1" s="1"/>
  <c r="V201" i="1"/>
  <c r="U201" i="1" s="1"/>
  <c r="P201" i="1"/>
  <c r="O201" i="1" s="1"/>
  <c r="T195" i="1"/>
  <c r="R195" i="1" s="1"/>
  <c r="W195" i="1"/>
  <c r="U195" i="1" s="1"/>
  <c r="Q195" i="1"/>
  <c r="O195" i="1" s="1"/>
  <c r="T194" i="1"/>
  <c r="R194" i="1" s="1"/>
  <c r="W194" i="1"/>
  <c r="U194" i="1" s="1"/>
  <c r="Q194" i="1"/>
  <c r="O194" i="1" s="1"/>
  <c r="A194" i="1"/>
  <c r="A195" i="1" s="1"/>
  <c r="R154" i="1"/>
  <c r="U154" i="1"/>
  <c r="S153" i="1"/>
  <c r="R153" i="1" s="1"/>
  <c r="V153" i="1"/>
  <c r="U153" i="1" s="1"/>
  <c r="P153" i="1"/>
  <c r="O153" i="1" s="1"/>
  <c r="S152" i="1"/>
  <c r="R152" i="1" s="1"/>
  <c r="V152" i="1"/>
  <c r="U152" i="1" s="1"/>
  <c r="Q152" i="1"/>
  <c r="P152" i="1"/>
  <c r="S151" i="1"/>
  <c r="R151" i="1" s="1"/>
  <c r="V151" i="1"/>
  <c r="U151" i="1" s="1"/>
  <c r="Q151" i="1"/>
  <c r="P151" i="1"/>
  <c r="S150" i="1"/>
  <c r="R150" i="1" s="1"/>
  <c r="V150" i="1"/>
  <c r="U150" i="1" s="1"/>
  <c r="Q150" i="1"/>
  <c r="P150" i="1"/>
  <c r="R142" i="1"/>
  <c r="U142" i="1"/>
  <c r="O142" i="1"/>
  <c r="R141" i="1"/>
  <c r="U141" i="1"/>
  <c r="O141" i="1"/>
  <c r="R140" i="1"/>
  <c r="U140" i="1"/>
  <c r="O140" i="1"/>
  <c r="R139" i="1"/>
  <c r="U139" i="1"/>
  <c r="O139" i="1"/>
  <c r="S138" i="1"/>
  <c r="R138" i="1" s="1"/>
  <c r="V138" i="1"/>
  <c r="U138" i="1" s="1"/>
  <c r="P138" i="1"/>
  <c r="O138" i="1" s="1"/>
  <c r="S107" i="1"/>
  <c r="R107" i="1" s="1"/>
  <c r="V107" i="1"/>
  <c r="U107" i="1" s="1"/>
  <c r="P107" i="1"/>
  <c r="O107" i="1" s="1"/>
  <c r="S122" i="1"/>
  <c r="R122" i="1" s="1"/>
  <c r="V122" i="1"/>
  <c r="U122" i="1" s="1"/>
  <c r="P122" i="1"/>
  <c r="O122" i="1" s="1"/>
  <c r="T121" i="1"/>
  <c r="R121" i="1" s="1"/>
  <c r="W121" i="1"/>
  <c r="U121" i="1" s="1"/>
  <c r="Q121" i="1"/>
  <c r="O121" i="1" s="1"/>
  <c r="S120" i="1"/>
  <c r="R120" i="1" s="1"/>
  <c r="V120" i="1"/>
  <c r="U120" i="1" s="1"/>
  <c r="P120" i="1"/>
  <c r="O120" i="1" s="1"/>
  <c r="R113" i="1"/>
  <c r="U113" i="1"/>
  <c r="O113" i="1"/>
  <c r="S112" i="1"/>
  <c r="R112" i="1" s="1"/>
  <c r="V112" i="1"/>
  <c r="U112" i="1" s="1"/>
  <c r="P112" i="1"/>
  <c r="O112" i="1" s="1"/>
  <c r="Q111" i="1"/>
  <c r="O111" i="1" s="1"/>
  <c r="S108" i="1"/>
  <c r="R108" i="1" s="1"/>
  <c r="V108" i="1"/>
  <c r="U108" i="1" s="1"/>
  <c r="P108" i="1"/>
  <c r="O108" i="1" s="1"/>
  <c r="S95" i="1"/>
  <c r="R95" i="1" s="1"/>
  <c r="V95" i="1"/>
  <c r="U95" i="1" s="1"/>
  <c r="P95" i="1"/>
  <c r="O95" i="1" s="1"/>
  <c r="S94" i="1"/>
  <c r="R94" i="1" s="1"/>
  <c r="V94" i="1"/>
  <c r="U94" i="1" s="1"/>
  <c r="P94" i="1"/>
  <c r="O94" i="1" s="1"/>
  <c r="S93" i="1"/>
  <c r="R93" i="1" s="1"/>
  <c r="V93" i="1"/>
  <c r="U93" i="1" s="1"/>
  <c r="P93" i="1"/>
  <c r="O93" i="1" s="1"/>
  <c r="S92" i="1"/>
  <c r="R92" i="1" s="1"/>
  <c r="V92" i="1"/>
  <c r="U92" i="1" s="1"/>
  <c r="P92" i="1"/>
  <c r="O92" i="1" s="1"/>
  <c r="R81" i="1"/>
  <c r="U81" i="1"/>
  <c r="L82" i="1"/>
  <c r="G82" i="1"/>
  <c r="F82" i="1"/>
  <c r="A82" i="1"/>
  <c r="O81" i="1"/>
  <c r="R80" i="1"/>
  <c r="U80" i="1"/>
  <c r="O80" i="1"/>
  <c r="S78" i="1"/>
  <c r="R78" i="1" s="1"/>
  <c r="V78" i="1"/>
  <c r="U78" i="1" s="1"/>
  <c r="O78" i="1"/>
  <c r="R77" i="1"/>
  <c r="U77" i="1"/>
  <c r="O77" i="1"/>
  <c r="S75" i="1"/>
  <c r="R75" i="1" s="1"/>
  <c r="V75" i="1"/>
  <c r="U75" i="1" s="1"/>
  <c r="O39" i="1"/>
  <c r="O38" i="1"/>
  <c r="O35" i="1"/>
  <c r="R34" i="1"/>
  <c r="U34" i="1"/>
  <c r="O34" i="1"/>
  <c r="O32" i="1"/>
  <c r="N22" i="1"/>
  <c r="L22" i="1"/>
  <c r="G22" i="1"/>
  <c r="F22" i="1"/>
  <c r="A22" i="1"/>
  <c r="V19" i="1"/>
  <c r="U19" i="1" s="1"/>
  <c r="P19" i="1"/>
  <c r="O19" i="1" s="1"/>
  <c r="V18" i="1"/>
  <c r="U18" i="1" s="1"/>
  <c r="O18" i="1"/>
  <c r="P17" i="1"/>
  <c r="O17" i="1" s="1"/>
  <c r="V16" i="1"/>
  <c r="U16" i="1" s="1"/>
  <c r="P16" i="1"/>
  <c r="O16" i="1" s="1"/>
  <c r="S14" i="1"/>
  <c r="W14" i="1"/>
  <c r="V14" i="1"/>
  <c r="Q14" i="1"/>
  <c r="P14" i="1"/>
  <c r="T9" i="1"/>
  <c r="S8" i="1"/>
  <c r="R8" i="1" s="1"/>
  <c r="V8" i="1"/>
  <c r="U8" i="1" s="1"/>
  <c r="P8" i="1"/>
  <c r="O8" i="1" s="1"/>
  <c r="R7" i="1"/>
  <c r="U7" i="1"/>
  <c r="O7" i="1"/>
  <c r="R9" i="1" l="1"/>
  <c r="O154" i="1"/>
  <c r="O150" i="1"/>
  <c r="T14" i="1"/>
  <c r="R14" i="1" s="1"/>
  <c r="U14" i="1"/>
  <c r="O14" i="1"/>
  <c r="O151" i="1"/>
  <c r="O152" i="1"/>
  <c r="P212" i="1"/>
  <c r="O212" i="1" s="1"/>
  <c r="O211" i="1"/>
  <c r="V245" i="1"/>
  <c r="U245" i="1" s="1"/>
  <c r="U244" i="1"/>
  <c r="P259" i="1"/>
  <c r="O259" i="1" s="1"/>
  <c r="O258" i="1"/>
  <c r="U143" i="1"/>
  <c r="O143" i="1"/>
  <c r="R143" i="1"/>
  <c r="P245" i="1"/>
  <c r="O245" i="1" s="1"/>
  <c r="O82" i="1"/>
  <c r="P213" i="1" l="1"/>
  <c r="O213" i="1" s="1"/>
  <c r="B29" i="5"/>
  <c r="J29" i="5"/>
  <c r="I29" i="5"/>
  <c r="H29" i="5"/>
  <c r="K29" i="5"/>
  <c r="B30" i="2"/>
  <c r="D30" i="2"/>
  <c r="C30" i="2"/>
  <c r="G30" i="2"/>
  <c r="E30" i="2"/>
  <c r="F30" i="2"/>
  <c r="B30" i="13"/>
  <c r="E30" i="13"/>
  <c r="F30" i="13"/>
  <c r="C30" i="13"/>
  <c r="D30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tc={7D33CF8C-34CD-4A6E-AF12-4C722330B500}</author>
    <author>tc={27DC431B-65BF-470D-BF83-1D53F9E595FB}</author>
    <author>tc={C3AEE619-AF28-4D30-BACC-A7BCC6A61D29}</author>
    <author>tc={3D35ECD1-B953-4D45-8125-E3EF63A120FA}</author>
    <author>tc={1EFD89B4-F53B-4064-AF6C-7551A64D1D82}</author>
    <author>tc={115829A4-EC88-436A-A1BA-6CBE42B1D5D8}</author>
    <author>tc={3B7B916D-9C99-49B4-83E4-F36AEB8B4272}</author>
    <author>tc={54C82916-69D0-4E66-9369-51B95BA21F62}</author>
    <author>tc={28210CCC-A008-4411-A0FF-7B38298D1B62}</author>
  </authors>
  <commentList>
    <comment ref="B34" authorId="0" shapeId="0" xr:uid="{7D33CF8C-34CD-4A6E-AF12-4C722330B5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merged in the map</t>
      </text>
    </comment>
    <comment ref="B64" authorId="1" shapeId="0" xr:uid="{27DC431B-65BF-470D-BF83-1D53F9E595FB}">
      <text>
        <t>[Threaded comment]
Your version of Excel allows you to read this threaded comment; however, any edits to it will get removed if the file is opened in a newer version of Excel. Learn more: https://go.microsoft.com/fwlink/?linkid=870924
Comment:
    no updated info</t>
      </text>
    </comment>
    <comment ref="F75" authorId="2" shapeId="0" xr:uid="{C3AEE619-AF28-4D30-BACC-A7BCC6A61D29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overlap with EnBW Etzel</t>
      </text>
    </comment>
    <comment ref="O81" authorId="3" shapeId="0" xr:uid="{3D35ECD1-B953-4D45-8125-E3EF63A120FA}">
      <text>
        <t>[Threaded comment]
Your version of Excel allows you to read this threaded comment; however, any edits to it will get removed if the file is opened in a newer version of Excel. Learn more: https://go.microsoft.com/fwlink/?linkid=870924
Comment:
    GCV=11.215</t>
      </text>
    </comment>
    <comment ref="F111" authorId="4" shapeId="0" xr:uid="{1EFD89B4-F53B-4064-AF6C-7551A64D1D8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TPA</t>
      </text>
    </comment>
    <comment ref="O139" authorId="5" shapeId="0" xr:uid="{115829A4-EC88-436A-A1BA-6CBE42B1D5D8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GCV calculated  as total capacity in MWh from AGSI divided to Scm from website</t>
      </text>
    </comment>
    <comment ref="R139" authorId="6" shapeId="0" xr:uid="{3B7B916D-9C99-49B4-83E4-F36AEB8B4272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GCV calculated  as total capacity in MWh from AGSI divided to Scm from website</t>
      </text>
    </comment>
    <comment ref="U139" authorId="7" shapeId="0" xr:uid="{54C82916-69D0-4E66-9369-51B95BA21F62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GCV calculated  as total capacity in MWh from AGSI divided to Scm from website</t>
      </text>
    </comment>
    <comment ref="S176" authorId="8" shapeId="0" xr:uid="{28210CCC-A008-4411-A0FF-7B38298D1B62}">
      <text>
        <t>[Threaded comment]
Your version of Excel allows you to read this threaded comment; however, any edits to it will get removed if the file is opened in a newer version of Excel. Learn more: https://go.microsoft.com/fwlink/?linkid=870924
Comment:
    AGSI shows zero
Diāna F:
seasonal storage</t>
      </text>
    </comment>
  </commentList>
</comments>
</file>

<file path=xl/sharedStrings.xml><?xml version="1.0" encoding="utf-8"?>
<sst xmlns="http://schemas.openxmlformats.org/spreadsheetml/2006/main" count="3594" uniqueCount="511">
  <si>
    <t>Country</t>
  </si>
  <si>
    <t>Concatenate</t>
  </si>
  <si>
    <t>Country Code</t>
  </si>
  <si>
    <t>Company code</t>
  </si>
  <si>
    <t>Facility code</t>
  </si>
  <si>
    <t>Operator</t>
  </si>
  <si>
    <t>Facility/Location</t>
  </si>
  <si>
    <t>Status</t>
  </si>
  <si>
    <t>Investment</t>
  </si>
  <si>
    <t>Start-up
year</t>
  </si>
  <si>
    <t>Type</t>
  </si>
  <si>
    <t>Notes</t>
  </si>
  <si>
    <t>onshore/
offshore</t>
  </si>
  <si>
    <t>Working gas
(technical) TWh</t>
  </si>
  <si>
    <t>Working gas
TPA
TWh</t>
  </si>
  <si>
    <t>Working gas
no TPA
TWh</t>
  </si>
  <si>
    <t>Withdrawal
technical
GWh/day</t>
  </si>
  <si>
    <t>Withdrawal
TPA
GWh/day</t>
  </si>
  <si>
    <t>Withdrawal
no TPA
GWh/day</t>
  </si>
  <si>
    <t>Injection
technical
GWh/day</t>
  </si>
  <si>
    <t>Injection
TPA
GWh/day</t>
  </si>
  <si>
    <t>Injection
no TPA
GWh/day</t>
  </si>
  <si>
    <t>Access
regime</t>
  </si>
  <si>
    <t>Austria</t>
  </si>
  <si>
    <t>AT0101</t>
  </si>
  <si>
    <t>AT</t>
  </si>
  <si>
    <t>Astora</t>
  </si>
  <si>
    <t>Haidach</t>
  </si>
  <si>
    <t>operational</t>
  </si>
  <si>
    <t>existing</t>
  </si>
  <si>
    <t>Depleted field</t>
  </si>
  <si>
    <t>Gas</t>
  </si>
  <si>
    <t>Onshore</t>
  </si>
  <si>
    <t>y</t>
  </si>
  <si>
    <t>AT0201</t>
  </si>
  <si>
    <t>GSA</t>
  </si>
  <si>
    <t>AT0301</t>
  </si>
  <si>
    <t>OMV Gas Storage</t>
  </si>
  <si>
    <t>Schönkirchen/Reyersdorf</t>
  </si>
  <si>
    <t>AT0302</t>
  </si>
  <si>
    <t>Tallesbrunn</t>
  </si>
  <si>
    <t>AT0300</t>
  </si>
  <si>
    <t>VGS OMV Gas Storage Pool</t>
  </si>
  <si>
    <t>n</t>
  </si>
  <si>
    <t>AT0401</t>
  </si>
  <si>
    <t>RAG.Energy.Storage</t>
  </si>
  <si>
    <t>Aigelsbrunn</t>
  </si>
  <si>
    <t>AT0402</t>
  </si>
  <si>
    <t>Haidach 5</t>
  </si>
  <si>
    <t>AT0403</t>
  </si>
  <si>
    <t>Nussdorf/Zagling</t>
  </si>
  <si>
    <t>AT0404</t>
  </si>
  <si>
    <t>Puchkirchen/Haag</t>
  </si>
  <si>
    <t>AT0400</t>
  </si>
  <si>
    <t>RAG Storage  (storage group)</t>
  </si>
  <si>
    <t>AT0501</t>
  </si>
  <si>
    <t>Uniper Energy Storage</t>
  </si>
  <si>
    <t>7 Fields</t>
  </si>
  <si>
    <t>Belarus</t>
  </si>
  <si>
    <t>BY0101</t>
  </si>
  <si>
    <t>BY</t>
  </si>
  <si>
    <t>Gazprom Transgaz Belarus</t>
  </si>
  <si>
    <t>Mozyrskoye</t>
  </si>
  <si>
    <t>Salt cavern</t>
  </si>
  <si>
    <t>BY0102</t>
  </si>
  <si>
    <t>under construction</t>
  </si>
  <si>
    <t>BY0103</t>
  </si>
  <si>
    <t>Osipovichskoye</t>
  </si>
  <si>
    <t>Aquifer</t>
  </si>
  <si>
    <t>BY0104</t>
  </si>
  <si>
    <t>Pribugskoye</t>
  </si>
  <si>
    <t>Belgium</t>
  </si>
  <si>
    <t>BE0101</t>
  </si>
  <si>
    <t>BE</t>
  </si>
  <si>
    <t>Fluxys</t>
  </si>
  <si>
    <t>Loenhout</t>
  </si>
  <si>
    <t>rTPA</t>
  </si>
  <si>
    <t>Bulgaria</t>
  </si>
  <si>
    <t>BG0101</t>
  </si>
  <si>
    <t>BG</t>
  </si>
  <si>
    <t>Bulgartransgaz</t>
  </si>
  <si>
    <t>Chiren</t>
  </si>
  <si>
    <t>BG0102</t>
  </si>
  <si>
    <t>planned</t>
  </si>
  <si>
    <t>Croatia</t>
  </si>
  <si>
    <t>HR0101</t>
  </si>
  <si>
    <t>HR</t>
  </si>
  <si>
    <t>PSP</t>
  </si>
  <si>
    <t>Okoli</t>
  </si>
  <si>
    <t>Oil</t>
  </si>
  <si>
    <t>HR0102</t>
  </si>
  <si>
    <t>Grubisno Polje</t>
  </si>
  <si>
    <t>new facility</t>
  </si>
  <si>
    <t>Czech Republic</t>
  </si>
  <si>
    <t>CZ0101</t>
  </si>
  <si>
    <t>CZ</t>
  </si>
  <si>
    <t>Dolni Dunajovice</t>
  </si>
  <si>
    <t>CZ0102</t>
  </si>
  <si>
    <t>Háje</t>
  </si>
  <si>
    <t>Rock Cavern</t>
  </si>
  <si>
    <t>CZ0103</t>
  </si>
  <si>
    <t>Lobodice</t>
  </si>
  <si>
    <t>CZ0104</t>
  </si>
  <si>
    <t>Štramberk</t>
  </si>
  <si>
    <t>CZ0105</t>
  </si>
  <si>
    <t>Třanovice</t>
  </si>
  <si>
    <t>CZ0106</t>
  </si>
  <si>
    <t>Tvrdonice</t>
  </si>
  <si>
    <t>CZ0107</t>
  </si>
  <si>
    <t>CZ0201</t>
  </si>
  <si>
    <t>MND Gas Storage</t>
  </si>
  <si>
    <t>Uhřice</t>
  </si>
  <si>
    <t>Oil/gas</t>
  </si>
  <si>
    <t>CZ0301</t>
  </si>
  <si>
    <t>Moravia Gas Storage</t>
  </si>
  <si>
    <t>Dambořice</t>
  </si>
  <si>
    <t>CZ0302</t>
  </si>
  <si>
    <t>CZ0303</t>
  </si>
  <si>
    <t>CZ0304</t>
  </si>
  <si>
    <t>CZ0401</t>
  </si>
  <si>
    <t>SPP Storage</t>
  </si>
  <si>
    <t>Dolni Bojanovice</t>
  </si>
  <si>
    <t>Denmark</t>
  </si>
  <si>
    <t>DK0101</t>
  </si>
  <si>
    <t>DK</t>
  </si>
  <si>
    <t>Gas Storage Denmark</t>
  </si>
  <si>
    <t>Lille Torup</t>
  </si>
  <si>
    <t>DK0102</t>
  </si>
  <si>
    <t>Stenlille</t>
  </si>
  <si>
    <t>DK0100</t>
  </si>
  <si>
    <t>VGS GSD gas storage</t>
  </si>
  <si>
    <t>France</t>
  </si>
  <si>
    <t>FR0101</t>
  </si>
  <si>
    <t>FR</t>
  </si>
  <si>
    <t>Storengy</t>
  </si>
  <si>
    <t xml:space="preserve">Saline: Etrez </t>
  </si>
  <si>
    <t>FR0102</t>
  </si>
  <si>
    <t>Saline: Manosque</t>
  </si>
  <si>
    <t>FR0103</t>
  </si>
  <si>
    <t>Saline: Tersanne/Hauterives</t>
  </si>
  <si>
    <t>FR0100</t>
  </si>
  <si>
    <t>VGS Storengy Saline</t>
  </si>
  <si>
    <t>FR0104</t>
  </si>
  <si>
    <t>SEDIANE: Beynes Profond</t>
  </si>
  <si>
    <t>FR0105</t>
  </si>
  <si>
    <t>SEDIANE: Beynes Supérieur</t>
  </si>
  <si>
    <t>FR0106</t>
  </si>
  <si>
    <t>SEDIANE: Saint-Illiers-la-Ville</t>
  </si>
  <si>
    <t>VGS Storengy Sediane</t>
  </si>
  <si>
    <t>FR0107</t>
  </si>
  <si>
    <t>VGS SEDIANE B: Gournay-sur-Aronde</t>
  </si>
  <si>
    <t>VGS Storengy SEDIANE LITTORAL</t>
  </si>
  <si>
    <t>SERENE Nord: Cerville</t>
  </si>
  <si>
    <t>SERENE Nord: Germigny-sous-Coulombs</t>
  </si>
  <si>
    <t xml:space="preserve">SERENE Nord: Saint-Clair-sur-Epte </t>
  </si>
  <si>
    <t>SERENE Nord: Trois-Fontaines l'Abbaye</t>
  </si>
  <si>
    <t>Depleted Field</t>
  </si>
  <si>
    <t>VGS Storengy Serene Nord</t>
  </si>
  <si>
    <t>VGS Storengy SERENE SUD</t>
  </si>
  <si>
    <t>Alsace Sud</t>
  </si>
  <si>
    <t>Etrez</t>
  </si>
  <si>
    <t>Hauterives</t>
  </si>
  <si>
    <t>FR0201</t>
  </si>
  <si>
    <t>Izaute</t>
  </si>
  <si>
    <t>FR0202</t>
  </si>
  <si>
    <t>Lussagnet</t>
  </si>
  <si>
    <t>Germany</t>
  </si>
  <si>
    <t>DE0101</t>
  </si>
  <si>
    <t>DE</t>
  </si>
  <si>
    <t>astora</t>
  </si>
  <si>
    <t>DE0102</t>
  </si>
  <si>
    <t>DE0103</t>
  </si>
  <si>
    <t>Rehden</t>
  </si>
  <si>
    <t>BayernUGS</t>
  </si>
  <si>
    <t>Wolfersberg</t>
  </si>
  <si>
    <t>Crystal, Friedeburger Speicherbetriebsgesellschaft</t>
  </si>
  <si>
    <t>Etzel Crystal</t>
  </si>
  <si>
    <t>Inzenham-West</t>
  </si>
  <si>
    <t>EKB (Etzel-Kavernenbetriebsgesellschaft)</t>
  </si>
  <si>
    <t>Etzel EKB</t>
  </si>
  <si>
    <t>EnBW Energie Baden-Württemberg</t>
  </si>
  <si>
    <t>Etzel</t>
  </si>
  <si>
    <t>Eneco</t>
  </si>
  <si>
    <t>Epe Eneco</t>
  </si>
  <si>
    <t>Enovos Storage</t>
  </si>
  <si>
    <t>Frankenthal</t>
  </si>
  <si>
    <t>Erdgasspeicher Peissen</t>
  </si>
  <si>
    <t>Katharina</t>
  </si>
  <si>
    <t>EWE Gasspeicher</t>
  </si>
  <si>
    <t>Jemgum H</t>
  </si>
  <si>
    <t>Nüttermoor H-1</t>
  </si>
  <si>
    <t>Nüttermoor H-2</t>
  </si>
  <si>
    <t>Nüttermoor H-3</t>
  </si>
  <si>
    <t>Nüttermoor L</t>
  </si>
  <si>
    <t>Rüdersdorf H</t>
  </si>
  <si>
    <t>Equinor Storage Deutschland</t>
  </si>
  <si>
    <t>Etzel EGL</t>
  </si>
  <si>
    <t>GHG - Gasspeicher Hannover</t>
  </si>
  <si>
    <t>Empelde</t>
  </si>
  <si>
    <t>Gas Union Storage</t>
  </si>
  <si>
    <t>Etzel ESE</t>
  </si>
  <si>
    <t>Reckrod</t>
  </si>
  <si>
    <t>Hansewerk</t>
  </si>
  <si>
    <t>Kiel-Rönne</t>
  </si>
  <si>
    <t>Kraak</t>
  </si>
  <si>
    <t>Epe L-Gas</t>
  </si>
  <si>
    <t>Epe NL</t>
  </si>
  <si>
    <t>Stassfurt</t>
  </si>
  <si>
    <t>Epe H-Gas</t>
  </si>
  <si>
    <t>Xanten</t>
  </si>
  <si>
    <t>KGE (Kommunale Gasspeichergesellschaft Epe)</t>
  </si>
  <si>
    <t>Epe KGE</t>
  </si>
  <si>
    <t>MND Gas Storage Germany</t>
  </si>
  <si>
    <t>Hähnlein</t>
  </si>
  <si>
    <t>Stockstadt</t>
  </si>
  <si>
    <t>N-ERGIE</t>
  </si>
  <si>
    <t>Eschenfelden</t>
  </si>
  <si>
    <t>Nuon</t>
  </si>
  <si>
    <t>Epe Nuon</t>
  </si>
  <si>
    <t>OMV Gas Storage Germany</t>
  </si>
  <si>
    <t>Ontras Gastransport</t>
  </si>
  <si>
    <t>Bruggraf-Bernsdorf</t>
  </si>
  <si>
    <t>Stadtwerke Bremen (wesernetz)</t>
  </si>
  <si>
    <t>Bremen-Lesum</t>
  </si>
  <si>
    <t>Stadtwerke Kiel</t>
  </si>
  <si>
    <t>Storengy Deutschland</t>
  </si>
  <si>
    <t>Fronhofen-Trigonodus</t>
  </si>
  <si>
    <t>Harsefeld</t>
  </si>
  <si>
    <t>Peckensen</t>
  </si>
  <si>
    <t>Schmidhausen</t>
  </si>
  <si>
    <t>Uelsen</t>
  </si>
  <si>
    <t>TEP (Thüringer Energie Speichergesellschaft)</t>
  </si>
  <si>
    <t>Allmenhausen</t>
  </si>
  <si>
    <t>terranets bw</t>
  </si>
  <si>
    <t>Sandhausen</t>
  </si>
  <si>
    <t>Total Etzel Gaslager</t>
  </si>
  <si>
    <t>TGE (Trianel Gasspeicher Epe)</t>
  </si>
  <si>
    <t>Epe Trianel</t>
  </si>
  <si>
    <t>Bierwang</t>
  </si>
  <si>
    <t>Breitbrunn</t>
  </si>
  <si>
    <t>Epe Uniper H-Gas</t>
  </si>
  <si>
    <t>Epe Uniper L-Gas</t>
  </si>
  <si>
    <t>VNG Gasspeicher</t>
  </si>
  <si>
    <t>Kirchheiligen</t>
  </si>
  <si>
    <t>Bernburg</t>
  </si>
  <si>
    <t>Bad Lauchstädt</t>
  </si>
  <si>
    <t>gas</t>
  </si>
  <si>
    <t>VGS innEXpool</t>
  </si>
  <si>
    <t>VSG MND GSG</t>
  </si>
  <si>
    <t>VGS storage hub</t>
  </si>
  <si>
    <t>Greece</t>
  </si>
  <si>
    <t>GR</t>
  </si>
  <si>
    <t>Hellenic Republic Asset Development Fund</t>
  </si>
  <si>
    <t>South Kavala</t>
  </si>
  <si>
    <t>Hungary</t>
  </si>
  <si>
    <t>HU</t>
  </si>
  <si>
    <t>Hungarian Gas Storage</t>
  </si>
  <si>
    <t>VGS MFGT</t>
  </si>
  <si>
    <t>Hajdúszoboszló</t>
  </si>
  <si>
    <t>Kardoskút</t>
  </si>
  <si>
    <t>Pusztaederics</t>
  </si>
  <si>
    <t>Zsana</t>
  </si>
  <si>
    <t>Szöreg-1</t>
  </si>
  <si>
    <t>Oil Field with Gas Cap</t>
  </si>
  <si>
    <t>Italy</t>
  </si>
  <si>
    <t>STOGIT</t>
  </si>
  <si>
    <t>VGS STOGIT</t>
  </si>
  <si>
    <t>IT</t>
  </si>
  <si>
    <t>Edison Stoccaggio</t>
  </si>
  <si>
    <t>VGS Edison Stoccaggio</t>
  </si>
  <si>
    <t>Cellino</t>
  </si>
  <si>
    <t>Collalto</t>
  </si>
  <si>
    <t>Cotignola &amp; San Potito</t>
  </si>
  <si>
    <t>Bagnolo Mella</t>
  </si>
  <si>
    <t>Palazzo Moroni</t>
  </si>
  <si>
    <t>Gas Plus Storage</t>
  </si>
  <si>
    <t>San Benedetto</t>
  </si>
  <si>
    <t>Poggiofiorito</t>
  </si>
  <si>
    <t>Sinarca</t>
  </si>
  <si>
    <t>Geogastock</t>
  </si>
  <si>
    <t>Cugno le Macine (Grottole-Ferrandina)</t>
  </si>
  <si>
    <t>Ital Gas Storage</t>
  </si>
  <si>
    <t>Cornegliano</t>
  </si>
  <si>
    <t>Bordolano</t>
  </si>
  <si>
    <t>Alfonsine</t>
  </si>
  <si>
    <t>Fiume Treste</t>
  </si>
  <si>
    <t>Fiume Treste F</t>
  </si>
  <si>
    <t>Minerbio</t>
  </si>
  <si>
    <t>Ripalta</t>
  </si>
  <si>
    <t>Sabbioncello</t>
  </si>
  <si>
    <t>Sergnano</t>
  </si>
  <si>
    <t>Settala</t>
  </si>
  <si>
    <t>Brugherio</t>
  </si>
  <si>
    <t>Cortemaggiore</t>
  </si>
  <si>
    <t>Latvia</t>
  </si>
  <si>
    <t>LV</t>
  </si>
  <si>
    <t>Inčukalns</t>
  </si>
  <si>
    <t>Netherlands</t>
  </si>
  <si>
    <t>NL</t>
  </si>
  <si>
    <t>EnergyStock BV</t>
  </si>
  <si>
    <t>EnergyStock</t>
  </si>
  <si>
    <t>NAM</t>
  </si>
  <si>
    <t>Grijpskerk</t>
  </si>
  <si>
    <t>Gas Field (not depleted)</t>
  </si>
  <si>
    <t>Norg (Langelo)</t>
  </si>
  <si>
    <t>TAQA Gas Storage</t>
  </si>
  <si>
    <t>Bergermeer</t>
  </si>
  <si>
    <t>TAQA Piek Gas</t>
  </si>
  <si>
    <t>Alkmaar</t>
  </si>
  <si>
    <t>Poland</t>
  </si>
  <si>
    <t>Gas Storage Poland</t>
  </si>
  <si>
    <t>PL</t>
  </si>
  <si>
    <t>Wierzchowice</t>
  </si>
  <si>
    <t>Kosakowo</t>
  </si>
  <si>
    <t>Mogilno</t>
  </si>
  <si>
    <t>Swarzow</t>
  </si>
  <si>
    <t>Brzeznica</t>
  </si>
  <si>
    <t>Strachocina</t>
  </si>
  <si>
    <t>Husow</t>
  </si>
  <si>
    <t>GAZ-SYSTEM</t>
  </si>
  <si>
    <t>Damasławek</t>
  </si>
  <si>
    <t>PGNiG</t>
  </si>
  <si>
    <t>Bonikowo</t>
  </si>
  <si>
    <t>UGS for nitrogen rich ga</t>
  </si>
  <si>
    <t>Daszewo</t>
  </si>
  <si>
    <t>Portugal</t>
  </si>
  <si>
    <t>PT</t>
  </si>
  <si>
    <t>REN Armazenagen</t>
  </si>
  <si>
    <t>Carriço</t>
  </si>
  <si>
    <t>Salt Cavern</t>
  </si>
  <si>
    <t>Romania</t>
  </si>
  <si>
    <t>RO</t>
  </si>
  <si>
    <t>Depogaz Ploiești (ex Romgaz)</t>
  </si>
  <si>
    <t>Balanceanca</t>
  </si>
  <si>
    <t>Bilciuresti</t>
  </si>
  <si>
    <t>Ghercesti</t>
  </si>
  <si>
    <t>Moldova (Falticeni)</t>
  </si>
  <si>
    <t>Sarmasel</t>
  </si>
  <si>
    <t>Urziceni</t>
  </si>
  <si>
    <t>Depomures</t>
  </si>
  <si>
    <t>Târgu Mureş</t>
  </si>
  <si>
    <t>Russian Federation</t>
  </si>
  <si>
    <t>RU</t>
  </si>
  <si>
    <t>Gazprom</t>
  </si>
  <si>
    <t>Gatchinskoye</t>
  </si>
  <si>
    <t>PJSC  Chornomornaftogaz  (Crimea)</t>
  </si>
  <si>
    <t>Hlibovske</t>
  </si>
  <si>
    <t>Kaliningradskoe</t>
  </si>
  <si>
    <t>Nevskoye</t>
  </si>
  <si>
    <t>Serbia</t>
  </si>
  <si>
    <t>RS</t>
  </si>
  <si>
    <t>Srbijagas</t>
  </si>
  <si>
    <t>Banatski Dvor</t>
  </si>
  <si>
    <t>Slovakia</t>
  </si>
  <si>
    <t>SK</t>
  </si>
  <si>
    <t>Nafta</t>
  </si>
  <si>
    <t>Velke Kapusany</t>
  </si>
  <si>
    <t>Pozagas</t>
  </si>
  <si>
    <t>Láb 4</t>
  </si>
  <si>
    <t>Spain</t>
  </si>
  <si>
    <t>ES</t>
  </si>
  <si>
    <t>VGS Enagas Basic UGS</t>
  </si>
  <si>
    <t>Enagas</t>
  </si>
  <si>
    <t>Gaviota</t>
  </si>
  <si>
    <t>Offshore</t>
  </si>
  <si>
    <t>Enagas/Gas Natural Fenosa</t>
  </si>
  <si>
    <t>Marismas</t>
  </si>
  <si>
    <t>Serrablo</t>
  </si>
  <si>
    <t>Yela</t>
  </si>
  <si>
    <t>Sweden</t>
  </si>
  <si>
    <t>SE</t>
  </si>
  <si>
    <t>Swedegas</t>
  </si>
  <si>
    <t>Skallen</t>
  </si>
  <si>
    <t>Turkey</t>
  </si>
  <si>
    <t>TR</t>
  </si>
  <si>
    <t>Botas</t>
  </si>
  <si>
    <t>Tuz Gölü / Aksaray Sultanhanı</t>
  </si>
  <si>
    <t>Gaz Depo / Toren Gas Storage and Mining</t>
  </si>
  <si>
    <t>Tarsus / Mersin</t>
  </si>
  <si>
    <t>Turkish Petroleum</t>
  </si>
  <si>
    <t>Silivri (Marmara)</t>
  </si>
  <si>
    <t>Ukraine</t>
  </si>
  <si>
    <t>UA</t>
  </si>
  <si>
    <t>PJSC Ukrtransgaz</t>
  </si>
  <si>
    <t>Bilche-Volytsko-Uherske</t>
  </si>
  <si>
    <t>Bohorodchanske</t>
  </si>
  <si>
    <t>Chervonopartyzanske</t>
  </si>
  <si>
    <t>Dashavske</t>
  </si>
  <si>
    <t>Kehychivske</t>
  </si>
  <si>
    <t>Krasnopopivske</t>
  </si>
  <si>
    <t>Olyshivske</t>
  </si>
  <si>
    <t>Oparske</t>
  </si>
  <si>
    <t xml:space="preserve">Proletarske </t>
  </si>
  <si>
    <t>Solokhivske</t>
  </si>
  <si>
    <t>Uherske (XIV-XV)</t>
  </si>
  <si>
    <t>Verhunske</t>
  </si>
  <si>
    <t>United Kingdom</t>
  </si>
  <si>
    <t>GB</t>
  </si>
  <si>
    <t>EDF Energy</t>
  </si>
  <si>
    <t>Hill Top Farm (Cheshire)</t>
  </si>
  <si>
    <t>Hole House Farm</t>
  </si>
  <si>
    <t>Stag Energy (instead of Gateway)</t>
  </si>
  <si>
    <t>Offshore Morecambe Bay</t>
  </si>
  <si>
    <t>Halite Energy Group</t>
  </si>
  <si>
    <t>Lancashire</t>
  </si>
  <si>
    <t>Humbly Grove Energy</t>
  </si>
  <si>
    <t>Hampshire</t>
  </si>
  <si>
    <t>InfrasStrata</t>
  </si>
  <si>
    <t>Islandmagee / County Antrim, Northern Ireland</t>
  </si>
  <si>
    <t>Keuper Gas Storage</t>
  </si>
  <si>
    <t>Holford Brinefield</t>
  </si>
  <si>
    <t>Scottish Power</t>
  </si>
  <si>
    <t>Hatfield Moor</t>
  </si>
  <si>
    <t>SSE/Statoil</t>
  </si>
  <si>
    <t>Aldbrough I</t>
  </si>
  <si>
    <t>SSE</t>
  </si>
  <si>
    <t>Hornsea (Atwick)</t>
  </si>
  <si>
    <t>Storengy UK</t>
  </si>
  <si>
    <t>Stublach</t>
  </si>
  <si>
    <t>Holford</t>
  </si>
  <si>
    <t>bn cubic feed/35.3*11 ,4= TWh</t>
  </si>
  <si>
    <t>1 m³(n) = 1.055 m³(s)</t>
  </si>
  <si>
    <t>GCV (if not provided by operator)</t>
  </si>
  <si>
    <t>0C</t>
  </si>
  <si>
    <t>11.4</t>
  </si>
  <si>
    <r>
      <t>kWh/m</t>
    </r>
    <r>
      <rPr>
        <vertAlign val="superscript"/>
        <sz val="11"/>
        <color theme="1"/>
        <rFont val="Calibri"/>
        <family val="2"/>
        <scheme val="minor"/>
      </rPr>
      <t>3</t>
    </r>
  </si>
  <si>
    <t>15C</t>
  </si>
  <si>
    <t>20C</t>
  </si>
  <si>
    <t>GDF Suez Italy</t>
  </si>
  <si>
    <t>on hold</t>
  </si>
  <si>
    <t>(All)</t>
  </si>
  <si>
    <t>Row Labels</t>
  </si>
  <si>
    <t>Grand Total</t>
  </si>
  <si>
    <t>Column Labels</t>
  </si>
  <si>
    <t>NO</t>
  </si>
  <si>
    <t>YES</t>
  </si>
  <si>
    <t>TOTAL</t>
  </si>
  <si>
    <t>Russian Federation (European part)</t>
  </si>
  <si>
    <t>Europe</t>
  </si>
  <si>
    <t>EUROPE</t>
  </si>
  <si>
    <t>TOTAL EUROPE</t>
  </si>
  <si>
    <t>Type/Status</t>
  </si>
  <si>
    <t>TWh</t>
  </si>
  <si>
    <t>no.</t>
  </si>
  <si>
    <t>GSF Kawerna</t>
  </si>
  <si>
    <t>GSF Sanok</t>
  </si>
  <si>
    <t>Total</t>
  </si>
  <si>
    <t xml:space="preserve">Jemgum </t>
  </si>
  <si>
    <t>Conexus Baltic Grid</t>
  </si>
  <si>
    <t>VGS RWE virtual storage (storage group)</t>
  </si>
  <si>
    <t>RWE Gas Storage</t>
  </si>
  <si>
    <t>closed</t>
  </si>
  <si>
    <t xml:space="preserve"> VGS SERENE ATLANTIQUE</t>
  </si>
  <si>
    <t>SERENE ATLANTIQUE: Chémery</t>
  </si>
  <si>
    <t>SERENE ATLANTIQUE: Céré-la-Ronde</t>
  </si>
  <si>
    <t>SERENE ATLANTIQUE: Soings-en-Sologne</t>
  </si>
  <si>
    <t>V1</t>
  </si>
  <si>
    <t>V2</t>
  </si>
  <si>
    <t>V3</t>
  </si>
  <si>
    <t>V4</t>
  </si>
  <si>
    <t>VGS Nord (astora)</t>
  </si>
  <si>
    <t>Etzel ESE VGS</t>
  </si>
  <si>
    <t>Jemgum H (VGS)</t>
  </si>
  <si>
    <t>Closing year</t>
  </si>
  <si>
    <t>Láb complex, incl Gajary-Baden</t>
  </si>
  <si>
    <t>VGS UkrTransgaz</t>
  </si>
  <si>
    <t>Salt Cavern with a demonstrator 100% H2 project (HYPSTER 2021-2023)</t>
  </si>
  <si>
    <t>Salt Cavern with a 100% H2 project (HYGREEN 2027)</t>
  </si>
  <si>
    <t>Salt Cavern (100% H2 compatibility expected)</t>
  </si>
  <si>
    <t>Aquifer (H2 blending only - 40% H2 in the 1960's)</t>
  </si>
  <si>
    <t>Aquifer (H2 blending only)</t>
  </si>
  <si>
    <t>Aquifer (but salt deposit enabling salt caverns development)</t>
  </si>
  <si>
    <t>Mothballed</t>
  </si>
  <si>
    <t>Salt caverns (100% H2)</t>
  </si>
  <si>
    <t>TEREGA</t>
  </si>
  <si>
    <t>VGS Lussagnet (TEREGA)</t>
  </si>
  <si>
    <t>no</t>
  </si>
  <si>
    <t>Unknown parametern</t>
  </si>
  <si>
    <t xml:space="preserve">EWE-Zone L </t>
  </si>
  <si>
    <t>EWE H-Gas Zone</t>
  </si>
  <si>
    <t>EU</t>
  </si>
  <si>
    <t>non EU</t>
  </si>
  <si>
    <t>VGS - multiple types</t>
  </si>
  <si>
    <t>EU filter</t>
  </si>
  <si>
    <t>in number</t>
  </si>
  <si>
    <t>in sum</t>
  </si>
  <si>
    <t>Total non EU</t>
  </si>
  <si>
    <t>Non EU</t>
  </si>
  <si>
    <t>Technical working gas volume of underground gas storage facilities by type per country</t>
  </si>
  <si>
    <t>Country / Status /Number</t>
  </si>
  <si>
    <t>Number of underground gas storage facilities by type per country</t>
  </si>
  <si>
    <t>Country / Status / WGV (TWh)</t>
  </si>
  <si>
    <t>Year</t>
  </si>
  <si>
    <t>Withdrawal October- March TWh</t>
  </si>
  <si>
    <t>Withdrawal October - March (GWh)</t>
  </si>
  <si>
    <t>Rock cavern</t>
  </si>
  <si>
    <t>NAFTA Bavaria GmbH</t>
  </si>
  <si>
    <t>RWE Gas Storage West</t>
  </si>
  <si>
    <t>RWE Gas Storage NWE</t>
  </si>
  <si>
    <t>Hexum</t>
  </si>
  <si>
    <t>TPA</t>
  </si>
  <si>
    <t xml:space="preserve">
</t>
  </si>
  <si>
    <t>Legend at the end of the table</t>
  </si>
  <si>
    <t xml:space="preserve">Storage Map 2021  / data as of July 2021
</t>
  </si>
  <si>
    <t>extension</t>
  </si>
  <si>
    <t>under construction*</t>
  </si>
  <si>
    <t>*Note : Number of planned and under construction facilities only refer to new facilities and not to extensions of existing facilities</t>
  </si>
  <si>
    <t>planned*</t>
  </si>
  <si>
    <t xml:space="preserve"> Total*</t>
  </si>
  <si>
    <t>GIE</t>
  </si>
  <si>
    <t>Count of Working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</si>
</sst>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0.0"/>
    <numFmt numFmtId="166" formatCode="0.0000"/>
    <numFmt numFmtId="167" formatCode="00"/>
    <numFmt numFmtId="168" formatCode="_-* #,##0\ _€_-;\-* #,##0\ _€_-;_-* &quot;-&quot;??\ _€_-;_-@_-"/>
    <numFmt numFmtId="169" formatCode="_-* #,##0.0\ _€_-;\-* #,##0.0\ _€_-;_-* &quot;-&quot;??\ _€_-;_-@_-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i/>
      <sz val="11"/>
      <name val="Calibri"/>
      <family val="2"/>
      <scheme val="minor"/>
    </font>
    <font>
      <strike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dotted">
        <color indexed="64"/>
      </right>
      <top/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 style="hair">
        <color indexed="64"/>
      </bottom>
      <diagonal/>
    </border>
    <border>
      <left/>
      <right style="dotted">
        <color indexed="64"/>
      </right>
      <top style="dotted">
        <color indexed="64"/>
      </top>
      <bottom style="hair">
        <color indexed="64"/>
      </bottom>
      <diagonal/>
    </border>
    <border>
      <left style="dotted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7">
    <xf numFmtId="0" fontId="0" fillId="0" borderId="0"/>
    <xf numFmtId="0" fontId="1" fillId="2" borderId="1" applyNumberFormat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20" fillId="0" borderId="0"/>
    <xf numFmtId="0" fontId="21" fillId="2" borderId="1" applyNumberFormat="0" applyAlignment="0" applyProtection="0"/>
    <xf numFmtId="0" fontId="13" fillId="0" borderId="0" applyFont="0" applyFill="0" applyBorder="0"/>
  </cellStyleXfs>
  <cellXfs count="181">
    <xf numFmtId="0" fontId="0" fillId="0" borderId="0" xfId="0"/>
    <xf numFmtId="0" fontId="0" fillId="0" borderId="0" xfId="0" applyAlignment="1">
      <alignment horizontal="center"/>
    </xf>
    <xf numFmtId="2" fontId="5" fillId="0" borderId="0" xfId="1" applyNumberFormat="1" applyFont="1" applyFill="1" applyBorder="1"/>
    <xf numFmtId="2" fontId="6" fillId="0" borderId="0" xfId="0" applyNumberFormat="1" applyFont="1"/>
    <xf numFmtId="2" fontId="7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5" xfId="0" applyFont="1" applyBorder="1"/>
    <xf numFmtId="0" fontId="8" fillId="0" borderId="5" xfId="0" applyFont="1" applyBorder="1" applyAlignment="1">
      <alignment horizontal="center"/>
    </xf>
    <xf numFmtId="2" fontId="5" fillId="0" borderId="5" xfId="1" applyNumberFormat="1" applyFont="1" applyFill="1" applyBorder="1" applyAlignment="1">
      <alignment horizontal="right"/>
    </xf>
    <xf numFmtId="2" fontId="5" fillId="0" borderId="5" xfId="1" applyNumberFormat="1" applyFont="1" applyFill="1" applyBorder="1"/>
    <xf numFmtId="2" fontId="8" fillId="0" borderId="5" xfId="0" applyNumberFormat="1" applyFont="1" applyBorder="1" applyAlignment="1">
      <alignment horizontal="right"/>
    </xf>
    <xf numFmtId="0" fontId="10" fillId="4" borderId="5" xfId="0" applyFont="1" applyFill="1" applyBorder="1"/>
    <xf numFmtId="0" fontId="10" fillId="4" borderId="5" xfId="0" applyFont="1" applyFill="1" applyBorder="1" applyAlignment="1">
      <alignment horizontal="center"/>
    </xf>
    <xf numFmtId="2" fontId="10" fillId="4" borderId="5" xfId="1" applyNumberFormat="1" applyFont="1" applyFill="1" applyBorder="1" applyAlignment="1">
      <alignment horizontal="right"/>
    </xf>
    <xf numFmtId="2" fontId="10" fillId="4" borderId="5" xfId="0" applyNumberFormat="1" applyFont="1" applyFill="1" applyBorder="1" applyAlignment="1">
      <alignment horizontal="right"/>
    </xf>
    <xf numFmtId="2" fontId="10" fillId="4" borderId="5" xfId="1" applyNumberFormat="1" applyFont="1" applyFill="1" applyBorder="1"/>
    <xf numFmtId="0" fontId="9" fillId="0" borderId="0" xfId="0" applyFont="1"/>
    <xf numFmtId="0" fontId="11" fillId="0" borderId="5" xfId="0" applyFont="1" applyBorder="1"/>
    <xf numFmtId="2" fontId="8" fillId="0" borderId="5" xfId="1" applyNumberFormat="1" applyFont="1" applyFill="1" applyBorder="1" applyAlignment="1">
      <alignment horizontal="right"/>
    </xf>
    <xf numFmtId="2" fontId="8" fillId="0" borderId="5" xfId="1" applyNumberFormat="1" applyFont="1" applyFill="1" applyBorder="1"/>
    <xf numFmtId="0" fontId="8" fillId="0" borderId="0" xfId="0" applyFont="1"/>
    <xf numFmtId="2" fontId="11" fillId="0" borderId="5" xfId="0" applyNumberFormat="1" applyFont="1" applyBorder="1" applyAlignment="1">
      <alignment horizontal="right"/>
    </xf>
    <xf numFmtId="0" fontId="8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/>
    </xf>
    <xf numFmtId="2" fontId="0" fillId="0" borderId="0" xfId="0" applyNumberFormat="1"/>
    <xf numFmtId="0" fontId="3" fillId="0" borderId="0" xfId="0" applyFont="1"/>
    <xf numFmtId="166" fontId="0" fillId="0" borderId="0" xfId="0" applyNumberFormat="1"/>
    <xf numFmtId="166" fontId="8" fillId="0" borderId="0" xfId="0" applyNumberFormat="1" applyFont="1"/>
    <xf numFmtId="166" fontId="3" fillId="0" borderId="0" xfId="0" applyNumberFormat="1" applyFont="1"/>
    <xf numFmtId="0" fontId="8" fillId="6" borderId="5" xfId="0" applyFont="1" applyFill="1" applyBorder="1"/>
    <xf numFmtId="0" fontId="8" fillId="6" borderId="5" xfId="0" applyFont="1" applyFill="1" applyBorder="1" applyAlignment="1">
      <alignment horizontal="center"/>
    </xf>
    <xf numFmtId="2" fontId="11" fillId="6" borderId="5" xfId="0" applyNumberFormat="1" applyFont="1" applyFill="1" applyBorder="1" applyAlignment="1">
      <alignment horizontal="right"/>
    </xf>
    <xf numFmtId="2" fontId="5" fillId="6" borderId="5" xfId="1" applyNumberFormat="1" applyFont="1" applyFill="1" applyBorder="1" applyAlignment="1">
      <alignment horizontal="right"/>
    </xf>
    <xf numFmtId="2" fontId="5" fillId="6" borderId="5" xfId="1" applyNumberFormat="1" applyFont="1" applyFill="1" applyBorder="1"/>
    <xf numFmtId="0" fontId="14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2" fontId="5" fillId="0" borderId="5" xfId="0" applyNumberFormat="1" applyFont="1" applyBorder="1" applyAlignment="1">
      <alignment horizontal="right"/>
    </xf>
    <xf numFmtId="2" fontId="5" fillId="0" borderId="5" xfId="1" applyNumberFormat="1" applyFont="1" applyFill="1" applyBorder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8" xfId="0" applyFill="1" applyBorder="1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right" vertical="center"/>
    </xf>
    <xf numFmtId="2" fontId="5" fillId="0" borderId="5" xfId="1" applyNumberFormat="1" applyFont="1" applyFill="1" applyBorder="1" applyAlignment="1">
      <alignment vertical="center"/>
    </xf>
    <xf numFmtId="165" fontId="8" fillId="0" borderId="5" xfId="0" applyNumberFormat="1" applyFont="1" applyBorder="1" applyAlignment="1">
      <alignment horizontal="left"/>
    </xf>
    <xf numFmtId="2" fontId="8" fillId="6" borderId="5" xfId="0" applyNumberFormat="1" applyFont="1" applyFill="1" applyBorder="1" applyAlignment="1">
      <alignment horizontal="right"/>
    </xf>
    <xf numFmtId="0" fontId="16" fillId="4" borderId="5" xfId="0" applyFont="1" applyFill="1" applyBorder="1"/>
    <xf numFmtId="0" fontId="10" fillId="4" borderId="5" xfId="0" applyFont="1" applyFill="1" applyBorder="1" applyAlignment="1">
      <alignment horizontal="right"/>
    </xf>
    <xf numFmtId="0" fontId="17" fillId="0" borderId="5" xfId="0" applyFont="1" applyBorder="1" applyAlignment="1">
      <alignment horizontal="center"/>
    </xf>
    <xf numFmtId="2" fontId="5" fillId="0" borderId="5" xfId="0" applyNumberFormat="1" applyFont="1" applyBorder="1"/>
    <xf numFmtId="0" fontId="0" fillId="0" borderId="10" xfId="0" applyBorder="1" applyAlignment="1">
      <alignment horizontal="center"/>
    </xf>
    <xf numFmtId="0" fontId="0" fillId="6" borderId="10" xfId="0" applyFill="1" applyBorder="1"/>
    <xf numFmtId="0" fontId="3" fillId="7" borderId="11" xfId="0" applyFont="1" applyFill="1" applyBorder="1"/>
    <xf numFmtId="0" fontId="8" fillId="0" borderId="6" xfId="0" applyFont="1" applyBorder="1"/>
    <xf numFmtId="0" fontId="3" fillId="13" borderId="1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67" fontId="0" fillId="0" borderId="0" xfId="0" applyNumberFormat="1"/>
    <xf numFmtId="167" fontId="1" fillId="3" borderId="2" xfId="0" applyNumberFormat="1" applyFont="1" applyFill="1" applyBorder="1" applyAlignment="1">
      <alignment horizontal="center" vertical="center" wrapText="1"/>
    </xf>
    <xf numFmtId="167" fontId="8" fillId="0" borderId="5" xfId="0" applyNumberFormat="1" applyFont="1" applyBorder="1"/>
    <xf numFmtId="167" fontId="8" fillId="6" borderId="5" xfId="0" applyNumberFormat="1" applyFont="1" applyFill="1" applyBorder="1"/>
    <xf numFmtId="167" fontId="10" fillId="4" borderId="5" xfId="0" applyNumberFormat="1" applyFont="1" applyFill="1" applyBorder="1"/>
    <xf numFmtId="167" fontId="8" fillId="0" borderId="5" xfId="0" applyNumberFormat="1" applyFont="1" applyBorder="1" applyAlignment="1">
      <alignment vertical="center"/>
    </xf>
    <xf numFmtId="167" fontId="11" fillId="0" borderId="5" xfId="0" applyNumberFormat="1" applyFont="1" applyBorder="1"/>
    <xf numFmtId="167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5" fillId="6" borderId="5" xfId="0" applyFont="1" applyFill="1" applyBorder="1"/>
    <xf numFmtId="167" fontId="5" fillId="4" borderId="5" xfId="0" applyNumberFormat="1" applyFont="1" applyFill="1" applyBorder="1"/>
    <xf numFmtId="0" fontId="2" fillId="0" borderId="5" xfId="0" applyFont="1" applyBorder="1"/>
    <xf numFmtId="167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2" fillId="0" borderId="0" xfId="0" applyFont="1"/>
    <xf numFmtId="2" fontId="10" fillId="4" borderId="5" xfId="0" applyNumberFormat="1" applyFont="1" applyFill="1" applyBorder="1"/>
    <xf numFmtId="0" fontId="5" fillId="4" borderId="5" xfId="0" applyFont="1" applyFill="1" applyBorder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7" borderId="18" xfId="0" applyFont="1" applyFill="1" applyBorder="1" applyAlignment="1">
      <alignment horizontal="left"/>
    </xf>
    <xf numFmtId="0" fontId="0" fillId="0" borderId="20" xfId="0" applyBorder="1"/>
    <xf numFmtId="1" fontId="0" fillId="0" borderId="17" xfId="0" applyNumberFormat="1" applyBorder="1"/>
    <xf numFmtId="0" fontId="0" fillId="0" borderId="17" xfId="0" applyBorder="1" applyAlignment="1">
      <alignment horizontal="left"/>
    </xf>
    <xf numFmtId="1" fontId="0" fillId="6" borderId="17" xfId="0" applyNumberFormat="1" applyFill="1" applyBorder="1"/>
    <xf numFmtId="164" fontId="3" fillId="7" borderId="17" xfId="2" applyFont="1" applyFill="1" applyBorder="1" applyAlignment="1">
      <alignment horizontal="left"/>
    </xf>
    <xf numFmtId="0" fontId="15" fillId="9" borderId="17" xfId="0" applyFont="1" applyFill="1" applyBorder="1" applyAlignment="1">
      <alignment horizontal="center" vertical="center"/>
    </xf>
    <xf numFmtId="0" fontId="15" fillId="8" borderId="17" xfId="0" applyFont="1" applyFill="1" applyBorder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" fontId="3" fillId="7" borderId="17" xfId="2" applyNumberFormat="1" applyFont="1" applyFill="1" applyBorder="1"/>
    <xf numFmtId="0" fontId="3" fillId="7" borderId="17" xfId="0" applyFont="1" applyFill="1" applyBorder="1"/>
    <xf numFmtId="0" fontId="3" fillId="7" borderId="17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left"/>
    </xf>
    <xf numFmtId="0" fontId="1" fillId="0" borderId="0" xfId="0" applyFont="1"/>
    <xf numFmtId="0" fontId="0" fillId="0" borderId="21" xfId="0" applyBorder="1" applyAlignment="1">
      <alignment horizontal="left"/>
    </xf>
    <xf numFmtId="0" fontId="1" fillId="12" borderId="17" xfId="0" applyFont="1" applyFill="1" applyBorder="1" applyAlignment="1">
      <alignment horizontal="center"/>
    </xf>
    <xf numFmtId="168" fontId="0" fillId="0" borderId="17" xfId="2" applyNumberFormat="1" applyFont="1" applyBorder="1" applyAlignment="1">
      <alignment vertical="center"/>
    </xf>
    <xf numFmtId="168" fontId="3" fillId="7" borderId="17" xfId="0" applyNumberFormat="1" applyFont="1" applyFill="1" applyBorder="1"/>
    <xf numFmtId="168" fontId="0" fillId="0" borderId="17" xfId="0" applyNumberFormat="1" applyBorder="1"/>
    <xf numFmtId="168" fontId="0" fillId="6" borderId="17" xfId="2" applyNumberFormat="1" applyFont="1" applyFill="1" applyBorder="1" applyAlignment="1">
      <alignment vertical="center"/>
    </xf>
    <xf numFmtId="165" fontId="0" fillId="0" borderId="17" xfId="0" applyNumberFormat="1" applyBorder="1"/>
    <xf numFmtId="165" fontId="0" fillId="6" borderId="17" xfId="0" applyNumberFormat="1" applyFill="1" applyBorder="1"/>
    <xf numFmtId="1" fontId="3" fillId="7" borderId="17" xfId="2" applyNumberFormat="1" applyFont="1" applyFill="1" applyBorder="1" applyAlignment="1">
      <alignment horizontal="right"/>
    </xf>
    <xf numFmtId="169" fontId="0" fillId="0" borderId="17" xfId="2" applyNumberFormat="1" applyFont="1" applyBorder="1" applyAlignment="1">
      <alignment vertical="center"/>
    </xf>
    <xf numFmtId="169" fontId="0" fillId="6" borderId="17" xfId="2" applyNumberFormat="1" applyFont="1" applyFill="1" applyBorder="1" applyAlignment="1">
      <alignment vertical="center"/>
    </xf>
    <xf numFmtId="165" fontId="0" fillId="6" borderId="7" xfId="0" applyNumberFormat="1" applyFill="1" applyBorder="1"/>
    <xf numFmtId="0" fontId="13" fillId="0" borderId="0" xfId="6"/>
    <xf numFmtId="165" fontId="13" fillId="0" borderId="0" xfId="6" applyNumberFormat="1"/>
    <xf numFmtId="2" fontId="6" fillId="0" borderId="5" xfId="1" applyNumberFormat="1" applyFont="1" applyFill="1" applyBorder="1" applyAlignment="1">
      <alignment horizontal="right"/>
    </xf>
    <xf numFmtId="2" fontId="2" fillId="0" borderId="5" xfId="0" applyNumberFormat="1" applyFont="1" applyBorder="1" applyAlignment="1">
      <alignment horizontal="right"/>
    </xf>
    <xf numFmtId="0" fontId="19" fillId="0" borderId="5" xfId="0" applyFont="1" applyBorder="1"/>
    <xf numFmtId="2" fontId="0" fillId="0" borderId="0" xfId="0" applyNumberFormat="1" applyAlignment="1">
      <alignment horizontal="center"/>
    </xf>
    <xf numFmtId="0" fontId="18" fillId="0" borderId="5" xfId="0" applyFont="1" applyBorder="1"/>
    <xf numFmtId="167" fontId="19" fillId="0" borderId="5" xfId="0" applyNumberFormat="1" applyFont="1" applyBorder="1"/>
    <xf numFmtId="0" fontId="19" fillId="0" borderId="5" xfId="0" applyFont="1" applyBorder="1" applyAlignment="1">
      <alignment horizontal="right"/>
    </xf>
    <xf numFmtId="0" fontId="19" fillId="0" borderId="5" xfId="0" applyFont="1" applyBorder="1" applyAlignment="1">
      <alignment horizontal="center"/>
    </xf>
    <xf numFmtId="2" fontId="19" fillId="0" borderId="5" xfId="1" applyNumberFormat="1" applyFont="1" applyFill="1" applyBorder="1" applyAlignment="1">
      <alignment horizontal="right"/>
    </xf>
    <xf numFmtId="2" fontId="19" fillId="0" borderId="5" xfId="0" applyNumberFormat="1" applyFont="1" applyBorder="1" applyAlignment="1">
      <alignment horizontal="right"/>
    </xf>
    <xf numFmtId="2" fontId="19" fillId="0" borderId="5" xfId="1" applyNumberFormat="1" applyFont="1" applyFill="1" applyBorder="1"/>
    <xf numFmtId="2" fontId="5" fillId="6" borderId="5" xfId="0" applyNumberFormat="1" applyFont="1" applyFill="1" applyBorder="1"/>
    <xf numFmtId="0" fontId="8" fillId="6" borderId="5" xfId="0" applyFont="1" applyFill="1" applyBorder="1" applyAlignment="1">
      <alignment horizontal="right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7" fontId="0" fillId="0" borderId="0" xfId="0" applyNumberFormat="1" applyAlignment="1">
      <alignment wrapText="1"/>
    </xf>
    <xf numFmtId="167" fontId="8" fillId="0" borderId="5" xfId="0" applyNumberFormat="1" applyFont="1" applyBorder="1" applyAlignment="1">
      <alignment wrapText="1"/>
    </xf>
    <xf numFmtId="167" fontId="8" fillId="6" borderId="5" xfId="0" applyNumberFormat="1" applyFont="1" applyFill="1" applyBorder="1" applyAlignment="1">
      <alignment wrapText="1"/>
    </xf>
    <xf numFmtId="167" fontId="10" fillId="4" borderId="5" xfId="0" applyNumberFormat="1" applyFont="1" applyFill="1" applyBorder="1" applyAlignment="1">
      <alignment wrapText="1"/>
    </xf>
    <xf numFmtId="167" fontId="19" fillId="0" borderId="5" xfId="0" applyNumberFormat="1" applyFont="1" applyBorder="1" applyAlignment="1">
      <alignment wrapText="1"/>
    </xf>
    <xf numFmtId="167" fontId="2" fillId="0" borderId="5" xfId="0" applyNumberFormat="1" applyFont="1" applyBorder="1" applyAlignment="1">
      <alignment wrapText="1"/>
    </xf>
    <xf numFmtId="0" fontId="8" fillId="0" borderId="5" xfId="0" applyFont="1" applyBorder="1" applyAlignment="1">
      <alignment wrapText="1"/>
    </xf>
    <xf numFmtId="167" fontId="5" fillId="4" borderId="5" xfId="0" applyNumberFormat="1" applyFont="1" applyFill="1" applyBorder="1" applyAlignment="1">
      <alignment wrapText="1"/>
    </xf>
    <xf numFmtId="167" fontId="5" fillId="6" borderId="5" xfId="0" applyNumberFormat="1" applyFont="1" applyFill="1" applyBorder="1" applyAlignment="1">
      <alignment wrapText="1"/>
    </xf>
    <xf numFmtId="167" fontId="8" fillId="0" borderId="5" xfId="0" applyNumberFormat="1" applyFont="1" applyBorder="1" applyAlignment="1">
      <alignment vertical="center" wrapText="1"/>
    </xf>
    <xf numFmtId="167" fontId="11" fillId="0" borderId="5" xfId="0" applyNumberFormat="1" applyFont="1" applyBorder="1" applyAlignment="1">
      <alignment wrapText="1"/>
    </xf>
    <xf numFmtId="167" fontId="0" fillId="0" borderId="0" xfId="0" applyNumberFormat="1" applyAlignment="1">
      <alignment horizontal="center" vertical="center" wrapText="1"/>
    </xf>
    <xf numFmtId="167" fontId="0" fillId="0" borderId="0" xfId="0" applyNumberFormat="1" applyAlignment="1">
      <alignment horizontal="center" wrapText="1"/>
    </xf>
    <xf numFmtId="0" fontId="22" fillId="0" borderId="0" xfId="0" applyFont="1" applyAlignment="1">
      <alignment vertical="center"/>
    </xf>
    <xf numFmtId="0" fontId="23" fillId="0" borderId="0" xfId="0" applyFont="1"/>
    <xf numFmtId="2" fontId="11" fillId="6" borderId="5" xfId="0" applyNumberFormat="1" applyFont="1" applyFill="1" applyBorder="1" applyAlignment="1">
      <alignment horizontal="left"/>
    </xf>
    <xf numFmtId="2" fontId="10" fillId="4" borderId="5" xfId="0" applyNumberFormat="1" applyFont="1" applyFill="1" applyBorder="1" applyAlignment="1">
      <alignment horizontal="left"/>
    </xf>
    <xf numFmtId="0" fontId="3" fillId="7" borderId="22" xfId="0" applyFont="1" applyFill="1" applyBorder="1" applyAlignment="1">
      <alignment horizontal="left"/>
    </xf>
    <xf numFmtId="0" fontId="3" fillId="7" borderId="22" xfId="0" applyFont="1" applyFill="1" applyBorder="1"/>
    <xf numFmtId="165" fontId="8" fillId="0" borderId="7" xfId="0" applyNumberFormat="1" applyFont="1" applyBorder="1"/>
    <xf numFmtId="0" fontId="8" fillId="0" borderId="8" xfId="0" applyFont="1" applyBorder="1"/>
    <xf numFmtId="0" fontId="8" fillId="0" borderId="10" xfId="0" applyFont="1" applyBorder="1"/>
    <xf numFmtId="165" fontId="8" fillId="6" borderId="7" xfId="0" applyNumberFormat="1" applyFont="1" applyFill="1" applyBorder="1"/>
    <xf numFmtId="0" fontId="8" fillId="6" borderId="8" xfId="0" applyFont="1" applyFill="1" applyBorder="1"/>
    <xf numFmtId="0" fontId="8" fillId="6" borderId="10" xfId="0" applyFont="1" applyFill="1" applyBorder="1"/>
    <xf numFmtId="165" fontId="5" fillId="7" borderId="18" xfId="0" applyNumberFormat="1" applyFont="1" applyFill="1" applyBorder="1"/>
    <xf numFmtId="1" fontId="5" fillId="7" borderId="19" xfId="0" applyNumberFormat="1" applyFont="1" applyFill="1" applyBorder="1"/>
    <xf numFmtId="165" fontId="8" fillId="0" borderId="9" xfId="0" applyNumberFormat="1" applyFont="1" applyBorder="1"/>
    <xf numFmtId="2" fontId="8" fillId="0" borderId="20" xfId="0" applyNumberFormat="1" applyFont="1" applyBorder="1"/>
    <xf numFmtId="2" fontId="8" fillId="0" borderId="9" xfId="0" applyNumberFormat="1" applyFont="1" applyBorder="1"/>
    <xf numFmtId="0" fontId="8" fillId="0" borderId="20" xfId="0" applyFont="1" applyBorder="1"/>
    <xf numFmtId="165" fontId="8" fillId="0" borderId="0" xfId="0" applyNumberFormat="1" applyFont="1"/>
    <xf numFmtId="0" fontId="8" fillId="0" borderId="17" xfId="0" applyFont="1" applyBorder="1" applyAlignment="1">
      <alignment horizontal="left"/>
    </xf>
    <xf numFmtId="165" fontId="8" fillId="0" borderId="17" xfId="0" applyNumberFormat="1" applyFont="1" applyBorder="1"/>
    <xf numFmtId="165" fontId="8" fillId="6" borderId="17" xfId="0" applyNumberFormat="1" applyFont="1" applyFill="1" applyBorder="1"/>
    <xf numFmtId="164" fontId="5" fillId="7" borderId="17" xfId="2" applyFont="1" applyFill="1" applyBorder="1" applyAlignment="1">
      <alignment horizontal="left"/>
    </xf>
    <xf numFmtId="165" fontId="5" fillId="7" borderId="17" xfId="2" applyNumberFormat="1" applyFont="1" applyFill="1" applyBorder="1" applyAlignment="1">
      <alignment horizontal="right"/>
    </xf>
    <xf numFmtId="165" fontId="5" fillId="7" borderId="17" xfId="2" applyNumberFormat="1" applyFont="1" applyFill="1" applyBorder="1"/>
    <xf numFmtId="169" fontId="8" fillId="0" borderId="17" xfId="2" applyNumberFormat="1" applyFont="1" applyBorder="1" applyAlignment="1">
      <alignment vertical="center"/>
    </xf>
    <xf numFmtId="169" fontId="8" fillId="6" borderId="17" xfId="2" applyNumberFormat="1" applyFont="1" applyFill="1" applyBorder="1" applyAlignment="1">
      <alignment vertical="center"/>
    </xf>
    <xf numFmtId="169" fontId="5" fillId="7" borderId="17" xfId="0" applyNumberFormat="1" applyFont="1" applyFill="1" applyBorder="1"/>
    <xf numFmtId="169" fontId="8" fillId="0" borderId="17" xfId="0" applyNumberFormat="1" applyFont="1" applyBorder="1"/>
    <xf numFmtId="0" fontId="15" fillId="9" borderId="12" xfId="0" applyFont="1" applyFill="1" applyBorder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/>
    </xf>
    <xf numFmtId="0" fontId="3" fillId="11" borderId="11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2" borderId="14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</cellXfs>
  <cellStyles count="7">
    <cellStyle name="Check Cell" xfId="1" builtinId="23"/>
    <cellStyle name="Check Cell 2" xfId="5" xr:uid="{8C11008F-EEE5-4D2E-8674-C509A87EC975}"/>
    <cellStyle name="Čiarka 2" xfId="3" xr:uid="{5137E21B-8B51-4236-9D66-1E2FB5DF4B7A}"/>
    <cellStyle name="Comma" xfId="2" builtinId="3"/>
    <cellStyle name="Normal" xfId="0" builtinId="0"/>
    <cellStyle name="Normal 2" xfId="6" xr:uid="{0659CAAB-08B3-4A68-9F60-63436969D0C0}"/>
    <cellStyle name="Normal 3 2" xfId="4" xr:uid="{BB4B46D9-43E2-4E8C-98D6-753AB94CEA7B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'Withdr Oct-March'!$C$1</c:f>
              <c:strCache>
                <c:ptCount val="1"/>
                <c:pt idx="0">
                  <c:v>Withdrawal October - March (GWh)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'Withdr Oct-March'!$A$7:$A$12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'Withdr Oct-March'!$C$7:$C$12</c:f>
              <c:numCache>
                <c:formatCode>0.0</c:formatCode>
                <c:ptCount val="6"/>
                <c:pt idx="0">
                  <c:v>490.46090000000004</c:v>
                </c:pt>
                <c:pt idx="1">
                  <c:v>700.06523999999968</c:v>
                </c:pt>
                <c:pt idx="2">
                  <c:v>713.96791999999994</c:v>
                </c:pt>
                <c:pt idx="3">
                  <c:v>439.09649000000013</c:v>
                </c:pt>
                <c:pt idx="4">
                  <c:v>470.56928000000005</c:v>
                </c:pt>
                <c:pt idx="5">
                  <c:v>720.14953000000003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D-43FB-92F3-A7271F64C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587701743"/>
        <c:axId val="587702159"/>
        <c:axId val="0"/>
      </c:bar3DChart>
      <c:catAx>
        <c:axId val="5877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87702159"/>
        <c:crosses val="autoZero"/>
        <c:auto val="1"/>
        <c:lblAlgn val="ctr"/>
        <c:lblOffset val="100"/>
        <c:noMultiLvlLbl val="0"/>
      </c:catAx>
      <c:valAx>
        <c:axId val="587702159"/>
        <c:scaling>
          <c:orientation val="minMax"/>
        </c:scaling>
        <c:delete val="0"/>
        <c:axPos val="l"/>
        <c:majorGridlines>
          <c:spPr>
            <a:ln w="317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87701743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08E319-A0FA-4636-A179-3C9AC3982A88}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0</xdr:row>
      <xdr:rowOff>57150</xdr:rowOff>
    </xdr:from>
    <xdr:to>
      <xdr:col>2</xdr:col>
      <xdr:colOff>152401</xdr:colOff>
      <xdr:row>2</xdr:row>
      <xdr:rowOff>295275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AED476-5CB7-479C-9F25-1BFC3900B3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t="13821" r="3415" b="19512"/>
        <a:stretch/>
      </xdr:blipFill>
      <xdr:spPr>
        <a:xfrm>
          <a:off x="95251" y="57150"/>
          <a:ext cx="1885950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B0BCA-0CC8-4B28-B8C7-B6684993BA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ogdan Simion" id="{6365142D-37B6-4284-A637-DB628F80E6E9}" userId="Bogdan Simion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gdan Simion" refreshedDate="44404.45340150463" createdVersion="6" refreshedVersion="7" minRefreshableVersion="3" recordCount="256" xr:uid="{9D5ADF35-D670-463B-8240-5628F4266086}">
  <cacheSource type="worksheet">
    <worksheetSource ref="A4:AA260" sheet="Storage DB "/>
  </cacheSource>
  <cacheFields count="27">
    <cacheField name="Country" numFmtId="0">
      <sharedItems count="25">
        <s v="Austria"/>
        <s v="Belarus"/>
        <s v="Belgium"/>
        <s v="Bulgaria"/>
        <s v="Croatia"/>
        <s v="Czech Republic"/>
        <s v="Denmark"/>
        <s v="France"/>
        <s v="Germany"/>
        <s v="Greece"/>
        <s v="Hungary"/>
        <s v="Italy"/>
        <s v="Latvia"/>
        <s v="Netherlands"/>
        <s v="Poland"/>
        <s v="Portugal"/>
        <s v="Romania"/>
        <s v="Russian Federation"/>
        <s v="Serbia"/>
        <s v="Slovakia"/>
        <s v="Spain"/>
        <s v="Sweden"/>
        <s v="Turkey"/>
        <s v="Ukraine"/>
        <s v="United Kingdom"/>
      </sharedItems>
    </cacheField>
    <cacheField name="Concatenate" numFmtId="0">
      <sharedItems/>
    </cacheField>
    <cacheField name="Country Code" numFmtId="0">
      <sharedItems/>
    </cacheField>
    <cacheField name="Company code" numFmtId="0">
      <sharedItems containsSemiMixedTypes="0" containsString="0" containsNumber="1" containsInteger="1" minValue="1" maxValue="30"/>
    </cacheField>
    <cacheField name="Facility code" numFmtId="0">
      <sharedItems containsBlank="1" containsMixedTypes="1" containsNumber="1" containsInteger="1" minValue="1" maxValue="19"/>
    </cacheField>
    <cacheField name="Operator" numFmtId="0">
      <sharedItems/>
    </cacheField>
    <cacheField name="Facility/Location" numFmtId="0">
      <sharedItems/>
    </cacheField>
    <cacheField name="Status" numFmtId="0">
      <sharedItems count="4">
        <s v="operational"/>
        <s v="under construction"/>
        <s v="planned"/>
        <s v="closed"/>
      </sharedItems>
    </cacheField>
    <cacheField name="Investment" numFmtId="0">
      <sharedItems/>
    </cacheField>
    <cacheField name="Start-up_x000a_year" numFmtId="0">
      <sharedItems containsString="0" containsBlank="1" containsNumber="1" containsInteger="1" minValue="1956" maxValue="2026"/>
    </cacheField>
    <cacheField name="Closing year" numFmtId="0">
      <sharedItems containsString="0" containsBlank="1" containsNumber="1" containsInteger="1" minValue="2018" maxValue="2018"/>
    </cacheField>
    <cacheField name="Type" numFmtId="0">
      <sharedItems count="5">
        <s v="Depleted field"/>
        <s v="Salt cavern"/>
        <s v="Aquifer"/>
        <s v="Rock Cavern"/>
        <s v="VGS - multiple types"/>
      </sharedItems>
    </cacheField>
    <cacheField name="Notes" numFmtId="0">
      <sharedItems containsBlank="1"/>
    </cacheField>
    <cacheField name="onshore/_x000a_offshore" numFmtId="0">
      <sharedItems containsBlank="1"/>
    </cacheField>
    <cacheField name="Working gas_x000a_(technical) TWh" numFmtId="0">
      <sharedItems containsString="0" containsBlank="1" containsNumber="1" minValue="-4.9999999999972289E-4" maxValue="327.92"/>
    </cacheField>
    <cacheField name="Working gas_x000a_TPA_x000a_TWh" numFmtId="0">
      <sharedItems containsString="0" containsBlank="1" containsNumber="1" minValue="-4.9999999999972289E-4" maxValue="327.92"/>
    </cacheField>
    <cacheField name="Working gas_x000a_no TPA_x000a_TWh" numFmtId="0">
      <sharedItems containsString="0" containsBlank="1" containsNumber="1" minValue="0" maxValue="59.338500000000003"/>
    </cacheField>
    <cacheField name="Injection_x000a_technical_x000a_GWh/day" numFmtId="0">
      <sharedItems containsString="0" containsBlank="1" containsNumber="1" minValue="0" maxValue="2673.75"/>
    </cacheField>
    <cacheField name="Injection_x000a_TPA_x000a_GWh/day" numFmtId="0">
      <sharedItems containsString="0" containsBlank="1" containsNumber="1" minValue="0" maxValue="2673.75"/>
    </cacheField>
    <cacheField name="Injection_x000a_no TPA_x000a_GWh/day" numFmtId="0">
      <sharedItems containsString="0" containsBlank="1" containsNumber="1" minValue="0" maxValue="448.75"/>
    </cacheField>
    <cacheField name="Withdrawal_x000a_technical_x000a_GWh/day" numFmtId="0">
      <sharedItems containsString="0" containsBlank="1" containsNumber="1" minValue="0" maxValue="2755.76"/>
    </cacheField>
    <cacheField name="Withdrawal_x000a_TPA_x000a_GWh/day" numFmtId="0">
      <sharedItems containsString="0" containsBlank="1" containsNumber="1" minValue="0" maxValue="2755.76"/>
    </cacheField>
    <cacheField name="Withdrawal_x000a_no TPA_x000a_GWh/day" numFmtId="0">
      <sharedItems containsString="0" containsBlank="1" containsNumber="1" minValue="0" maxValue="791.18"/>
    </cacheField>
    <cacheField name="Access_x000a_regime" numFmtId="0">
      <sharedItems/>
    </cacheField>
    <cacheField name="in number" numFmtId="0">
      <sharedItems count="2">
        <s v="y"/>
        <s v="n"/>
      </sharedItems>
    </cacheField>
    <cacheField name="in sum" numFmtId="0">
      <sharedItems count="2">
        <s v="y"/>
        <s v="n"/>
      </sharedItems>
    </cacheField>
    <cacheField name="EU filter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x v="0"/>
    <s v="AT0101"/>
    <s v="AT"/>
    <n v="1"/>
    <n v="1"/>
    <s v="Astora"/>
    <s v="Haidach"/>
    <x v="0"/>
    <s v="existing"/>
    <n v="2007"/>
    <m/>
    <x v="0"/>
    <s v="Gas"/>
    <s v="Onshore"/>
    <n v="11.034509999999999"/>
    <n v="11.034509999999999"/>
    <m/>
    <n v="99.18"/>
    <n v="99.18"/>
    <m/>
    <n v="104.5856"/>
    <n v="104.5856"/>
    <m/>
    <s v="TPA"/>
    <x v="0"/>
    <x v="0"/>
    <x v="0"/>
  </r>
  <r>
    <x v="0"/>
    <s v="AT0201"/>
    <s v="AT"/>
    <n v="2"/>
    <n v="1"/>
    <s v="GSA"/>
    <s v="Haidach"/>
    <x v="0"/>
    <s v="existing"/>
    <n v="2007"/>
    <m/>
    <x v="0"/>
    <s v="Gas"/>
    <s v="Onshore"/>
    <n v="21.318899999999999"/>
    <n v="21.318899999999999"/>
    <m/>
    <n v="184.66"/>
    <n v="184.66"/>
    <m/>
    <n v="208.98"/>
    <n v="208.98"/>
    <m/>
    <s v="TPA"/>
    <x v="0"/>
    <x v="0"/>
    <x v="0"/>
  </r>
  <r>
    <x v="0"/>
    <s v="AT0301"/>
    <s v="AT"/>
    <n v="3"/>
    <n v="1"/>
    <s v="OMV Gas Storage"/>
    <s v="Schönkirchen/Reyersdorf"/>
    <x v="0"/>
    <s v="existing"/>
    <n v="1977"/>
    <m/>
    <x v="0"/>
    <s v="Gas"/>
    <s v="Onshore"/>
    <n v="20.7242"/>
    <n v="20.7242"/>
    <m/>
    <n v="176.28"/>
    <n v="176.28"/>
    <n v="0"/>
    <n v="260.35200000000003"/>
    <n v="260.35200000000003"/>
    <m/>
    <s v="TPA"/>
    <x v="0"/>
    <x v="0"/>
    <x v="0"/>
  </r>
  <r>
    <x v="0"/>
    <s v="AT0302"/>
    <s v="AT"/>
    <n v="3"/>
    <n v="2"/>
    <s v="OMV Gas Storage"/>
    <s v="Tallesbrunn"/>
    <x v="0"/>
    <s v="existing"/>
    <n v="1974"/>
    <m/>
    <x v="0"/>
    <s v="Gas"/>
    <s v="Onshore"/>
    <n v="4.5199999999999996"/>
    <n v="4.5199999999999996"/>
    <m/>
    <n v="33.9"/>
    <n v="33.9"/>
    <n v="0"/>
    <n v="43.392000000000003"/>
    <n v="43.392000000000003"/>
    <m/>
    <s v="TPA"/>
    <x v="0"/>
    <x v="0"/>
    <x v="0"/>
  </r>
  <r>
    <x v="0"/>
    <s v="AT0300"/>
    <s v="AT"/>
    <n v="3"/>
    <m/>
    <s v="OMV Gas Storage"/>
    <s v="VGS OMV Gas Storage Pool"/>
    <x v="0"/>
    <s v="existing"/>
    <m/>
    <m/>
    <x v="0"/>
    <s v="Gas"/>
    <s v="Onshore"/>
    <n v="25.244199999999999"/>
    <n v="25.244199999999999"/>
    <m/>
    <n v="210.18"/>
    <n v="210.18"/>
    <n v="0"/>
    <n v="303.74"/>
    <n v="303.74"/>
    <m/>
    <s v="TPA"/>
    <x v="1"/>
    <x v="1"/>
    <x v="0"/>
  </r>
  <r>
    <x v="0"/>
    <s v="AT0401"/>
    <s v="AT"/>
    <n v="4"/>
    <n v="1"/>
    <s v="RAG.Energy.Storage"/>
    <s v="Aigelsbrunn"/>
    <x v="0"/>
    <s v="existing"/>
    <n v="2011"/>
    <m/>
    <x v="0"/>
    <s v="Gas"/>
    <s v="Onshore"/>
    <n v="1.5"/>
    <n v="1.5"/>
    <m/>
    <n v="13.607999999999999"/>
    <n v="13.607999999999999"/>
    <m/>
    <n v="13.607999999999999"/>
    <n v="13.607999999999999"/>
    <m/>
    <s v="TPA"/>
    <x v="0"/>
    <x v="0"/>
    <x v="0"/>
  </r>
  <r>
    <x v="0"/>
    <s v="AT0402"/>
    <s v="AT"/>
    <n v="4"/>
    <n v="2"/>
    <s v="RAG.Energy.Storage"/>
    <s v="Haidach 5"/>
    <x v="0"/>
    <s v="existing"/>
    <n v="2006"/>
    <m/>
    <x v="0"/>
    <s v="Gas"/>
    <s v="Onshore"/>
    <n v="0.18099999999999999"/>
    <n v="0.18099999999999999"/>
    <m/>
    <n v="5.4480000000000004"/>
    <n v="5.4480000000000004"/>
    <m/>
    <n v="5.4480000000000004"/>
    <n v="5.4480000000000004"/>
    <m/>
    <s v="TPA"/>
    <x v="0"/>
    <x v="0"/>
    <x v="0"/>
  </r>
  <r>
    <x v="0"/>
    <s v="AT0403"/>
    <s v="AT"/>
    <n v="4"/>
    <n v="3"/>
    <s v="RAG.Energy.Storage"/>
    <s v="Nussdorf/Zagling"/>
    <x v="0"/>
    <s v="existing"/>
    <n v="2014"/>
    <m/>
    <x v="0"/>
    <s v="Gas"/>
    <s v="Onshore"/>
    <n v="6.2"/>
    <n v="6.2"/>
    <m/>
    <n v="40.799999999999997"/>
    <n v="40.799999999999997"/>
    <m/>
    <n v="62.400000000000006"/>
    <n v="62.400000000000006"/>
    <m/>
    <s v="TPA"/>
    <x v="0"/>
    <x v="0"/>
    <x v="0"/>
  </r>
  <r>
    <x v="0"/>
    <s v="AT0404"/>
    <s v="AT"/>
    <n v="4"/>
    <n v="4"/>
    <s v="RAG.Energy.Storage"/>
    <s v="Puchkirchen/Haag"/>
    <x v="0"/>
    <s v="existing"/>
    <n v="1982"/>
    <m/>
    <x v="0"/>
    <s v="Gas"/>
    <s v="Onshore"/>
    <n v="12.2"/>
    <n v="11.632999999999999"/>
    <n v="0.56699999999999995"/>
    <n v="141.6"/>
    <n v="139.19999999999999"/>
    <n v="2.4"/>
    <n v="141.6"/>
    <n v="139.19999999999999"/>
    <n v="2.4"/>
    <s v="TPA"/>
    <x v="0"/>
    <x v="0"/>
    <x v="0"/>
  </r>
  <r>
    <x v="0"/>
    <s v="AT0400"/>
    <s v="AT"/>
    <n v="4"/>
    <m/>
    <s v="RAG.Energy.Storage"/>
    <s v="RAG Storage  (storage group)"/>
    <x v="0"/>
    <s v="existing"/>
    <m/>
    <m/>
    <x v="0"/>
    <s v="Gas"/>
    <s v="Onshore"/>
    <n v="20.081"/>
    <n v="19.513999999999999"/>
    <n v="0.56699999999999995"/>
    <n v="201.45599999999999"/>
    <n v="199.05599999999998"/>
    <n v="2.4"/>
    <n v="223.05600000000001"/>
    <n v="220.65600000000001"/>
    <n v="2.4"/>
    <s v="TPA"/>
    <x v="1"/>
    <x v="1"/>
    <x v="0"/>
  </r>
  <r>
    <x v="0"/>
    <s v="AT0501"/>
    <s v="AT"/>
    <n v="5"/>
    <n v="1"/>
    <s v="Uniper Energy Storage"/>
    <s v="7 Fields"/>
    <x v="0"/>
    <s v="existing"/>
    <n v="2011"/>
    <m/>
    <x v="0"/>
    <s v="Gas"/>
    <s v="Onshore"/>
    <n v="17.510000000000002"/>
    <n v="17.510000000000002"/>
    <m/>
    <n v="145.96"/>
    <n v="145.96"/>
    <m/>
    <n v="218.94"/>
    <n v="218.94"/>
    <m/>
    <s v="TPA"/>
    <x v="0"/>
    <x v="0"/>
    <x v="0"/>
  </r>
  <r>
    <x v="1"/>
    <s v="BY0101"/>
    <s v="BY"/>
    <n v="1"/>
    <n v="1"/>
    <s v="Gazprom Transgaz Belarus"/>
    <s v="Mozyrskoye"/>
    <x v="0"/>
    <s v="existing"/>
    <n v="2008"/>
    <m/>
    <x v="1"/>
    <m/>
    <s v="Onshore"/>
    <n v="5.5149999999999997"/>
    <n v="5.5149999999999997"/>
    <m/>
    <n v="0"/>
    <m/>
    <m/>
    <n v="220.6"/>
    <n v="220.6"/>
    <m/>
    <s v="TPA"/>
    <x v="0"/>
    <x v="0"/>
    <x v="1"/>
  </r>
  <r>
    <x v="1"/>
    <s v="BY0102"/>
    <s v="BY"/>
    <n v="1"/>
    <n v="2"/>
    <s v="Gazprom Transgaz Belarus"/>
    <s v="Mozyrskoye"/>
    <x v="1"/>
    <s v="extension"/>
    <m/>
    <m/>
    <x v="1"/>
    <m/>
    <s v="Onshore"/>
    <n v="5.5149999999999997"/>
    <n v="5.5149999999999997"/>
    <m/>
    <n v="0"/>
    <m/>
    <m/>
    <n v="0"/>
    <m/>
    <m/>
    <s v="TPA"/>
    <x v="1"/>
    <x v="0"/>
    <x v="1"/>
  </r>
  <r>
    <x v="1"/>
    <s v="BY0103"/>
    <s v="BY"/>
    <n v="1"/>
    <n v="3"/>
    <s v="Gazprom Transgaz Belarus"/>
    <s v="Osipovichskoye"/>
    <x v="0"/>
    <s v="existing"/>
    <n v="1976"/>
    <m/>
    <x v="2"/>
    <m/>
    <s v="Onshore"/>
    <n v="3.1865999999999999"/>
    <n v="3.1865999999999999"/>
    <m/>
    <n v="0"/>
    <m/>
    <m/>
    <n v="44.12"/>
    <n v="44.12"/>
    <m/>
    <s v="TPA"/>
    <x v="0"/>
    <x v="0"/>
    <x v="1"/>
  </r>
  <r>
    <x v="1"/>
    <s v="BY0104"/>
    <s v="BY"/>
    <n v="1"/>
    <n v="4"/>
    <s v="Gazprom Transgaz Belarus"/>
    <s v="Pribugskoye"/>
    <x v="0"/>
    <s v="existing"/>
    <n v="2000"/>
    <m/>
    <x v="0"/>
    <s v="Gas"/>
    <s v="Onshore"/>
    <n v="6.6180000000000003"/>
    <n v="6.6180000000000003"/>
    <m/>
    <n v="0"/>
    <m/>
    <m/>
    <n v="52.943999999999996"/>
    <n v="52.943999999999996"/>
    <m/>
    <s v="TPA"/>
    <x v="0"/>
    <x v="0"/>
    <x v="1"/>
  </r>
  <r>
    <x v="2"/>
    <s v="BE0101"/>
    <s v="BE"/>
    <n v="1"/>
    <n v="1"/>
    <s v="Fluxys"/>
    <s v="Loenhout"/>
    <x v="0"/>
    <s v="existing"/>
    <n v="1985"/>
    <m/>
    <x v="2"/>
    <m/>
    <s v="Onshore"/>
    <n v="9.0013000000000005"/>
    <n v="9.0013000000000005"/>
    <m/>
    <n v="88.14"/>
    <n v="88.14"/>
    <m/>
    <n v="169.5"/>
    <n v="169.5"/>
    <m/>
    <s v="rTPA"/>
    <x v="0"/>
    <x v="0"/>
    <x v="0"/>
  </r>
  <r>
    <x v="3"/>
    <s v="BG0101"/>
    <s v="BG"/>
    <n v="1"/>
    <n v="1"/>
    <s v="Bulgartransgaz"/>
    <s v="Chiren"/>
    <x v="0"/>
    <s v="existing"/>
    <n v="1974"/>
    <m/>
    <x v="0"/>
    <s v="Gas"/>
    <s v="Onshore"/>
    <n v="5.8"/>
    <n v="5.8"/>
    <n v="0.95"/>
    <n v="38.18"/>
    <n v="38.18"/>
    <m/>
    <n v="40.299999999999997"/>
    <n v="40.299999999999997"/>
    <m/>
    <s v="rTPA"/>
    <x v="0"/>
    <x v="0"/>
    <x v="0"/>
  </r>
  <r>
    <x v="3"/>
    <s v="BG0102"/>
    <s v="BG"/>
    <n v="1"/>
    <n v="2"/>
    <s v="Bulgartransgaz"/>
    <s v="Chiren"/>
    <x v="2"/>
    <s v="extension"/>
    <n v="2026"/>
    <m/>
    <x v="0"/>
    <s v="Gas"/>
    <s v="Onshore"/>
    <n v="4.75"/>
    <n v="4.75"/>
    <m/>
    <n v="46.22"/>
    <n v="46.22"/>
    <m/>
    <n v="44.1"/>
    <n v="44.1"/>
    <m/>
    <s v="rTPA"/>
    <x v="1"/>
    <x v="0"/>
    <x v="0"/>
  </r>
  <r>
    <x v="4"/>
    <s v="HR0101"/>
    <s v="HR"/>
    <n v="1"/>
    <n v="1"/>
    <s v="PSP"/>
    <s v="Okoli"/>
    <x v="0"/>
    <s v="existing"/>
    <n v="1988"/>
    <m/>
    <x v="0"/>
    <s v="Oil"/>
    <s v="Onshore"/>
    <n v="5.2164000000000001"/>
    <n v="5"/>
    <n v="0.21640000000000015"/>
    <n v="42.28"/>
    <n v="42.28"/>
    <m/>
    <n v="56.37"/>
    <n v="60.57"/>
    <m/>
    <s v="rTPA"/>
    <x v="0"/>
    <x v="0"/>
    <x v="0"/>
  </r>
  <r>
    <x v="4"/>
    <s v="HR0102"/>
    <s v="HR"/>
    <n v="1"/>
    <n v="2"/>
    <s v="PSP"/>
    <s v="Grubisno Polje"/>
    <x v="2"/>
    <s v="new facility"/>
    <n v="2022"/>
    <m/>
    <x v="0"/>
    <s v="Gas"/>
    <s v="Onshore"/>
    <n v="0.28499999999999998"/>
    <n v="0.28499999999999998"/>
    <m/>
    <n v="15.959999999999999"/>
    <n v="15.959999999999999"/>
    <m/>
    <n v="27.36"/>
    <n v="27.36"/>
    <m/>
    <s v="rTPA"/>
    <x v="0"/>
    <x v="0"/>
    <x v="0"/>
  </r>
  <r>
    <x v="5"/>
    <s v="CZ0101"/>
    <s v="CZ"/>
    <n v="1"/>
    <n v="1"/>
    <s v="RWE Gas Storage"/>
    <s v="Dolni Dunajovice"/>
    <x v="0"/>
    <s v="existing"/>
    <n v="1989"/>
    <m/>
    <x v="0"/>
    <s v="Gas"/>
    <s v="Onshore"/>
    <n v="0"/>
    <m/>
    <m/>
    <n v="0"/>
    <m/>
    <m/>
    <n v="0"/>
    <m/>
    <m/>
    <s v="TPA"/>
    <x v="0"/>
    <x v="1"/>
    <x v="0"/>
  </r>
  <r>
    <x v="5"/>
    <s v="CZ0102"/>
    <s v="CZ"/>
    <n v="1"/>
    <n v="2"/>
    <s v="RWE Gas Storage"/>
    <s v="Háje"/>
    <x v="0"/>
    <s v="existing"/>
    <n v="1998"/>
    <m/>
    <x v="3"/>
    <s v="Rock cavern"/>
    <s v="Onshore"/>
    <n v="0"/>
    <m/>
    <m/>
    <n v="0"/>
    <m/>
    <m/>
    <n v="0"/>
    <m/>
    <m/>
    <s v="TPA"/>
    <x v="0"/>
    <x v="1"/>
    <x v="0"/>
  </r>
  <r>
    <x v="5"/>
    <s v="CZ0103"/>
    <s v="CZ"/>
    <n v="1"/>
    <n v="3"/>
    <s v="RWE Gas Storage"/>
    <s v="Lobodice"/>
    <x v="0"/>
    <s v="existing"/>
    <n v="1965"/>
    <m/>
    <x v="2"/>
    <m/>
    <s v="Onshore"/>
    <n v="0"/>
    <m/>
    <m/>
    <n v="0"/>
    <m/>
    <m/>
    <n v="0"/>
    <m/>
    <m/>
    <s v="TPA"/>
    <x v="0"/>
    <x v="1"/>
    <x v="0"/>
  </r>
  <r>
    <x v="5"/>
    <s v="CZ0104"/>
    <s v="CZ"/>
    <n v="1"/>
    <n v="4"/>
    <s v="RWE Gas Storage"/>
    <s v="Štramberk"/>
    <x v="0"/>
    <s v="existing"/>
    <n v="1983"/>
    <m/>
    <x v="0"/>
    <s v="Gas"/>
    <s v="Onshore"/>
    <n v="0"/>
    <m/>
    <m/>
    <n v="0"/>
    <m/>
    <m/>
    <n v="0"/>
    <m/>
    <m/>
    <s v="TPA"/>
    <x v="0"/>
    <x v="1"/>
    <x v="0"/>
  </r>
  <r>
    <x v="5"/>
    <s v="CZ0105"/>
    <s v="CZ"/>
    <n v="1"/>
    <n v="5"/>
    <s v="RWE Gas Storage"/>
    <s v="Třanovice"/>
    <x v="0"/>
    <s v="existing"/>
    <n v="2000"/>
    <m/>
    <x v="0"/>
    <s v="Gas"/>
    <s v="Onshore"/>
    <n v="0"/>
    <m/>
    <m/>
    <n v="0"/>
    <m/>
    <m/>
    <n v="0"/>
    <m/>
    <m/>
    <s v="TPA"/>
    <x v="0"/>
    <x v="1"/>
    <x v="0"/>
  </r>
  <r>
    <x v="5"/>
    <s v="CZ0106"/>
    <s v="CZ"/>
    <n v="1"/>
    <n v="6"/>
    <s v="RWE Gas Storage"/>
    <s v="Tvrdonice"/>
    <x v="0"/>
    <s v="existing"/>
    <n v="1975"/>
    <m/>
    <x v="0"/>
    <s v="Gas"/>
    <s v="Onshore"/>
    <n v="0"/>
    <m/>
    <m/>
    <n v="0"/>
    <m/>
    <m/>
    <n v="0"/>
    <m/>
    <m/>
    <s v="TPA"/>
    <x v="0"/>
    <x v="1"/>
    <x v="0"/>
  </r>
  <r>
    <x v="5"/>
    <s v="CZ0107"/>
    <s v="CZ"/>
    <n v="1"/>
    <m/>
    <s v="RWE Gas Storage"/>
    <s v="VGS RWE virtual storage (storage group)"/>
    <x v="0"/>
    <s v="existing"/>
    <m/>
    <m/>
    <x v="4"/>
    <m/>
    <m/>
    <n v="29"/>
    <n v="29"/>
    <m/>
    <n v="323"/>
    <n v="323"/>
    <m/>
    <n v="423"/>
    <n v="423"/>
    <m/>
    <s v="TPA"/>
    <x v="1"/>
    <x v="0"/>
    <x v="0"/>
  </r>
  <r>
    <x v="5"/>
    <s v="CZ0201"/>
    <s v="CZ"/>
    <n v="2"/>
    <n v="1"/>
    <s v="MND Gas Storage"/>
    <s v="Uhřice"/>
    <x v="0"/>
    <s v="existing"/>
    <n v="2001"/>
    <m/>
    <x v="0"/>
    <s v="Oil/gas"/>
    <s v="Onshore"/>
    <n v="3.1920000000000002"/>
    <n v="3.1920000000000002"/>
    <m/>
    <n v="57.665999999999997"/>
    <n v="57.665999999999997"/>
    <m/>
    <n v="107.20699999999999"/>
    <n v="107.20699999999999"/>
    <m/>
    <s v="TPA"/>
    <x v="0"/>
    <x v="0"/>
    <x v="0"/>
  </r>
  <r>
    <x v="5"/>
    <s v="CZ0201"/>
    <s v="CZ"/>
    <n v="2"/>
    <n v="1"/>
    <s v="MND Gas Storage"/>
    <s v="Uhřice"/>
    <x v="2"/>
    <s v="extension"/>
    <n v="2025"/>
    <m/>
    <x v="0"/>
    <s v="Oil/gas"/>
    <s v="Onshore"/>
    <n v="0.43223999999999996"/>
    <n v="0.43223999999999996"/>
    <m/>
    <n v="57.665999999999997"/>
    <n v="57.665999999999997"/>
    <m/>
    <n v="107.20699999999999"/>
    <n v="107.20699999999999"/>
    <m/>
    <s v="TPA"/>
    <x v="1"/>
    <x v="0"/>
    <x v="0"/>
  </r>
  <r>
    <x v="5"/>
    <s v="CZ0301"/>
    <s v="CZ"/>
    <n v="3"/>
    <n v="1"/>
    <s v="Moravia Gas Storage"/>
    <s v="Dambořice"/>
    <x v="0"/>
    <s v="existing"/>
    <n v="2016"/>
    <m/>
    <x v="0"/>
    <s v="Oil"/>
    <s v="Onshore"/>
    <n v="1.2426899999999999"/>
    <n v="1.2426899999999999"/>
    <m/>
    <n v="32.417999999999999"/>
    <n v="32.417999999999999"/>
    <m/>
    <n v="43.223999999999997"/>
    <n v="43.223999999999997"/>
    <m/>
    <s v="TPA"/>
    <x v="0"/>
    <x v="0"/>
    <x v="0"/>
  </r>
  <r>
    <x v="5"/>
    <s v="CZ0302"/>
    <s v="CZ"/>
    <n v="3"/>
    <n v="2"/>
    <s v="Moravia Gas Storage"/>
    <s v="Dambořice"/>
    <x v="0"/>
    <s v="extension"/>
    <n v="2017"/>
    <m/>
    <x v="0"/>
    <s v="Oil"/>
    <s v="Onshore"/>
    <n v="0.81044999999999989"/>
    <n v="0.81044999999999989"/>
    <m/>
    <n v="5.4029999999999996"/>
    <n v="5.4029999999999996"/>
    <m/>
    <n v="5.4029999999999996"/>
    <n v="5.4029999999999996"/>
    <m/>
    <s v="TPA"/>
    <x v="1"/>
    <x v="0"/>
    <x v="0"/>
  </r>
  <r>
    <x v="5"/>
    <s v="CZ0302"/>
    <s v="CZ"/>
    <n v="3"/>
    <n v="2"/>
    <s v="Moravia Gas Storage"/>
    <s v="Dambořice"/>
    <x v="0"/>
    <s v="extension"/>
    <n v="2018"/>
    <m/>
    <x v="0"/>
    <s v="Oil"/>
    <s v="Onshore"/>
    <n v="0.86447999999999992"/>
    <n v="0.86447999999999992"/>
    <m/>
    <n v="10.805999999999999"/>
    <n v="10.805999999999999"/>
    <m/>
    <n v="32.417999999999999"/>
    <n v="32.417999999999999"/>
    <m/>
    <s v="TPA"/>
    <x v="1"/>
    <x v="0"/>
    <x v="0"/>
  </r>
  <r>
    <x v="5"/>
    <s v="CZ0302"/>
    <s v="CZ"/>
    <n v="3"/>
    <n v="2"/>
    <s v="Moravia Gas Storage"/>
    <s v="Dambořice"/>
    <x v="0"/>
    <s v="extension"/>
    <n v="2019"/>
    <m/>
    <x v="0"/>
    <s v="Oil"/>
    <s v="Onshore"/>
    <n v="0.41062799999999999"/>
    <n v="0.41062799999999999"/>
    <m/>
    <n v="0"/>
    <n v="0"/>
    <m/>
    <n v="0"/>
    <n v="0"/>
    <m/>
    <s v="TPA"/>
    <x v="1"/>
    <x v="0"/>
    <x v="0"/>
  </r>
  <r>
    <x v="5"/>
    <s v="CZ0303"/>
    <s v="CZ"/>
    <n v="3"/>
    <n v="3"/>
    <s v="Moravia Gas Storage"/>
    <s v="Dambořice"/>
    <x v="0"/>
    <s v="extension"/>
    <n v="2020"/>
    <m/>
    <x v="0"/>
    <s v="Oil"/>
    <s v="Onshore"/>
    <n v="0.66997200000000001"/>
    <n v="0.66997200000000001"/>
    <m/>
    <n v="0"/>
    <n v="0"/>
    <m/>
    <n v="0"/>
    <n v="0"/>
    <m/>
    <s v="TPA"/>
    <x v="1"/>
    <x v="0"/>
    <x v="0"/>
  </r>
  <r>
    <x v="5"/>
    <s v="CZ0304"/>
    <s v="CZ"/>
    <n v="3"/>
    <n v="4"/>
    <s v="Moravia Gas Storage"/>
    <s v="Dambořice"/>
    <x v="1"/>
    <s v="extension"/>
    <n v="2021"/>
    <m/>
    <x v="0"/>
    <s v="Oil"/>
    <s v="Onshore"/>
    <n v="0.84286799999999995"/>
    <n v="0.84286799999999995"/>
    <m/>
    <n v="0"/>
    <n v="0"/>
    <m/>
    <n v="0"/>
    <n v="0"/>
    <m/>
    <s v="TPA"/>
    <x v="1"/>
    <x v="0"/>
    <x v="0"/>
  </r>
  <r>
    <x v="5"/>
    <s v="CZ0401"/>
    <s v="CZ"/>
    <n v="4"/>
    <n v="1"/>
    <s v="SPP Storage"/>
    <s v="Dolni Bojanovice"/>
    <x v="0"/>
    <s v="existing"/>
    <n v="1999"/>
    <m/>
    <x v="0"/>
    <s v="Oil/gas"/>
    <s v="Onshore"/>
    <n v="6.9439000000000002"/>
    <n v="6.9439000000000002"/>
    <m/>
    <n v="74.34"/>
    <n v="74.34"/>
    <m/>
    <n v="95.58"/>
    <n v="95.58"/>
    <m/>
    <s v="TPA"/>
    <x v="0"/>
    <x v="0"/>
    <x v="0"/>
  </r>
  <r>
    <x v="6"/>
    <s v="DK0101"/>
    <s v="DK"/>
    <n v="1"/>
    <n v="1"/>
    <s v="Gas Storage Denmark"/>
    <s v="Lille Torup"/>
    <x v="0"/>
    <s v="existing"/>
    <n v="1987"/>
    <m/>
    <x v="1"/>
    <m/>
    <s v="Onshore"/>
    <n v="0"/>
    <m/>
    <m/>
    <n v="0"/>
    <m/>
    <m/>
    <n v="0"/>
    <m/>
    <m/>
    <s v="TPA"/>
    <x v="0"/>
    <x v="1"/>
    <x v="0"/>
  </r>
  <r>
    <x v="6"/>
    <s v="DK0102"/>
    <s v="DK"/>
    <n v="1"/>
    <n v="2"/>
    <s v="Gas Storage Denmark"/>
    <s v="Stenlille"/>
    <x v="0"/>
    <s v="existing"/>
    <n v="1994"/>
    <m/>
    <x v="2"/>
    <m/>
    <s v="Onshore"/>
    <n v="0"/>
    <m/>
    <m/>
    <n v="0"/>
    <m/>
    <m/>
    <n v="0"/>
    <m/>
    <m/>
    <s v="TPA"/>
    <x v="0"/>
    <x v="1"/>
    <x v="0"/>
  </r>
  <r>
    <x v="6"/>
    <s v="DK0100"/>
    <s v="DK"/>
    <n v="1"/>
    <m/>
    <s v="Gas Storage Denmark"/>
    <s v="VGS GSD gas storage"/>
    <x v="0"/>
    <s v="existing"/>
    <m/>
    <m/>
    <x v="4"/>
    <m/>
    <s v="Onshore"/>
    <n v="10.46"/>
    <n v="10.46"/>
    <m/>
    <n v="90.72"/>
    <n v="90.72"/>
    <m/>
    <n v="180.9"/>
    <n v="180.9"/>
    <m/>
    <s v="TPA"/>
    <x v="1"/>
    <x v="0"/>
    <x v="0"/>
  </r>
  <r>
    <x v="7"/>
    <s v="FR0101"/>
    <s v="FR"/>
    <n v="1"/>
    <n v="1"/>
    <s v="Storengy"/>
    <s v="Saline: Etrez "/>
    <x v="0"/>
    <s v="existing"/>
    <n v="1980"/>
    <m/>
    <x v="1"/>
    <s v="Salt Cavern with a demonstrator 100% H2 project (HYPSTER 2021-2023)"/>
    <s v="Onshore"/>
    <n v="0"/>
    <m/>
    <m/>
    <n v="0"/>
    <m/>
    <m/>
    <n v="0"/>
    <m/>
    <m/>
    <s v="TPA"/>
    <x v="0"/>
    <x v="1"/>
    <x v="0"/>
  </r>
  <r>
    <x v="7"/>
    <s v="FR0102"/>
    <s v="FR"/>
    <n v="1"/>
    <n v="2"/>
    <s v="Storengy"/>
    <s v="Saline: Manosque"/>
    <x v="0"/>
    <s v="existing"/>
    <n v="1993"/>
    <m/>
    <x v="1"/>
    <s v="Salt Cavern with a 100% H2 project (HYGREEN 2027)"/>
    <s v="Onshore"/>
    <n v="0"/>
    <m/>
    <m/>
    <n v="0"/>
    <m/>
    <m/>
    <n v="0"/>
    <m/>
    <m/>
    <s v="TPA"/>
    <x v="0"/>
    <x v="1"/>
    <x v="0"/>
  </r>
  <r>
    <x v="7"/>
    <s v="FR0103"/>
    <s v="FR"/>
    <n v="1"/>
    <n v="3"/>
    <s v="Storengy"/>
    <s v="Saline: Tersanne/Hauterives"/>
    <x v="0"/>
    <s v="existing"/>
    <n v="1970"/>
    <m/>
    <x v="1"/>
    <s v="Salt Cavern (100% H2 compatibility expected)"/>
    <s v="Onshore"/>
    <n v="0"/>
    <m/>
    <m/>
    <n v="0"/>
    <m/>
    <m/>
    <n v="0"/>
    <m/>
    <m/>
    <s v="TPA"/>
    <x v="0"/>
    <x v="1"/>
    <x v="0"/>
  </r>
  <r>
    <x v="7"/>
    <s v="FR01V1"/>
    <s v="FR"/>
    <n v="1"/>
    <s v="V1"/>
    <s v="Storengy"/>
    <s v="VGS Storengy Saline"/>
    <x v="0"/>
    <s v="existing"/>
    <m/>
    <m/>
    <x v="1"/>
    <m/>
    <s v="Onshore"/>
    <n v="10.3"/>
    <n v="10.3"/>
    <m/>
    <n v="137.6"/>
    <n v="137.6"/>
    <m/>
    <n v="558.20000000000005"/>
    <n v="558.20000000000005"/>
    <m/>
    <s v="TPA"/>
    <x v="1"/>
    <x v="0"/>
    <x v="0"/>
  </r>
  <r>
    <x v="7"/>
    <s v="FR0104"/>
    <s v="FR"/>
    <n v="1"/>
    <n v="4"/>
    <s v="Storengy"/>
    <s v="SEDIANE: Beynes Profond"/>
    <x v="0"/>
    <s v="existing"/>
    <n v="1956"/>
    <m/>
    <x v="2"/>
    <s v="Aquifer (H2 blending only - 40% H2 in the 1960's)"/>
    <s v="Onshore"/>
    <n v="0"/>
    <m/>
    <m/>
    <n v="0"/>
    <m/>
    <m/>
    <n v="0"/>
    <m/>
    <m/>
    <s v="TPA"/>
    <x v="0"/>
    <x v="1"/>
    <x v="0"/>
  </r>
  <r>
    <x v="7"/>
    <s v="FR0105"/>
    <s v="FR"/>
    <n v="1"/>
    <n v="5"/>
    <s v="Storengy"/>
    <s v="SEDIANE: Beynes Supérieur"/>
    <x v="0"/>
    <s v="existing"/>
    <n v="1956"/>
    <m/>
    <x v="2"/>
    <s v="Aquifer (H2 blending only - 40% H2 in the 1960's)"/>
    <s v="Onshore"/>
    <n v="0"/>
    <m/>
    <m/>
    <n v="0"/>
    <m/>
    <m/>
    <n v="0"/>
    <m/>
    <m/>
    <s v="TPA"/>
    <x v="0"/>
    <x v="1"/>
    <x v="0"/>
  </r>
  <r>
    <x v="7"/>
    <s v="FR0106"/>
    <s v="FR"/>
    <n v="1"/>
    <n v="6"/>
    <s v="Storengy"/>
    <s v="SEDIANE: Saint-Illiers-la-Ville"/>
    <x v="0"/>
    <s v="existing"/>
    <n v="1965"/>
    <m/>
    <x v="2"/>
    <s v="Aquifer (H2 blending only)"/>
    <s v="Onshore"/>
    <n v="0"/>
    <m/>
    <m/>
    <n v="0"/>
    <m/>
    <m/>
    <n v="0"/>
    <m/>
    <m/>
    <s v="TPA"/>
    <x v="0"/>
    <x v="1"/>
    <x v="0"/>
  </r>
  <r>
    <x v="7"/>
    <s v="FR01V2"/>
    <s v="FR"/>
    <n v="1"/>
    <s v="V2"/>
    <s v="Storengy"/>
    <s v="VGS Storengy Sediane"/>
    <x v="0"/>
    <s v="existing"/>
    <m/>
    <m/>
    <x v="2"/>
    <m/>
    <s v="Onshore"/>
    <n v="13.5"/>
    <n v="13.5"/>
    <m/>
    <n v="137.6"/>
    <n v="137.6"/>
    <m/>
    <n v="265.89999999999998"/>
    <n v="265.89999999999998"/>
    <m/>
    <s v="TPA"/>
    <x v="1"/>
    <x v="0"/>
    <x v="0"/>
  </r>
  <r>
    <x v="7"/>
    <s v="FR0107"/>
    <s v="FR"/>
    <n v="1"/>
    <n v="7"/>
    <s v="Storengy"/>
    <s v="VGS SEDIANE B: Gournay-sur-Aronde"/>
    <x v="0"/>
    <s v="existing"/>
    <n v="1976"/>
    <m/>
    <x v="2"/>
    <s v="Aquifer (H2 blending only)"/>
    <s v="Onshore"/>
    <n v="13.4"/>
    <n v="13.4"/>
    <m/>
    <n v="100"/>
    <n v="100"/>
    <m/>
    <n v="223.3"/>
    <n v="223.3"/>
    <m/>
    <s v="TPA"/>
    <x v="0"/>
    <x v="0"/>
    <x v="0"/>
  </r>
  <r>
    <x v="7"/>
    <s v="FR0100"/>
    <s v="FR"/>
    <n v="1"/>
    <m/>
    <s v="Storengy"/>
    <s v="VGS Storengy SEDIANE LITTORAL"/>
    <x v="3"/>
    <s v="existing"/>
    <m/>
    <m/>
    <x v="2"/>
    <m/>
    <s v="Onshore"/>
    <m/>
    <m/>
    <m/>
    <m/>
    <m/>
    <m/>
    <m/>
    <m/>
    <m/>
    <s v="TPA"/>
    <x v="1"/>
    <x v="1"/>
    <x v="0"/>
  </r>
  <r>
    <x v="7"/>
    <s v="FR0108"/>
    <s v="FR"/>
    <n v="1"/>
    <n v="8"/>
    <s v="Storengy"/>
    <s v="SERENE Nord: Cerville"/>
    <x v="0"/>
    <s v="existing"/>
    <n v="1970"/>
    <m/>
    <x v="2"/>
    <s v="Aquifer (but salt deposit enabling salt caverns development)"/>
    <s v="Onshore"/>
    <n v="0"/>
    <m/>
    <m/>
    <n v="0"/>
    <m/>
    <m/>
    <n v="0"/>
    <m/>
    <m/>
    <s v="TPA"/>
    <x v="0"/>
    <x v="1"/>
    <x v="0"/>
  </r>
  <r>
    <x v="7"/>
    <s v="FR0109"/>
    <s v="FR"/>
    <n v="1"/>
    <n v="9"/>
    <s v="Storengy"/>
    <s v="SERENE Nord: Germigny-sous-Coulombs"/>
    <x v="0"/>
    <s v="existing"/>
    <n v="1982"/>
    <m/>
    <x v="2"/>
    <s v="Aquifer (H2 blending only)"/>
    <s v="Onshore"/>
    <n v="0"/>
    <m/>
    <m/>
    <n v="0"/>
    <m/>
    <m/>
    <n v="0"/>
    <m/>
    <m/>
    <s v="TPA"/>
    <x v="0"/>
    <x v="1"/>
    <x v="0"/>
  </r>
  <r>
    <x v="7"/>
    <s v="FR0110"/>
    <s v="FR"/>
    <n v="1"/>
    <n v="10"/>
    <s v="Storengy"/>
    <s v="SERENE Nord: Saint-Clair-sur-Epte "/>
    <x v="0"/>
    <s v="existing"/>
    <n v="1982"/>
    <m/>
    <x v="2"/>
    <s v="Mothballed"/>
    <s v="Onshore"/>
    <n v="0"/>
    <m/>
    <m/>
    <n v="0"/>
    <m/>
    <m/>
    <n v="0"/>
    <m/>
    <m/>
    <s v="TPA"/>
    <x v="0"/>
    <x v="1"/>
    <x v="0"/>
  </r>
  <r>
    <x v="7"/>
    <s v="FR0111"/>
    <s v="FR"/>
    <n v="1"/>
    <n v="11"/>
    <s v="Storengy"/>
    <s v="SERENE Nord: Trois-Fontaines l'Abbaye"/>
    <x v="0"/>
    <s v="existing"/>
    <n v="1970"/>
    <m/>
    <x v="0"/>
    <s v="Mothballed"/>
    <s v="Onshore"/>
    <n v="0"/>
    <m/>
    <m/>
    <n v="0"/>
    <m/>
    <m/>
    <n v="0"/>
    <m/>
    <m/>
    <s v="TPA"/>
    <x v="0"/>
    <x v="1"/>
    <x v="0"/>
  </r>
  <r>
    <x v="7"/>
    <s v="FR01V3"/>
    <s v="FR"/>
    <n v="1"/>
    <s v="V3"/>
    <s v="Storengy"/>
    <s v="VGS Storengy Serene Nord"/>
    <x v="0"/>
    <s v="existing"/>
    <m/>
    <m/>
    <x v="4"/>
    <m/>
    <s v="Onshore"/>
    <n v="15"/>
    <n v="15"/>
    <m/>
    <n v="111.1"/>
    <n v="111.1"/>
    <m/>
    <n v="179.4"/>
    <n v="179.4"/>
    <m/>
    <s v="TPA"/>
    <x v="1"/>
    <x v="0"/>
    <x v="0"/>
  </r>
  <r>
    <x v="7"/>
    <s v="FR0100"/>
    <s v="FR"/>
    <n v="1"/>
    <m/>
    <s v="Storengy"/>
    <s v="VGS Storengy SERENE SUD"/>
    <x v="3"/>
    <s v="existing"/>
    <m/>
    <m/>
    <x v="2"/>
    <m/>
    <s v="Onshore"/>
    <n v="12.9"/>
    <n v="12.9"/>
    <m/>
    <n v="91"/>
    <n v="91"/>
    <m/>
    <n v="145"/>
    <n v="145"/>
    <m/>
    <s v="TPA"/>
    <x v="1"/>
    <x v="1"/>
    <x v="0"/>
  </r>
  <r>
    <x v="7"/>
    <s v="FR0112"/>
    <s v="FR"/>
    <n v="1"/>
    <n v="12"/>
    <s v="Storengy"/>
    <s v="SERENE ATLANTIQUE: Céré-la-Ronde"/>
    <x v="0"/>
    <s v="existing"/>
    <n v="1993"/>
    <m/>
    <x v="2"/>
    <s v="Aquifer (H2 blending only)"/>
    <s v="Onshore"/>
    <n v="0"/>
    <m/>
    <m/>
    <n v="0"/>
    <m/>
    <m/>
    <n v="0"/>
    <m/>
    <m/>
    <s v="TPA"/>
    <x v="0"/>
    <x v="1"/>
    <x v="0"/>
  </r>
  <r>
    <x v="7"/>
    <s v="FR0113"/>
    <s v="FR"/>
    <n v="1"/>
    <n v="13"/>
    <s v="Storengy"/>
    <s v="SERENE ATLANTIQUE: Chémery"/>
    <x v="0"/>
    <s v="existing"/>
    <n v="1968"/>
    <m/>
    <x v="2"/>
    <s v="Aquifer (H2 blending only)"/>
    <s v="Onshore"/>
    <n v="0"/>
    <m/>
    <m/>
    <n v="0"/>
    <m/>
    <m/>
    <n v="0"/>
    <m/>
    <m/>
    <s v="TPA"/>
    <x v="0"/>
    <x v="1"/>
    <x v="0"/>
  </r>
  <r>
    <x v="7"/>
    <s v="FR0114"/>
    <s v="FR"/>
    <n v="1"/>
    <n v="14"/>
    <s v="Storengy"/>
    <s v="SERENE ATLANTIQUE: Soings-en-Sologne"/>
    <x v="0"/>
    <s v="existing"/>
    <n v="1970"/>
    <m/>
    <x v="0"/>
    <s v="Mothballed"/>
    <s v="Onshore"/>
    <n v="0"/>
    <m/>
    <m/>
    <n v="0"/>
    <m/>
    <m/>
    <n v="0"/>
    <m/>
    <m/>
    <s v="TPA"/>
    <x v="0"/>
    <x v="1"/>
    <x v="0"/>
  </r>
  <r>
    <x v="7"/>
    <s v="FR01V4"/>
    <s v="FR"/>
    <n v="1"/>
    <s v="V4"/>
    <s v="Storengy"/>
    <s v=" VGS SERENE ATLANTIQUE"/>
    <x v="0"/>
    <s v="existing"/>
    <m/>
    <m/>
    <x v="4"/>
    <m/>
    <m/>
    <n v="47"/>
    <n v="47"/>
    <m/>
    <n v="333.3"/>
    <n v="333.3"/>
    <m/>
    <n v="562.5"/>
    <n v="562.5"/>
    <m/>
    <s v="TPA"/>
    <x v="1"/>
    <x v="0"/>
    <x v="0"/>
  </r>
  <r>
    <x v="7"/>
    <s v="FR0115"/>
    <s v="FR"/>
    <n v="1"/>
    <n v="15"/>
    <s v="Storengy"/>
    <s v="Alsace Sud"/>
    <x v="2"/>
    <s v="new facility"/>
    <n v="2022"/>
    <m/>
    <x v="1"/>
    <m/>
    <s v="Onshore"/>
    <n v="2.2799999999999998"/>
    <n v="2.2799999999999998"/>
    <m/>
    <n v="34.200000000000003"/>
    <n v="34.200000000000003"/>
    <m/>
    <n v="109.4"/>
    <n v="109.4"/>
    <m/>
    <s v="TPA"/>
    <x v="0"/>
    <x v="0"/>
    <x v="0"/>
  </r>
  <r>
    <x v="7"/>
    <s v="FR0116"/>
    <s v="FR"/>
    <n v="1"/>
    <n v="16"/>
    <s v="Storengy"/>
    <s v="Etrez"/>
    <x v="2"/>
    <s v="extension"/>
    <n v="2022"/>
    <m/>
    <x v="1"/>
    <s v="Salt caverns (100% H2)"/>
    <s v="Onshore"/>
    <n v="0.68"/>
    <n v="0.68"/>
    <m/>
    <n v="0"/>
    <n v="0"/>
    <m/>
    <n v="45.6"/>
    <n v="45.6"/>
    <m/>
    <s v="TPA"/>
    <x v="1"/>
    <x v="0"/>
    <x v="0"/>
  </r>
  <r>
    <x v="7"/>
    <s v="FR0117"/>
    <s v="FR"/>
    <n v="1"/>
    <n v="17"/>
    <s v="Storengy"/>
    <s v="Hauterives"/>
    <x v="2"/>
    <s v="extension"/>
    <m/>
    <m/>
    <x v="1"/>
    <s v="Mothballed"/>
    <s v="Onshore"/>
    <n v="1.1399999999999999"/>
    <n v="1.1399999999999999"/>
    <m/>
    <n v="22.8"/>
    <n v="22.8"/>
    <m/>
    <n v="91.2"/>
    <n v="91.2"/>
    <m/>
    <s v="TPA"/>
    <x v="1"/>
    <x v="0"/>
    <x v="0"/>
  </r>
  <r>
    <x v="7"/>
    <s v="FR0201"/>
    <s v="FR"/>
    <n v="2"/>
    <n v="1"/>
    <s v="TEREGA"/>
    <s v="Izaute"/>
    <x v="0"/>
    <s v="existing"/>
    <n v="1981"/>
    <m/>
    <x v="2"/>
    <m/>
    <s v="Onshore"/>
    <n v="0"/>
    <m/>
    <m/>
    <n v="0"/>
    <m/>
    <m/>
    <n v="0"/>
    <m/>
    <m/>
    <s v="TPA"/>
    <x v="0"/>
    <x v="1"/>
    <x v="0"/>
  </r>
  <r>
    <x v="7"/>
    <s v="FR0202"/>
    <s v="FR"/>
    <n v="2"/>
    <n v="2"/>
    <s v="TEREGA"/>
    <s v="Lussagnet"/>
    <x v="0"/>
    <s v="existing"/>
    <n v="1957"/>
    <m/>
    <x v="2"/>
    <m/>
    <s v="Onshore"/>
    <n v="0"/>
    <m/>
    <m/>
    <n v="0"/>
    <m/>
    <m/>
    <n v="0"/>
    <m/>
    <m/>
    <s v="TPA"/>
    <x v="0"/>
    <x v="1"/>
    <x v="0"/>
  </r>
  <r>
    <x v="7"/>
    <s v="FR02V1"/>
    <s v="FR"/>
    <n v="2"/>
    <s v="V1"/>
    <s v="TEREGA"/>
    <s v="VGS Lussagnet (TEREGA)"/>
    <x v="0"/>
    <s v="existing"/>
    <m/>
    <m/>
    <x v="4"/>
    <m/>
    <s v="Onshore"/>
    <n v="33.1"/>
    <n v="33.1"/>
    <m/>
    <n v="300"/>
    <n v="300"/>
    <m/>
    <n v="556"/>
    <n v="556"/>
    <m/>
    <s v="TPA"/>
    <x v="1"/>
    <x v="0"/>
    <x v="0"/>
  </r>
  <r>
    <x v="8"/>
    <s v="DE0101"/>
    <s v="DE"/>
    <n v="1"/>
    <n v="1"/>
    <s v="Astora"/>
    <s v="Jemgum "/>
    <x v="0"/>
    <s v="existing"/>
    <n v="2013"/>
    <m/>
    <x v="1"/>
    <m/>
    <s v="Onshore"/>
    <n v="6.86"/>
    <n v="6.86"/>
    <m/>
    <n v="99.9"/>
    <n v="99.9"/>
    <m/>
    <n v="145.80000000000001"/>
    <n v="145.80000000000001"/>
    <m/>
    <s v="TPA"/>
    <x v="0"/>
    <x v="0"/>
    <x v="0"/>
  </r>
  <r>
    <x v="8"/>
    <s v="DE0102"/>
    <s v="DE"/>
    <n v="1"/>
    <n v="2"/>
    <s v="Astora"/>
    <s v="Jemgum "/>
    <x v="0"/>
    <s v="extension"/>
    <n v="2018"/>
    <m/>
    <x v="1"/>
    <m/>
    <s v="Onshore"/>
    <n v="1.4299999999999988"/>
    <n v="1.4299999999999988"/>
    <m/>
    <n v="36.22999999999999"/>
    <n v="36.22999999999999"/>
    <m/>
    <n v="63.449999999999989"/>
    <n v="63.449999999999989"/>
    <m/>
    <s v="TPA"/>
    <x v="1"/>
    <x v="0"/>
    <x v="0"/>
  </r>
  <r>
    <x v="8"/>
    <s v="DE0103"/>
    <s v="DE"/>
    <n v="1"/>
    <n v="3"/>
    <s v="Astora"/>
    <s v="Rehden"/>
    <x v="0"/>
    <s v="existing"/>
    <n v="1993"/>
    <m/>
    <x v="0"/>
    <s v="Gas"/>
    <s v="Onshore"/>
    <n v="44.512500000000003"/>
    <n v="44.512500000000003"/>
    <m/>
    <n v="344.76"/>
    <n v="344.76"/>
    <m/>
    <n v="530.4"/>
    <n v="530.4"/>
    <m/>
    <s v="TPA"/>
    <x v="0"/>
    <x v="0"/>
    <x v="0"/>
  </r>
  <r>
    <x v="8"/>
    <s v="DE01V1"/>
    <s v="DE"/>
    <n v="1"/>
    <s v="V1"/>
    <s v="Astora"/>
    <s v="VGS Nord (astora)"/>
    <x v="0"/>
    <s v="existing"/>
    <m/>
    <m/>
    <x v="4"/>
    <m/>
    <m/>
    <n v="52.802500000000002"/>
    <n v="52.802500000000002"/>
    <m/>
    <n v="480.89"/>
    <n v="480.89"/>
    <m/>
    <n v="739.65"/>
    <n v="739.65"/>
    <m/>
    <s v="TPA"/>
    <x v="1"/>
    <x v="1"/>
    <x v="0"/>
  </r>
  <r>
    <x v="8"/>
    <s v="DE0201"/>
    <s v="DE"/>
    <n v="2"/>
    <n v="1"/>
    <s v="BayernUGS"/>
    <s v="Wolfersberg"/>
    <x v="0"/>
    <s v="existing"/>
    <n v="1973"/>
    <m/>
    <x v="0"/>
    <s v="Gas"/>
    <s v="Onshore"/>
    <n v="4.1157000000000004"/>
    <n v="4.1157000000000004"/>
    <m/>
    <n v="37.89"/>
    <n v="37.89"/>
    <m/>
    <n v="64.95"/>
    <n v="64.95"/>
    <m/>
    <s v="TPA"/>
    <x v="0"/>
    <x v="0"/>
    <x v="0"/>
  </r>
  <r>
    <x v="8"/>
    <s v="DE0301"/>
    <s v="DE"/>
    <n v="3"/>
    <n v="1"/>
    <s v="Crystal, Friedeburger Speicherbetriebsgesellschaft"/>
    <s v="Etzel Crystal"/>
    <x v="0"/>
    <s v="existing"/>
    <n v="2012"/>
    <m/>
    <x v="1"/>
    <m/>
    <s v="Onshore"/>
    <n v="2.4209999999999998"/>
    <n v="2.4209999999999998"/>
    <m/>
    <n v="54"/>
    <n v="54"/>
    <m/>
    <n v="94.08"/>
    <n v="94.08"/>
    <m/>
    <s v="TPA"/>
    <x v="0"/>
    <x v="0"/>
    <x v="0"/>
  </r>
  <r>
    <x v="8"/>
    <s v="DE0401"/>
    <s v="DE"/>
    <n v="4"/>
    <n v="1"/>
    <s v="NAFTA Bavaria GmbH"/>
    <s v="Inzenham-West"/>
    <x v="0"/>
    <s v="existing"/>
    <n v="1982"/>
    <m/>
    <x v="0"/>
    <m/>
    <s v="Onshore"/>
    <n v="4.8600000000000003"/>
    <n v="4.8600000000000003"/>
    <m/>
    <n v="44.93"/>
    <n v="44.93"/>
    <m/>
    <n v="82.15"/>
    <n v="82.15"/>
    <m/>
    <s v="TPA"/>
    <x v="0"/>
    <x v="0"/>
    <x v="0"/>
  </r>
  <r>
    <x v="8"/>
    <s v="DE0501"/>
    <s v="DE"/>
    <n v="5"/>
    <n v="1"/>
    <s v="EKB (Etzel-Kavernenbetriebsgesellschaft)"/>
    <s v="Etzel EKB"/>
    <x v="0"/>
    <s v="existing"/>
    <n v="2012"/>
    <m/>
    <x v="1"/>
    <m/>
    <s v="Onshore"/>
    <n v="11.202"/>
    <n v="11.202"/>
    <m/>
    <n v="122.04"/>
    <n v="122.04"/>
    <m/>
    <n v="216.96"/>
    <n v="216.96"/>
    <m/>
    <s v="TPA"/>
    <x v="0"/>
    <x v="0"/>
    <x v="0"/>
  </r>
  <r>
    <x v="8"/>
    <s v="DE0601"/>
    <s v="DE"/>
    <n v="6"/>
    <n v="1"/>
    <s v="EnBW Energie Baden-Württemberg"/>
    <s v="Etzel"/>
    <x v="0"/>
    <s v="existing"/>
    <n v="2012"/>
    <m/>
    <x v="1"/>
    <m/>
    <s v="Onshore"/>
    <n v="2.3199999999999998"/>
    <n v="2.3199999999999998"/>
    <m/>
    <n v="54"/>
    <n v="54"/>
    <m/>
    <n v="94.08"/>
    <n v="94.08"/>
    <m/>
    <s v="TPA"/>
    <x v="0"/>
    <x v="0"/>
    <x v="0"/>
  </r>
  <r>
    <x v="8"/>
    <s v="DE0701"/>
    <s v="DE"/>
    <n v="7"/>
    <n v="1"/>
    <s v="Eneco"/>
    <s v="Epe Eneco"/>
    <x v="0"/>
    <s v="existing"/>
    <n v="2012"/>
    <m/>
    <x v="1"/>
    <m/>
    <s v="Onshore"/>
    <n v="1.43520001"/>
    <n v="1.43520001"/>
    <m/>
    <n v="46.8"/>
    <n v="46.8"/>
    <m/>
    <n v="93.6"/>
    <n v="93.6"/>
    <m/>
    <s v="TPA"/>
    <x v="0"/>
    <x v="0"/>
    <x v="0"/>
  </r>
  <r>
    <x v="8"/>
    <s v="DE0801"/>
    <s v="DE"/>
    <n v="8"/>
    <n v="1"/>
    <s v="Enovos Storage"/>
    <s v="Frankenthal"/>
    <x v="0"/>
    <s v="existing"/>
    <n v="1979"/>
    <m/>
    <x v="2"/>
    <m/>
    <s v="Onshore"/>
    <n v="0.88800000000000001"/>
    <n v="0.88800000000000001"/>
    <m/>
    <n v="6.47424"/>
    <n v="6.47424"/>
    <m/>
    <n v="26.64"/>
    <n v="26.64"/>
    <m/>
    <s v="TPA"/>
    <x v="0"/>
    <x v="0"/>
    <x v="0"/>
  </r>
  <r>
    <x v="8"/>
    <s v="DE0901"/>
    <s v="DE"/>
    <n v="9"/>
    <n v="1"/>
    <s v="Erdgasspeicher Peissen"/>
    <s v="Katharina"/>
    <x v="0"/>
    <s v="existing"/>
    <n v="2012"/>
    <m/>
    <x v="1"/>
    <m/>
    <s v="Onshore"/>
    <n v="5.43153665"/>
    <n v="5.43153665"/>
    <m/>
    <n v="135.04"/>
    <n v="135.04"/>
    <m/>
    <n v="270.07"/>
    <n v="270.07"/>
    <m/>
    <s v="TPA"/>
    <x v="0"/>
    <x v="0"/>
    <x v="0"/>
  </r>
  <r>
    <x v="8"/>
    <s v="DE0902"/>
    <s v="DE"/>
    <n v="9"/>
    <n v="2"/>
    <s v="Erdgasspeicher Peissen"/>
    <s v="Katharina"/>
    <x v="2"/>
    <s v="extension"/>
    <n v="2025"/>
    <m/>
    <x v="1"/>
    <m/>
    <s v="Onshore"/>
    <n v="1.2974633500000001"/>
    <n v="1.2974633500000001"/>
    <m/>
    <m/>
    <m/>
    <m/>
    <m/>
    <m/>
    <m/>
    <s v="TPA"/>
    <x v="1"/>
    <x v="0"/>
    <x v="0"/>
  </r>
  <r>
    <x v="8"/>
    <s v="DE1001"/>
    <s v="DE"/>
    <n v="10"/>
    <n v="1"/>
    <s v="EWE Gasspeicher"/>
    <s v="EWE-Zone L "/>
    <x v="0"/>
    <s v="existing"/>
    <n v="1972"/>
    <m/>
    <x v="1"/>
    <m/>
    <s v="Onshore"/>
    <n v="9.1"/>
    <n v="9.1"/>
    <m/>
    <n v="98.78"/>
    <n v="98.78"/>
    <m/>
    <n v="258.72000000000003"/>
    <n v="258.72000000000003"/>
    <m/>
    <s v="TPA"/>
    <x v="0"/>
    <x v="0"/>
    <x v="0"/>
  </r>
  <r>
    <x v="8"/>
    <s v="DE1009"/>
    <s v="DE"/>
    <n v="10"/>
    <n v="9"/>
    <s v="EWE Gasspeicher"/>
    <s v="EWE H-Gas Zone"/>
    <x v="0"/>
    <s v="existing"/>
    <m/>
    <m/>
    <x v="1"/>
    <m/>
    <m/>
    <n v="0.81"/>
    <n v="0.81"/>
    <m/>
    <n v="13.8"/>
    <n v="13.8"/>
    <m/>
    <n v="27.6"/>
    <n v="27.6"/>
    <m/>
    <s v="TPA"/>
    <x v="0"/>
    <x v="0"/>
    <x v="0"/>
  </r>
  <r>
    <x v="8"/>
    <s v="DE1002"/>
    <s v="DE"/>
    <n v="10"/>
    <n v="2"/>
    <s v="EWE Gasspeicher"/>
    <s v="Jemgum H"/>
    <x v="0"/>
    <s v="existing"/>
    <n v="2013"/>
    <m/>
    <x v="1"/>
    <m/>
    <s v="Onshore"/>
    <n v="3.5"/>
    <n v="3.5"/>
    <m/>
    <n v="55.2"/>
    <n v="55.2"/>
    <m/>
    <n v="69"/>
    <n v="69"/>
    <m/>
    <s v="TPA"/>
    <x v="0"/>
    <x v="0"/>
    <x v="0"/>
  </r>
  <r>
    <x v="8"/>
    <s v="DE1004"/>
    <s v="DE"/>
    <n v="10"/>
    <n v="4"/>
    <s v="EWE Gasspeicher"/>
    <s v="Nüttermoor H-1"/>
    <x v="0"/>
    <s v="existing"/>
    <n v="1979"/>
    <m/>
    <x v="1"/>
    <m/>
    <s v="Onshore"/>
    <n v="1.8320000000000001"/>
    <n v="1.8320000000000001"/>
    <m/>
    <n v="48.72"/>
    <n v="48.72"/>
    <m/>
    <n v="69.599999999999994"/>
    <n v="69.599999999999994"/>
    <m/>
    <s v="TPA"/>
    <x v="0"/>
    <x v="0"/>
    <x v="0"/>
  </r>
  <r>
    <x v="8"/>
    <s v="DE1005"/>
    <s v="DE"/>
    <n v="10"/>
    <n v="5"/>
    <s v="EWE Gasspeicher"/>
    <s v="Nüttermoor H-2"/>
    <x v="0"/>
    <s v="existing"/>
    <n v="1979"/>
    <m/>
    <x v="1"/>
    <m/>
    <s v="Onshore"/>
    <n v="1.9550000000000001"/>
    <n v="1.9550000000000001"/>
    <m/>
    <n v="24.84"/>
    <n v="24.84"/>
    <m/>
    <n v="49.68"/>
    <n v="49.68"/>
    <m/>
    <s v="TPA"/>
    <x v="0"/>
    <x v="0"/>
    <x v="0"/>
  </r>
  <r>
    <x v="8"/>
    <s v="DE1006"/>
    <s v="DE"/>
    <n v="10"/>
    <n v="6"/>
    <s v="EWE Gasspeicher"/>
    <s v="Nüttermoor H-3"/>
    <x v="0"/>
    <s v="existing"/>
    <n v="1979"/>
    <m/>
    <x v="1"/>
    <m/>
    <s v="Onshore"/>
    <n v="2.69"/>
    <n v="2.69"/>
    <m/>
    <n v="41.04"/>
    <n v="41.04"/>
    <m/>
    <n v="82.08"/>
    <n v="82.08"/>
    <m/>
    <s v="TPA"/>
    <x v="0"/>
    <x v="0"/>
    <x v="0"/>
  </r>
  <r>
    <x v="8"/>
    <s v="DE1007"/>
    <s v="DE"/>
    <n v="10"/>
    <n v="7"/>
    <s v="EWE Gasspeicher"/>
    <s v="Nüttermoor L"/>
    <x v="0"/>
    <s v="existing"/>
    <n v="1979"/>
    <m/>
    <x v="1"/>
    <m/>
    <s v="Onshore"/>
    <n v="0.43030000000000002"/>
    <n v="0.43030000000000002"/>
    <m/>
    <n v="10.58"/>
    <n v="10.58"/>
    <m/>
    <n v="23.52"/>
    <n v="23.52"/>
    <m/>
    <s v="TPA"/>
    <x v="0"/>
    <x v="0"/>
    <x v="0"/>
  </r>
  <r>
    <x v="8"/>
    <s v="DE1008"/>
    <s v="DE"/>
    <n v="10"/>
    <n v="8"/>
    <s v="EWE Gasspeicher"/>
    <s v="Rüdersdorf H"/>
    <x v="0"/>
    <s v="existing"/>
    <n v="2007"/>
    <m/>
    <x v="1"/>
    <m/>
    <s v="Onshore"/>
    <n v="1.0900000000000001"/>
    <n v="1.0900000000000001"/>
    <m/>
    <n v="10.66"/>
    <n v="10.66"/>
    <m/>
    <n v="32.76"/>
    <n v="32.76"/>
    <m/>
    <s v="TPA"/>
    <x v="0"/>
    <x v="0"/>
    <x v="0"/>
  </r>
  <r>
    <x v="8"/>
    <s v="DE1101"/>
    <s v="DE"/>
    <n v="11"/>
    <n v="1"/>
    <s v="Equinor Storage Deutschland"/>
    <s v="Etzel EGL"/>
    <x v="0"/>
    <s v="existing"/>
    <n v="1993"/>
    <m/>
    <x v="1"/>
    <m/>
    <s v="Onshore"/>
    <n v="2.1850999999999998"/>
    <n v="2.1850999999999998"/>
    <m/>
    <n v="210.672"/>
    <n v="210.672"/>
    <m/>
    <n v="361.15199999999999"/>
    <n v="361.15199999999999"/>
    <m/>
    <s v="TPA"/>
    <x v="0"/>
    <x v="0"/>
    <x v="0"/>
  </r>
  <r>
    <x v="8"/>
    <s v="DE1201"/>
    <s v="DE"/>
    <n v="12"/>
    <n v="1"/>
    <s v="GHG - Gasspeicher Hannover"/>
    <s v="Empelde"/>
    <x v="0"/>
    <s v="existing"/>
    <n v="1982"/>
    <m/>
    <x v="1"/>
    <m/>
    <s v="Onshore"/>
    <n v="3.8294999999999999"/>
    <n v="3.8294999999999999"/>
    <m/>
    <n v="44.16"/>
    <n v="44.16"/>
    <m/>
    <n v="140.76"/>
    <n v="140.76"/>
    <m/>
    <s v="TPA"/>
    <x v="0"/>
    <x v="0"/>
    <x v="0"/>
  </r>
  <r>
    <x v="8"/>
    <s v="DE1202"/>
    <s v="DE"/>
    <n v="12"/>
    <n v="2"/>
    <s v="GHG - Gasspeicher Hannover"/>
    <s v="Empelde"/>
    <x v="2"/>
    <s v="extension"/>
    <m/>
    <m/>
    <x v="1"/>
    <m/>
    <s v="Onshore"/>
    <n v="4.5999999999999996"/>
    <n v="4.5999999999999996"/>
    <m/>
    <n v="58.879999999999995"/>
    <n v="58.879999999999995"/>
    <m/>
    <n v="187.67999999999998"/>
    <n v="187.67999999999998"/>
    <m/>
    <s v="TPA"/>
    <x v="1"/>
    <x v="0"/>
    <x v="0"/>
  </r>
  <r>
    <x v="8"/>
    <s v="DE1301"/>
    <s v="DE"/>
    <n v="13"/>
    <n v="1"/>
    <s v="Gas Union Storage"/>
    <s v="Etzel ESE"/>
    <x v="0"/>
    <s v="existing"/>
    <n v="2012"/>
    <m/>
    <x v="1"/>
    <m/>
    <s v="Onshore"/>
    <n v="1.5801000000000001"/>
    <n v="1.5801000000000001"/>
    <m/>
    <n v="31.795200000000001"/>
    <n v="31.795200000000001"/>
    <m/>
    <n v="55.641599999999997"/>
    <n v="55.641599999999997"/>
    <m/>
    <s v="TPA"/>
    <x v="0"/>
    <x v="0"/>
    <x v="0"/>
  </r>
  <r>
    <x v="8"/>
    <s v="DE1302"/>
    <s v="DE"/>
    <n v="13"/>
    <n v="2"/>
    <s v="Gas Union Storage"/>
    <s v="Reckrod"/>
    <x v="0"/>
    <s v="existing"/>
    <n v="2001"/>
    <m/>
    <x v="1"/>
    <m/>
    <s v="Onshore"/>
    <n v="1.3225"/>
    <n v="1.3225"/>
    <m/>
    <n v="13.8"/>
    <n v="13.8"/>
    <m/>
    <n v="27.6"/>
    <n v="27.6"/>
    <m/>
    <s v="TPA"/>
    <x v="0"/>
    <x v="0"/>
    <x v="0"/>
  </r>
  <r>
    <x v="8"/>
    <s v="DE1401"/>
    <s v="DE"/>
    <n v="14"/>
    <n v="1"/>
    <s v="Hansewerk"/>
    <s v="Kiel-Rönne"/>
    <x v="0"/>
    <s v="existing"/>
    <n v="1971"/>
    <m/>
    <x v="1"/>
    <m/>
    <s v="Onshore"/>
    <n v="0.24299999999999999"/>
    <n v="0.24299999999999999"/>
    <m/>
    <n v="5.69"/>
    <n v="5.69"/>
    <m/>
    <n v="13.56"/>
    <n v="13.56"/>
    <m/>
    <s v="TPA"/>
    <x v="0"/>
    <x v="0"/>
    <x v="0"/>
  </r>
  <r>
    <x v="8"/>
    <s v="DE1402"/>
    <s v="DE"/>
    <n v="14"/>
    <n v="2"/>
    <s v="Hansewerk"/>
    <s v="Kraak"/>
    <x v="0"/>
    <s v="existing"/>
    <n v="2000"/>
    <m/>
    <x v="1"/>
    <m/>
    <s v="Onshore"/>
    <n v="2.88"/>
    <n v="2.88"/>
    <m/>
    <n v="48.38"/>
    <n v="48.38"/>
    <m/>
    <n v="107.52"/>
    <n v="107.52"/>
    <m/>
    <s v="TPA"/>
    <x v="0"/>
    <x v="0"/>
    <x v="0"/>
  </r>
  <r>
    <x v="8"/>
    <s v="DE1501"/>
    <s v="DE"/>
    <n v="15"/>
    <n v="1"/>
    <s v="RWE Gas Storage West"/>
    <s v="Epe L-Gas"/>
    <x v="0"/>
    <s v="existing"/>
    <n v="2012"/>
    <m/>
    <x v="1"/>
    <m/>
    <s v="Onshore"/>
    <n v="1.8255999999999999"/>
    <n v="1.8255999999999999"/>
    <m/>
    <n v="49.23"/>
    <n v="49.23"/>
    <m/>
    <n v="98.46"/>
    <n v="98.46"/>
    <m/>
    <s v="TPA"/>
    <x v="0"/>
    <x v="0"/>
    <x v="0"/>
  </r>
  <r>
    <x v="8"/>
    <s v="DE1502"/>
    <s v="DE"/>
    <n v="15"/>
    <n v="2"/>
    <s v="RWE Gas Storage West"/>
    <s v="Epe NL"/>
    <x v="0"/>
    <s v="existing"/>
    <n v="2006"/>
    <m/>
    <x v="1"/>
    <m/>
    <s v="Onshore"/>
    <n v="2.9392"/>
    <n v="2.9392"/>
    <m/>
    <n v="47.73"/>
    <n v="47.73"/>
    <m/>
    <n v="175.47"/>
    <n v="175.47"/>
    <m/>
    <s v="TPA"/>
    <x v="0"/>
    <x v="0"/>
    <x v="0"/>
  </r>
  <r>
    <x v="8"/>
    <s v="DE1503"/>
    <s v="DE"/>
    <n v="15"/>
    <n v="3"/>
    <s v="RWE Gas Storage West"/>
    <s v="Stassfurt"/>
    <x v="0"/>
    <s v="existing"/>
    <n v="1996"/>
    <m/>
    <x v="1"/>
    <m/>
    <s v="Onshore"/>
    <n v="7.2561"/>
    <n v="7.2561"/>
    <m/>
    <n v="83.69"/>
    <n v="83.69"/>
    <m/>
    <n v="175.47"/>
    <n v="175.47"/>
    <m/>
    <s v="TPA"/>
    <x v="0"/>
    <x v="0"/>
    <x v="0"/>
  </r>
  <r>
    <x v="8"/>
    <s v="DE1504"/>
    <s v="DE"/>
    <n v="15"/>
    <n v="4"/>
    <s v="RWE Gas Storage West"/>
    <s v="Epe H-Gas"/>
    <x v="0"/>
    <s v="existing"/>
    <n v="1990"/>
    <m/>
    <x v="1"/>
    <m/>
    <s v="Onshore"/>
    <n v="0"/>
    <m/>
    <m/>
    <n v="0"/>
    <m/>
    <m/>
    <n v="0"/>
    <m/>
    <m/>
    <s v="TPA"/>
    <x v="0"/>
    <x v="1"/>
    <x v="0"/>
  </r>
  <r>
    <x v="8"/>
    <s v="DE1505"/>
    <s v="DE"/>
    <n v="15"/>
    <n v="5"/>
    <s v="RWE Gas Storage West"/>
    <s v="Xanten"/>
    <x v="0"/>
    <s v="existing"/>
    <n v="1985"/>
    <m/>
    <x v="1"/>
    <m/>
    <s v="Onshore"/>
    <n v="0"/>
    <m/>
    <m/>
    <n v="0"/>
    <m/>
    <m/>
    <n v="0"/>
    <m/>
    <m/>
    <s v="TPA"/>
    <x v="0"/>
    <x v="1"/>
    <x v="0"/>
  </r>
  <r>
    <x v="8"/>
    <s v="DE15V1"/>
    <s v="DE"/>
    <n v="15"/>
    <s v="V1"/>
    <s v="RWE Gas Storage NWE"/>
    <s v="VGS innEXpool"/>
    <x v="0"/>
    <s v="existing"/>
    <n v="1986"/>
    <m/>
    <x v="1"/>
    <m/>
    <s v="Onshore"/>
    <n v="6.3852000000000002"/>
    <n v="6.3852000000000002"/>
    <m/>
    <n v="104.03"/>
    <n v="104.03"/>
    <m/>
    <n v="325.77999999999997"/>
    <n v="325.77999999999997"/>
    <m/>
    <s v="TPA"/>
    <x v="1"/>
    <x v="0"/>
    <x v="0"/>
  </r>
  <r>
    <x v="8"/>
    <s v="DE1601"/>
    <s v="DE"/>
    <n v="16"/>
    <n v="1"/>
    <s v="KGE (Kommunale Gasspeichergesellschaft Epe)"/>
    <s v="Epe KGE"/>
    <x v="0"/>
    <s v="existing"/>
    <n v="2012"/>
    <m/>
    <x v="1"/>
    <m/>
    <s v="Onshore"/>
    <n v="2.1244000000000001"/>
    <n v="2.1244000000000001"/>
    <m/>
    <n v="41.04"/>
    <n v="41.04"/>
    <m/>
    <n v="109.44"/>
    <n v="109.44"/>
    <m/>
    <s v="TPA"/>
    <x v="0"/>
    <x v="0"/>
    <x v="0"/>
  </r>
  <r>
    <x v="8"/>
    <s v="DE1701"/>
    <s v="DE"/>
    <n v="17"/>
    <n v="1"/>
    <s v="MND Gas Storage Germany"/>
    <s v="Hähnlein"/>
    <x v="0"/>
    <s v="existing"/>
    <n v="1960"/>
    <m/>
    <x v="2"/>
    <s v="Aquifer"/>
    <s v="Onshore"/>
    <n v="0"/>
    <m/>
    <m/>
    <n v="0"/>
    <m/>
    <m/>
    <n v="0"/>
    <m/>
    <m/>
    <s v="TPA"/>
    <x v="0"/>
    <x v="1"/>
    <x v="0"/>
  </r>
  <r>
    <x v="8"/>
    <s v="DE1702"/>
    <s v="DE"/>
    <n v="17"/>
    <n v="2"/>
    <s v="MND Gas Storage Germany"/>
    <s v="Stockstadt"/>
    <x v="0"/>
    <s v="existing"/>
    <n v="1969"/>
    <m/>
    <x v="2"/>
    <s v="Aquifer"/>
    <s v="Onshore"/>
    <n v="0"/>
    <m/>
    <m/>
    <n v="0"/>
    <m/>
    <m/>
    <n v="0"/>
    <m/>
    <m/>
    <s v="TPA"/>
    <x v="0"/>
    <x v="1"/>
    <x v="0"/>
  </r>
  <r>
    <x v="8"/>
    <s v="DE17V2"/>
    <s v="DE"/>
    <n v="17"/>
    <s v="V2"/>
    <s v="MND Gas Storage Germany"/>
    <s v="VSG MND GSG"/>
    <x v="0"/>
    <s v="existing"/>
    <m/>
    <m/>
    <x v="2"/>
    <s v="Aquifer"/>
    <s v="Onshore"/>
    <n v="2.4300000000000002"/>
    <n v="2.4300000000000002"/>
    <m/>
    <n v="37.968000000000004"/>
    <n v="37.968000000000004"/>
    <m/>
    <n v="61.032000000000004"/>
    <n v="61.032000000000004"/>
    <m/>
    <s v="TPA"/>
    <x v="1"/>
    <x v="0"/>
    <x v="0"/>
  </r>
  <r>
    <x v="8"/>
    <s v="DE1801"/>
    <s v="DE"/>
    <n v="18"/>
    <n v="1"/>
    <s v="N-ERGIE"/>
    <s v="Eschenfelden"/>
    <x v="0"/>
    <s v="existing"/>
    <n v="1976"/>
    <m/>
    <x v="2"/>
    <m/>
    <s v="Onshore"/>
    <n v="0.22617008599999999"/>
    <n v="0.22617008599999999"/>
    <m/>
    <n v="52.015000000000001"/>
    <n v="52.015000000000001"/>
    <m/>
    <n v="162.88999999999999"/>
    <n v="162.88999999999999"/>
    <m/>
    <s v="TPA"/>
    <x v="0"/>
    <x v="0"/>
    <x v="0"/>
  </r>
  <r>
    <x v="8"/>
    <s v="DE1901"/>
    <s v="DE"/>
    <n v="19"/>
    <n v="1"/>
    <s v="Nuon"/>
    <s v="Epe Nuon"/>
    <x v="0"/>
    <s v="existing"/>
    <n v="2007"/>
    <m/>
    <x v="1"/>
    <m/>
    <s v="Onshore"/>
    <n v="3.012"/>
    <n v="3.012"/>
    <m/>
    <n v="84.97"/>
    <n v="84.97"/>
    <m/>
    <n v="141.61000000000001"/>
    <n v="141.61000000000001"/>
    <m/>
    <s v="TPA"/>
    <x v="0"/>
    <x v="0"/>
    <x v="0"/>
  </r>
  <r>
    <x v="8"/>
    <s v="DE2001"/>
    <s v="DE"/>
    <n v="20"/>
    <n v="1"/>
    <s v="OMV Gas Storage Germany"/>
    <s v="Etzel ESE"/>
    <x v="0"/>
    <s v="existing"/>
    <n v="2012"/>
    <m/>
    <x v="1"/>
    <m/>
    <s v="Onshore"/>
    <n v="5.2949999999999999"/>
    <n v="5.2949999999999999"/>
    <m/>
    <n v="71.28"/>
    <n v="71.28"/>
    <m/>
    <n v="106.8"/>
    <n v="106.8"/>
    <m/>
    <s v="TPA"/>
    <x v="0"/>
    <x v="0"/>
    <x v="0"/>
  </r>
  <r>
    <x v="8"/>
    <s v="DE2101"/>
    <s v="DE"/>
    <n v="21"/>
    <n v="1"/>
    <s v="Ontras Gastransport"/>
    <s v="Bruggraf-Bernsdorf"/>
    <x v="0"/>
    <s v="existing"/>
    <n v="1970"/>
    <m/>
    <x v="1"/>
    <m/>
    <s v="Onshore"/>
    <n v="3.4500000000000003E-2"/>
    <n v="0"/>
    <n v="3.4500000000000003E-2"/>
    <n v="0"/>
    <m/>
    <m/>
    <n v="0"/>
    <m/>
    <m/>
    <s v="TPA"/>
    <x v="0"/>
    <x v="0"/>
    <x v="0"/>
  </r>
  <r>
    <x v="8"/>
    <s v="DE2201"/>
    <s v="DE"/>
    <n v="22"/>
    <n v="1"/>
    <s v="Stadtwerke Bremen (wesernetz)"/>
    <s v="Bremen-Lesum"/>
    <x v="0"/>
    <s v="existing"/>
    <n v="2000"/>
    <m/>
    <x v="1"/>
    <m/>
    <s v="Onshore"/>
    <n v="0.86250000000000004"/>
    <n v="0.86250000000000004"/>
    <m/>
    <n v="1.38"/>
    <n v="1.38"/>
    <m/>
    <n v="4.1399999999999997"/>
    <n v="4.1399999999999997"/>
    <m/>
    <s v="TPA"/>
    <x v="0"/>
    <x v="0"/>
    <x v="0"/>
  </r>
  <r>
    <x v="8"/>
    <s v="DE2301"/>
    <s v="DE"/>
    <n v="23"/>
    <n v="1"/>
    <s v="Stadtwerke Kiel"/>
    <s v="Kiel-Rönne"/>
    <x v="0"/>
    <s v="existing"/>
    <n v="1971"/>
    <m/>
    <x v="1"/>
    <m/>
    <s v="Onshore"/>
    <n v="0.66800000000000004"/>
    <n v="0.66800000000000004"/>
    <m/>
    <n v="11.38"/>
    <n v="11.38"/>
    <m/>
    <n v="27.12"/>
    <n v="27.12"/>
    <m/>
    <s v="TPA"/>
    <x v="0"/>
    <x v="0"/>
    <x v="0"/>
  </r>
  <r>
    <x v="8"/>
    <s v="DE2401"/>
    <s v="DE"/>
    <n v="24"/>
    <n v="1"/>
    <s v="Storengy Deutschland"/>
    <s v="Bremen-Lesum"/>
    <x v="0"/>
    <s v="existing"/>
    <n v="2000"/>
    <m/>
    <x v="1"/>
    <m/>
    <s v="Onshore"/>
    <n v="1.55"/>
    <n v="1.55"/>
    <m/>
    <n v="24.821999999999996"/>
    <n v="24.821999999999996"/>
    <m/>
    <n v="52.007999999999996"/>
    <n v="52.007999999999996"/>
    <m/>
    <s v="TPA"/>
    <x v="0"/>
    <x v="0"/>
    <x v="0"/>
  </r>
  <r>
    <x v="8"/>
    <s v="DE2402"/>
    <s v="DE"/>
    <n v="24"/>
    <n v="2"/>
    <s v="Storengy Deutschland"/>
    <s v="Fronhofen-Trigonodus"/>
    <x v="0"/>
    <s v="existing"/>
    <n v="1997"/>
    <m/>
    <x v="0"/>
    <s v="Gas"/>
    <s v="Onshore"/>
    <n v="0.11"/>
    <n v="0.11"/>
    <m/>
    <n v="5.3520000000000003"/>
    <n v="5.3520000000000003"/>
    <m/>
    <n v="8.0280000000000005"/>
    <n v="8.0280000000000005"/>
    <m/>
    <s v="TPA"/>
    <x v="0"/>
    <x v="0"/>
    <x v="0"/>
  </r>
  <r>
    <x v="8"/>
    <s v="DE2403"/>
    <s v="DE"/>
    <n v="24"/>
    <n v="3"/>
    <s v="Storengy Deutschland"/>
    <s v="Harsefeld"/>
    <x v="0"/>
    <s v="existing"/>
    <n v="1992"/>
    <m/>
    <x v="1"/>
    <m/>
    <s v="Onshore"/>
    <n v="1.212"/>
    <n v="1.212"/>
    <m/>
    <n v="24.667000000000002"/>
    <n v="24.667000000000002"/>
    <m/>
    <n v="81.72"/>
    <n v="81.72"/>
    <m/>
    <s v="TPA"/>
    <x v="0"/>
    <x v="0"/>
    <x v="0"/>
  </r>
  <r>
    <x v="8"/>
    <s v="DE2404"/>
    <s v="DE"/>
    <n v="24"/>
    <n v="4"/>
    <s v="Storengy Deutschland"/>
    <s v="Peckensen"/>
    <x v="0"/>
    <s v="existing"/>
    <n v="2002"/>
    <m/>
    <x v="1"/>
    <m/>
    <s v="Onshore"/>
    <n v="3.7810000000000001"/>
    <n v="3.7810000000000001"/>
    <m/>
    <n v="84.671999999999997"/>
    <n v="84.671999999999997"/>
    <m/>
    <n v="231.958"/>
    <n v="231.958"/>
    <m/>
    <s v="TPA"/>
    <x v="0"/>
    <x v="0"/>
    <x v="0"/>
  </r>
  <r>
    <x v="8"/>
    <s v="DE2405"/>
    <s v="DE"/>
    <n v="24"/>
    <n v="5"/>
    <s v="Storengy Deutschland"/>
    <s v="Schmidhausen"/>
    <x v="0"/>
    <s v="existing"/>
    <n v="1983"/>
    <m/>
    <x v="0"/>
    <s v="Gas"/>
    <s v="Onshore"/>
    <n v="1.74"/>
    <n v="1.74"/>
    <m/>
    <n v="10.75"/>
    <n v="10.75"/>
    <m/>
    <n v="40.32"/>
    <n v="40.32"/>
    <m/>
    <s v="TPA"/>
    <x v="0"/>
    <x v="0"/>
    <x v="0"/>
  </r>
  <r>
    <x v="8"/>
    <s v="DE2406"/>
    <s v="DE"/>
    <n v="24"/>
    <n v="6"/>
    <s v="Storengy Deutschland"/>
    <s v="Uelsen"/>
    <x v="0"/>
    <s v="existing"/>
    <n v="1997"/>
    <m/>
    <x v="0"/>
    <s v="Gas"/>
    <s v="Onshore"/>
    <n v="9.8109999999999999"/>
    <n v="9.8109999999999999"/>
    <m/>
    <n v="81.025000000000006"/>
    <n v="81.025000000000006"/>
    <m/>
    <n v="107.598"/>
    <n v="107.598"/>
    <m/>
    <s v="TPA"/>
    <x v="0"/>
    <x v="0"/>
    <x v="0"/>
  </r>
  <r>
    <x v="8"/>
    <s v="DE2501"/>
    <s v="DE"/>
    <n v="25"/>
    <n v="1"/>
    <s v="TEP (Thüringer Energie Speichergesellschaft)"/>
    <s v="Allmenhausen"/>
    <x v="0"/>
    <s v="existing"/>
    <n v="1996"/>
    <m/>
    <x v="0"/>
    <s v="Gas"/>
    <s v="Onshore"/>
    <n v="0.71299999999999997"/>
    <n v="0.71299999999999997"/>
    <m/>
    <n v="8.5559999999999992"/>
    <n v="8.5559999999999992"/>
    <m/>
    <n v="17.111999999999998"/>
    <n v="17.111999999999998"/>
    <m/>
    <s v="TPA"/>
    <x v="0"/>
    <x v="0"/>
    <x v="0"/>
  </r>
  <r>
    <x v="8"/>
    <s v="DE2601"/>
    <s v="DE"/>
    <n v="26"/>
    <n v="1"/>
    <s v="terranets bw"/>
    <s v="Sandhausen"/>
    <x v="0"/>
    <s v="existing"/>
    <n v="1991"/>
    <m/>
    <x v="2"/>
    <m/>
    <s v="Onshore"/>
    <n v="0.34499999999999997"/>
    <n v="0"/>
    <n v="0.34499999999999997"/>
    <n v="5.52"/>
    <n v="0"/>
    <n v="5.52"/>
    <n v="12.420000000000002"/>
    <n v="0"/>
    <n v="12.420000000000002"/>
    <s v="TPA"/>
    <x v="0"/>
    <x v="0"/>
    <x v="0"/>
  </r>
  <r>
    <x v="8"/>
    <s v="DE2701"/>
    <s v="DE"/>
    <n v="27"/>
    <n v="1"/>
    <s v="Total Etzel Gaslager"/>
    <s v="Etzel EGL"/>
    <x v="0"/>
    <s v="existing"/>
    <n v="1993"/>
    <m/>
    <x v="1"/>
    <m/>
    <s v="Onshore"/>
    <n v="6.2932289500000002E-2"/>
    <n v="6.2932289500000002E-2"/>
    <m/>
    <n v="0.89341199999999998"/>
    <n v="0.89341199999999998"/>
    <m/>
    <n v="1.9656720000000001"/>
    <n v="1.9656720000000001"/>
    <m/>
    <s v="TPA"/>
    <x v="0"/>
    <x v="0"/>
    <x v="0"/>
  </r>
  <r>
    <x v="8"/>
    <s v="DE2801"/>
    <s v="DE"/>
    <n v="28"/>
    <n v="1"/>
    <s v="TGE (Trianel Gasspeicher Epe)"/>
    <s v="Epe Trianel"/>
    <x v="0"/>
    <s v="existing"/>
    <n v="2008"/>
    <m/>
    <x v="1"/>
    <m/>
    <s v="Onshore"/>
    <n v="2.1698"/>
    <n v="2.1698"/>
    <m/>
    <n v="82.22"/>
    <n v="82.22"/>
    <m/>
    <n v="164.45"/>
    <n v="164.45"/>
    <m/>
    <s v="TPA"/>
    <x v="0"/>
    <x v="0"/>
    <x v="0"/>
  </r>
  <r>
    <x v="8"/>
    <s v="DE2901"/>
    <s v="DE"/>
    <n v="29"/>
    <n v="1"/>
    <s v="Uniper Energy Storage"/>
    <s v="Bierwang"/>
    <x v="0"/>
    <s v="existing"/>
    <n v="1975"/>
    <m/>
    <x v="0"/>
    <s v="Gas"/>
    <s v="Onshore"/>
    <n v="9.4079999999999995"/>
    <n v="9.4079999999999995"/>
    <m/>
    <n v="268.8"/>
    <n v="268.8"/>
    <m/>
    <n v="349.44"/>
    <n v="349.44"/>
    <m/>
    <s v="TPA"/>
    <x v="0"/>
    <x v="0"/>
    <x v="0"/>
  </r>
  <r>
    <x v="8"/>
    <s v="DE2902"/>
    <s v="DE"/>
    <n v="29"/>
    <n v="2"/>
    <s v="Uniper Energy Storage"/>
    <s v="Breitbrunn"/>
    <x v="0"/>
    <s v="existing"/>
    <n v="1996"/>
    <m/>
    <x v="0"/>
    <s v="Gas"/>
    <s v="Onshore"/>
    <n v="11.22"/>
    <n v="11.22"/>
    <m/>
    <n v="67.2"/>
    <n v="67.2"/>
    <m/>
    <n v="139.77600000000001"/>
    <n v="139.77600000000001"/>
    <m/>
    <s v="TPA"/>
    <x v="0"/>
    <x v="0"/>
    <x v="0"/>
  </r>
  <r>
    <x v="8"/>
    <s v="DE2903"/>
    <s v="DE"/>
    <n v="29"/>
    <n v="3"/>
    <s v="Uniper Energy Storage"/>
    <s v="Epe Uniper H-Gas"/>
    <x v="0"/>
    <s v="existing"/>
    <n v="1976"/>
    <m/>
    <x v="1"/>
    <m/>
    <s v="Onshore"/>
    <n v="14.425000000000001"/>
    <n v="14.425000000000001"/>
    <m/>
    <n v="328.32"/>
    <n v="328.32"/>
    <m/>
    <n v="465.12"/>
    <n v="465.12"/>
    <m/>
    <s v="TPA"/>
    <x v="0"/>
    <x v="0"/>
    <x v="0"/>
  </r>
  <r>
    <x v="8"/>
    <s v="DE2904"/>
    <s v="DE"/>
    <n v="29"/>
    <n v="4"/>
    <s v="Uniper Energy Storage"/>
    <s v="Epe Uniper L-Gas"/>
    <x v="0"/>
    <s v="existing"/>
    <n v="1976"/>
    <m/>
    <x v="1"/>
    <m/>
    <s v="Onshore"/>
    <n v="4.25"/>
    <n v="4.25"/>
    <m/>
    <n v="57.6"/>
    <n v="57.6"/>
    <m/>
    <n v="288"/>
    <n v="288"/>
    <m/>
    <s v="TPA"/>
    <x v="0"/>
    <x v="0"/>
    <x v="0"/>
  </r>
  <r>
    <x v="8"/>
    <s v="DE2905"/>
    <s v="DE"/>
    <n v="29"/>
    <n v="5"/>
    <s v="Uniper Energy Storage"/>
    <s v="Eschenfelden"/>
    <x v="0"/>
    <s v="existing"/>
    <n v="1976"/>
    <m/>
    <x v="2"/>
    <m/>
    <s v="Onshore"/>
    <n v="0.51980000000000004"/>
    <n v="0.51980000000000004"/>
    <m/>
    <n v="5.4240000000000004"/>
    <n v="5.4240000000000004"/>
    <m/>
    <n v="10.848000000000001"/>
    <n v="10.848000000000001"/>
    <m/>
    <s v="TPA"/>
    <x v="0"/>
    <x v="0"/>
    <x v="0"/>
  </r>
  <r>
    <x v="8"/>
    <s v="DE2906"/>
    <s v="DE"/>
    <n v="29"/>
    <n v="6"/>
    <s v="Uniper Energy Storage"/>
    <s v="Etzel EGL"/>
    <x v="0"/>
    <s v="existing"/>
    <n v="1993"/>
    <m/>
    <x v="1"/>
    <m/>
    <s v="Onshore"/>
    <n v="11.087"/>
    <n v="11.087"/>
    <m/>
    <n v="155.67840000000001"/>
    <n v="155.67840000000001"/>
    <m/>
    <n v="271.68400000000003"/>
    <n v="271.68400000000003"/>
    <m/>
    <s v="TPA"/>
    <x v="0"/>
    <x v="0"/>
    <x v="0"/>
  </r>
  <r>
    <x v="8"/>
    <s v="DE2907"/>
    <s v="DE"/>
    <n v="29"/>
    <n v="7"/>
    <s v="Uniper Energy Storage"/>
    <s v="Etzel ESE"/>
    <x v="0"/>
    <s v="existing"/>
    <n v="2012"/>
    <m/>
    <x v="1"/>
    <m/>
    <s v="Onshore"/>
    <n v="11.490600000000001"/>
    <n v="11.490600000000001"/>
    <m/>
    <n v="425.63900000000001"/>
    <n v="425.63900000000001"/>
    <m/>
    <n v="396.72"/>
    <n v="396.72"/>
    <m/>
    <s v="TPA"/>
    <x v="0"/>
    <x v="0"/>
    <x v="0"/>
  </r>
  <r>
    <x v="8"/>
    <s v="DE3001"/>
    <s v="DE"/>
    <n v="30"/>
    <n v="1"/>
    <s v="VNG Gasspeicher"/>
    <s v="Etzel ESE VGS"/>
    <x v="0"/>
    <s v="existing"/>
    <n v="2012"/>
    <m/>
    <x v="1"/>
    <m/>
    <s v="Onshore"/>
    <n v="1.2788999999999999"/>
    <n v="1.2788999999999999"/>
    <m/>
    <n v="28.728000000000002"/>
    <n v="28.728000000000002"/>
    <m/>
    <n v="46.17"/>
    <n v="46.17"/>
    <m/>
    <s v="TPA"/>
    <x v="0"/>
    <x v="0"/>
    <x v="0"/>
  </r>
  <r>
    <x v="8"/>
    <s v="DE3002"/>
    <s v="DE"/>
    <n v="30"/>
    <n v="2"/>
    <s v="VNG Gasspeicher"/>
    <s v="Kirchheiligen"/>
    <x v="3"/>
    <s v="existing"/>
    <n v="1973"/>
    <n v="2018"/>
    <x v="0"/>
    <s v="Gas"/>
    <s v="Onshore"/>
    <n v="2.0205000000000002"/>
    <n v="2.0205000000000002"/>
    <m/>
    <n v="37.72"/>
    <n v="37.72"/>
    <m/>
    <n v="33.68"/>
    <n v="33.68"/>
    <m/>
    <s v="TPA"/>
    <x v="1"/>
    <x v="1"/>
    <x v="1"/>
  </r>
  <r>
    <x v="8"/>
    <s v="DE3006"/>
    <s v="DE"/>
    <n v="30"/>
    <n v="6"/>
    <s v="VNG Gasspeicher"/>
    <s v="Jemgum H (VGS)"/>
    <x v="0"/>
    <s v="existing"/>
    <n v="2019"/>
    <m/>
    <x v="1"/>
    <m/>
    <s v="Onshore"/>
    <n v="1.6628000000000001"/>
    <n v="1.6628000000000001"/>
    <m/>
    <n v="27.22"/>
    <n v="27.22"/>
    <m/>
    <n v="41.85"/>
    <n v="41.85"/>
    <m/>
    <s v="TPA"/>
    <x v="0"/>
    <x v="0"/>
    <x v="0"/>
  </r>
  <r>
    <x v="8"/>
    <s v="DE3003"/>
    <s v="DE"/>
    <n v="30"/>
    <n v="3"/>
    <s v="VNG Gasspeicher"/>
    <s v="Bernburg"/>
    <x v="0"/>
    <s v="existing"/>
    <n v="1974"/>
    <m/>
    <x v="1"/>
    <m/>
    <s v="Onshore"/>
    <n v="0"/>
    <m/>
    <m/>
    <n v="0"/>
    <m/>
    <m/>
    <n v="0"/>
    <m/>
    <m/>
    <s v="TPA"/>
    <x v="0"/>
    <x v="1"/>
    <x v="0"/>
  </r>
  <r>
    <x v="8"/>
    <s v="DE3004"/>
    <s v="DE"/>
    <n v="30"/>
    <n v="4"/>
    <s v="VNG Gasspeicher"/>
    <s v="Bad Lauchstädt"/>
    <x v="0"/>
    <s v="existing"/>
    <n v="1975"/>
    <m/>
    <x v="1"/>
    <m/>
    <s v="Onshore"/>
    <n v="0"/>
    <m/>
    <m/>
    <n v="0"/>
    <m/>
    <m/>
    <n v="0"/>
    <m/>
    <m/>
    <s v="TPA"/>
    <x v="0"/>
    <x v="1"/>
    <x v="0"/>
  </r>
  <r>
    <x v="8"/>
    <s v="DE3005"/>
    <s v="DE"/>
    <n v="30"/>
    <n v="5"/>
    <s v="VNG Gasspeicher"/>
    <s v="Bad Lauchstädt"/>
    <x v="0"/>
    <s v="existing"/>
    <n v="1975"/>
    <m/>
    <x v="0"/>
    <s v="Gas"/>
    <s v="Onshore"/>
    <n v="0"/>
    <m/>
    <m/>
    <n v="0"/>
    <m/>
    <m/>
    <n v="0"/>
    <m/>
    <m/>
    <s v="TPA"/>
    <x v="0"/>
    <x v="1"/>
    <x v="0"/>
  </r>
  <r>
    <x v="8"/>
    <s v="DE30V1"/>
    <s v="DE"/>
    <n v="30"/>
    <s v="V1"/>
    <s v="VNG Gasspeicher"/>
    <s v="VGS storage hub"/>
    <x v="0"/>
    <s v="existing"/>
    <m/>
    <m/>
    <x v="4"/>
    <m/>
    <s v="Onshore"/>
    <n v="21.707799999999999"/>
    <n v="21.707799999999999"/>
    <m/>
    <n v="339.9"/>
    <n v="339.9"/>
    <m/>
    <n v="497.17"/>
    <n v="497.17"/>
    <m/>
    <s v="TPA"/>
    <x v="1"/>
    <x v="0"/>
    <x v="0"/>
  </r>
  <r>
    <x v="9"/>
    <s v="GR0101"/>
    <s v="GR"/>
    <n v="1"/>
    <n v="1"/>
    <s v="Hellenic Republic Asset Development Fund"/>
    <s v="South Kavala"/>
    <x v="2"/>
    <s v="new facility"/>
    <n v="2022"/>
    <m/>
    <x v="0"/>
    <s v="Gas"/>
    <s v="Onshore"/>
    <n v="3.8605"/>
    <n v="3.8605"/>
    <m/>
    <n v="55.15"/>
    <n v="55.15"/>
    <m/>
    <n v="44.12"/>
    <n v="44.12"/>
    <m/>
    <s v="rTPA"/>
    <x v="0"/>
    <x v="0"/>
    <x v="0"/>
  </r>
  <r>
    <x v="10"/>
    <s v="HU0101"/>
    <s v="HU"/>
    <n v="1"/>
    <n v="1"/>
    <s v="Hungarian Gas Storage"/>
    <s v="Hajdúszoboszló"/>
    <x v="0"/>
    <s v="existing"/>
    <n v="1981"/>
    <m/>
    <x v="0"/>
    <m/>
    <s v="Onshore"/>
    <n v="18.332461200000001"/>
    <n v="18.332461200000001"/>
    <m/>
    <n v="112.63629819999998"/>
    <n v="112.63629819999998"/>
    <m/>
    <n v="184.9992"/>
    <n v="184.9992"/>
    <m/>
    <s v="rTPA"/>
    <x v="0"/>
    <x v="0"/>
    <x v="0"/>
  </r>
  <r>
    <x v="10"/>
    <s v="HU0102"/>
    <s v="HU"/>
    <n v="1"/>
    <n v="2"/>
    <s v="Hungarian Gas Storage"/>
    <s v="Kardoskút"/>
    <x v="0"/>
    <s v="existing"/>
    <n v="1978"/>
    <m/>
    <x v="0"/>
    <m/>
    <s v="Onshore"/>
    <n v="3.1299323999999999"/>
    <n v="3.1299323999999999"/>
    <m/>
    <n v="17.967904000000001"/>
    <n v="17.967904000000001"/>
    <m/>
    <n v="33.531104999999997"/>
    <n v="33.531104999999997"/>
    <m/>
    <s v="rTPA"/>
    <x v="0"/>
    <x v="0"/>
    <x v="0"/>
  </r>
  <r>
    <x v="10"/>
    <s v="HU0103"/>
    <s v="HU"/>
    <n v="1"/>
    <n v="3"/>
    <s v="Hungarian Gas Storage"/>
    <s v="Pusztaederics"/>
    <x v="0"/>
    <s v="existing"/>
    <n v="1979"/>
    <m/>
    <x v="0"/>
    <m/>
    <s v="Onshore"/>
    <n v="3.8006322000000003"/>
    <n v="3.8006322000000003"/>
    <m/>
    <n v="32.566825999999999"/>
    <n v="32.566825999999999"/>
    <m/>
    <n v="33.531104999999997"/>
    <n v="33.531104999999997"/>
    <m/>
    <s v="rTPA"/>
    <x v="0"/>
    <x v="0"/>
    <x v="0"/>
  </r>
  <r>
    <x v="10"/>
    <s v="HU0104"/>
    <s v="HU"/>
    <n v="1"/>
    <n v="4"/>
    <s v="Hungarian Gas Storage"/>
    <s v="Zsana"/>
    <x v="0"/>
    <s v="existing"/>
    <n v="1996"/>
    <m/>
    <x v="0"/>
    <m/>
    <s v="Onshore"/>
    <n v="24.256976099999999"/>
    <n v="24.256976099999999"/>
    <m/>
    <n v="190.90897999999999"/>
    <n v="190.90897999999999"/>
    <m/>
    <n v="323.74860000000001"/>
    <n v="323.74860000000001"/>
    <m/>
    <s v="rTPA"/>
    <x v="0"/>
    <x v="0"/>
    <x v="0"/>
  </r>
  <r>
    <x v="10"/>
    <s v="HU01V1"/>
    <s v="HU"/>
    <n v="1"/>
    <s v="V1"/>
    <s v="Hungarian Gas Storage"/>
    <s v="VGS MFGT"/>
    <x v="0"/>
    <s v="existing"/>
    <m/>
    <m/>
    <x v="0"/>
    <m/>
    <s v="Onshore"/>
    <n v="49.523699999999998"/>
    <n v="49.523699999999998"/>
    <m/>
    <n v="354.08"/>
    <n v="354.08"/>
    <m/>
    <n v="575.80999999999995"/>
    <n v="575.80999999999995"/>
    <m/>
    <s v="rTPA"/>
    <x v="1"/>
    <x v="1"/>
    <x v="0"/>
  </r>
  <r>
    <x v="10"/>
    <s v="HU0201"/>
    <s v="HU"/>
    <n v="2"/>
    <n v="1"/>
    <s v="Hexum"/>
    <s v="Szöreg-1"/>
    <x v="0"/>
    <s v="existing"/>
    <n v="2009"/>
    <m/>
    <x v="0"/>
    <s v="Oil Field with Gas Cap"/>
    <s v="Onshore"/>
    <n v="20.1129"/>
    <n v="20.1129"/>
    <m/>
    <n v="134.06200000000001"/>
    <n v="134.06200000000001"/>
    <m/>
    <n v="263.89999999999998"/>
    <n v="263.89999999999998"/>
    <m/>
    <s v="rTPA"/>
    <x v="0"/>
    <x v="0"/>
    <x v="0"/>
  </r>
  <r>
    <x v="11"/>
    <s v="IT0101"/>
    <s v="IT"/>
    <n v="1"/>
    <n v="1"/>
    <s v="Edison Stoccaggio"/>
    <s v="Cellino"/>
    <x v="0"/>
    <s v="existing"/>
    <n v="1984"/>
    <m/>
    <x v="0"/>
    <s v="Gas"/>
    <s v="Onshore"/>
    <n v="0"/>
    <m/>
    <m/>
    <n v="0"/>
    <m/>
    <m/>
    <n v="0"/>
    <m/>
    <m/>
    <s v="rTPA"/>
    <x v="0"/>
    <x v="1"/>
    <x v="0"/>
  </r>
  <r>
    <x v="11"/>
    <s v="IT0102"/>
    <s v="IT"/>
    <n v="1"/>
    <n v="2"/>
    <s v="Edison Stoccaggio"/>
    <s v="Collalto"/>
    <x v="0"/>
    <s v="existing"/>
    <n v="1994"/>
    <m/>
    <x v="0"/>
    <s v="Gas"/>
    <s v="Onshore"/>
    <n v="0"/>
    <m/>
    <m/>
    <n v="0"/>
    <m/>
    <m/>
    <n v="0"/>
    <m/>
    <m/>
    <s v="rTPA"/>
    <x v="0"/>
    <x v="1"/>
    <x v="0"/>
  </r>
  <r>
    <x v="11"/>
    <s v="IT0103"/>
    <s v="IT"/>
    <n v="1"/>
    <n v="3"/>
    <s v="Edison Stoccaggio"/>
    <s v="Cotignola &amp; San Potito"/>
    <x v="0"/>
    <s v="existing"/>
    <n v="2013"/>
    <m/>
    <x v="0"/>
    <s v="Gas"/>
    <s v="Onshore"/>
    <n v="0"/>
    <m/>
    <m/>
    <n v="0"/>
    <m/>
    <m/>
    <n v="0"/>
    <m/>
    <m/>
    <s v="rTPA"/>
    <x v="0"/>
    <x v="1"/>
    <x v="0"/>
  </r>
  <r>
    <x v="11"/>
    <s v="IT01V1"/>
    <s v="IT"/>
    <n v="1"/>
    <s v="V1"/>
    <s v="Edison Stoccaggio"/>
    <s v="VGS Edison Stoccaggio"/>
    <x v="0"/>
    <s v="existing"/>
    <m/>
    <m/>
    <x v="0"/>
    <s v="Gas"/>
    <s v="Onshore"/>
    <n v="10.838100000000001"/>
    <n v="10.838100000000001"/>
    <n v="0"/>
    <n v="77.349999999999994"/>
    <n v="77.349999999999994"/>
    <n v="0"/>
    <n v="93.6"/>
    <n v="93.6"/>
    <n v="0"/>
    <s v="rTPA"/>
    <x v="1"/>
    <x v="0"/>
    <x v="0"/>
  </r>
  <r>
    <x v="11"/>
    <s v="IT0106"/>
    <s v="IT"/>
    <n v="1"/>
    <n v="6"/>
    <s v="Edison Stoccaggio"/>
    <s v="Palazzo Moroni"/>
    <x v="2"/>
    <s v="on hold"/>
    <m/>
    <m/>
    <x v="0"/>
    <s v="Gas"/>
    <s v="Onshore"/>
    <n v="0.57000000000000006"/>
    <n v="0.57000000000000006"/>
    <m/>
    <n v="9.5154750000000003"/>
    <n v="9.5154750000000003"/>
    <m/>
    <n v="9.5154750000000003"/>
    <n v="9.5154750000000003"/>
    <m/>
    <s v="rTPA"/>
    <x v="0"/>
    <x v="0"/>
    <x v="0"/>
  </r>
  <r>
    <x v="11"/>
    <s v="IT0201"/>
    <s v="IT"/>
    <n v="2"/>
    <n v="1"/>
    <s v="Gas Plus Storage"/>
    <s v="San Benedetto"/>
    <x v="2"/>
    <s v="new facility"/>
    <m/>
    <m/>
    <x v="0"/>
    <m/>
    <s v="Onshore"/>
    <n v="5.742"/>
    <n v="3.8279999999999998"/>
    <n v="1.9139999999999999"/>
    <n v="65.34"/>
    <n v="65.34"/>
    <m/>
    <n v="65.34"/>
    <n v="65.34"/>
    <m/>
    <s v="rTPA"/>
    <x v="0"/>
    <x v="0"/>
    <x v="0"/>
  </r>
  <r>
    <x v="11"/>
    <s v="IT0202"/>
    <s v="IT"/>
    <n v="2"/>
    <n v="2"/>
    <s v="Gas Plus Storage"/>
    <s v="Poggiofiorito"/>
    <x v="2"/>
    <s v="new facility"/>
    <m/>
    <m/>
    <x v="0"/>
    <m/>
    <s v="Onshore"/>
    <n v="1.8260000000000001"/>
    <n v="1.2173333333333334"/>
    <n v="0.60866666666666669"/>
    <n v="18.7"/>
    <n v="18.7"/>
    <m/>
    <n v="18.7"/>
    <n v="18.7"/>
    <m/>
    <s v="rTPA"/>
    <x v="0"/>
    <x v="0"/>
    <x v="0"/>
  </r>
  <r>
    <x v="11"/>
    <s v="IT0203"/>
    <s v="IT"/>
    <n v="2"/>
    <n v="3"/>
    <s v="Gas Plus Storage"/>
    <s v="Sinarca"/>
    <x v="2"/>
    <s v="new facility"/>
    <m/>
    <m/>
    <x v="0"/>
    <m/>
    <s v="Onshore"/>
    <n v="3.5640000000000001"/>
    <n v="2.3759999999999999"/>
    <n v="1.1879999999999999"/>
    <n v="35.200000000000003"/>
    <n v="35.200000000000003"/>
    <m/>
    <n v="35.200000000000003"/>
    <n v="35.200000000000003"/>
    <m/>
    <s v="rTPA"/>
    <x v="0"/>
    <x v="0"/>
    <x v="0"/>
  </r>
  <r>
    <x v="11"/>
    <s v="IT0301"/>
    <s v="IT"/>
    <n v="3"/>
    <n v="1"/>
    <s v="Geogastock"/>
    <s v="Cugno le Macine (Grottole-Ferrandina)"/>
    <x v="2"/>
    <s v="new facility"/>
    <m/>
    <m/>
    <x v="0"/>
    <m/>
    <s v="Onshore"/>
    <n v="8.8000000000000007"/>
    <n v="8.8000000000000007"/>
    <m/>
    <n v="110"/>
    <n v="110"/>
    <m/>
    <n v="110"/>
    <n v="110"/>
    <m/>
    <s v="rTPA"/>
    <x v="0"/>
    <x v="0"/>
    <x v="0"/>
  </r>
  <r>
    <x v="11"/>
    <s v="IT0401"/>
    <s v="IT"/>
    <n v="4"/>
    <n v="1"/>
    <s v="Ital Gas Storage"/>
    <s v="Cornegliano"/>
    <x v="0"/>
    <s v="new facility"/>
    <n v="2018"/>
    <m/>
    <x v="0"/>
    <s v="Gas"/>
    <s v="Onshore"/>
    <n v="1.5822000000000001"/>
    <n v="1.5822000000000001"/>
    <m/>
    <n v="15.12"/>
    <n v="15.12"/>
    <m/>
    <n v="21.6"/>
    <n v="21.6"/>
    <m/>
    <s v="rTPA"/>
    <x v="0"/>
    <x v="0"/>
    <x v="0"/>
  </r>
  <r>
    <x v="11"/>
    <s v="IT0510"/>
    <s v="IT"/>
    <n v="5"/>
    <n v="10"/>
    <s v="STOGIT"/>
    <s v="Alfonsine"/>
    <x v="2"/>
    <s v="new facility"/>
    <n v="2026"/>
    <m/>
    <x v="0"/>
    <m/>
    <s v="Onshore"/>
    <n v="1.5509368421052632"/>
    <n v="1.5509368421052632"/>
    <n v="0"/>
    <n v="25.858521052631577"/>
    <n v="25.858521052631577"/>
    <n v="0"/>
    <n v="25.858521052631577"/>
    <n v="25.858521052631577"/>
    <m/>
    <s v="rTPA"/>
    <x v="0"/>
    <x v="0"/>
    <x v="0"/>
  </r>
  <r>
    <x v="11"/>
    <s v="IT0511"/>
    <s v="IT"/>
    <n v="5"/>
    <n v="11"/>
    <s v="STOGIT"/>
    <s v="Bordolano"/>
    <x v="1"/>
    <s v="extension"/>
    <m/>
    <m/>
    <x v="0"/>
    <m/>
    <s v="Onshore"/>
    <n v="2.5848947368421054"/>
    <n v="2.5848947368421054"/>
    <n v="0"/>
    <n v="0"/>
    <n v="0"/>
    <n v="0"/>
    <n v="20.688731578947365"/>
    <n v="20.688731578947365"/>
    <m/>
    <s v="rTPA"/>
    <x v="1"/>
    <x v="0"/>
    <x v="0"/>
  </r>
  <r>
    <x v="11"/>
    <s v="IT0512"/>
    <s v="IT"/>
    <n v="5"/>
    <n v="12"/>
    <s v="STOGIT"/>
    <s v="Fiume Treste"/>
    <x v="2"/>
    <s v="extension"/>
    <n v="2021"/>
    <m/>
    <x v="0"/>
    <m/>
    <s v="Onshore"/>
    <n v="2.0679157894736844"/>
    <n v="2.0679157894736844"/>
    <n v="0"/>
    <n v="0"/>
    <n v="0"/>
    <n v="0"/>
    <n v="41.377463157894731"/>
    <n v="41.377463157894731"/>
    <m/>
    <s v="rTPA"/>
    <x v="1"/>
    <x v="0"/>
    <x v="0"/>
  </r>
  <r>
    <x v="11"/>
    <s v="IT0513"/>
    <s v="IT"/>
    <n v="5"/>
    <n v="13"/>
    <s v="STOGIT"/>
    <s v="Fiume Treste F"/>
    <x v="2"/>
    <s v="extension"/>
    <n v="2021"/>
    <m/>
    <x v="0"/>
    <m/>
    <s v="Onshore"/>
    <n v="2.0679157894736844"/>
    <n v="2.0679157894736844"/>
    <n v="0"/>
    <n v="0"/>
    <n v="0"/>
    <n v="0"/>
    <n v="0"/>
    <n v="0"/>
    <m/>
    <s v="rTPA"/>
    <x v="1"/>
    <x v="0"/>
    <x v="0"/>
  </r>
  <r>
    <x v="11"/>
    <s v="IT0514"/>
    <s v="IT"/>
    <n v="5"/>
    <n v="14"/>
    <s v="STOGIT"/>
    <s v="Minerbio"/>
    <x v="1"/>
    <s v="extension"/>
    <m/>
    <m/>
    <x v="0"/>
    <m/>
    <s v="Onshore"/>
    <n v="4.3464526315789476"/>
    <n v="4.3464526315789476"/>
    <n v="0"/>
    <n v="0"/>
    <n v="0"/>
    <n v="0"/>
    <n v="0"/>
    <n v="0"/>
    <m/>
    <s v="rTPA"/>
    <x v="1"/>
    <x v="0"/>
    <x v="0"/>
  </r>
  <r>
    <x v="11"/>
    <s v="IT0515"/>
    <s v="IT"/>
    <n v="5"/>
    <n v="15"/>
    <s v="STOGIT"/>
    <s v="Ripalta"/>
    <x v="1"/>
    <s v="extension"/>
    <m/>
    <m/>
    <x v="0"/>
    <m/>
    <s v="Onshore"/>
    <n v="0"/>
    <n v="0"/>
    <n v="0"/>
    <n v="20.688731578947365"/>
    <n v="20.688731578947365"/>
    <n v="0"/>
    <n v="0"/>
    <n v="0"/>
    <m/>
    <s v="rTPA"/>
    <x v="1"/>
    <x v="0"/>
    <x v="0"/>
  </r>
  <r>
    <x v="11"/>
    <s v="IT0516"/>
    <s v="IT"/>
    <n v="5"/>
    <n v="16"/>
    <s v="STOGIT"/>
    <s v="Ripalta"/>
    <x v="2"/>
    <s v="extension"/>
    <n v="2026"/>
    <m/>
    <x v="0"/>
    <m/>
    <s v="Onshore"/>
    <n v="3.7241631578947367"/>
    <n v="3.7241631578947367"/>
    <n v="0"/>
    <n v="0"/>
    <n v="0"/>
    <n v="0"/>
    <n v="0"/>
    <n v="0"/>
    <m/>
    <s v="rTPA"/>
    <x v="1"/>
    <x v="0"/>
    <x v="0"/>
  </r>
  <r>
    <x v="11"/>
    <s v="IT0517"/>
    <s v="IT"/>
    <n v="5"/>
    <n v="17"/>
    <s v="STOGIT"/>
    <s v="Sabbioncello"/>
    <x v="1"/>
    <s v="new facility"/>
    <n v="2023"/>
    <m/>
    <x v="0"/>
    <m/>
    <s v="Onshore"/>
    <n v="0"/>
    <n v="0"/>
    <n v="0"/>
    <n v="0"/>
    <n v="0"/>
    <n v="0"/>
    <n v="62.0661947368421"/>
    <n v="62.0661947368421"/>
    <m/>
    <s v="rTPA"/>
    <x v="0"/>
    <x v="0"/>
    <x v="0"/>
  </r>
  <r>
    <x v="11"/>
    <s v="IT0518"/>
    <s v="IT"/>
    <n v="5"/>
    <n v="18"/>
    <s v="STOGIT"/>
    <s v="Sergnano"/>
    <x v="1"/>
    <s v="extension"/>
    <m/>
    <m/>
    <x v="0"/>
    <m/>
    <s v="Onshore"/>
    <n v="1.6562473684210526"/>
    <n v="1.6562473684210526"/>
    <n v="0"/>
    <n v="0"/>
    <n v="0"/>
    <n v="0"/>
    <n v="0"/>
    <n v="0"/>
    <m/>
    <s v="rTPA"/>
    <x v="1"/>
    <x v="0"/>
    <x v="0"/>
  </r>
  <r>
    <x v="11"/>
    <s v="IT0519"/>
    <s v="IT"/>
    <n v="5"/>
    <n v="19"/>
    <s v="STOGIT"/>
    <s v="Settala"/>
    <x v="2"/>
    <s v="extension"/>
    <n v="2026"/>
    <m/>
    <x v="0"/>
    <m/>
    <s v="Onshore"/>
    <n v="3.6188526315789469"/>
    <n v="3.6188526315789469"/>
    <n v="0"/>
    <n v="0"/>
    <n v="0"/>
    <n v="0"/>
    <n v="0"/>
    <n v="0"/>
    <m/>
    <s v="rTPA"/>
    <x v="1"/>
    <x v="0"/>
    <x v="0"/>
  </r>
  <r>
    <x v="11"/>
    <s v="IT0501"/>
    <s v="IT"/>
    <n v="5"/>
    <n v="1"/>
    <s v="STOGIT"/>
    <s v="Bordolano"/>
    <x v="0"/>
    <s v="existing"/>
    <n v="2016"/>
    <m/>
    <x v="0"/>
    <m/>
    <s v="Onshore"/>
    <n v="0"/>
    <m/>
    <m/>
    <n v="0"/>
    <m/>
    <m/>
    <n v="0"/>
    <m/>
    <m/>
    <s v="rTPA"/>
    <x v="0"/>
    <x v="1"/>
    <x v="0"/>
  </r>
  <r>
    <x v="11"/>
    <s v="IT0502"/>
    <s v="IT"/>
    <n v="5"/>
    <n v="2"/>
    <s v="STOGIT"/>
    <s v="Brugherio"/>
    <x v="0"/>
    <s v="existing"/>
    <n v="1966"/>
    <m/>
    <x v="0"/>
    <m/>
    <s v="Onshore"/>
    <n v="0"/>
    <m/>
    <m/>
    <n v="0"/>
    <m/>
    <m/>
    <n v="0"/>
    <m/>
    <m/>
    <s v="rTPA"/>
    <x v="0"/>
    <x v="1"/>
    <x v="0"/>
  </r>
  <r>
    <x v="11"/>
    <s v="IT0503"/>
    <s v="IT"/>
    <n v="5"/>
    <n v="3"/>
    <s v="STOGIT"/>
    <s v="Cortemaggiore"/>
    <x v="0"/>
    <s v="existing"/>
    <n v="1964"/>
    <m/>
    <x v="0"/>
    <m/>
    <s v="Onshore"/>
    <n v="0"/>
    <m/>
    <m/>
    <n v="0"/>
    <m/>
    <m/>
    <n v="0"/>
    <m/>
    <m/>
    <s v="rTPA"/>
    <x v="0"/>
    <x v="1"/>
    <x v="0"/>
  </r>
  <r>
    <x v="11"/>
    <s v="IT0504"/>
    <s v="IT"/>
    <n v="5"/>
    <n v="4"/>
    <s v="STOGIT"/>
    <s v="Fiume Treste"/>
    <x v="0"/>
    <s v="existing"/>
    <n v="1982"/>
    <m/>
    <x v="0"/>
    <m/>
    <s v="Onshore"/>
    <n v="0"/>
    <m/>
    <m/>
    <n v="0"/>
    <m/>
    <m/>
    <n v="0"/>
    <m/>
    <m/>
    <s v="rTPA"/>
    <x v="0"/>
    <x v="1"/>
    <x v="0"/>
  </r>
  <r>
    <x v="11"/>
    <s v="IT0505"/>
    <s v="IT"/>
    <n v="5"/>
    <n v="5"/>
    <s v="STOGIT"/>
    <s v="Minerbio"/>
    <x v="0"/>
    <s v="existing"/>
    <n v="1975"/>
    <m/>
    <x v="0"/>
    <m/>
    <s v="Onshore"/>
    <n v="0"/>
    <m/>
    <m/>
    <n v="0"/>
    <m/>
    <m/>
    <n v="0"/>
    <m/>
    <m/>
    <s v="rTPA"/>
    <x v="0"/>
    <x v="1"/>
    <x v="0"/>
  </r>
  <r>
    <x v="11"/>
    <s v="IT0506"/>
    <s v="IT"/>
    <n v="5"/>
    <n v="6"/>
    <s v="STOGIT"/>
    <s v="Ripalta"/>
    <x v="0"/>
    <s v="existing"/>
    <n v="1967"/>
    <m/>
    <x v="0"/>
    <m/>
    <s v="Onshore"/>
    <n v="0"/>
    <m/>
    <m/>
    <n v="0"/>
    <m/>
    <m/>
    <n v="0"/>
    <m/>
    <m/>
    <s v="rTPA"/>
    <x v="0"/>
    <x v="1"/>
    <x v="0"/>
  </r>
  <r>
    <x v="11"/>
    <s v="IT0507"/>
    <s v="IT"/>
    <n v="5"/>
    <n v="7"/>
    <s v="STOGIT"/>
    <s v="Sabbioncello"/>
    <x v="0"/>
    <s v="existing"/>
    <n v="1985"/>
    <m/>
    <x v="0"/>
    <m/>
    <s v="Onshore"/>
    <n v="0"/>
    <m/>
    <m/>
    <n v="0"/>
    <m/>
    <m/>
    <n v="0"/>
    <m/>
    <m/>
    <s v="rTPA"/>
    <x v="0"/>
    <x v="1"/>
    <x v="0"/>
  </r>
  <r>
    <x v="11"/>
    <s v="IT0508"/>
    <s v="IT"/>
    <n v="5"/>
    <n v="8"/>
    <s v="STOGIT"/>
    <s v="Sergnano"/>
    <x v="0"/>
    <s v="existing"/>
    <n v="1965"/>
    <m/>
    <x v="0"/>
    <m/>
    <s v="Onshore"/>
    <n v="0"/>
    <m/>
    <m/>
    <n v="0"/>
    <m/>
    <m/>
    <n v="0"/>
    <m/>
    <m/>
    <s v="rTPA"/>
    <x v="0"/>
    <x v="1"/>
    <x v="0"/>
  </r>
  <r>
    <x v="11"/>
    <s v="IT0509"/>
    <s v="IT"/>
    <n v="5"/>
    <n v="9"/>
    <s v="STOGIT"/>
    <s v="Settala"/>
    <x v="0"/>
    <s v="existing"/>
    <n v="1986"/>
    <m/>
    <x v="0"/>
    <m/>
    <s v="Onshore"/>
    <n v="0"/>
    <m/>
    <m/>
    <n v="0"/>
    <m/>
    <m/>
    <n v="0"/>
    <m/>
    <m/>
    <s v="rTPA"/>
    <x v="0"/>
    <x v="1"/>
    <x v="0"/>
  </r>
  <r>
    <x v="11"/>
    <s v="IT05V1"/>
    <s v="IT"/>
    <n v="5"/>
    <s v="V1"/>
    <s v="STOGIT"/>
    <s v="VGS STOGIT"/>
    <x v="0"/>
    <s v="existing"/>
    <m/>
    <m/>
    <x v="0"/>
    <m/>
    <s v="Onshore"/>
    <n v="182.94558000000001"/>
    <n v="134.53469999999999"/>
    <n v="48.410879999999992"/>
    <n v="1588.4819999999995"/>
    <n v="1588.4819999999995"/>
    <n v="0"/>
    <n v="2679.8879999999995"/>
    <n v="2679.8879999999995"/>
    <n v="0"/>
    <s v="rTPA"/>
    <x v="1"/>
    <x v="0"/>
    <x v="0"/>
  </r>
  <r>
    <x v="11"/>
    <s v="IT0601"/>
    <s v="IT"/>
    <n v="6"/>
    <n v="1"/>
    <s v="GDF Suez Italy"/>
    <s v="Bagnolo Mella"/>
    <x v="2"/>
    <s v="on hold"/>
    <m/>
    <m/>
    <x v="0"/>
    <m/>
    <s v="Onshore"/>
    <n v="7.2162000000000006"/>
    <n v="7.2162000000000006"/>
    <m/>
    <n v="0"/>
    <m/>
    <m/>
    <n v="0"/>
    <m/>
    <m/>
    <s v="rTPA"/>
    <x v="0"/>
    <x v="0"/>
    <x v="0"/>
  </r>
  <r>
    <x v="12"/>
    <s v="LV0101"/>
    <s v="LV"/>
    <n v="1"/>
    <n v="1"/>
    <s v="Conexus Baltic Grid"/>
    <s v="Inčukalns"/>
    <x v="0"/>
    <s v="existing"/>
    <n v="1968"/>
    <m/>
    <x v="2"/>
    <m/>
    <s v="Onshore"/>
    <n v="24.2"/>
    <n v="24.2"/>
    <m/>
    <n v="178.5"/>
    <n v="178.5"/>
    <m/>
    <n v="316"/>
    <n v="316"/>
    <m/>
    <s v="rTPA"/>
    <x v="0"/>
    <x v="0"/>
    <x v="0"/>
  </r>
  <r>
    <x v="13"/>
    <s v="NL0101"/>
    <s v="NL"/>
    <n v="1"/>
    <n v="1"/>
    <s v="EnergyStock BV"/>
    <s v="EnergyStock"/>
    <x v="0"/>
    <s v="existing"/>
    <n v="2011"/>
    <m/>
    <x v="1"/>
    <m/>
    <s v="Onshore"/>
    <n v="3.65"/>
    <n v="3.65"/>
    <m/>
    <n v="345.03"/>
    <n v="345.03"/>
    <m/>
    <n v="595.86"/>
    <n v="595.86"/>
    <m/>
    <s v="TPA"/>
    <x v="0"/>
    <x v="0"/>
    <x v="0"/>
  </r>
  <r>
    <x v="13"/>
    <s v="NL0102"/>
    <s v="NL"/>
    <n v="1"/>
    <n v="2"/>
    <s v="EnergyStock BV"/>
    <s v="EnergyStock"/>
    <x v="0"/>
    <s v="extension"/>
    <n v="2020"/>
    <m/>
    <x v="1"/>
    <m/>
    <s v="Onshore"/>
    <n v="0.85"/>
    <n v="0.85"/>
    <m/>
    <n v="0"/>
    <m/>
    <m/>
    <n v="0"/>
    <m/>
    <m/>
    <s v="TPA"/>
    <x v="1"/>
    <x v="0"/>
    <x v="0"/>
  </r>
  <r>
    <x v="13"/>
    <s v="NL0201"/>
    <s v="NL"/>
    <n v="2"/>
    <n v="1"/>
    <s v="NAM"/>
    <s v="Grijpskerk"/>
    <x v="0"/>
    <s v="existing"/>
    <n v="1997"/>
    <m/>
    <x v="0"/>
    <s v="Gas Field (not depleted)"/>
    <s v="Onshore"/>
    <n v="27.666699999999999"/>
    <n v="0"/>
    <n v="27.666699999999999"/>
    <n v="172.916"/>
    <n v="0"/>
    <n v="172.916"/>
    <n v="719.33299999999997"/>
    <n v="0"/>
    <n v="719.33299999999997"/>
    <s v="TPA"/>
    <x v="0"/>
    <x v="0"/>
    <x v="0"/>
  </r>
  <r>
    <x v="13"/>
    <s v="NL0202"/>
    <s v="NL"/>
    <n v="2"/>
    <n v="2"/>
    <s v="NAM"/>
    <s v="Norg (Langelo)"/>
    <x v="0"/>
    <s v="existing"/>
    <n v="1997"/>
    <m/>
    <x v="0"/>
    <s v="Gas Field (not depleted)"/>
    <s v="Onshore"/>
    <n v="59.338500000000003"/>
    <n v="0"/>
    <n v="59.338500000000003"/>
    <n v="448.75"/>
    <n v="0"/>
    <n v="448.75"/>
    <n v="791.18"/>
    <n v="0"/>
    <n v="791.18"/>
    <s v="TPA"/>
    <x v="0"/>
    <x v="0"/>
    <x v="0"/>
  </r>
  <r>
    <x v="13"/>
    <s v="NL0301"/>
    <s v="NL"/>
    <n v="3"/>
    <n v="1"/>
    <s v="TAQA Gas Storage"/>
    <s v="Bergermeer"/>
    <x v="0"/>
    <s v="existing"/>
    <n v="2015"/>
    <m/>
    <x v="0"/>
    <s v="Gas"/>
    <s v="Onshore"/>
    <n v="48.151499999999999"/>
    <n v="48.151499999999999"/>
    <m/>
    <n v="407.55"/>
    <n v="407.55"/>
    <m/>
    <n v="490.85"/>
    <n v="490.85"/>
    <m/>
    <s v="TPA"/>
    <x v="0"/>
    <x v="0"/>
    <x v="0"/>
  </r>
  <r>
    <x v="13"/>
    <s v="NL0302"/>
    <s v="NL"/>
    <n v="3"/>
    <n v="2"/>
    <s v="TAQA Piek Gas"/>
    <s v="Alkmaar"/>
    <x v="0"/>
    <s v="existing"/>
    <n v="1997"/>
    <m/>
    <x v="0"/>
    <s v="Gas"/>
    <s v="Onshore"/>
    <n v="4.9000000000000004"/>
    <n v="0"/>
    <n v="4.9000000000000004"/>
    <n v="36"/>
    <n v="0"/>
    <n v="36"/>
    <n v="352.8"/>
    <n v="0"/>
    <n v="352.8"/>
    <s v="TPA"/>
    <x v="0"/>
    <x v="0"/>
    <x v="0"/>
  </r>
  <r>
    <x v="14"/>
    <s v="PL0101"/>
    <s v="PL"/>
    <n v="1"/>
    <n v="1"/>
    <s v="Gas Storage Poland"/>
    <s v="Wierzchowice"/>
    <x v="0"/>
    <s v="existing"/>
    <n v="1995"/>
    <m/>
    <x v="0"/>
    <m/>
    <s v="Onshore"/>
    <n v="14.729999999999999"/>
    <n v="14.62"/>
    <n v="0.11"/>
    <n v="107.52"/>
    <n v="106.42"/>
    <n v="1.1000000000000001"/>
    <n v="158.39999999999998"/>
    <n v="154.91999999999999"/>
    <n v="3.48"/>
    <s v="rTPA"/>
    <x v="0"/>
    <x v="0"/>
    <x v="0"/>
  </r>
  <r>
    <x v="14"/>
    <s v="PL0102"/>
    <s v="PL"/>
    <n v="1"/>
    <n v="2"/>
    <s v="Gas Storage Poland"/>
    <s v="Kosakowo"/>
    <x v="1"/>
    <s v="extension"/>
    <m/>
    <m/>
    <x v="1"/>
    <m/>
    <s v="Onshore"/>
    <n v="0.69"/>
    <n v="0.69"/>
    <m/>
    <m/>
    <m/>
    <m/>
    <m/>
    <m/>
    <m/>
    <s v="rTPA"/>
    <x v="1"/>
    <x v="0"/>
    <x v="0"/>
  </r>
  <r>
    <x v="14"/>
    <s v="PL0103"/>
    <s v="PL"/>
    <n v="1"/>
    <n v="3"/>
    <s v="Gas Storage Poland"/>
    <s v="Kosakowo"/>
    <x v="0"/>
    <s v="existing"/>
    <n v="2014"/>
    <m/>
    <x v="1"/>
    <m/>
    <s v="Onshore"/>
    <n v="2.67"/>
    <n v="2.67"/>
    <m/>
    <n v="26.759999999999998"/>
    <n v="26.759999999999998"/>
    <m/>
    <n v="107.03999999999999"/>
    <n v="107.03999999999999"/>
    <m/>
    <s v="rTPA"/>
    <x v="0"/>
    <x v="0"/>
    <x v="0"/>
  </r>
  <r>
    <x v="14"/>
    <s v="PL0104"/>
    <s v="PL"/>
    <n v="1"/>
    <n v="4"/>
    <s v="Gas Storage Poland"/>
    <s v="Mogilno"/>
    <x v="0"/>
    <s v="existing"/>
    <n v="1997"/>
    <m/>
    <x v="1"/>
    <m/>
    <s v="Onshore"/>
    <n v="6.5200000000000005"/>
    <n v="6.1858000000000004"/>
    <n v="0.3342"/>
    <n v="106.944"/>
    <n v="101.044"/>
    <n v="5.9"/>
    <n v="200.519967553773"/>
    <n v="186.93716755377301"/>
    <n v="13.582800000000001"/>
    <s v="rTPA"/>
    <x v="0"/>
    <x v="0"/>
    <x v="0"/>
  </r>
  <r>
    <x v="14"/>
    <s v="PL01V1"/>
    <s v="PL"/>
    <n v="1"/>
    <s v="V1"/>
    <s v="Gas Storage Poland"/>
    <s v="GSF Kawerna"/>
    <x v="0"/>
    <s v="existing"/>
    <m/>
    <m/>
    <x v="1"/>
    <m/>
    <s v="Onshore"/>
    <n v="9.19"/>
    <n v="8.8558000000000003"/>
    <n v="0.3342"/>
    <n v="133.70400000000001"/>
    <n v="127.804"/>
    <n v="5.9"/>
    <n v="307.55996755377305"/>
    <n v="293.97716755377303"/>
    <n v="13.582800000000001"/>
    <s v="rTPA"/>
    <x v="1"/>
    <x v="1"/>
    <x v="0"/>
  </r>
  <r>
    <x v="14"/>
    <s v="PL0106"/>
    <s v="PL"/>
    <n v="1"/>
    <n v="6"/>
    <s v="Gas Storage Poland"/>
    <s v="Swarzow"/>
    <x v="0"/>
    <s v="existing"/>
    <n v="1979"/>
    <m/>
    <x v="0"/>
    <m/>
    <s v="Onshore"/>
    <n v="1.0134000000000001"/>
    <n v="1.0134000000000001"/>
    <m/>
    <n v="11.2"/>
    <n v="11.2"/>
    <m/>
    <n v="10.44"/>
    <n v="10.44"/>
    <m/>
    <s v="rTPA"/>
    <x v="0"/>
    <x v="0"/>
    <x v="0"/>
  </r>
  <r>
    <x v="14"/>
    <s v="PL0107"/>
    <s v="PL"/>
    <n v="1"/>
    <n v="7"/>
    <s v="Gas Storage Poland"/>
    <s v="Brzeznica"/>
    <x v="0"/>
    <s v="existing"/>
    <n v="1979"/>
    <m/>
    <x v="0"/>
    <m/>
    <s v="Onshore"/>
    <n v="1.1259999999999999"/>
    <n v="1.1259999999999999"/>
    <m/>
    <n v="16.2"/>
    <n v="16.2"/>
    <m/>
    <n v="16.14"/>
    <n v="16.14"/>
    <m/>
    <s v="rTPA"/>
    <x v="0"/>
    <x v="0"/>
    <x v="0"/>
  </r>
  <r>
    <x v="14"/>
    <s v="PL0108"/>
    <s v="PL"/>
    <n v="1"/>
    <n v="8"/>
    <s v="Gas Storage Poland"/>
    <s v="Strachocina"/>
    <x v="0"/>
    <s v="existing"/>
    <n v="1982"/>
    <m/>
    <x v="0"/>
    <m/>
    <s v="Onshore"/>
    <n v="4.0788000000000002"/>
    <n v="4.0788000000000002"/>
    <m/>
    <n v="29.7"/>
    <n v="29.7"/>
    <m/>
    <n v="37.9"/>
    <n v="37.9"/>
    <m/>
    <s v="rTPA"/>
    <x v="0"/>
    <x v="0"/>
    <x v="0"/>
  </r>
  <r>
    <x v="14"/>
    <s v="PL0109"/>
    <s v="PL"/>
    <n v="1"/>
    <n v="9"/>
    <s v="Gas Storage Poland"/>
    <s v="Husow"/>
    <x v="0"/>
    <s v="existing"/>
    <n v="1987"/>
    <m/>
    <x v="0"/>
    <m/>
    <s v="Onshore"/>
    <n v="5.65"/>
    <n v="5.65"/>
    <m/>
    <n v="46.71"/>
    <n v="46.71"/>
    <m/>
    <n v="64.63"/>
    <n v="64.63"/>
    <m/>
    <s v="rTPA"/>
    <x v="0"/>
    <x v="0"/>
    <x v="0"/>
  </r>
  <r>
    <x v="14"/>
    <s v="PL01V2"/>
    <s v="PL"/>
    <n v="1"/>
    <s v="V2"/>
    <s v="Gas Storage Poland"/>
    <s v="GSF Sanok"/>
    <x v="0"/>
    <s v="existing"/>
    <m/>
    <m/>
    <x v="0"/>
    <m/>
    <s v="Onshore"/>
    <n v="11.868200000000002"/>
    <n v="11.868200000000002"/>
    <m/>
    <n v="103.81"/>
    <n v="103.81"/>
    <m/>
    <n v="129.10999999999999"/>
    <n v="129.10999999999999"/>
    <m/>
    <s v="rTPA"/>
    <x v="1"/>
    <x v="1"/>
    <x v="0"/>
  </r>
  <r>
    <x v="14"/>
    <s v="PL0201"/>
    <s v="PL"/>
    <n v="2"/>
    <n v="1"/>
    <s v="GAZ-SYSTEM"/>
    <s v="Damasławek"/>
    <x v="2"/>
    <s v="new facility"/>
    <n v="2026"/>
    <m/>
    <x v="1"/>
    <m/>
    <s v="Onshore"/>
    <n v="9"/>
    <n v="9"/>
    <m/>
    <n v="100"/>
    <n v="100"/>
    <m/>
    <n v="200"/>
    <n v="200"/>
    <m/>
    <s v="rTPA"/>
    <x v="0"/>
    <x v="0"/>
    <x v="0"/>
  </r>
  <r>
    <x v="14"/>
    <s v="PL0301"/>
    <s v="PL"/>
    <n v="3"/>
    <n v="1"/>
    <s v="PGNiG"/>
    <s v="Bonikowo"/>
    <x v="0"/>
    <s v="existing"/>
    <n v="2010"/>
    <m/>
    <x v="0"/>
    <s v="UGS for nitrogen rich ga"/>
    <s v="Onshore"/>
    <n v="2.2999999999999998"/>
    <n v="0"/>
    <n v="2.2999999999999998"/>
    <n v="19.32"/>
    <n v="0"/>
    <n v="19.32"/>
    <n v="27.599999999999998"/>
    <n v="0"/>
    <n v="27.599999999999998"/>
    <s v="TPA"/>
    <x v="0"/>
    <x v="0"/>
    <x v="0"/>
  </r>
  <r>
    <x v="14"/>
    <s v="PL0302"/>
    <s v="PL"/>
    <n v="3"/>
    <n v="2"/>
    <s v="PGNiG"/>
    <s v="Daszewo"/>
    <x v="0"/>
    <s v="existing"/>
    <n v="2009"/>
    <m/>
    <x v="0"/>
    <s v="UGS for nitrogen rich ga"/>
    <s v="Onshore"/>
    <n v="0.34499999999999997"/>
    <n v="0"/>
    <n v="0.34499999999999997"/>
    <n v="2.76"/>
    <n v="0"/>
    <n v="2.76"/>
    <n v="4.37"/>
    <n v="0"/>
    <n v="4.37"/>
    <s v="TPA"/>
    <x v="0"/>
    <x v="0"/>
    <x v="0"/>
  </r>
  <r>
    <x v="15"/>
    <s v="PT0101"/>
    <s v="PT"/>
    <n v="1"/>
    <n v="1"/>
    <s v="REN Armazenagen"/>
    <s v="Carriço"/>
    <x v="0"/>
    <s v="existing"/>
    <n v="2003"/>
    <m/>
    <x v="1"/>
    <s v="Gas"/>
    <s v="Onshore"/>
    <n v="3.57"/>
    <n v="3.57"/>
    <m/>
    <n v="24"/>
    <n v="24"/>
    <m/>
    <n v="71.400000000000006"/>
    <n v="71.400000000000006"/>
    <m/>
    <s v="rTPA"/>
    <x v="0"/>
    <x v="0"/>
    <x v="0"/>
  </r>
  <r>
    <x v="15"/>
    <s v="PT0102"/>
    <s v="PT"/>
    <n v="1"/>
    <n v="2"/>
    <s v="REN Armazenagen"/>
    <s v="Carriço"/>
    <x v="1"/>
    <s v="extension"/>
    <n v="2023"/>
    <m/>
    <x v="1"/>
    <s v="Gas"/>
    <s v="Onshore"/>
    <n v="0"/>
    <n v="0"/>
    <m/>
    <n v="8.24"/>
    <n v="8.24"/>
    <m/>
    <n v="0"/>
    <n v="0"/>
    <m/>
    <s v="rTPA"/>
    <x v="1"/>
    <x v="0"/>
    <x v="0"/>
  </r>
  <r>
    <x v="16"/>
    <s v="RO0101"/>
    <s v="RO"/>
    <n v="1"/>
    <n v="1"/>
    <s v="Depogaz Ploiești (ex Romgaz)"/>
    <s v="Balanceanca"/>
    <x v="0"/>
    <s v="existing"/>
    <n v="1992"/>
    <m/>
    <x v="0"/>
    <s v="Gas"/>
    <s v="Onshore"/>
    <n v="0.54500000000000004"/>
    <n v="0.54500000000000004"/>
    <m/>
    <n v="10.9"/>
    <n v="10.9"/>
    <m/>
    <n v="13.08"/>
    <n v="13.08"/>
    <m/>
    <s v="rTPA"/>
    <x v="0"/>
    <x v="0"/>
    <x v="0"/>
  </r>
  <r>
    <x v="16"/>
    <s v="RO0102"/>
    <s v="RO"/>
    <n v="1"/>
    <n v="2"/>
    <s v="Depogaz Ploiești (ex Romgaz)"/>
    <s v="Bilciuresti"/>
    <x v="0"/>
    <s v="existing"/>
    <n v="1983"/>
    <m/>
    <x v="0"/>
    <s v="Gas"/>
    <s v="Onshore"/>
    <n v="14.214"/>
    <n v="14.214"/>
    <m/>
    <n v="108.5"/>
    <n v="108.5"/>
    <m/>
    <n v="151.9"/>
    <n v="151.9"/>
    <m/>
    <s v="rTPA"/>
    <x v="0"/>
    <x v="0"/>
    <x v="0"/>
  </r>
  <r>
    <x v="16"/>
    <s v="RO0104"/>
    <s v="RO"/>
    <n v="1"/>
    <n v="4"/>
    <s v="Depogaz Ploiești (ex Romgaz)"/>
    <s v="Ghercesti"/>
    <x v="0"/>
    <s v="existing"/>
    <n v="2004"/>
    <m/>
    <x v="0"/>
    <s v="Gas"/>
    <s v="Onshore"/>
    <n v="1.6020000000000001"/>
    <n v="1.6020000000000001"/>
    <m/>
    <n v="21.36"/>
    <n v="21.36"/>
    <m/>
    <n v="21.36"/>
    <n v="21.36"/>
    <m/>
    <s v="rTPA"/>
    <x v="0"/>
    <x v="0"/>
    <x v="0"/>
  </r>
  <r>
    <x v="16"/>
    <s v="RO0105"/>
    <s v="RO"/>
    <n v="1"/>
    <n v="5"/>
    <s v="Depogaz Ploiești (ex Romgaz)"/>
    <s v="Moldova (Falticeni)"/>
    <x v="2"/>
    <s v="new facility"/>
    <n v="2023"/>
    <m/>
    <x v="0"/>
    <m/>
    <s v="Onshore"/>
    <n v="2.16"/>
    <n v="2.16"/>
    <m/>
    <n v="15.12"/>
    <n v="15.12"/>
    <m/>
    <n v="21.6"/>
    <n v="21.6"/>
    <m/>
    <s v="rTPA"/>
    <x v="0"/>
    <x v="0"/>
    <x v="0"/>
  </r>
  <r>
    <x v="16"/>
    <s v="RO0106"/>
    <s v="RO"/>
    <n v="1"/>
    <n v="6"/>
    <s v="Depogaz Ploiești (ex Romgaz)"/>
    <s v="Sarmasel"/>
    <x v="0"/>
    <s v="existing"/>
    <n v="1995"/>
    <m/>
    <x v="0"/>
    <s v="Gas"/>
    <s v="Onshore"/>
    <n v="9.5220000000000002"/>
    <n v="9.5220000000000002"/>
    <m/>
    <n v="68.77"/>
    <n v="68.77"/>
    <m/>
    <n v="79.349999999999994"/>
    <n v="79.349999999999994"/>
    <m/>
    <s v="rTPA"/>
    <x v="0"/>
    <x v="0"/>
    <x v="0"/>
  </r>
  <r>
    <x v="16"/>
    <s v="RO0107"/>
    <s v="RO"/>
    <n v="1"/>
    <n v="7"/>
    <s v="Depogaz Ploiești (ex Romgaz)"/>
    <s v="Sarmasel"/>
    <x v="2"/>
    <s v="extension"/>
    <n v="2024"/>
    <m/>
    <x v="0"/>
    <s v="Gas"/>
    <s v="Onshore"/>
    <n v="7.2180000000000017"/>
    <n v="7.2180000000000017"/>
    <m/>
    <n v="39.230000000000004"/>
    <n v="39.230000000000004"/>
    <m/>
    <n v="28.650000000000006"/>
    <n v="28.650000000000006"/>
    <m/>
    <s v="rTPA"/>
    <x v="1"/>
    <x v="0"/>
    <x v="0"/>
  </r>
  <r>
    <x v="16"/>
    <s v="RO0108"/>
    <s v="RO"/>
    <n v="1"/>
    <n v="8"/>
    <s v="Depogaz Ploiești (ex Romgaz)"/>
    <s v="Urziceni"/>
    <x v="0"/>
    <s v="existing"/>
    <n v="1979"/>
    <m/>
    <x v="0"/>
    <s v="Gas"/>
    <s v="Onshore"/>
    <n v="3.9529999999999998"/>
    <n v="3.9529999999999998"/>
    <m/>
    <n v="32.94"/>
    <n v="32.94"/>
    <m/>
    <n v="49.41"/>
    <n v="49.41"/>
    <m/>
    <s v="rTPA"/>
    <x v="0"/>
    <x v="0"/>
    <x v="0"/>
  </r>
  <r>
    <x v="16"/>
    <s v="RO0201"/>
    <s v="RO"/>
    <n v="2"/>
    <n v="1"/>
    <s v="Depomures"/>
    <s v="Târgu Mureş"/>
    <x v="0"/>
    <s v="existing"/>
    <n v="2002"/>
    <m/>
    <x v="0"/>
    <s v="Gas"/>
    <s v="Onshore"/>
    <n v="3.15455"/>
    <n v="3.15455"/>
    <m/>
    <n v="19"/>
    <n v="19"/>
    <m/>
    <n v="28"/>
    <n v="28"/>
    <m/>
    <s v="rTPA"/>
    <x v="0"/>
    <x v="0"/>
    <x v="0"/>
  </r>
  <r>
    <x v="16"/>
    <s v="RO0202"/>
    <s v="RO"/>
    <n v="2"/>
    <n v="2"/>
    <s v="Depomures"/>
    <s v="Târgu Mureş"/>
    <x v="2"/>
    <s v="extension"/>
    <n v="2023"/>
    <m/>
    <x v="0"/>
    <s v="Gas"/>
    <s v="Onshore"/>
    <n v="1.05"/>
    <n v="1.05"/>
    <m/>
    <n v="18.920000000000002"/>
    <n v="18.920000000000002"/>
    <m/>
    <n v="18.920000000000002"/>
    <n v="18.920000000000002"/>
    <m/>
    <s v="rTPA"/>
    <x v="1"/>
    <x v="0"/>
    <x v="0"/>
  </r>
  <r>
    <x v="16"/>
    <s v="RO0203"/>
    <s v="RO"/>
    <n v="2"/>
    <n v="3"/>
    <s v="Depomures"/>
    <s v="Târgu Mureş"/>
    <x v="2"/>
    <s v="extension"/>
    <n v="2026"/>
    <m/>
    <x v="0"/>
    <s v="Gas"/>
    <s v="Onshore"/>
    <n v="2.1"/>
    <n v="2.1"/>
    <m/>
    <n v="15.78"/>
    <n v="15.78"/>
    <m/>
    <n v="15.78"/>
    <n v="15.78"/>
    <m/>
    <s v="rTPA"/>
    <x v="1"/>
    <x v="0"/>
    <x v="0"/>
  </r>
  <r>
    <x v="17"/>
    <s v="RU0101"/>
    <s v="RU"/>
    <n v="1"/>
    <n v="1"/>
    <s v="Gazprom"/>
    <s v="Gatchinskoye"/>
    <x v="0"/>
    <s v="existing"/>
    <n v="1963"/>
    <m/>
    <x v="2"/>
    <m/>
    <s v="Onshore"/>
    <n v="2.206"/>
    <n v="2.206"/>
    <m/>
    <n v="19.853999999999999"/>
    <n v="19.853999999999999"/>
    <m/>
    <n v="22.06"/>
    <n v="22.06"/>
    <m/>
    <s v="TPA"/>
    <x v="0"/>
    <x v="0"/>
    <x v="1"/>
  </r>
  <r>
    <x v="17"/>
    <s v="RU0102"/>
    <s v="RU"/>
    <n v="1"/>
    <n v="2"/>
    <s v="Gazprom"/>
    <s v="Kaliningradskoe"/>
    <x v="0"/>
    <s v="existing"/>
    <n v="2013"/>
    <m/>
    <x v="1"/>
    <m/>
    <s v="Onshore"/>
    <n v="2.8677999999999999"/>
    <n v="2.8677999999999999"/>
    <m/>
    <n v="119.124"/>
    <n v="119.124"/>
    <m/>
    <n v="132.35999999999999"/>
    <n v="132.35999999999999"/>
    <m/>
    <s v="TPA"/>
    <x v="0"/>
    <x v="0"/>
    <x v="1"/>
  </r>
  <r>
    <x v="17"/>
    <s v="RU0103"/>
    <s v="RU"/>
    <n v="1"/>
    <n v="3"/>
    <s v="Gazprom"/>
    <s v="Nevskoye"/>
    <x v="0"/>
    <s v="existing"/>
    <n v="1975"/>
    <m/>
    <x v="2"/>
    <m/>
    <s v="Onshore"/>
    <n v="18.750999999999998"/>
    <n v="18.750999999999998"/>
    <m/>
    <n v="228.32099999999997"/>
    <n v="228.32099999999997"/>
    <m/>
    <n v="253.69"/>
    <n v="253.69"/>
    <m/>
    <s v="TPA"/>
    <x v="0"/>
    <x v="0"/>
    <x v="1"/>
  </r>
  <r>
    <x v="18"/>
    <s v="RS0101"/>
    <s v="RS"/>
    <n v="1"/>
    <n v="1"/>
    <s v="Srbijagas"/>
    <s v="Banatski Dvor"/>
    <x v="0"/>
    <s v="existing"/>
    <n v="2011"/>
    <m/>
    <x v="0"/>
    <s v="Gas"/>
    <s v="Onshore"/>
    <n v="4.5315000000000003"/>
    <n v="4.5315000000000003"/>
    <m/>
    <n v="35.245000000000005"/>
    <n v="35.245000000000005"/>
    <m/>
    <n v="50.35"/>
    <n v="50.35"/>
    <m/>
    <s v="rTPA"/>
    <x v="0"/>
    <x v="0"/>
    <x v="1"/>
  </r>
  <r>
    <x v="18"/>
    <s v="RS0102"/>
    <s v="RS"/>
    <n v="1"/>
    <n v="2"/>
    <s v="Srbijagas"/>
    <s v="Banatski Dvor"/>
    <x v="2"/>
    <s v="extension"/>
    <m/>
    <m/>
    <x v="0"/>
    <s v="Gas"/>
    <s v="Onshore"/>
    <n v="3.0209999999999999"/>
    <n v="3.0209999999999999"/>
    <m/>
    <n v="0"/>
    <m/>
    <m/>
    <n v="0"/>
    <m/>
    <m/>
    <s v="rTPA"/>
    <x v="1"/>
    <x v="1"/>
    <x v="1"/>
  </r>
  <r>
    <x v="18"/>
    <s v="RS0103"/>
    <s v="RS"/>
    <n v="1"/>
    <n v="3"/>
    <s v="Srbijagas"/>
    <s v="Banatski Dvor"/>
    <x v="2"/>
    <s v="extension"/>
    <m/>
    <m/>
    <x v="0"/>
    <s v="Gas"/>
    <s v="Onshore"/>
    <n v="2.5175000000000001"/>
    <n v="2.5175000000000001"/>
    <m/>
    <n v="0"/>
    <m/>
    <m/>
    <n v="0"/>
    <m/>
    <m/>
    <s v="rTPA"/>
    <x v="1"/>
    <x v="1"/>
    <x v="1"/>
  </r>
  <r>
    <x v="19"/>
    <s v="SK0101"/>
    <s v="SK"/>
    <n v="1"/>
    <n v="1"/>
    <s v="Nafta"/>
    <s v="Láb complex, incl Gajary-Baden"/>
    <x v="0"/>
    <s v="existing"/>
    <n v="1977"/>
    <m/>
    <x v="0"/>
    <s v="Gas"/>
    <s v="Onshore"/>
    <n v="36.5"/>
    <n v="36.5"/>
    <m/>
    <n v="338.3"/>
    <n v="338.3"/>
    <m/>
    <n v="418.9"/>
    <n v="418.9"/>
    <m/>
    <s v="TPA"/>
    <x v="0"/>
    <x v="0"/>
    <x v="0"/>
  </r>
  <r>
    <x v="19"/>
    <s v="SK0103"/>
    <s v="SK"/>
    <n v="1"/>
    <n v="3"/>
    <s v="Nafta"/>
    <s v="Velke Kapusany"/>
    <x v="2"/>
    <s v="new facility"/>
    <m/>
    <m/>
    <x v="0"/>
    <s v="Gas"/>
    <s v="Onshore"/>
    <n v="3.6057000000000001"/>
    <n v="3.6057000000000001"/>
    <m/>
    <n v="39.799999999999997"/>
    <n v="39.799999999999997"/>
    <m/>
    <n v="39.799999999999997"/>
    <n v="39.799999999999997"/>
    <m/>
    <s v="TPA"/>
    <x v="0"/>
    <x v="0"/>
    <x v="0"/>
  </r>
  <r>
    <x v="19"/>
    <s v="SK0201"/>
    <s v="SK"/>
    <n v="2"/>
    <n v="1"/>
    <s v="Pozagas"/>
    <s v="Láb 4"/>
    <x v="0"/>
    <s v="existing"/>
    <n v="1997"/>
    <m/>
    <x v="0"/>
    <s v="Gas"/>
    <s v="Onshore"/>
    <n v="6.9476000000000004"/>
    <n v="6.9476000000000004"/>
    <m/>
    <n v="72.658000000000001"/>
    <n v="72.658000000000001"/>
    <m/>
    <n v="72.658000000000001"/>
    <n v="72.658000000000001"/>
    <m/>
    <s v="TPA"/>
    <x v="0"/>
    <x v="0"/>
    <x v="0"/>
  </r>
  <r>
    <x v="20"/>
    <s v="ES0101"/>
    <s v="ES"/>
    <n v="1"/>
    <n v="1"/>
    <s v="Enagas"/>
    <s v="Gaviota"/>
    <x v="0"/>
    <s v="existing"/>
    <n v="1993"/>
    <m/>
    <x v="0"/>
    <m/>
    <s v="Offshore"/>
    <n v="0"/>
    <m/>
    <m/>
    <n v="0"/>
    <m/>
    <m/>
    <n v="0"/>
    <m/>
    <m/>
    <s v="rTPA"/>
    <x v="0"/>
    <x v="1"/>
    <x v="0"/>
  </r>
  <r>
    <x v="20"/>
    <s v="ES0102"/>
    <s v="ES"/>
    <n v="1"/>
    <n v="2"/>
    <s v="Enagas/Gas Natural Fenosa"/>
    <s v="Marismas"/>
    <x v="0"/>
    <s v="existing"/>
    <n v="2012"/>
    <m/>
    <x v="0"/>
    <m/>
    <s v="Onshore"/>
    <n v="0"/>
    <m/>
    <m/>
    <n v="0"/>
    <m/>
    <m/>
    <n v="0"/>
    <m/>
    <m/>
    <s v="rTPA"/>
    <x v="0"/>
    <x v="1"/>
    <x v="0"/>
  </r>
  <r>
    <x v="20"/>
    <s v="ES0103"/>
    <s v="ES"/>
    <n v="1"/>
    <n v="3"/>
    <s v="Enagas"/>
    <s v="Serrablo"/>
    <x v="0"/>
    <s v="existing"/>
    <n v="1991"/>
    <m/>
    <x v="0"/>
    <m/>
    <s v="Onshore"/>
    <n v="0"/>
    <m/>
    <m/>
    <n v="0"/>
    <m/>
    <m/>
    <n v="0"/>
    <m/>
    <m/>
    <s v="rTPA"/>
    <x v="0"/>
    <x v="1"/>
    <x v="0"/>
  </r>
  <r>
    <x v="20"/>
    <s v="ES0104"/>
    <s v="ES"/>
    <n v="1"/>
    <n v="4"/>
    <s v="Enagas"/>
    <s v="Yela"/>
    <x v="0"/>
    <s v="existing"/>
    <n v="2012"/>
    <m/>
    <x v="2"/>
    <m/>
    <s v="Onshore"/>
    <n v="0"/>
    <m/>
    <m/>
    <n v="0"/>
    <m/>
    <m/>
    <n v="0"/>
    <m/>
    <m/>
    <s v="rTPA"/>
    <x v="0"/>
    <x v="1"/>
    <x v="0"/>
  </r>
  <r>
    <x v="20"/>
    <s v="ES01V1"/>
    <s v="ES"/>
    <n v="1"/>
    <s v="V1"/>
    <s v="Enagas"/>
    <s v="VGS Enagas Basic UGS"/>
    <x v="0"/>
    <s v="existing"/>
    <m/>
    <m/>
    <x v="4"/>
    <m/>
    <s v="Onshore"/>
    <n v="34.247999999999998"/>
    <n v="34.247999999999998"/>
    <m/>
    <n v="125.67"/>
    <n v="125.67"/>
    <m/>
    <n v="200.48"/>
    <n v="200.48"/>
    <m/>
    <s v="rTPA"/>
    <x v="1"/>
    <x v="0"/>
    <x v="0"/>
  </r>
  <r>
    <x v="21"/>
    <s v="SE0101"/>
    <s v="SE"/>
    <n v="1"/>
    <n v="1"/>
    <s v="Swedegas"/>
    <s v="Skallen"/>
    <x v="0"/>
    <s v="existing"/>
    <n v="2004"/>
    <m/>
    <x v="3"/>
    <s v="Rock cavern"/>
    <s v="Onshore"/>
    <n v="8.6400000000000005E-2"/>
    <n v="8.6400000000000005E-2"/>
    <m/>
    <n v="5.59"/>
    <n v="5.59"/>
    <m/>
    <n v="8.14"/>
    <n v="8.14"/>
    <m/>
    <s v="TPA"/>
    <x v="0"/>
    <x v="0"/>
    <x v="0"/>
  </r>
  <r>
    <x v="22"/>
    <s v="TR0101"/>
    <s v="TR"/>
    <n v="1"/>
    <n v="1"/>
    <s v="Botas"/>
    <s v="Tuz Gölü / Aksaray Sultanhanı"/>
    <x v="0"/>
    <s v="existing"/>
    <n v="2017"/>
    <m/>
    <x v="1"/>
    <m/>
    <s v="Onshore"/>
    <n v="6.27"/>
    <n v="6.27"/>
    <m/>
    <n v="136.80000000000001"/>
    <n v="136.80000000000001"/>
    <m/>
    <n v="182.4"/>
    <n v="182.4"/>
    <m/>
    <s v="rTPA"/>
    <x v="0"/>
    <x v="0"/>
    <x v="1"/>
  </r>
  <r>
    <x v="22"/>
    <s v="TR0102"/>
    <s v="TR"/>
    <n v="1"/>
    <n v="2"/>
    <s v="Botas"/>
    <s v="Tuz Gölü / Aksaray Sultanhanı"/>
    <x v="2"/>
    <s v="extension"/>
    <m/>
    <m/>
    <x v="1"/>
    <m/>
    <s v="Onshore"/>
    <n v="7.41"/>
    <n v="7.41"/>
    <m/>
    <n v="136.80000000000001"/>
    <n v="136.80000000000001"/>
    <m/>
    <n v="182.4"/>
    <n v="182.4"/>
    <m/>
    <s v="rTPA"/>
    <x v="1"/>
    <x v="1"/>
    <x v="1"/>
  </r>
  <r>
    <x v="22"/>
    <s v="TR0103"/>
    <s v="TR"/>
    <n v="1"/>
    <n v="3"/>
    <s v="Botas"/>
    <s v="Tuz Gölü / Aksaray Sultanhanı"/>
    <x v="2"/>
    <s v="extension"/>
    <n v="2023"/>
    <m/>
    <x v="1"/>
    <m/>
    <s v="Onshore"/>
    <n v="47.88000000000001"/>
    <n v="47.88000000000001"/>
    <m/>
    <n v="410.40000000000003"/>
    <n v="410.40000000000003"/>
    <m/>
    <n v="547.20000000000005"/>
    <n v="547.20000000000005"/>
    <m/>
    <s v="rTPA"/>
    <x v="1"/>
    <x v="1"/>
    <x v="1"/>
  </r>
  <r>
    <x v="22"/>
    <s v="TR0201"/>
    <s v="TR"/>
    <n v="2"/>
    <n v="1"/>
    <s v="Gaz Depo / Toren Gas Storage and Mining"/>
    <s v="Tarsus / Mersin"/>
    <x v="2"/>
    <s v="new facility"/>
    <m/>
    <m/>
    <x v="1"/>
    <m/>
    <s v="Onshore"/>
    <n v="43.24"/>
    <n v="43.24"/>
    <m/>
    <n v="0"/>
    <m/>
    <m/>
    <n v="0"/>
    <m/>
    <m/>
    <s v="rTPA"/>
    <x v="0"/>
    <x v="0"/>
    <x v="1"/>
  </r>
  <r>
    <x v="22"/>
    <s v="TR0301"/>
    <s v="TR"/>
    <n v="3"/>
    <n v="1"/>
    <s v="Turkish Petroleum"/>
    <s v="Silivri (Marmara)"/>
    <x v="0"/>
    <s v="existing"/>
    <n v="2007"/>
    <m/>
    <x v="0"/>
    <s v="Gas"/>
    <s v="Offshore"/>
    <n v="0"/>
    <m/>
    <m/>
    <n v="0"/>
    <m/>
    <m/>
    <n v="0"/>
    <m/>
    <m/>
    <s v="rTPA"/>
    <x v="0"/>
    <x v="0"/>
    <x v="1"/>
  </r>
  <r>
    <x v="22"/>
    <s v="TR0302"/>
    <s v="TR"/>
    <n v="3"/>
    <n v="2"/>
    <s v="Turkish Petroleum"/>
    <s v="Silivri (Marmara)"/>
    <x v="0"/>
    <s v="extension"/>
    <n v="2010"/>
    <m/>
    <x v="0"/>
    <s v="Gas"/>
    <s v="Offshore"/>
    <n v="28.753933649289102"/>
    <n v="6.061990521327016"/>
    <n v="22.691943127962087"/>
    <n v="0"/>
    <m/>
    <m/>
    <n v="0"/>
    <m/>
    <m/>
    <s v="rTPA"/>
    <x v="0"/>
    <x v="0"/>
    <x v="1"/>
  </r>
  <r>
    <x v="22"/>
    <s v="TR0303"/>
    <s v="TR"/>
    <n v="3"/>
    <n v="3"/>
    <s v="Turkish Petroleum"/>
    <s v="Silivri (Marmara)"/>
    <x v="2"/>
    <s v="extension"/>
    <m/>
    <m/>
    <x v="0"/>
    <s v="Gas"/>
    <s v="Offshore"/>
    <n v="0"/>
    <m/>
    <m/>
    <n v="0"/>
    <m/>
    <m/>
    <n v="0"/>
    <m/>
    <m/>
    <s v="rTPA"/>
    <x v="1"/>
    <x v="0"/>
    <x v="1"/>
  </r>
  <r>
    <x v="23"/>
    <s v="UA0201"/>
    <s v="UA"/>
    <n v="2"/>
    <n v="1"/>
    <s v="PJSC  Chornomornaftogaz  (Crimea)"/>
    <s v="Hlibovske"/>
    <x v="0"/>
    <s v="existing"/>
    <n v="1987"/>
    <m/>
    <x v="0"/>
    <s v="Unknown parametern"/>
    <s v="Onshore"/>
    <m/>
    <m/>
    <m/>
    <m/>
    <m/>
    <m/>
    <m/>
    <m/>
    <m/>
    <s v="rTPA"/>
    <x v="0"/>
    <x v="0"/>
    <x v="1"/>
  </r>
  <r>
    <x v="23"/>
    <s v="UA0101"/>
    <s v="UA"/>
    <n v="1"/>
    <n v="1"/>
    <s v="PJSC Ukrtransgaz"/>
    <s v="Bilche-Volytsko-Uherske"/>
    <x v="0"/>
    <s v="existing"/>
    <n v="1990"/>
    <m/>
    <x v="0"/>
    <s v="Gas"/>
    <s v="Onshore"/>
    <n v="0"/>
    <m/>
    <m/>
    <n v="0"/>
    <m/>
    <m/>
    <n v="0"/>
    <m/>
    <m/>
    <s v="rTPA"/>
    <x v="0"/>
    <x v="1"/>
    <x v="1"/>
  </r>
  <r>
    <x v="23"/>
    <s v="UA0102"/>
    <s v="UA"/>
    <n v="1"/>
    <n v="2"/>
    <s v="PJSC Ukrtransgaz"/>
    <s v="Bohorodchanske"/>
    <x v="0"/>
    <s v="existing"/>
    <n v="1979"/>
    <m/>
    <x v="0"/>
    <s v="Gas"/>
    <s v="Onshore"/>
    <n v="0"/>
    <m/>
    <m/>
    <n v="0"/>
    <m/>
    <m/>
    <n v="0"/>
    <m/>
    <m/>
    <s v="rTPA"/>
    <x v="0"/>
    <x v="1"/>
    <x v="1"/>
  </r>
  <r>
    <x v="23"/>
    <s v="UA0103"/>
    <s v="UA"/>
    <n v="1"/>
    <n v="3"/>
    <s v="PJSC Ukrtransgaz"/>
    <s v="Chervonopartyzanske"/>
    <x v="0"/>
    <s v="existing"/>
    <n v="1989"/>
    <m/>
    <x v="2"/>
    <m/>
    <s v="Onshore"/>
    <n v="0"/>
    <m/>
    <m/>
    <n v="0"/>
    <m/>
    <m/>
    <n v="0"/>
    <m/>
    <m/>
    <s v="rTPA"/>
    <x v="0"/>
    <x v="1"/>
    <x v="1"/>
  </r>
  <r>
    <x v="23"/>
    <s v="UA0104"/>
    <s v="UA"/>
    <n v="1"/>
    <n v="4"/>
    <s v="PJSC Ukrtransgaz"/>
    <s v="Dashavske"/>
    <x v="0"/>
    <s v="existing"/>
    <n v="1987"/>
    <m/>
    <x v="0"/>
    <s v="Gas"/>
    <s v="Onshore"/>
    <n v="0"/>
    <m/>
    <m/>
    <n v="0"/>
    <m/>
    <m/>
    <n v="0"/>
    <m/>
    <m/>
    <s v="rTPA"/>
    <x v="0"/>
    <x v="1"/>
    <x v="1"/>
  </r>
  <r>
    <x v="23"/>
    <s v="UA0105"/>
    <s v="UA"/>
    <n v="1"/>
    <n v="5"/>
    <s v="PJSC Ukrtransgaz"/>
    <s v="Kehychivske"/>
    <x v="0"/>
    <s v="existing"/>
    <n v="1988"/>
    <m/>
    <x v="0"/>
    <s v="Gas"/>
    <s v="Onshore"/>
    <n v="0"/>
    <m/>
    <m/>
    <n v="0"/>
    <m/>
    <m/>
    <n v="0"/>
    <m/>
    <m/>
    <s v="rTPA"/>
    <x v="0"/>
    <x v="1"/>
    <x v="1"/>
  </r>
  <r>
    <x v="23"/>
    <s v="UA0106"/>
    <s v="UA"/>
    <n v="1"/>
    <n v="6"/>
    <s v="PJSC Ukrtransgaz"/>
    <s v="Krasnopopivske"/>
    <x v="0"/>
    <s v="existing"/>
    <n v="1977"/>
    <m/>
    <x v="0"/>
    <s v="Gas"/>
    <s v="Onshore"/>
    <n v="0"/>
    <m/>
    <m/>
    <n v="0"/>
    <m/>
    <m/>
    <n v="0"/>
    <m/>
    <m/>
    <s v="rTPA"/>
    <x v="0"/>
    <x v="1"/>
    <x v="1"/>
  </r>
  <r>
    <x v="23"/>
    <s v="UA0107"/>
    <s v="UA"/>
    <n v="1"/>
    <n v="7"/>
    <s v="PJSC Ukrtransgaz"/>
    <s v="Olyshivske"/>
    <x v="0"/>
    <s v="existing"/>
    <n v="1978"/>
    <m/>
    <x v="2"/>
    <m/>
    <s v="Onshore"/>
    <n v="0"/>
    <m/>
    <m/>
    <n v="0"/>
    <m/>
    <m/>
    <n v="0"/>
    <m/>
    <m/>
    <s v="rTPA"/>
    <x v="0"/>
    <x v="1"/>
    <x v="1"/>
  </r>
  <r>
    <x v="23"/>
    <s v="UA0108"/>
    <s v="UA"/>
    <n v="1"/>
    <n v="8"/>
    <s v="PJSC Ukrtransgaz"/>
    <s v="Oparske"/>
    <x v="0"/>
    <s v="existing"/>
    <n v="1984"/>
    <m/>
    <x v="0"/>
    <s v="Gas"/>
    <s v="Onshore"/>
    <n v="0"/>
    <m/>
    <m/>
    <n v="0"/>
    <m/>
    <m/>
    <n v="0"/>
    <m/>
    <m/>
    <s v="rTPA"/>
    <x v="0"/>
    <x v="1"/>
    <x v="1"/>
  </r>
  <r>
    <x v="23"/>
    <s v="UA0109"/>
    <s v="UA"/>
    <n v="1"/>
    <n v="9"/>
    <s v="PJSC Ukrtransgaz"/>
    <s v="Proletarske "/>
    <x v="0"/>
    <s v="existing"/>
    <n v="1991"/>
    <m/>
    <x v="0"/>
    <s v="Gas"/>
    <s v="Onshore"/>
    <n v="0"/>
    <m/>
    <m/>
    <n v="0"/>
    <m/>
    <m/>
    <n v="0"/>
    <m/>
    <m/>
    <s v="rTPA"/>
    <x v="0"/>
    <x v="1"/>
    <x v="1"/>
  </r>
  <r>
    <x v="23"/>
    <s v="UA0110"/>
    <s v="UA"/>
    <n v="1"/>
    <n v="10"/>
    <s v="PJSC Ukrtransgaz"/>
    <s v="Solokhivske"/>
    <x v="0"/>
    <s v="existing"/>
    <n v="1987"/>
    <m/>
    <x v="0"/>
    <s v="Gas"/>
    <s v="Onshore"/>
    <n v="0"/>
    <m/>
    <m/>
    <n v="0"/>
    <m/>
    <m/>
    <n v="0"/>
    <m/>
    <m/>
    <s v="rTPA"/>
    <x v="0"/>
    <x v="1"/>
    <x v="1"/>
  </r>
  <r>
    <x v="23"/>
    <s v="UA0111"/>
    <s v="UA"/>
    <n v="1"/>
    <n v="11"/>
    <s v="PJSC Ukrtransgaz"/>
    <s v="Uherske (XIV-XV)"/>
    <x v="0"/>
    <s v="existing"/>
    <n v="1982"/>
    <m/>
    <x v="0"/>
    <s v="Gas"/>
    <s v="Onshore"/>
    <n v="0"/>
    <m/>
    <m/>
    <n v="0"/>
    <m/>
    <m/>
    <n v="0"/>
    <m/>
    <m/>
    <s v="rTPA"/>
    <x v="0"/>
    <x v="1"/>
    <x v="1"/>
  </r>
  <r>
    <x v="23"/>
    <s v="UA0112"/>
    <s v="UA"/>
    <n v="1"/>
    <n v="12"/>
    <s v="PJSC Ukrtransgaz"/>
    <s v="Verhunske"/>
    <x v="0"/>
    <s v="existing"/>
    <n v="1996"/>
    <m/>
    <x v="0"/>
    <s v="Unknown parametern"/>
    <s v="Onshore"/>
    <n v="0"/>
    <m/>
    <m/>
    <n v="0"/>
    <m/>
    <m/>
    <n v="0"/>
    <m/>
    <m/>
    <s v="rTPA"/>
    <x v="0"/>
    <x v="1"/>
    <x v="1"/>
  </r>
  <r>
    <x v="23"/>
    <s v="UA01V1"/>
    <s v="UA"/>
    <n v="1"/>
    <s v="V1"/>
    <s v="VGS UkrTransgaz"/>
    <s v="VGS UkrTransgaz"/>
    <x v="0"/>
    <s v="existing"/>
    <m/>
    <m/>
    <x v="4"/>
    <m/>
    <m/>
    <n v="327.92"/>
    <n v="327.92"/>
    <m/>
    <n v="2673.75"/>
    <n v="2673.75"/>
    <m/>
    <n v="2755.76"/>
    <n v="2755.76"/>
    <m/>
    <s v="TPA"/>
    <x v="1"/>
    <x v="0"/>
    <x v="1"/>
  </r>
  <r>
    <x v="24"/>
    <s v="GB0101"/>
    <s v="GB"/>
    <n v="1"/>
    <n v="1"/>
    <s v="EDF Energy"/>
    <s v="Hill Top Farm (Cheshire)"/>
    <x v="0"/>
    <s v="existing"/>
    <n v="2015"/>
    <m/>
    <x v="1"/>
    <m/>
    <s v="Onshore"/>
    <n v="0.56999999999999995"/>
    <n v="0.56999999999999995"/>
    <m/>
    <n v="0"/>
    <m/>
    <m/>
    <n v="136.80000000000001"/>
    <n v="136.80000000000001"/>
    <m/>
    <s v="TPA"/>
    <x v="0"/>
    <x v="0"/>
    <x v="1"/>
  </r>
  <r>
    <x v="24"/>
    <s v="GB0102"/>
    <s v="GB"/>
    <n v="1"/>
    <n v="2"/>
    <s v="EDF Energy"/>
    <s v="Hill Top Farm (Cheshire)"/>
    <x v="1"/>
    <s v="extension"/>
    <m/>
    <m/>
    <x v="1"/>
    <m/>
    <s v="Onshore"/>
    <n v="0.37619999999999998"/>
    <n v="0.37619999999999998"/>
    <m/>
    <n v="0"/>
    <m/>
    <m/>
    <n v="90.288000000000011"/>
    <n v="90.288000000000011"/>
    <m/>
    <s v="TPA"/>
    <x v="1"/>
    <x v="0"/>
    <x v="1"/>
  </r>
  <r>
    <x v="24"/>
    <s v="GB0103"/>
    <s v="GB"/>
    <n v="1"/>
    <n v="3"/>
    <s v="EDF Energy"/>
    <s v="Hole House Farm"/>
    <x v="0"/>
    <s v="existing"/>
    <n v="2001"/>
    <m/>
    <x v="1"/>
    <m/>
    <s v="Onshore"/>
    <n v="0.25080000000000002"/>
    <n v="0.25080000000000002"/>
    <m/>
    <n v="0"/>
    <m/>
    <m/>
    <n v="57"/>
    <n v="57"/>
    <m/>
    <s v="TPA"/>
    <x v="0"/>
    <x v="0"/>
    <x v="1"/>
  </r>
  <r>
    <x v="24"/>
    <s v="GB0201"/>
    <s v="GB"/>
    <n v="2"/>
    <n v="1"/>
    <s v="Stag Energy (instead of Gateway)"/>
    <s v="Offshore Morecambe Bay"/>
    <x v="2"/>
    <s v="new facility"/>
    <m/>
    <m/>
    <x v="1"/>
    <m/>
    <s v="Offshore"/>
    <n v="17.100000000000001"/>
    <n v="17.100000000000001"/>
    <m/>
    <n v="0"/>
    <m/>
    <m/>
    <n v="0"/>
    <m/>
    <m/>
    <s v="TPA"/>
    <x v="0"/>
    <x v="0"/>
    <x v="1"/>
  </r>
  <r>
    <x v="24"/>
    <s v="GB0301"/>
    <s v="GB"/>
    <n v="3"/>
    <n v="1"/>
    <s v="Halite Energy Group"/>
    <s v="Lancashire"/>
    <x v="2"/>
    <s v="new facility"/>
    <m/>
    <m/>
    <x v="1"/>
    <m/>
    <s v="Onshore"/>
    <n v="6.84"/>
    <n v="6.84"/>
    <m/>
    <n v="0"/>
    <m/>
    <m/>
    <n v="0"/>
    <m/>
    <m/>
    <s v="TPA"/>
    <x v="0"/>
    <x v="0"/>
    <x v="1"/>
  </r>
  <r>
    <x v="24"/>
    <s v="GB0501"/>
    <s v="GB"/>
    <n v="5"/>
    <n v="1"/>
    <s v="Humbly Grove Energy"/>
    <s v="Hampshire"/>
    <x v="0"/>
    <s v="existing"/>
    <n v="2005"/>
    <m/>
    <x v="0"/>
    <s v="Gas"/>
    <s v="Onshore"/>
    <n v="3.42"/>
    <n v="3.42"/>
    <m/>
    <n v="0"/>
    <m/>
    <m/>
    <n v="79.8"/>
    <n v="79.8"/>
    <m/>
    <s v="TPA"/>
    <x v="0"/>
    <x v="0"/>
    <x v="1"/>
  </r>
  <r>
    <x v="24"/>
    <s v="GB0601"/>
    <s v="GB"/>
    <n v="6"/>
    <n v="1"/>
    <s v="InfrasStrata"/>
    <s v="Islandmagee / County Antrim, Northern Ireland"/>
    <x v="2"/>
    <s v="new facility"/>
    <n v="2021"/>
    <m/>
    <x v="1"/>
    <m/>
    <m/>
    <n v="1.9000000000000001"/>
    <n v="1.9000000000000001"/>
    <m/>
    <n v="45.6"/>
    <n v="45.6"/>
    <m/>
    <n v="83.600000000000009"/>
    <n v="83.600000000000009"/>
    <m/>
    <s v="TPA"/>
    <x v="0"/>
    <x v="0"/>
    <x v="1"/>
  </r>
  <r>
    <x v="24"/>
    <s v="GB0602"/>
    <s v="GB"/>
    <n v="6"/>
    <n v="2"/>
    <s v="InfrasStrata"/>
    <s v="Islandmagee / County Antrim, Northern Ireland"/>
    <x v="2"/>
    <s v="extension"/>
    <n v="2022"/>
    <m/>
    <x v="1"/>
    <m/>
    <m/>
    <n v="1.9000000000000001"/>
    <n v="1.9000000000000001"/>
    <m/>
    <n v="45.6"/>
    <n v="45.6"/>
    <m/>
    <n v="83.600000000000009"/>
    <n v="83.600000000000009"/>
    <m/>
    <s v="TPA"/>
    <x v="1"/>
    <x v="0"/>
    <x v="1"/>
  </r>
  <r>
    <x v="24"/>
    <s v="GB0603"/>
    <s v="GB"/>
    <n v="6"/>
    <n v="3"/>
    <s v="InfrasStrata"/>
    <s v="Islandmagee / County Antrim, Northern Ireland"/>
    <x v="2"/>
    <s v="extension"/>
    <n v="2025"/>
    <m/>
    <x v="1"/>
    <m/>
    <m/>
    <n v="1.9000000000000001"/>
    <n v="1.9000000000000001"/>
    <m/>
    <n v="45.6"/>
    <n v="45.6"/>
    <m/>
    <n v="83.600000000000009"/>
    <n v="83.600000000000009"/>
    <m/>
    <s v="TPA"/>
    <x v="1"/>
    <x v="0"/>
    <x v="1"/>
  </r>
  <r>
    <x v="24"/>
    <s v="GB0701"/>
    <s v="GB"/>
    <n v="7"/>
    <n v="1"/>
    <s v="Keuper Gas Storage"/>
    <s v="Holford Brinefield"/>
    <x v="2"/>
    <s v="new facility"/>
    <m/>
    <m/>
    <x v="1"/>
    <m/>
    <s v="Onshore"/>
    <n v="5.7"/>
    <n v="5.7"/>
    <m/>
    <n v="387.6"/>
    <n v="387.6"/>
    <m/>
    <n v="387.6"/>
    <n v="387.6"/>
    <m/>
    <s v="TPA"/>
    <x v="0"/>
    <x v="0"/>
    <x v="1"/>
  </r>
  <r>
    <x v="24"/>
    <s v="GB0901"/>
    <s v="GB"/>
    <n v="9"/>
    <n v="1"/>
    <s v="Scottish Power"/>
    <s v="Hatfield Moor"/>
    <x v="0"/>
    <s v="existing"/>
    <n v="2000"/>
    <m/>
    <x v="0"/>
    <s v="Gas"/>
    <s v="Onshore"/>
    <n v="0.79800000000000015"/>
    <n v="0.79800000000000015"/>
    <m/>
    <n v="20.52"/>
    <n v="20.52"/>
    <m/>
    <n v="20.52"/>
    <n v="20.52"/>
    <m/>
    <s v="TPA"/>
    <x v="0"/>
    <x v="0"/>
    <x v="1"/>
  </r>
  <r>
    <x v="24"/>
    <s v="GB1001"/>
    <s v="GB"/>
    <n v="10"/>
    <n v="1"/>
    <s v="SSE/Statoil"/>
    <s v="Aldbrough I"/>
    <x v="0"/>
    <s v="existing"/>
    <n v="2009"/>
    <m/>
    <x v="1"/>
    <m/>
    <s v="Onshore"/>
    <n v="2.2988"/>
    <n v="2.2988"/>
    <m/>
    <n v="311"/>
    <n v="311"/>
    <m/>
    <n v="342"/>
    <n v="342"/>
    <m/>
    <s v="TPA"/>
    <x v="0"/>
    <x v="0"/>
    <x v="1"/>
  </r>
  <r>
    <x v="24"/>
    <s v="GB1003"/>
    <s v="GB"/>
    <n v="10"/>
    <n v="3"/>
    <s v="SSE"/>
    <s v="Hornsea (Atwick)"/>
    <x v="0"/>
    <s v="existing"/>
    <n v="1979"/>
    <m/>
    <x v="1"/>
    <m/>
    <s v="Onshore"/>
    <n v="3.1640000000000001"/>
    <n v="3.1640000000000001"/>
    <m/>
    <n v="30"/>
    <n v="30"/>
    <m/>
    <n v="130"/>
    <n v="130"/>
    <m/>
    <s v="TPA"/>
    <x v="0"/>
    <x v="0"/>
    <x v="1"/>
  </r>
  <r>
    <x v="24"/>
    <s v="GB1101"/>
    <s v="GB"/>
    <n v="11"/>
    <n v="1"/>
    <s v="Storengy UK"/>
    <s v="Stublach"/>
    <x v="0"/>
    <s v="existing"/>
    <n v="2014"/>
    <m/>
    <x v="1"/>
    <m/>
    <s v="Onshore"/>
    <n v="2.4104999999999999"/>
    <n v="2.4104999999999999"/>
    <m/>
    <n v="160"/>
    <n v="160"/>
    <m/>
    <n v="160"/>
    <n v="160"/>
    <m/>
    <s v="TPA"/>
    <x v="0"/>
    <x v="0"/>
    <x v="1"/>
  </r>
  <r>
    <x v="24"/>
    <s v="GB1102"/>
    <s v="GB"/>
    <n v="11"/>
    <n v="2"/>
    <s v="Storengy UK"/>
    <s v="Stublach"/>
    <x v="0"/>
    <s v="extension"/>
    <n v="2019"/>
    <m/>
    <x v="1"/>
    <m/>
    <s v="Onshore"/>
    <n v="1.99"/>
    <n v="1.99"/>
    <m/>
    <n v="22"/>
    <n v="22"/>
    <m/>
    <n v="22"/>
    <n v="22"/>
    <m/>
    <s v="TPA"/>
    <x v="1"/>
    <x v="0"/>
    <x v="1"/>
  </r>
  <r>
    <x v="24"/>
    <s v="GB1103"/>
    <s v="GB"/>
    <n v="11"/>
    <n v="3"/>
    <s v="Storengy UK"/>
    <s v="Stublach"/>
    <x v="2"/>
    <s v="extension"/>
    <m/>
    <m/>
    <x v="1"/>
    <m/>
    <s v="Onshore"/>
    <n v="-4.9999999999972289E-4"/>
    <n v="-4.9999999999972289E-4"/>
    <m/>
    <n v="170"/>
    <n v="170"/>
    <m/>
    <n v="170"/>
    <n v="170"/>
    <m/>
    <s v="TPA"/>
    <x v="1"/>
    <x v="0"/>
    <x v="1"/>
  </r>
  <r>
    <x v="24"/>
    <s v="GB1201"/>
    <s v="GB"/>
    <n v="12"/>
    <n v="1"/>
    <s v="Uniper Energy Storage"/>
    <s v="Holford"/>
    <x v="0"/>
    <s v="existing"/>
    <m/>
    <m/>
    <x v="1"/>
    <m/>
    <m/>
    <n v="2.5674999999999999"/>
    <n v="2.5674999999999999"/>
    <m/>
    <n v="286"/>
    <n v="286"/>
    <m/>
    <n v="238.333"/>
    <n v="238.333"/>
    <m/>
    <s v="TPA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C470A-CEDA-4374-B275-58CBEDB2EE1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5:F26" firstHeaderRow="1" firstDataRow="2" firstDataCol="1" rowPageCount="3" colPageCount="1"/>
  <pivotFields count="27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numFmtId="167" showAll="0"/>
    <pivotField showAll="0"/>
    <pivotField showAll="0"/>
    <pivotField showAll="0"/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axis="axisCol" showAll="0">
      <items count="6">
        <item x="2"/>
        <item x="0"/>
        <item x="3"/>
        <item x="1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0"/>
  </rowFields>
  <rowItems count="20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9"/>
    </i>
    <i>
      <x v="20"/>
    </i>
    <i>
      <x v="21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pageFields count="3">
    <pageField fld="24" item="1" hier="-1"/>
    <pageField fld="25" hier="-1"/>
    <pageField fld="26" item="1" hier="-1"/>
  </pageFields>
  <dataFields count="1">
    <dataField name="Count of Working gas" fld="14" subtotal="count" baseField="0" baseItem="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4" personId="{6365142D-37B6-4284-A637-DB628F80E6E9}" id="{7D33CF8C-34CD-4A6E-AF12-4C722330B500}">
    <text>To be merged in the map</text>
  </threadedComment>
  <threadedComment ref="B64" personId="{6365142D-37B6-4284-A637-DB628F80E6E9}" id="{27DC431B-65BF-470D-BF83-1D53F9E595FB}">
    <text>no updated info</text>
  </threadedComment>
  <threadedComment ref="F75" personId="{6365142D-37B6-4284-A637-DB628F80E6E9}" id="{C3AEE619-AF28-4D30-BACC-A7BCC6A61D29}">
    <text>May overlap with EnBW Etzel</text>
  </threadedComment>
  <threadedComment ref="O81" personId="{6365142D-37B6-4284-A637-DB628F80E6E9}" id="{3D35ECD1-B953-4D45-8125-E3EF63A120FA}">
    <text>GCV=11.215</text>
  </threadedComment>
  <threadedComment ref="F111" personId="{6365142D-37B6-4284-A637-DB628F80E6E9}" id="{1EFD89B4-F53B-4064-AF6C-7551A64D1D82}">
    <text>no TPA</text>
  </threadedComment>
  <threadedComment ref="O139" personId="{6365142D-37B6-4284-A637-DB628F80E6E9}" id="{115829A4-EC88-436A-A1BA-6CBE42B1D5D8}">
    <text>Average GCV calculated  as total capacity in MWh from AGSI divided to Scm from website</text>
  </threadedComment>
  <threadedComment ref="R139" personId="{6365142D-37B6-4284-A637-DB628F80E6E9}" id="{3B7B916D-9C99-49B4-83E4-F36AEB8B4272}">
    <text>Average GCV calculated  as total capacity in MWh from AGSI divided to Scm from website</text>
  </threadedComment>
  <threadedComment ref="U139" personId="{6365142D-37B6-4284-A637-DB628F80E6E9}" id="{54C82916-69D0-4E66-9369-51B95BA21F62}">
    <text>Average GCV calculated  as total capacity in MWh from AGSI divided to Scm from website</text>
  </threadedComment>
  <threadedComment ref="S176" personId="{6365142D-37B6-4284-A637-DB628F80E6E9}" id="{28210CCC-A008-4411-A0FF-7B38298D1B62}">
    <text>AGSI shows zero
Diāna F:
seasonal storage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DD60-74C6-41CD-B4D6-56BB26E2B038}">
  <sheetPr filterMode="1"/>
  <dimension ref="A1:AB268"/>
  <sheetViews>
    <sheetView showGridLines="0" tabSelected="1" topLeftCell="F4" workbookViewId="0">
      <selection activeCell="O261" sqref="O261"/>
    </sheetView>
  </sheetViews>
  <sheetFormatPr defaultRowHeight="14.4" x14ac:dyDescent="0.3"/>
  <cols>
    <col min="1" max="1" width="14.6640625" customWidth="1"/>
    <col min="2" max="2" width="12.6640625" bestFit="1" customWidth="1"/>
    <col min="3" max="3" width="5.6640625" customWidth="1"/>
    <col min="4" max="4" width="3.44140625" style="131" customWidth="1"/>
    <col min="5" max="5" width="3.109375" style="68" customWidth="1"/>
    <col min="6" max="6" width="47" bestFit="1" customWidth="1"/>
    <col min="7" max="7" width="27.33203125" customWidth="1"/>
    <col min="8" max="8" width="18" bestFit="1" customWidth="1"/>
    <col min="9" max="9" width="11.5546875" customWidth="1"/>
    <col min="10" max="11" width="6.88671875" style="1" customWidth="1"/>
    <col min="12" max="12" width="19.6640625" bestFit="1" customWidth="1"/>
    <col min="13" max="13" width="9.33203125" customWidth="1"/>
    <col min="14" max="14" width="9.5546875" customWidth="1"/>
    <col min="15" max="15" width="12.44140625" style="2" bestFit="1" customWidth="1"/>
    <col min="16" max="16" width="8.6640625" style="3" customWidth="1"/>
    <col min="17" max="17" width="8.88671875" style="4" customWidth="1"/>
    <col min="18" max="18" width="11.109375" style="2" bestFit="1" customWidth="1"/>
    <col min="19" max="19" width="10.109375" style="6" customWidth="1"/>
    <col min="20" max="20" width="13.44140625" style="4" bestFit="1" customWidth="1"/>
    <col min="21" max="21" width="12.88671875" style="2" bestFit="1" customWidth="1"/>
    <col min="22" max="22" width="8.6640625" style="5" customWidth="1"/>
    <col min="23" max="24" width="8.44140625" style="4" customWidth="1"/>
    <col min="25" max="25" width="11.44140625" hidden="1" customWidth="1"/>
    <col min="26" max="26" width="6.44140625" hidden="1" customWidth="1"/>
    <col min="27" max="27" width="9.109375" hidden="1" customWidth="1"/>
    <col min="28" max="28" width="8.44140625" style="4" hidden="1" customWidth="1"/>
  </cols>
  <sheetData>
    <row r="1" spans="1:28" ht="23.25" customHeight="1" x14ac:dyDescent="0.3">
      <c r="A1" s="129" t="s">
        <v>501</v>
      </c>
      <c r="B1" s="130"/>
      <c r="C1" s="130"/>
      <c r="D1" s="130" t="s">
        <v>503</v>
      </c>
      <c r="E1" s="130"/>
      <c r="F1" s="130"/>
      <c r="G1" s="129"/>
      <c r="H1" s="130"/>
      <c r="I1" s="130"/>
      <c r="J1" s="130"/>
      <c r="K1" s="130"/>
      <c r="L1" s="130"/>
    </row>
    <row r="2" spans="1:28" ht="19.5" customHeight="1" x14ac:dyDescent="0.3">
      <c r="A2" s="129"/>
      <c r="B2" s="130"/>
      <c r="C2" s="130"/>
      <c r="D2" s="144" t="s">
        <v>502</v>
      </c>
      <c r="E2" s="130"/>
      <c r="F2" s="130"/>
      <c r="G2" s="129"/>
      <c r="H2" s="130"/>
      <c r="I2" s="130"/>
      <c r="J2" s="130"/>
      <c r="K2" s="130"/>
      <c r="L2" s="130"/>
    </row>
    <row r="3" spans="1:28" ht="27" customHeight="1" x14ac:dyDescent="0.3">
      <c r="D3" s="68"/>
      <c r="G3" s="85"/>
      <c r="H3" s="86"/>
      <c r="I3" s="86"/>
      <c r="J3" s="86"/>
      <c r="K3" s="86"/>
      <c r="L3" s="86"/>
    </row>
    <row r="4" spans="1:28" s="11" customFormat="1" ht="86.4" x14ac:dyDescent="0.3">
      <c r="A4" s="7" t="s">
        <v>0</v>
      </c>
      <c r="B4" s="7" t="s">
        <v>1</v>
      </c>
      <c r="C4" s="8" t="s">
        <v>2</v>
      </c>
      <c r="D4" s="69" t="s">
        <v>3</v>
      </c>
      <c r="E4" s="69" t="s">
        <v>4</v>
      </c>
      <c r="F4" s="8" t="s">
        <v>5</v>
      </c>
      <c r="G4" s="9" t="s">
        <v>6</v>
      </c>
      <c r="H4" s="8" t="s">
        <v>7</v>
      </c>
      <c r="I4" s="8" t="s">
        <v>8</v>
      </c>
      <c r="J4" s="8" t="s">
        <v>9</v>
      </c>
      <c r="K4" s="10" t="s">
        <v>463</v>
      </c>
      <c r="L4" s="10" t="s">
        <v>10</v>
      </c>
      <c r="M4" s="67" t="s">
        <v>11</v>
      </c>
      <c r="N4" s="10" t="s">
        <v>12</v>
      </c>
      <c r="O4" s="8" t="s">
        <v>13</v>
      </c>
      <c r="P4" s="8" t="s">
        <v>14</v>
      </c>
      <c r="Q4" s="8" t="s">
        <v>15</v>
      </c>
      <c r="R4" s="10" t="s">
        <v>19</v>
      </c>
      <c r="S4" s="8" t="s">
        <v>20</v>
      </c>
      <c r="T4" s="8" t="s">
        <v>21</v>
      </c>
      <c r="U4" s="10" t="s">
        <v>16</v>
      </c>
      <c r="V4" s="8" t="s">
        <v>17</v>
      </c>
      <c r="W4" s="8" t="s">
        <v>18</v>
      </c>
      <c r="X4" s="8" t="s">
        <v>22</v>
      </c>
      <c r="Y4" s="66" t="s">
        <v>484</v>
      </c>
      <c r="Z4" s="66" t="s">
        <v>485</v>
      </c>
      <c r="AA4" s="66" t="s">
        <v>483</v>
      </c>
      <c r="AB4" s="8" t="s">
        <v>509</v>
      </c>
    </row>
    <row r="5" spans="1:28" hidden="1" x14ac:dyDescent="0.3">
      <c r="A5" s="12" t="s">
        <v>23</v>
      </c>
      <c r="B5" s="12" t="s">
        <v>24</v>
      </c>
      <c r="C5" s="12" t="s">
        <v>25</v>
      </c>
      <c r="D5" s="132">
        <v>1</v>
      </c>
      <c r="E5" s="70">
        <v>1</v>
      </c>
      <c r="F5" s="12" t="s">
        <v>26</v>
      </c>
      <c r="G5" s="12" t="s">
        <v>27</v>
      </c>
      <c r="H5" s="12" t="s">
        <v>28</v>
      </c>
      <c r="I5" s="12" t="s">
        <v>29</v>
      </c>
      <c r="J5" s="13">
        <v>2007</v>
      </c>
      <c r="K5" s="13"/>
      <c r="L5" s="12" t="s">
        <v>30</v>
      </c>
      <c r="M5" s="12" t="s">
        <v>31</v>
      </c>
      <c r="N5" s="12" t="s">
        <v>32</v>
      </c>
      <c r="O5" s="14">
        <f t="shared" ref="O5:O71" si="0">P5+Q5</f>
        <v>11.034509999999999</v>
      </c>
      <c r="P5" s="16">
        <v>11.034509999999999</v>
      </c>
      <c r="Q5" s="16"/>
      <c r="R5" s="15">
        <f t="shared" ref="R5:R71" si="1">S5+T5</f>
        <v>99.18</v>
      </c>
      <c r="S5" s="16">
        <v>99.18</v>
      </c>
      <c r="T5" s="16"/>
      <c r="U5" s="14">
        <f t="shared" ref="U5:U71" si="2">V5+W5</f>
        <v>104.5856</v>
      </c>
      <c r="V5" s="16">
        <v>104.5856</v>
      </c>
      <c r="W5" s="16"/>
      <c r="X5" s="16" t="s">
        <v>500</v>
      </c>
      <c r="Y5" s="65" t="s">
        <v>33</v>
      </c>
      <c r="Z5" s="65" t="s">
        <v>33</v>
      </c>
      <c r="AA5" s="16" t="s">
        <v>435</v>
      </c>
      <c r="AB5" s="16" t="s">
        <v>33</v>
      </c>
    </row>
    <row r="6" spans="1:28" hidden="1" x14ac:dyDescent="0.3">
      <c r="A6" s="12" t="s">
        <v>23</v>
      </c>
      <c r="B6" s="12" t="s">
        <v>34</v>
      </c>
      <c r="C6" s="12" t="s">
        <v>25</v>
      </c>
      <c r="D6" s="132">
        <v>2</v>
      </c>
      <c r="E6" s="70">
        <v>1</v>
      </c>
      <c r="F6" s="12" t="s">
        <v>35</v>
      </c>
      <c r="G6" s="12" t="s">
        <v>27</v>
      </c>
      <c r="H6" s="12" t="s">
        <v>28</v>
      </c>
      <c r="I6" s="12" t="s">
        <v>29</v>
      </c>
      <c r="J6" s="13">
        <v>2007</v>
      </c>
      <c r="K6" s="13"/>
      <c r="L6" s="12" t="s">
        <v>30</v>
      </c>
      <c r="M6" s="12" t="s">
        <v>31</v>
      </c>
      <c r="N6" s="12" t="s">
        <v>32</v>
      </c>
      <c r="O6" s="14">
        <f t="shared" si="0"/>
        <v>21.318899999999999</v>
      </c>
      <c r="P6" s="16">
        <v>21.318899999999999</v>
      </c>
      <c r="Q6" s="16"/>
      <c r="R6" s="15">
        <f t="shared" si="1"/>
        <v>184.66</v>
      </c>
      <c r="S6" s="16">
        <v>184.66</v>
      </c>
      <c r="T6" s="16"/>
      <c r="U6" s="14">
        <f t="shared" si="2"/>
        <v>208.98</v>
      </c>
      <c r="V6" s="16">
        <v>208.98</v>
      </c>
      <c r="W6" s="16"/>
      <c r="X6" s="16" t="s">
        <v>500</v>
      </c>
      <c r="Y6" s="12" t="s">
        <v>33</v>
      </c>
      <c r="Z6" s="12" t="s">
        <v>33</v>
      </c>
      <c r="AA6" s="16" t="s">
        <v>435</v>
      </c>
      <c r="AB6" s="16"/>
    </row>
    <row r="7" spans="1:28" hidden="1" x14ac:dyDescent="0.3">
      <c r="A7" s="36" t="s">
        <v>23</v>
      </c>
      <c r="B7" s="36" t="s">
        <v>36</v>
      </c>
      <c r="C7" s="36" t="s">
        <v>25</v>
      </c>
      <c r="D7" s="133">
        <v>3</v>
      </c>
      <c r="E7" s="71">
        <v>1</v>
      </c>
      <c r="F7" s="36" t="s">
        <v>37</v>
      </c>
      <c r="G7" s="36" t="s">
        <v>38</v>
      </c>
      <c r="H7" s="36" t="s">
        <v>28</v>
      </c>
      <c r="I7" s="36" t="s">
        <v>29</v>
      </c>
      <c r="J7" s="37">
        <v>1977</v>
      </c>
      <c r="K7" s="37"/>
      <c r="L7" s="36" t="s">
        <v>30</v>
      </c>
      <c r="M7" s="36" t="s">
        <v>31</v>
      </c>
      <c r="N7" s="36" t="s">
        <v>32</v>
      </c>
      <c r="O7" s="39">
        <f t="shared" si="0"/>
        <v>20.7242</v>
      </c>
      <c r="P7" s="57">
        <f>1834000000*11.3/1000000000</f>
        <v>20.7242</v>
      </c>
      <c r="Q7" s="57"/>
      <c r="R7" s="40">
        <f t="shared" si="1"/>
        <v>176.28</v>
      </c>
      <c r="S7" s="57">
        <f>650000*24*11.3/1000000</f>
        <v>176.28</v>
      </c>
      <c r="T7" s="57">
        <v>0</v>
      </c>
      <c r="U7" s="39">
        <f t="shared" si="2"/>
        <v>260.35200000000003</v>
      </c>
      <c r="V7" s="57">
        <f>960000*24*11.3/1000000</f>
        <v>260.35200000000003</v>
      </c>
      <c r="W7" s="57"/>
      <c r="X7" s="57" t="s">
        <v>500</v>
      </c>
      <c r="Y7" s="36" t="s">
        <v>33</v>
      </c>
      <c r="Z7" s="36" t="s">
        <v>33</v>
      </c>
      <c r="AA7" s="57" t="s">
        <v>435</v>
      </c>
      <c r="AB7" s="57" t="s">
        <v>33</v>
      </c>
    </row>
    <row r="8" spans="1:28" hidden="1" x14ac:dyDescent="0.3">
      <c r="A8" s="36" t="s">
        <v>23</v>
      </c>
      <c r="B8" s="36" t="s">
        <v>39</v>
      </c>
      <c r="C8" s="36" t="s">
        <v>25</v>
      </c>
      <c r="D8" s="133">
        <v>3</v>
      </c>
      <c r="E8" s="71">
        <v>2</v>
      </c>
      <c r="F8" s="36" t="s">
        <v>37</v>
      </c>
      <c r="G8" s="36" t="s">
        <v>40</v>
      </c>
      <c r="H8" s="36" t="s">
        <v>28</v>
      </c>
      <c r="I8" s="36" t="s">
        <v>29</v>
      </c>
      <c r="J8" s="37">
        <v>1974</v>
      </c>
      <c r="K8" s="37"/>
      <c r="L8" s="36" t="s">
        <v>30</v>
      </c>
      <c r="M8" s="36" t="s">
        <v>31</v>
      </c>
      <c r="N8" s="36" t="s">
        <v>32</v>
      </c>
      <c r="O8" s="39">
        <f t="shared" si="0"/>
        <v>4.5199999999999996</v>
      </c>
      <c r="P8" s="57">
        <f>400000000*11.3/1000000000</f>
        <v>4.5199999999999996</v>
      </c>
      <c r="Q8" s="57"/>
      <c r="R8" s="40">
        <f t="shared" si="1"/>
        <v>33.9</v>
      </c>
      <c r="S8" s="57">
        <f>125000*24*11.3/1000000</f>
        <v>33.9</v>
      </c>
      <c r="T8" s="57">
        <v>0</v>
      </c>
      <c r="U8" s="39">
        <f t="shared" si="2"/>
        <v>43.392000000000003</v>
      </c>
      <c r="V8" s="57">
        <f>160000*24*11.3/1000000</f>
        <v>43.392000000000003</v>
      </c>
      <c r="W8" s="57"/>
      <c r="X8" s="57" t="s">
        <v>500</v>
      </c>
      <c r="Y8" s="36" t="s">
        <v>33</v>
      </c>
      <c r="Z8" s="36" t="s">
        <v>33</v>
      </c>
      <c r="AA8" s="57" t="s">
        <v>435</v>
      </c>
      <c r="AB8" s="57" t="s">
        <v>33</v>
      </c>
    </row>
    <row r="9" spans="1:28" s="22" customFormat="1" hidden="1" x14ac:dyDescent="0.3">
      <c r="A9" s="58" t="s">
        <v>23</v>
      </c>
      <c r="B9" s="17" t="s">
        <v>41</v>
      </c>
      <c r="C9" s="17" t="s">
        <v>25</v>
      </c>
      <c r="D9" s="134">
        <v>3</v>
      </c>
      <c r="E9" s="72"/>
      <c r="F9" s="59" t="s">
        <v>37</v>
      </c>
      <c r="G9" s="59" t="s">
        <v>42</v>
      </c>
      <c r="H9" s="17" t="s">
        <v>28</v>
      </c>
      <c r="I9" s="17" t="s">
        <v>29</v>
      </c>
      <c r="J9" s="18"/>
      <c r="K9" s="18"/>
      <c r="L9" s="17" t="s">
        <v>30</v>
      </c>
      <c r="M9" s="17" t="s">
        <v>31</v>
      </c>
      <c r="N9" s="17" t="s">
        <v>32</v>
      </c>
      <c r="O9" s="19">
        <f t="shared" si="0"/>
        <v>25.244199999999999</v>
      </c>
      <c r="P9" s="20">
        <v>25.244199999999999</v>
      </c>
      <c r="Q9" s="20"/>
      <c r="R9" s="21">
        <f t="shared" si="1"/>
        <v>210.18</v>
      </c>
      <c r="S9" s="20">
        <v>210.18</v>
      </c>
      <c r="T9" s="20">
        <f>SUM(T4:T5)</f>
        <v>0</v>
      </c>
      <c r="U9" s="19">
        <f t="shared" si="2"/>
        <v>303.74</v>
      </c>
      <c r="V9" s="20">
        <v>303.74</v>
      </c>
      <c r="W9" s="20"/>
      <c r="X9" s="20" t="s">
        <v>500</v>
      </c>
      <c r="Y9" s="58" t="s">
        <v>43</v>
      </c>
      <c r="Z9" s="58" t="s">
        <v>43</v>
      </c>
      <c r="AA9" s="20" t="s">
        <v>435</v>
      </c>
      <c r="AB9" s="20"/>
    </row>
    <row r="10" spans="1:28" hidden="1" x14ac:dyDescent="0.3">
      <c r="A10" s="36" t="s">
        <v>23</v>
      </c>
      <c r="B10" s="36" t="s">
        <v>44</v>
      </c>
      <c r="C10" s="36" t="s">
        <v>25</v>
      </c>
      <c r="D10" s="133">
        <v>4</v>
      </c>
      <c r="E10" s="71">
        <v>1</v>
      </c>
      <c r="F10" s="36" t="s">
        <v>45</v>
      </c>
      <c r="G10" s="36" t="s">
        <v>46</v>
      </c>
      <c r="H10" s="36" t="s">
        <v>28</v>
      </c>
      <c r="I10" s="36" t="s">
        <v>29</v>
      </c>
      <c r="J10" s="37">
        <v>2011</v>
      </c>
      <c r="K10" s="37"/>
      <c r="L10" s="36" t="s">
        <v>30</v>
      </c>
      <c r="M10" s="36" t="s">
        <v>31</v>
      </c>
      <c r="N10" s="36" t="s">
        <v>32</v>
      </c>
      <c r="O10" s="77">
        <f t="shared" si="0"/>
        <v>1.5</v>
      </c>
      <c r="P10" s="36">
        <v>1.5</v>
      </c>
      <c r="Q10" s="36"/>
      <c r="R10" s="77">
        <f t="shared" si="1"/>
        <v>13.607999999999999</v>
      </c>
      <c r="S10" s="36">
        <f>0.567*24</f>
        <v>13.607999999999999</v>
      </c>
      <c r="T10" s="36"/>
      <c r="U10" s="77">
        <f t="shared" si="2"/>
        <v>13.607999999999999</v>
      </c>
      <c r="V10" s="36">
        <f>0.567*24</f>
        <v>13.607999999999999</v>
      </c>
      <c r="W10" s="36"/>
      <c r="X10" s="127" t="s">
        <v>500</v>
      </c>
      <c r="Y10" s="36" t="s">
        <v>33</v>
      </c>
      <c r="Z10" s="36" t="s">
        <v>33</v>
      </c>
      <c r="AA10" s="127" t="s">
        <v>435</v>
      </c>
      <c r="AB10" s="127" t="s">
        <v>33</v>
      </c>
    </row>
    <row r="11" spans="1:28" hidden="1" x14ac:dyDescent="0.3">
      <c r="A11" s="36" t="s">
        <v>23</v>
      </c>
      <c r="B11" s="36" t="s">
        <v>47</v>
      </c>
      <c r="C11" s="36" t="s">
        <v>25</v>
      </c>
      <c r="D11" s="133">
        <v>4</v>
      </c>
      <c r="E11" s="71">
        <v>2</v>
      </c>
      <c r="F11" s="36" t="s">
        <v>45</v>
      </c>
      <c r="G11" s="36" t="s">
        <v>48</v>
      </c>
      <c r="H11" s="36" t="s">
        <v>28</v>
      </c>
      <c r="I11" s="36" t="s">
        <v>29</v>
      </c>
      <c r="J11" s="37">
        <v>2006</v>
      </c>
      <c r="K11" s="37"/>
      <c r="L11" s="36" t="s">
        <v>30</v>
      </c>
      <c r="M11" s="36" t="s">
        <v>31</v>
      </c>
      <c r="N11" s="36" t="s">
        <v>32</v>
      </c>
      <c r="O11" s="77">
        <f t="shared" si="0"/>
        <v>0.18099999999999999</v>
      </c>
      <c r="P11" s="36">
        <v>0.18099999999999999</v>
      </c>
      <c r="Q11" s="36"/>
      <c r="R11" s="77">
        <f t="shared" si="1"/>
        <v>5.4480000000000004</v>
      </c>
      <c r="S11" s="36">
        <f>0.227*24</f>
        <v>5.4480000000000004</v>
      </c>
      <c r="T11" s="36"/>
      <c r="U11" s="77">
        <f t="shared" si="2"/>
        <v>5.4480000000000004</v>
      </c>
      <c r="V11" s="36">
        <f>0.227*24</f>
        <v>5.4480000000000004</v>
      </c>
      <c r="W11" s="36"/>
      <c r="X11" s="127" t="s">
        <v>500</v>
      </c>
      <c r="Y11" s="36" t="s">
        <v>33</v>
      </c>
      <c r="Z11" s="36" t="s">
        <v>33</v>
      </c>
      <c r="AA11" s="127" t="s">
        <v>435</v>
      </c>
      <c r="AB11" s="127" t="s">
        <v>33</v>
      </c>
    </row>
    <row r="12" spans="1:28" hidden="1" x14ac:dyDescent="0.3">
      <c r="A12" s="36" t="s">
        <v>23</v>
      </c>
      <c r="B12" s="36" t="s">
        <v>49</v>
      </c>
      <c r="C12" s="36" t="s">
        <v>25</v>
      </c>
      <c r="D12" s="133">
        <v>4</v>
      </c>
      <c r="E12" s="71">
        <v>3</v>
      </c>
      <c r="F12" s="36" t="s">
        <v>45</v>
      </c>
      <c r="G12" s="36" t="s">
        <v>50</v>
      </c>
      <c r="H12" s="36" t="s">
        <v>28</v>
      </c>
      <c r="I12" s="36" t="s">
        <v>29</v>
      </c>
      <c r="J12" s="37">
        <v>2014</v>
      </c>
      <c r="K12" s="37"/>
      <c r="L12" s="36" t="s">
        <v>30</v>
      </c>
      <c r="M12" s="36" t="s">
        <v>31</v>
      </c>
      <c r="N12" s="36" t="s">
        <v>32</v>
      </c>
      <c r="O12" s="77">
        <f t="shared" si="0"/>
        <v>6.2</v>
      </c>
      <c r="P12" s="36">
        <v>6.2</v>
      </c>
      <c r="Q12" s="36"/>
      <c r="R12" s="77">
        <f t="shared" si="1"/>
        <v>40.799999999999997</v>
      </c>
      <c r="S12" s="36">
        <f>1.7*24</f>
        <v>40.799999999999997</v>
      </c>
      <c r="T12" s="36"/>
      <c r="U12" s="77">
        <f t="shared" si="2"/>
        <v>62.400000000000006</v>
      </c>
      <c r="V12" s="36">
        <f>2.6*24</f>
        <v>62.400000000000006</v>
      </c>
      <c r="W12" s="36"/>
      <c r="X12" s="127" t="s">
        <v>500</v>
      </c>
      <c r="Y12" s="36" t="s">
        <v>33</v>
      </c>
      <c r="Z12" s="36" t="s">
        <v>33</v>
      </c>
      <c r="AA12" s="127" t="s">
        <v>435</v>
      </c>
      <c r="AB12" s="127" t="s">
        <v>33</v>
      </c>
    </row>
    <row r="13" spans="1:28" hidden="1" x14ac:dyDescent="0.3">
      <c r="A13" s="36" t="s">
        <v>23</v>
      </c>
      <c r="B13" s="36" t="s">
        <v>51</v>
      </c>
      <c r="C13" s="36" t="s">
        <v>25</v>
      </c>
      <c r="D13" s="133">
        <v>4</v>
      </c>
      <c r="E13" s="71">
        <v>4</v>
      </c>
      <c r="F13" s="36" t="s">
        <v>45</v>
      </c>
      <c r="G13" s="36" t="s">
        <v>52</v>
      </c>
      <c r="H13" s="36" t="s">
        <v>28</v>
      </c>
      <c r="I13" s="36" t="s">
        <v>29</v>
      </c>
      <c r="J13" s="37">
        <v>1982</v>
      </c>
      <c r="K13" s="37"/>
      <c r="L13" s="36" t="s">
        <v>30</v>
      </c>
      <c r="M13" s="36" t="s">
        <v>31</v>
      </c>
      <c r="N13" s="36" t="s">
        <v>32</v>
      </c>
      <c r="O13" s="77">
        <f t="shared" si="0"/>
        <v>12.2</v>
      </c>
      <c r="P13" s="36">
        <f>12.2-Q13</f>
        <v>11.632999999999999</v>
      </c>
      <c r="Q13" s="36">
        <v>0.56699999999999995</v>
      </c>
      <c r="R13" s="77">
        <v>141.6</v>
      </c>
      <c r="S13" s="36">
        <v>139.19999999999999</v>
      </c>
      <c r="T13" s="36">
        <v>2.4</v>
      </c>
      <c r="U13" s="77">
        <v>141.6</v>
      </c>
      <c r="V13" s="36">
        <v>139.19999999999999</v>
      </c>
      <c r="W13" s="36">
        <v>2.4</v>
      </c>
      <c r="X13" s="127" t="s">
        <v>500</v>
      </c>
      <c r="Y13" s="36" t="s">
        <v>33</v>
      </c>
      <c r="Z13" s="36" t="s">
        <v>33</v>
      </c>
      <c r="AA13" s="127" t="s">
        <v>435</v>
      </c>
      <c r="AB13" s="127" t="s">
        <v>33</v>
      </c>
    </row>
    <row r="14" spans="1:28" s="22" customFormat="1" hidden="1" x14ac:dyDescent="0.3">
      <c r="A14" s="58" t="s">
        <v>23</v>
      </c>
      <c r="B14" s="17" t="s">
        <v>53</v>
      </c>
      <c r="C14" s="17" t="s">
        <v>25</v>
      </c>
      <c r="D14" s="134">
        <v>4</v>
      </c>
      <c r="E14" s="72"/>
      <c r="F14" s="59" t="s">
        <v>45</v>
      </c>
      <c r="G14" s="59" t="s">
        <v>54</v>
      </c>
      <c r="H14" s="17" t="s">
        <v>28</v>
      </c>
      <c r="I14" s="17" t="s">
        <v>29</v>
      </c>
      <c r="J14" s="18"/>
      <c r="K14" s="18"/>
      <c r="L14" s="17" t="s">
        <v>30</v>
      </c>
      <c r="M14" s="17" t="s">
        <v>31</v>
      </c>
      <c r="N14" s="17" t="s">
        <v>32</v>
      </c>
      <c r="O14" s="19">
        <f t="shared" si="0"/>
        <v>20.081</v>
      </c>
      <c r="P14" s="20">
        <f>SUM(P10:P13)</f>
        <v>19.513999999999999</v>
      </c>
      <c r="Q14" s="20">
        <f>SUM(Q10:Q13)</f>
        <v>0.56699999999999995</v>
      </c>
      <c r="R14" s="21">
        <f t="shared" si="1"/>
        <v>201.45599999999999</v>
      </c>
      <c r="S14" s="20">
        <f>SUM(S10:S13)</f>
        <v>199.05599999999998</v>
      </c>
      <c r="T14" s="20">
        <f>SUM(T10:T13)</f>
        <v>2.4</v>
      </c>
      <c r="U14" s="19">
        <f t="shared" si="2"/>
        <v>223.05600000000001</v>
      </c>
      <c r="V14" s="20">
        <f>SUM(V10:V13)</f>
        <v>220.65600000000001</v>
      </c>
      <c r="W14" s="20">
        <f>SUM(W10:W13)</f>
        <v>2.4</v>
      </c>
      <c r="X14" s="20" t="s">
        <v>500</v>
      </c>
      <c r="Y14" s="58" t="s">
        <v>43</v>
      </c>
      <c r="Z14" s="58" t="s">
        <v>43</v>
      </c>
      <c r="AA14" s="20" t="s">
        <v>435</v>
      </c>
      <c r="AB14" s="20"/>
    </row>
    <row r="15" spans="1:28" hidden="1" x14ac:dyDescent="0.3">
      <c r="A15" s="12" t="s">
        <v>23</v>
      </c>
      <c r="B15" s="12" t="s">
        <v>55</v>
      </c>
      <c r="C15" s="12" t="s">
        <v>25</v>
      </c>
      <c r="D15" s="132">
        <v>5</v>
      </c>
      <c r="E15" s="70">
        <v>1</v>
      </c>
      <c r="F15" s="23" t="s">
        <v>56</v>
      </c>
      <c r="G15" s="12" t="s">
        <v>57</v>
      </c>
      <c r="H15" s="12" t="s">
        <v>28</v>
      </c>
      <c r="I15" s="12" t="s">
        <v>29</v>
      </c>
      <c r="J15" s="13">
        <v>2011</v>
      </c>
      <c r="K15" s="13"/>
      <c r="L15" s="12" t="s">
        <v>30</v>
      </c>
      <c r="M15" s="12" t="s">
        <v>31</v>
      </c>
      <c r="N15" s="12" t="s">
        <v>32</v>
      </c>
      <c r="O15" s="14">
        <f t="shared" si="0"/>
        <v>17.510000000000002</v>
      </c>
      <c r="P15" s="16">
        <v>17.510000000000002</v>
      </c>
      <c r="Q15" s="16"/>
      <c r="R15" s="15">
        <f t="shared" si="1"/>
        <v>145.96</v>
      </c>
      <c r="S15" s="16">
        <v>145.96</v>
      </c>
      <c r="T15" s="16"/>
      <c r="U15" s="14">
        <f t="shared" si="2"/>
        <v>218.94</v>
      </c>
      <c r="V15" s="16">
        <v>218.94</v>
      </c>
      <c r="W15" s="27"/>
      <c r="X15" s="27" t="s">
        <v>500</v>
      </c>
      <c r="Y15" s="12" t="s">
        <v>33</v>
      </c>
      <c r="Z15" s="12" t="s">
        <v>33</v>
      </c>
      <c r="AA15" s="16" t="s">
        <v>435</v>
      </c>
      <c r="AB15" s="16" t="s">
        <v>33</v>
      </c>
    </row>
    <row r="16" spans="1:28" hidden="1" x14ac:dyDescent="0.3">
      <c r="A16" s="12" t="s">
        <v>58</v>
      </c>
      <c r="B16" s="12" t="s">
        <v>59</v>
      </c>
      <c r="C16" s="12" t="s">
        <v>60</v>
      </c>
      <c r="D16" s="132">
        <v>1</v>
      </c>
      <c r="E16" s="70">
        <v>1</v>
      </c>
      <c r="F16" s="12" t="s">
        <v>61</v>
      </c>
      <c r="G16" s="12" t="s">
        <v>62</v>
      </c>
      <c r="H16" s="12" t="s">
        <v>28</v>
      </c>
      <c r="I16" s="12" t="s">
        <v>29</v>
      </c>
      <c r="J16" s="13">
        <v>2008</v>
      </c>
      <c r="K16" s="13"/>
      <c r="L16" s="12" t="s">
        <v>63</v>
      </c>
      <c r="M16" s="12"/>
      <c r="N16" s="12" t="s">
        <v>32</v>
      </c>
      <c r="O16" s="14">
        <f t="shared" si="0"/>
        <v>5.5149999999999997</v>
      </c>
      <c r="P16" s="16">
        <f>500*11.03/1000</f>
        <v>5.5149999999999997</v>
      </c>
      <c r="Q16" s="16"/>
      <c r="R16" s="15">
        <f t="shared" si="1"/>
        <v>0</v>
      </c>
      <c r="S16" s="16"/>
      <c r="T16" s="16"/>
      <c r="U16" s="14">
        <f t="shared" si="2"/>
        <v>220.6</v>
      </c>
      <c r="V16" s="16">
        <f>20*11.03</f>
        <v>220.6</v>
      </c>
      <c r="W16" s="16"/>
      <c r="X16" s="16" t="s">
        <v>500</v>
      </c>
      <c r="Y16" s="12" t="s">
        <v>33</v>
      </c>
      <c r="Z16" s="12" t="s">
        <v>33</v>
      </c>
      <c r="AA16" s="16" t="s">
        <v>434</v>
      </c>
      <c r="AB16" s="16"/>
    </row>
    <row r="17" spans="1:28" hidden="1" x14ac:dyDescent="0.3">
      <c r="A17" s="12" t="s">
        <v>58</v>
      </c>
      <c r="B17" s="12" t="s">
        <v>64</v>
      </c>
      <c r="C17" s="12" t="s">
        <v>60</v>
      </c>
      <c r="D17" s="132">
        <v>1</v>
      </c>
      <c r="E17" s="70">
        <v>2</v>
      </c>
      <c r="F17" s="12" t="s">
        <v>61</v>
      </c>
      <c r="G17" s="12" t="s">
        <v>62</v>
      </c>
      <c r="H17" s="12" t="s">
        <v>65</v>
      </c>
      <c r="I17" s="12" t="s">
        <v>504</v>
      </c>
      <c r="J17" s="13"/>
      <c r="K17" s="13"/>
      <c r="L17" s="12" t="s">
        <v>63</v>
      </c>
      <c r="M17" s="12"/>
      <c r="N17" s="12" t="s">
        <v>32</v>
      </c>
      <c r="O17" s="14">
        <f t="shared" si="0"/>
        <v>5.5149999999999997</v>
      </c>
      <c r="P17" s="16">
        <f>500*11.03/1000</f>
        <v>5.5149999999999997</v>
      </c>
      <c r="Q17" s="16"/>
      <c r="R17" s="15">
        <f t="shared" si="1"/>
        <v>0</v>
      </c>
      <c r="S17" s="16"/>
      <c r="T17" s="16"/>
      <c r="U17" s="14">
        <f t="shared" si="2"/>
        <v>0</v>
      </c>
      <c r="V17" s="16"/>
      <c r="W17" s="16"/>
      <c r="X17" s="16" t="s">
        <v>500</v>
      </c>
      <c r="Y17" s="12" t="s">
        <v>43</v>
      </c>
      <c r="Z17" s="12" t="s">
        <v>33</v>
      </c>
      <c r="AA17" s="16" t="s">
        <v>434</v>
      </c>
      <c r="AB17" s="16"/>
    </row>
    <row r="18" spans="1:28" hidden="1" x14ac:dyDescent="0.3">
      <c r="A18" s="12" t="s">
        <v>58</v>
      </c>
      <c r="B18" s="12" t="s">
        <v>66</v>
      </c>
      <c r="C18" s="12" t="s">
        <v>60</v>
      </c>
      <c r="D18" s="132">
        <v>1</v>
      </c>
      <c r="E18" s="70">
        <v>3</v>
      </c>
      <c r="F18" s="12" t="s">
        <v>61</v>
      </c>
      <c r="G18" s="12" t="s">
        <v>67</v>
      </c>
      <c r="H18" s="12" t="s">
        <v>28</v>
      </c>
      <c r="I18" s="12" t="s">
        <v>29</v>
      </c>
      <c r="J18" s="13">
        <v>1976</v>
      </c>
      <c r="K18" s="13"/>
      <c r="L18" s="12" t="s">
        <v>68</v>
      </c>
      <c r="M18" s="12"/>
      <c r="N18" s="12" t="s">
        <v>32</v>
      </c>
      <c r="O18" s="14">
        <f t="shared" si="0"/>
        <v>3.1865999999999999</v>
      </c>
      <c r="P18" s="16">
        <f>300*10.622/1000</f>
        <v>3.1865999999999999</v>
      </c>
      <c r="Q18" s="16"/>
      <c r="R18" s="15">
        <f t="shared" si="1"/>
        <v>0</v>
      </c>
      <c r="S18" s="16"/>
      <c r="T18" s="16"/>
      <c r="U18" s="14">
        <f t="shared" si="2"/>
        <v>44.12</v>
      </c>
      <c r="V18" s="16">
        <f>4*11.03</f>
        <v>44.12</v>
      </c>
      <c r="W18" s="16"/>
      <c r="X18" s="16" t="s">
        <v>500</v>
      </c>
      <c r="Y18" s="12" t="s">
        <v>33</v>
      </c>
      <c r="Z18" s="12" t="s">
        <v>33</v>
      </c>
      <c r="AA18" s="16" t="s">
        <v>434</v>
      </c>
      <c r="AB18" s="16"/>
    </row>
    <row r="19" spans="1:28" hidden="1" x14ac:dyDescent="0.3">
      <c r="A19" s="12" t="s">
        <v>58</v>
      </c>
      <c r="B19" s="12" t="s">
        <v>69</v>
      </c>
      <c r="C19" s="12" t="s">
        <v>60</v>
      </c>
      <c r="D19" s="132">
        <v>1</v>
      </c>
      <c r="E19" s="70">
        <v>4</v>
      </c>
      <c r="F19" s="12" t="s">
        <v>61</v>
      </c>
      <c r="G19" s="12" t="s">
        <v>70</v>
      </c>
      <c r="H19" s="12" t="s">
        <v>28</v>
      </c>
      <c r="I19" s="12" t="s">
        <v>29</v>
      </c>
      <c r="J19" s="13">
        <v>2000</v>
      </c>
      <c r="K19" s="13"/>
      <c r="L19" s="12" t="s">
        <v>30</v>
      </c>
      <c r="M19" s="12" t="s">
        <v>31</v>
      </c>
      <c r="N19" s="12" t="s">
        <v>32</v>
      </c>
      <c r="O19" s="14">
        <f t="shared" si="0"/>
        <v>6.6180000000000003</v>
      </c>
      <c r="P19" s="16">
        <f>600*11.03/1000</f>
        <v>6.6180000000000003</v>
      </c>
      <c r="Q19" s="16"/>
      <c r="R19" s="15">
        <f t="shared" si="1"/>
        <v>0</v>
      </c>
      <c r="S19" s="16"/>
      <c r="T19" s="16"/>
      <c r="U19" s="14">
        <f t="shared" si="2"/>
        <v>52.943999999999996</v>
      </c>
      <c r="V19" s="16">
        <f>4.8*11.03</f>
        <v>52.943999999999996</v>
      </c>
      <c r="W19" s="16"/>
      <c r="X19" s="16" t="s">
        <v>500</v>
      </c>
      <c r="Y19" s="12" t="s">
        <v>33</v>
      </c>
      <c r="Z19" s="12" t="s">
        <v>33</v>
      </c>
      <c r="AA19" s="16" t="s">
        <v>434</v>
      </c>
      <c r="AB19" s="16"/>
    </row>
    <row r="20" spans="1:28" hidden="1" x14ac:dyDescent="0.3">
      <c r="A20" s="12" t="s">
        <v>71</v>
      </c>
      <c r="B20" s="12" t="s">
        <v>72</v>
      </c>
      <c r="C20" s="12" t="s">
        <v>73</v>
      </c>
      <c r="D20" s="132">
        <v>1</v>
      </c>
      <c r="E20" s="70">
        <v>1</v>
      </c>
      <c r="F20" s="12" t="s">
        <v>74</v>
      </c>
      <c r="G20" s="12" t="s">
        <v>75</v>
      </c>
      <c r="H20" s="12" t="s">
        <v>28</v>
      </c>
      <c r="I20" s="12" t="s">
        <v>29</v>
      </c>
      <c r="J20" s="13">
        <v>1985</v>
      </c>
      <c r="K20" s="13"/>
      <c r="L20" s="12" t="s">
        <v>68</v>
      </c>
      <c r="M20" s="12"/>
      <c r="N20" s="12" t="s">
        <v>32</v>
      </c>
      <c r="O20" s="14">
        <f t="shared" si="0"/>
        <v>9.0013000000000005</v>
      </c>
      <c r="P20" s="16">
        <v>9.0013000000000005</v>
      </c>
      <c r="Q20" s="16"/>
      <c r="R20" s="15">
        <f t="shared" si="1"/>
        <v>88.14</v>
      </c>
      <c r="S20" s="16">
        <v>88.14</v>
      </c>
      <c r="T20" s="16"/>
      <c r="U20" s="14">
        <f t="shared" si="2"/>
        <v>169.5</v>
      </c>
      <c r="V20" s="16">
        <v>169.5</v>
      </c>
      <c r="W20" s="16"/>
      <c r="X20" s="16" t="s">
        <v>76</v>
      </c>
      <c r="Y20" s="12" t="s">
        <v>33</v>
      </c>
      <c r="Z20" s="12" t="s">
        <v>33</v>
      </c>
      <c r="AA20" s="16" t="s">
        <v>435</v>
      </c>
      <c r="AB20" s="16" t="s">
        <v>33</v>
      </c>
    </row>
    <row r="21" spans="1:28" s="26" customFormat="1" hidden="1" x14ac:dyDescent="0.3">
      <c r="A21" s="12" t="s">
        <v>77</v>
      </c>
      <c r="B21" s="12" t="s">
        <v>78</v>
      </c>
      <c r="C21" s="12" t="s">
        <v>79</v>
      </c>
      <c r="D21" s="132">
        <v>1</v>
      </c>
      <c r="E21" s="70">
        <v>1</v>
      </c>
      <c r="F21" s="12" t="s">
        <v>80</v>
      </c>
      <c r="G21" s="12" t="s">
        <v>81</v>
      </c>
      <c r="H21" s="12" t="s">
        <v>28</v>
      </c>
      <c r="I21" s="12" t="s">
        <v>29</v>
      </c>
      <c r="J21" s="13">
        <v>1974</v>
      </c>
      <c r="K21" s="13"/>
      <c r="L21" s="12" t="s">
        <v>30</v>
      </c>
      <c r="M21" s="12" t="s">
        <v>31</v>
      </c>
      <c r="N21" s="12" t="s">
        <v>32</v>
      </c>
      <c r="O21" s="14">
        <v>5.8</v>
      </c>
      <c r="P21" s="16">
        <v>5.8</v>
      </c>
      <c r="Q21" s="16">
        <v>0.95</v>
      </c>
      <c r="R21" s="15">
        <v>38.18</v>
      </c>
      <c r="S21" s="16">
        <v>38.18</v>
      </c>
      <c r="T21" s="16"/>
      <c r="U21" s="14">
        <v>40.299999999999997</v>
      </c>
      <c r="V21" s="16">
        <v>40.299999999999997</v>
      </c>
      <c r="W21" s="16"/>
      <c r="X21" s="16" t="s">
        <v>76</v>
      </c>
      <c r="Y21" s="12" t="s">
        <v>33</v>
      </c>
      <c r="Z21" s="12" t="s">
        <v>33</v>
      </c>
      <c r="AA21" s="16" t="s">
        <v>435</v>
      </c>
      <c r="AB21" s="16" t="s">
        <v>33</v>
      </c>
    </row>
    <row r="22" spans="1:28" s="26" customFormat="1" hidden="1" x14ac:dyDescent="0.3">
      <c r="A22" s="12" t="str">
        <f>A21</f>
        <v>Bulgaria</v>
      </c>
      <c r="B22" s="12" t="s">
        <v>82</v>
      </c>
      <c r="C22" s="12" t="s">
        <v>79</v>
      </c>
      <c r="D22" s="132">
        <v>1</v>
      </c>
      <c r="E22" s="70">
        <v>2</v>
      </c>
      <c r="F22" s="12" t="str">
        <f>F21</f>
        <v>Bulgartransgaz</v>
      </c>
      <c r="G22" s="12" t="str">
        <f>G21</f>
        <v>Chiren</v>
      </c>
      <c r="H22" s="12" t="s">
        <v>83</v>
      </c>
      <c r="I22" s="12" t="s">
        <v>504</v>
      </c>
      <c r="J22" s="13">
        <v>2026</v>
      </c>
      <c r="K22" s="12"/>
      <c r="L22" s="12" t="str">
        <f>L21</f>
        <v>Depleted field</v>
      </c>
      <c r="M22" s="12" t="s">
        <v>31</v>
      </c>
      <c r="N22" s="12" t="str">
        <f>N21</f>
        <v>Onshore</v>
      </c>
      <c r="O22" s="14">
        <v>4.75</v>
      </c>
      <c r="P22" s="16">
        <v>4.75</v>
      </c>
      <c r="Q22" s="16"/>
      <c r="R22" s="15">
        <v>46.22</v>
      </c>
      <c r="S22" s="16">
        <v>46.22</v>
      </c>
      <c r="T22" s="16"/>
      <c r="U22" s="14">
        <v>44.1</v>
      </c>
      <c r="V22" s="16">
        <v>44.1</v>
      </c>
      <c r="W22" s="16"/>
      <c r="X22" s="16" t="s">
        <v>76</v>
      </c>
      <c r="Y22" s="12" t="s">
        <v>43</v>
      </c>
      <c r="Z22" s="12" t="s">
        <v>33</v>
      </c>
      <c r="AA22" s="16" t="s">
        <v>435</v>
      </c>
      <c r="AB22" s="16" t="s">
        <v>33</v>
      </c>
    </row>
    <row r="23" spans="1:28" hidden="1" x14ac:dyDescent="0.3">
      <c r="A23" s="12" t="s">
        <v>84</v>
      </c>
      <c r="B23" s="12" t="s">
        <v>85</v>
      </c>
      <c r="C23" s="12" t="s">
        <v>86</v>
      </c>
      <c r="D23" s="132">
        <v>1</v>
      </c>
      <c r="E23" s="70">
        <v>1</v>
      </c>
      <c r="F23" s="12" t="s">
        <v>87</v>
      </c>
      <c r="G23" s="12" t="s">
        <v>88</v>
      </c>
      <c r="H23" s="12" t="s">
        <v>28</v>
      </c>
      <c r="I23" s="12" t="s">
        <v>29</v>
      </c>
      <c r="J23" s="13">
        <v>1988</v>
      </c>
      <c r="K23" s="13"/>
      <c r="L23" s="12" t="s">
        <v>30</v>
      </c>
      <c r="M23" s="12" t="s">
        <v>89</v>
      </c>
      <c r="N23" s="12" t="s">
        <v>32</v>
      </c>
      <c r="O23" s="14">
        <f>5.2164</f>
        <v>5.2164000000000001</v>
      </c>
      <c r="P23" s="16">
        <v>5</v>
      </c>
      <c r="Q23" s="16">
        <f>O23-P23</f>
        <v>0.21640000000000015</v>
      </c>
      <c r="R23" s="15">
        <v>42.28</v>
      </c>
      <c r="S23" s="16">
        <v>42.28</v>
      </c>
      <c r="T23" s="16"/>
      <c r="U23" s="14">
        <v>56.37</v>
      </c>
      <c r="V23" s="16">
        <v>60.57</v>
      </c>
      <c r="W23" s="16"/>
      <c r="X23" s="16" t="s">
        <v>76</v>
      </c>
      <c r="Y23" s="12" t="s">
        <v>33</v>
      </c>
      <c r="Z23" s="12" t="s">
        <v>33</v>
      </c>
      <c r="AA23" s="16" t="s">
        <v>435</v>
      </c>
      <c r="AB23" s="16" t="s">
        <v>33</v>
      </c>
    </row>
    <row r="24" spans="1:28" hidden="1" x14ac:dyDescent="0.3">
      <c r="A24" s="12" t="s">
        <v>84</v>
      </c>
      <c r="B24" s="12" t="s">
        <v>90</v>
      </c>
      <c r="C24" s="12" t="s">
        <v>86</v>
      </c>
      <c r="D24" s="132">
        <v>1</v>
      </c>
      <c r="E24" s="70">
        <v>2</v>
      </c>
      <c r="F24" s="12" t="s">
        <v>87</v>
      </c>
      <c r="G24" s="12" t="s">
        <v>91</v>
      </c>
      <c r="H24" s="12" t="s">
        <v>83</v>
      </c>
      <c r="I24" s="12" t="s">
        <v>92</v>
      </c>
      <c r="J24" s="13">
        <v>2022</v>
      </c>
      <c r="K24" s="13"/>
      <c r="L24" s="12" t="s">
        <v>30</v>
      </c>
      <c r="M24" s="12" t="s">
        <v>31</v>
      </c>
      <c r="N24" s="12" t="s">
        <v>32</v>
      </c>
      <c r="O24" s="14">
        <f t="shared" si="0"/>
        <v>0.28499999999999998</v>
      </c>
      <c r="P24" s="16">
        <f>25*B265/1000</f>
        <v>0.28499999999999998</v>
      </c>
      <c r="Q24" s="16"/>
      <c r="R24" s="15">
        <f t="shared" si="1"/>
        <v>15.959999999999999</v>
      </c>
      <c r="S24" s="16">
        <f>1.4*B265</f>
        <v>15.959999999999999</v>
      </c>
      <c r="T24" s="16"/>
      <c r="U24" s="14">
        <f t="shared" si="2"/>
        <v>27.36</v>
      </c>
      <c r="V24" s="16">
        <f>2.4*B265</f>
        <v>27.36</v>
      </c>
      <c r="W24" s="16"/>
      <c r="X24" s="16" t="s">
        <v>76</v>
      </c>
      <c r="Y24" s="12" t="s">
        <v>33</v>
      </c>
      <c r="Z24" s="12" t="s">
        <v>33</v>
      </c>
      <c r="AA24" s="16" t="s">
        <v>435</v>
      </c>
      <c r="AB24" s="16" t="s">
        <v>33</v>
      </c>
    </row>
    <row r="25" spans="1:28" hidden="1" x14ac:dyDescent="0.3">
      <c r="A25" s="36" t="s">
        <v>93</v>
      </c>
      <c r="B25" s="36" t="s">
        <v>94</v>
      </c>
      <c r="C25" s="36" t="s">
        <v>95</v>
      </c>
      <c r="D25" s="133">
        <v>1</v>
      </c>
      <c r="E25" s="71">
        <v>1</v>
      </c>
      <c r="F25" s="36" t="s">
        <v>450</v>
      </c>
      <c r="G25" s="36" t="s">
        <v>96</v>
      </c>
      <c r="H25" s="36" t="s">
        <v>28</v>
      </c>
      <c r="I25" s="36" t="s">
        <v>29</v>
      </c>
      <c r="J25" s="37">
        <v>1989</v>
      </c>
      <c r="K25" s="37"/>
      <c r="L25" s="36" t="s">
        <v>30</v>
      </c>
      <c r="M25" s="36" t="s">
        <v>31</v>
      </c>
      <c r="N25" s="36" t="s">
        <v>32</v>
      </c>
      <c r="O25" s="39">
        <f t="shared" si="0"/>
        <v>0</v>
      </c>
      <c r="P25" s="57"/>
      <c r="Q25" s="57"/>
      <c r="R25" s="40">
        <f t="shared" si="1"/>
        <v>0</v>
      </c>
      <c r="S25" s="57"/>
      <c r="T25" s="57"/>
      <c r="U25" s="39">
        <f t="shared" si="2"/>
        <v>0</v>
      </c>
      <c r="V25" s="57"/>
      <c r="W25" s="57"/>
      <c r="X25" s="57" t="s">
        <v>500</v>
      </c>
      <c r="Y25" s="36" t="s">
        <v>33</v>
      </c>
      <c r="Z25" s="36" t="s">
        <v>43</v>
      </c>
      <c r="AA25" s="57" t="s">
        <v>435</v>
      </c>
      <c r="AB25" s="57" t="s">
        <v>33</v>
      </c>
    </row>
    <row r="26" spans="1:28" hidden="1" x14ac:dyDescent="0.3">
      <c r="A26" s="36" t="s">
        <v>93</v>
      </c>
      <c r="B26" s="36" t="s">
        <v>97</v>
      </c>
      <c r="C26" s="36" t="s">
        <v>95</v>
      </c>
      <c r="D26" s="133">
        <v>1</v>
      </c>
      <c r="E26" s="71">
        <v>2</v>
      </c>
      <c r="F26" s="36" t="s">
        <v>450</v>
      </c>
      <c r="G26" s="36" t="s">
        <v>98</v>
      </c>
      <c r="H26" s="36" t="s">
        <v>28</v>
      </c>
      <c r="I26" s="36" t="s">
        <v>29</v>
      </c>
      <c r="J26" s="37">
        <v>1998</v>
      </c>
      <c r="K26" s="37"/>
      <c r="L26" s="36" t="s">
        <v>99</v>
      </c>
      <c r="M26" s="36" t="s">
        <v>495</v>
      </c>
      <c r="N26" s="36" t="s">
        <v>32</v>
      </c>
      <c r="O26" s="39">
        <f t="shared" si="0"/>
        <v>0</v>
      </c>
      <c r="P26" s="57"/>
      <c r="Q26" s="57"/>
      <c r="R26" s="40">
        <f t="shared" si="1"/>
        <v>0</v>
      </c>
      <c r="S26" s="57"/>
      <c r="T26" s="57"/>
      <c r="U26" s="39">
        <f t="shared" si="2"/>
        <v>0</v>
      </c>
      <c r="V26" s="57"/>
      <c r="W26" s="57"/>
      <c r="X26" s="57" t="s">
        <v>500</v>
      </c>
      <c r="Y26" s="36" t="s">
        <v>33</v>
      </c>
      <c r="Z26" s="36" t="s">
        <v>43</v>
      </c>
      <c r="AA26" s="57" t="s">
        <v>435</v>
      </c>
      <c r="AB26" s="57" t="s">
        <v>33</v>
      </c>
    </row>
    <row r="27" spans="1:28" hidden="1" x14ac:dyDescent="0.3">
      <c r="A27" s="36" t="s">
        <v>93</v>
      </c>
      <c r="B27" s="36" t="s">
        <v>100</v>
      </c>
      <c r="C27" s="36" t="s">
        <v>95</v>
      </c>
      <c r="D27" s="133">
        <v>1</v>
      </c>
      <c r="E27" s="71">
        <v>3</v>
      </c>
      <c r="F27" s="36" t="s">
        <v>450</v>
      </c>
      <c r="G27" s="36" t="s">
        <v>101</v>
      </c>
      <c r="H27" s="36" t="s">
        <v>28</v>
      </c>
      <c r="I27" s="36" t="s">
        <v>29</v>
      </c>
      <c r="J27" s="37">
        <v>1965</v>
      </c>
      <c r="K27" s="37"/>
      <c r="L27" s="36" t="s">
        <v>68</v>
      </c>
      <c r="M27" s="36"/>
      <c r="N27" s="36" t="s">
        <v>32</v>
      </c>
      <c r="O27" s="39">
        <f t="shared" si="0"/>
        <v>0</v>
      </c>
      <c r="P27" s="57"/>
      <c r="Q27" s="57"/>
      <c r="R27" s="40">
        <f t="shared" si="1"/>
        <v>0</v>
      </c>
      <c r="S27" s="57"/>
      <c r="T27" s="57"/>
      <c r="U27" s="39">
        <f t="shared" si="2"/>
        <v>0</v>
      </c>
      <c r="V27" s="57"/>
      <c r="W27" s="57"/>
      <c r="X27" s="57" t="s">
        <v>500</v>
      </c>
      <c r="Y27" s="36" t="s">
        <v>33</v>
      </c>
      <c r="Z27" s="36" t="s">
        <v>43</v>
      </c>
      <c r="AA27" s="57" t="s">
        <v>435</v>
      </c>
      <c r="AB27" s="57" t="s">
        <v>33</v>
      </c>
    </row>
    <row r="28" spans="1:28" hidden="1" x14ac:dyDescent="0.3">
      <c r="A28" s="36" t="s">
        <v>93</v>
      </c>
      <c r="B28" s="36" t="s">
        <v>102</v>
      </c>
      <c r="C28" s="36" t="s">
        <v>95</v>
      </c>
      <c r="D28" s="133">
        <v>1</v>
      </c>
      <c r="E28" s="71">
        <v>4</v>
      </c>
      <c r="F28" s="36" t="s">
        <v>450</v>
      </c>
      <c r="G28" s="36" t="s">
        <v>103</v>
      </c>
      <c r="H28" s="36" t="s">
        <v>28</v>
      </c>
      <c r="I28" s="36" t="s">
        <v>29</v>
      </c>
      <c r="J28" s="37">
        <v>1983</v>
      </c>
      <c r="K28" s="37"/>
      <c r="L28" s="36" t="s">
        <v>30</v>
      </c>
      <c r="M28" s="36" t="s">
        <v>31</v>
      </c>
      <c r="N28" s="36" t="s">
        <v>32</v>
      </c>
      <c r="O28" s="39">
        <f t="shared" si="0"/>
        <v>0</v>
      </c>
      <c r="P28" s="57"/>
      <c r="Q28" s="57"/>
      <c r="R28" s="40">
        <f t="shared" si="1"/>
        <v>0</v>
      </c>
      <c r="S28" s="57"/>
      <c r="T28" s="57"/>
      <c r="U28" s="39">
        <f t="shared" si="2"/>
        <v>0</v>
      </c>
      <c r="V28" s="57"/>
      <c r="W28" s="57"/>
      <c r="X28" s="57" t="s">
        <v>500</v>
      </c>
      <c r="Y28" s="36" t="s">
        <v>33</v>
      </c>
      <c r="Z28" s="36" t="s">
        <v>43</v>
      </c>
      <c r="AA28" s="57" t="s">
        <v>435</v>
      </c>
      <c r="AB28" s="57" t="s">
        <v>33</v>
      </c>
    </row>
    <row r="29" spans="1:28" hidden="1" x14ac:dyDescent="0.3">
      <c r="A29" s="36" t="s">
        <v>93</v>
      </c>
      <c r="B29" s="36" t="s">
        <v>104</v>
      </c>
      <c r="C29" s="36" t="s">
        <v>95</v>
      </c>
      <c r="D29" s="133">
        <v>1</v>
      </c>
      <c r="E29" s="71">
        <v>5</v>
      </c>
      <c r="F29" s="36" t="s">
        <v>450</v>
      </c>
      <c r="G29" s="36" t="s">
        <v>105</v>
      </c>
      <c r="H29" s="36" t="s">
        <v>28</v>
      </c>
      <c r="I29" s="36" t="s">
        <v>29</v>
      </c>
      <c r="J29" s="37">
        <v>2000</v>
      </c>
      <c r="K29" s="37"/>
      <c r="L29" s="36" t="s">
        <v>30</v>
      </c>
      <c r="M29" s="36" t="s">
        <v>31</v>
      </c>
      <c r="N29" s="36" t="s">
        <v>32</v>
      </c>
      <c r="O29" s="39">
        <f t="shared" si="0"/>
        <v>0</v>
      </c>
      <c r="P29" s="57"/>
      <c r="Q29" s="57"/>
      <c r="R29" s="40">
        <f t="shared" si="1"/>
        <v>0</v>
      </c>
      <c r="S29" s="57"/>
      <c r="T29" s="57"/>
      <c r="U29" s="39">
        <f t="shared" si="2"/>
        <v>0</v>
      </c>
      <c r="V29" s="57"/>
      <c r="W29" s="57"/>
      <c r="X29" s="57" t="s">
        <v>500</v>
      </c>
      <c r="Y29" s="36" t="s">
        <v>33</v>
      </c>
      <c r="Z29" s="36" t="s">
        <v>43</v>
      </c>
      <c r="AA29" s="57" t="s">
        <v>435</v>
      </c>
      <c r="AB29" s="57" t="s">
        <v>33</v>
      </c>
    </row>
    <row r="30" spans="1:28" hidden="1" x14ac:dyDescent="0.3">
      <c r="A30" s="36" t="s">
        <v>93</v>
      </c>
      <c r="B30" s="36" t="s">
        <v>106</v>
      </c>
      <c r="C30" s="36" t="s">
        <v>95</v>
      </c>
      <c r="D30" s="133">
        <v>1</v>
      </c>
      <c r="E30" s="71">
        <v>6</v>
      </c>
      <c r="F30" s="36" t="s">
        <v>450</v>
      </c>
      <c r="G30" s="36" t="s">
        <v>107</v>
      </c>
      <c r="H30" s="36" t="s">
        <v>28</v>
      </c>
      <c r="I30" s="36" t="s">
        <v>29</v>
      </c>
      <c r="J30" s="37">
        <v>1975</v>
      </c>
      <c r="K30" s="37"/>
      <c r="L30" s="36" t="s">
        <v>30</v>
      </c>
      <c r="M30" s="36" t="s">
        <v>31</v>
      </c>
      <c r="N30" s="36" t="s">
        <v>32</v>
      </c>
      <c r="O30" s="39">
        <f t="shared" si="0"/>
        <v>0</v>
      </c>
      <c r="P30" s="57"/>
      <c r="Q30" s="57"/>
      <c r="R30" s="40">
        <f t="shared" si="1"/>
        <v>0</v>
      </c>
      <c r="S30" s="57"/>
      <c r="T30" s="57"/>
      <c r="U30" s="39">
        <f t="shared" si="2"/>
        <v>0</v>
      </c>
      <c r="V30" s="57"/>
      <c r="W30" s="57"/>
      <c r="X30" s="57" t="s">
        <v>500</v>
      </c>
      <c r="Y30" s="36" t="s">
        <v>33</v>
      </c>
      <c r="Z30" s="36" t="s">
        <v>43</v>
      </c>
      <c r="AA30" s="57" t="s">
        <v>435</v>
      </c>
      <c r="AB30" s="57" t="s">
        <v>33</v>
      </c>
    </row>
    <row r="31" spans="1:28" s="22" customFormat="1" hidden="1" x14ac:dyDescent="0.3">
      <c r="A31" s="58" t="s">
        <v>93</v>
      </c>
      <c r="B31" s="17" t="s">
        <v>108</v>
      </c>
      <c r="C31" s="17" t="s">
        <v>95</v>
      </c>
      <c r="D31" s="134">
        <v>1</v>
      </c>
      <c r="E31" s="72"/>
      <c r="F31" s="59" t="s">
        <v>450</v>
      </c>
      <c r="G31" s="59" t="s">
        <v>449</v>
      </c>
      <c r="H31" s="17" t="s">
        <v>28</v>
      </c>
      <c r="I31" s="17" t="s">
        <v>29</v>
      </c>
      <c r="J31" s="18"/>
      <c r="K31" s="18"/>
      <c r="L31" s="17" t="s">
        <v>482</v>
      </c>
      <c r="M31" s="17"/>
      <c r="N31" s="17"/>
      <c r="O31" s="19">
        <f>P31+Q31</f>
        <v>29</v>
      </c>
      <c r="P31" s="20">
        <v>29</v>
      </c>
      <c r="Q31" s="20"/>
      <c r="R31" s="21">
        <f t="shared" si="1"/>
        <v>323</v>
      </c>
      <c r="S31" s="20">
        <v>323</v>
      </c>
      <c r="T31" s="20"/>
      <c r="U31" s="19">
        <f t="shared" si="2"/>
        <v>423</v>
      </c>
      <c r="V31" s="20">
        <v>423</v>
      </c>
      <c r="W31" s="20"/>
      <c r="X31" s="20" t="s">
        <v>500</v>
      </c>
      <c r="Y31" s="58" t="s">
        <v>43</v>
      </c>
      <c r="Z31" s="58" t="s">
        <v>33</v>
      </c>
      <c r="AA31" s="20" t="s">
        <v>435</v>
      </c>
      <c r="AB31" s="20"/>
    </row>
    <row r="32" spans="1:28" hidden="1" x14ac:dyDescent="0.3">
      <c r="A32" s="12" t="s">
        <v>93</v>
      </c>
      <c r="B32" s="12" t="s">
        <v>109</v>
      </c>
      <c r="C32" s="12" t="s">
        <v>95</v>
      </c>
      <c r="D32" s="132">
        <v>2</v>
      </c>
      <c r="E32" s="70">
        <v>1</v>
      </c>
      <c r="F32" s="12" t="s">
        <v>110</v>
      </c>
      <c r="G32" s="12" t="s">
        <v>111</v>
      </c>
      <c r="H32" s="12" t="s">
        <v>28</v>
      </c>
      <c r="I32" s="12" t="s">
        <v>29</v>
      </c>
      <c r="J32" s="13">
        <v>2001</v>
      </c>
      <c r="K32" s="13"/>
      <c r="L32" s="12" t="s">
        <v>30</v>
      </c>
      <c r="M32" s="12" t="s">
        <v>112</v>
      </c>
      <c r="N32" s="12" t="s">
        <v>32</v>
      </c>
      <c r="O32" s="14">
        <f t="shared" si="0"/>
        <v>3.1920000000000002</v>
      </c>
      <c r="P32" s="16">
        <f>280*B265/1000</f>
        <v>3.1920000000000002</v>
      </c>
      <c r="Q32" s="16"/>
      <c r="R32" s="15">
        <f t="shared" si="1"/>
        <v>57.665999999999997</v>
      </c>
      <c r="S32" s="16">
        <v>57.665999999999997</v>
      </c>
      <c r="T32" s="16"/>
      <c r="U32" s="14">
        <f t="shared" si="2"/>
        <v>107.20699999999999</v>
      </c>
      <c r="V32" s="16">
        <v>107.20699999999999</v>
      </c>
      <c r="W32" s="16"/>
      <c r="X32" s="16" t="s">
        <v>500</v>
      </c>
      <c r="Y32" s="12" t="s">
        <v>33</v>
      </c>
      <c r="Z32" s="12" t="s">
        <v>33</v>
      </c>
      <c r="AA32" s="16" t="s">
        <v>435</v>
      </c>
      <c r="AB32" s="16"/>
    </row>
    <row r="33" spans="1:28" hidden="1" x14ac:dyDescent="0.3">
      <c r="A33" s="12" t="s">
        <v>93</v>
      </c>
      <c r="B33" s="12" t="s">
        <v>109</v>
      </c>
      <c r="C33" s="12" t="s">
        <v>95</v>
      </c>
      <c r="D33" s="132">
        <v>2</v>
      </c>
      <c r="E33" s="70">
        <v>1</v>
      </c>
      <c r="F33" s="12" t="s">
        <v>110</v>
      </c>
      <c r="G33" s="12" t="s">
        <v>111</v>
      </c>
      <c r="H33" s="12" t="s">
        <v>83</v>
      </c>
      <c r="I33" s="12" t="s">
        <v>504</v>
      </c>
      <c r="J33" s="13">
        <v>2025</v>
      </c>
      <c r="K33" s="13"/>
      <c r="L33" s="12" t="s">
        <v>30</v>
      </c>
      <c r="M33" s="12" t="s">
        <v>112</v>
      </c>
      <c r="N33" s="12" t="s">
        <v>32</v>
      </c>
      <c r="O33" s="14">
        <f t="shared" ref="O33" si="3">P33+Q33</f>
        <v>0.43223999999999996</v>
      </c>
      <c r="P33" s="16">
        <f>40*B266/1000</f>
        <v>0.43223999999999996</v>
      </c>
      <c r="Q33" s="16"/>
      <c r="R33" s="15">
        <f t="shared" ref="R33" si="4">S33+T33</f>
        <v>57.665999999999997</v>
      </c>
      <c r="S33" s="16">
        <v>57.665999999999997</v>
      </c>
      <c r="T33" s="16"/>
      <c r="U33" s="14">
        <f t="shared" ref="U33" si="5">V33+W33</f>
        <v>107.20699999999999</v>
      </c>
      <c r="V33" s="16">
        <v>107.20699999999999</v>
      </c>
      <c r="W33" s="16"/>
      <c r="X33" s="16" t="s">
        <v>500</v>
      </c>
      <c r="Y33" s="12" t="s">
        <v>43</v>
      </c>
      <c r="Z33" s="12" t="s">
        <v>33</v>
      </c>
      <c r="AA33" s="16" t="s">
        <v>435</v>
      </c>
      <c r="AB33" s="16"/>
    </row>
    <row r="34" spans="1:28" hidden="1" x14ac:dyDescent="0.3">
      <c r="A34" s="12" t="s">
        <v>93</v>
      </c>
      <c r="B34" s="12" t="s">
        <v>113</v>
      </c>
      <c r="C34" s="12" t="s">
        <v>95</v>
      </c>
      <c r="D34" s="132">
        <v>3</v>
      </c>
      <c r="E34" s="70">
        <v>1</v>
      </c>
      <c r="F34" s="12" t="s">
        <v>114</v>
      </c>
      <c r="G34" s="12" t="s">
        <v>115</v>
      </c>
      <c r="H34" s="12" t="s">
        <v>28</v>
      </c>
      <c r="I34" s="12" t="s">
        <v>29</v>
      </c>
      <c r="J34" s="13">
        <v>2016</v>
      </c>
      <c r="K34" s="13"/>
      <c r="L34" s="12" t="s">
        <v>30</v>
      </c>
      <c r="M34" s="12" t="s">
        <v>89</v>
      </c>
      <c r="N34" s="12" t="s">
        <v>32</v>
      </c>
      <c r="O34" s="14">
        <f t="shared" si="0"/>
        <v>1.2426899999999999</v>
      </c>
      <c r="P34" s="16">
        <f>115*B266/1000</f>
        <v>1.2426899999999999</v>
      </c>
      <c r="Q34" s="16"/>
      <c r="R34" s="15">
        <f t="shared" si="1"/>
        <v>32.417999999999999</v>
      </c>
      <c r="S34" s="16">
        <f>3*B266</f>
        <v>32.417999999999999</v>
      </c>
      <c r="T34" s="16"/>
      <c r="U34" s="14">
        <f t="shared" si="2"/>
        <v>43.223999999999997</v>
      </c>
      <c r="V34" s="16">
        <f>4*B266</f>
        <v>43.223999999999997</v>
      </c>
      <c r="W34" s="16"/>
      <c r="X34" s="16" t="s">
        <v>500</v>
      </c>
      <c r="Y34" s="12" t="s">
        <v>33</v>
      </c>
      <c r="Z34" s="12" t="s">
        <v>33</v>
      </c>
      <c r="AA34" s="16" t="s">
        <v>435</v>
      </c>
      <c r="AB34" s="16"/>
    </row>
    <row r="35" spans="1:28" hidden="1" x14ac:dyDescent="0.3">
      <c r="A35" s="12" t="s">
        <v>93</v>
      </c>
      <c r="B35" s="12" t="s">
        <v>116</v>
      </c>
      <c r="C35" s="12" t="s">
        <v>95</v>
      </c>
      <c r="D35" s="132">
        <v>3</v>
      </c>
      <c r="E35" s="70">
        <v>2</v>
      </c>
      <c r="F35" s="12" t="s">
        <v>114</v>
      </c>
      <c r="G35" s="12" t="s">
        <v>115</v>
      </c>
      <c r="H35" s="12" t="s">
        <v>28</v>
      </c>
      <c r="I35" s="12" t="s">
        <v>504</v>
      </c>
      <c r="J35" s="13">
        <v>2017</v>
      </c>
      <c r="K35" s="13"/>
      <c r="L35" s="12" t="s">
        <v>30</v>
      </c>
      <c r="M35" s="12" t="s">
        <v>89</v>
      </c>
      <c r="N35" s="12" t="s">
        <v>32</v>
      </c>
      <c r="O35" s="14">
        <f t="shared" si="0"/>
        <v>0.81044999999999989</v>
      </c>
      <c r="P35" s="16">
        <f>75*B266/1000</f>
        <v>0.81044999999999989</v>
      </c>
      <c r="Q35" s="16"/>
      <c r="R35" s="15">
        <f t="shared" si="1"/>
        <v>5.4029999999999996</v>
      </c>
      <c r="S35" s="16">
        <f>0.5*B266</f>
        <v>5.4029999999999996</v>
      </c>
      <c r="T35" s="16"/>
      <c r="U35" s="14">
        <f t="shared" si="2"/>
        <v>5.4029999999999996</v>
      </c>
      <c r="V35" s="16">
        <f>0.5*B266</f>
        <v>5.4029999999999996</v>
      </c>
      <c r="W35" s="16"/>
      <c r="X35" s="16" t="s">
        <v>500</v>
      </c>
      <c r="Y35" s="12" t="s">
        <v>43</v>
      </c>
      <c r="Z35" s="12" t="s">
        <v>33</v>
      </c>
      <c r="AA35" s="16" t="s">
        <v>435</v>
      </c>
      <c r="AB35" s="16"/>
    </row>
    <row r="36" spans="1:28" hidden="1" x14ac:dyDescent="0.3">
      <c r="A36" s="12" t="s">
        <v>93</v>
      </c>
      <c r="B36" s="12" t="s">
        <v>116</v>
      </c>
      <c r="C36" s="12" t="s">
        <v>95</v>
      </c>
      <c r="D36" s="132">
        <v>3</v>
      </c>
      <c r="E36" s="70">
        <v>2</v>
      </c>
      <c r="F36" s="12" t="s">
        <v>114</v>
      </c>
      <c r="G36" s="12" t="s">
        <v>115</v>
      </c>
      <c r="H36" s="12" t="s">
        <v>28</v>
      </c>
      <c r="I36" s="12" t="s">
        <v>504</v>
      </c>
      <c r="J36" s="13">
        <v>2018</v>
      </c>
      <c r="K36" s="13"/>
      <c r="L36" s="12" t="s">
        <v>30</v>
      </c>
      <c r="M36" s="12" t="s">
        <v>89</v>
      </c>
      <c r="N36" s="12" t="s">
        <v>32</v>
      </c>
      <c r="O36" s="14">
        <f t="shared" ref="O36" si="6">P36+Q36</f>
        <v>0.86447999999999992</v>
      </c>
      <c r="P36" s="16">
        <f>80*B266/1000</f>
        <v>0.86447999999999992</v>
      </c>
      <c r="Q36" s="16"/>
      <c r="R36" s="15">
        <f t="shared" ref="R36" si="7">S36+T36</f>
        <v>10.805999999999999</v>
      </c>
      <c r="S36" s="16">
        <f>1*B266</f>
        <v>10.805999999999999</v>
      </c>
      <c r="T36" s="16"/>
      <c r="U36" s="14">
        <f t="shared" ref="U36" si="8">V36+W36</f>
        <v>32.417999999999999</v>
      </c>
      <c r="V36" s="16">
        <f>3*B266</f>
        <v>32.417999999999999</v>
      </c>
      <c r="W36" s="16"/>
      <c r="X36" s="16" t="s">
        <v>500</v>
      </c>
      <c r="Y36" s="12" t="s">
        <v>43</v>
      </c>
      <c r="Z36" s="12" t="s">
        <v>33</v>
      </c>
      <c r="AA36" s="16" t="s">
        <v>435</v>
      </c>
      <c r="AB36" s="16"/>
    </row>
    <row r="37" spans="1:28" hidden="1" x14ac:dyDescent="0.3">
      <c r="A37" s="12" t="s">
        <v>93</v>
      </c>
      <c r="B37" s="12" t="s">
        <v>116</v>
      </c>
      <c r="C37" s="12" t="s">
        <v>95</v>
      </c>
      <c r="D37" s="132">
        <v>3</v>
      </c>
      <c r="E37" s="70">
        <v>2</v>
      </c>
      <c r="F37" s="12" t="s">
        <v>114</v>
      </c>
      <c r="G37" s="12" t="s">
        <v>115</v>
      </c>
      <c r="H37" s="12" t="s">
        <v>28</v>
      </c>
      <c r="I37" s="12" t="s">
        <v>504</v>
      </c>
      <c r="J37" s="13">
        <v>2019</v>
      </c>
      <c r="K37" s="13"/>
      <c r="L37" s="12" t="s">
        <v>30</v>
      </c>
      <c r="M37" s="12" t="s">
        <v>89</v>
      </c>
      <c r="N37" s="12" t="s">
        <v>32</v>
      </c>
      <c r="O37" s="14">
        <f t="shared" ref="O37" si="9">P37+Q37</f>
        <v>0.41062799999999999</v>
      </c>
      <c r="P37" s="16">
        <f>38*B266/1000</f>
        <v>0.41062799999999999</v>
      </c>
      <c r="Q37" s="16"/>
      <c r="R37" s="15">
        <f t="shared" ref="R37" si="10">S37+T37</f>
        <v>0</v>
      </c>
      <c r="S37" s="16">
        <v>0</v>
      </c>
      <c r="T37" s="16"/>
      <c r="U37" s="14">
        <f t="shared" ref="U37" si="11">V37+W37</f>
        <v>0</v>
      </c>
      <c r="V37" s="16">
        <v>0</v>
      </c>
      <c r="W37" s="16"/>
      <c r="X37" s="16" t="s">
        <v>500</v>
      </c>
      <c r="Y37" s="12" t="s">
        <v>43</v>
      </c>
      <c r="Z37" s="12" t="s">
        <v>33</v>
      </c>
      <c r="AA37" s="16" t="s">
        <v>435</v>
      </c>
      <c r="AB37" s="16"/>
    </row>
    <row r="38" spans="1:28" ht="15" hidden="1" customHeight="1" x14ac:dyDescent="0.3">
      <c r="A38" s="12" t="s">
        <v>93</v>
      </c>
      <c r="B38" s="12" t="s">
        <v>117</v>
      </c>
      <c r="C38" s="12" t="s">
        <v>95</v>
      </c>
      <c r="D38" s="132">
        <v>3</v>
      </c>
      <c r="E38" s="70">
        <v>3</v>
      </c>
      <c r="F38" s="12" t="s">
        <v>114</v>
      </c>
      <c r="G38" s="12" t="s">
        <v>115</v>
      </c>
      <c r="H38" s="12" t="s">
        <v>28</v>
      </c>
      <c r="I38" s="12" t="s">
        <v>504</v>
      </c>
      <c r="J38" s="13">
        <v>2020</v>
      </c>
      <c r="K38" s="13"/>
      <c r="L38" s="12" t="s">
        <v>30</v>
      </c>
      <c r="M38" s="12" t="s">
        <v>89</v>
      </c>
      <c r="N38" s="12" t="s">
        <v>32</v>
      </c>
      <c r="O38" s="14">
        <f t="shared" si="0"/>
        <v>0.66997200000000001</v>
      </c>
      <c r="P38" s="16">
        <f>62*B266/1000</f>
        <v>0.66997200000000001</v>
      </c>
      <c r="Q38" s="16"/>
      <c r="R38" s="15">
        <f t="shared" si="1"/>
        <v>0</v>
      </c>
      <c r="S38" s="16">
        <v>0</v>
      </c>
      <c r="T38" s="16"/>
      <c r="U38" s="14">
        <f t="shared" si="2"/>
        <v>0</v>
      </c>
      <c r="V38" s="16">
        <v>0</v>
      </c>
      <c r="W38" s="16"/>
      <c r="X38" s="16" t="s">
        <v>500</v>
      </c>
      <c r="Y38" s="12" t="s">
        <v>43</v>
      </c>
      <c r="Z38" s="12" t="s">
        <v>33</v>
      </c>
      <c r="AA38" s="16" t="s">
        <v>435</v>
      </c>
      <c r="AB38" s="16"/>
    </row>
    <row r="39" spans="1:28" ht="15" hidden="1" customHeight="1" x14ac:dyDescent="0.3">
      <c r="A39" s="12" t="s">
        <v>93</v>
      </c>
      <c r="B39" s="12" t="s">
        <v>118</v>
      </c>
      <c r="C39" s="12" t="s">
        <v>95</v>
      </c>
      <c r="D39" s="132">
        <v>3</v>
      </c>
      <c r="E39" s="70">
        <v>4</v>
      </c>
      <c r="F39" s="12" t="s">
        <v>114</v>
      </c>
      <c r="G39" s="12" t="s">
        <v>115</v>
      </c>
      <c r="H39" s="12" t="s">
        <v>65</v>
      </c>
      <c r="I39" s="12" t="s">
        <v>504</v>
      </c>
      <c r="J39" s="13">
        <v>2021</v>
      </c>
      <c r="K39" s="13"/>
      <c r="L39" s="12" t="s">
        <v>30</v>
      </c>
      <c r="M39" s="12" t="s">
        <v>89</v>
      </c>
      <c r="N39" s="12" t="s">
        <v>32</v>
      </c>
      <c r="O39" s="14">
        <f t="shared" si="0"/>
        <v>0.84286799999999995</v>
      </c>
      <c r="P39" s="16">
        <f>78*B266/1000</f>
        <v>0.84286799999999995</v>
      </c>
      <c r="Q39" s="16"/>
      <c r="R39" s="15">
        <f t="shared" si="1"/>
        <v>0</v>
      </c>
      <c r="S39" s="16">
        <v>0</v>
      </c>
      <c r="T39" s="16"/>
      <c r="U39" s="14">
        <f t="shared" si="2"/>
        <v>0</v>
      </c>
      <c r="V39" s="16">
        <v>0</v>
      </c>
      <c r="W39" s="16"/>
      <c r="X39" s="16" t="s">
        <v>500</v>
      </c>
      <c r="Y39" s="12" t="s">
        <v>43</v>
      </c>
      <c r="Z39" s="12" t="s">
        <v>33</v>
      </c>
      <c r="AA39" s="16" t="s">
        <v>435</v>
      </c>
      <c r="AB39" s="16"/>
    </row>
    <row r="40" spans="1:28" ht="15" hidden="1" customHeight="1" x14ac:dyDescent="0.3">
      <c r="A40" s="12" t="s">
        <v>93</v>
      </c>
      <c r="B40" s="12" t="s">
        <v>119</v>
      </c>
      <c r="C40" s="12" t="s">
        <v>95</v>
      </c>
      <c r="D40" s="132">
        <v>4</v>
      </c>
      <c r="E40" s="70">
        <v>1</v>
      </c>
      <c r="F40" s="12" t="s">
        <v>120</v>
      </c>
      <c r="G40" s="12" t="s">
        <v>121</v>
      </c>
      <c r="H40" s="12" t="s">
        <v>28</v>
      </c>
      <c r="I40" s="12" t="s">
        <v>29</v>
      </c>
      <c r="J40" s="13">
        <v>1999</v>
      </c>
      <c r="K40" s="13"/>
      <c r="L40" s="12" t="s">
        <v>30</v>
      </c>
      <c r="M40" s="12" t="s">
        <v>112</v>
      </c>
      <c r="N40" s="12" t="s">
        <v>32</v>
      </c>
      <c r="O40" s="14">
        <f t="shared" si="0"/>
        <v>6.9439000000000002</v>
      </c>
      <c r="P40" s="16">
        <v>6.9439000000000002</v>
      </c>
      <c r="Q40" s="16"/>
      <c r="R40" s="15">
        <f t="shared" si="1"/>
        <v>74.34</v>
      </c>
      <c r="S40" s="16">
        <v>74.34</v>
      </c>
      <c r="T40" s="16"/>
      <c r="U40" s="14">
        <f t="shared" si="2"/>
        <v>95.58</v>
      </c>
      <c r="V40" s="16">
        <v>95.58</v>
      </c>
      <c r="W40" s="16"/>
      <c r="X40" s="16" t="s">
        <v>500</v>
      </c>
      <c r="Y40" s="12" t="s">
        <v>33</v>
      </c>
      <c r="Z40" s="12" t="s">
        <v>33</v>
      </c>
      <c r="AA40" s="16" t="s">
        <v>435</v>
      </c>
      <c r="AB40" s="16"/>
    </row>
    <row r="41" spans="1:28" ht="15" hidden="1" customHeight="1" x14ac:dyDescent="0.3">
      <c r="A41" s="36" t="s">
        <v>122</v>
      </c>
      <c r="B41" s="36" t="s">
        <v>123</v>
      </c>
      <c r="C41" s="36" t="s">
        <v>124</v>
      </c>
      <c r="D41" s="133">
        <v>1</v>
      </c>
      <c r="E41" s="71">
        <v>1</v>
      </c>
      <c r="F41" s="36" t="s">
        <v>125</v>
      </c>
      <c r="G41" s="36" t="s">
        <v>126</v>
      </c>
      <c r="H41" s="36" t="s">
        <v>28</v>
      </c>
      <c r="I41" s="36" t="s">
        <v>29</v>
      </c>
      <c r="J41" s="37">
        <v>1987</v>
      </c>
      <c r="K41" s="37"/>
      <c r="L41" s="36" t="s">
        <v>63</v>
      </c>
      <c r="M41" s="36"/>
      <c r="N41" s="36" t="s">
        <v>32</v>
      </c>
      <c r="O41" s="39">
        <f t="shared" si="0"/>
        <v>0</v>
      </c>
      <c r="P41" s="57"/>
      <c r="Q41" s="57"/>
      <c r="R41" s="40">
        <f t="shared" si="1"/>
        <v>0</v>
      </c>
      <c r="S41" s="57"/>
      <c r="T41" s="57"/>
      <c r="U41" s="39">
        <f t="shared" si="2"/>
        <v>0</v>
      </c>
      <c r="V41" s="57"/>
      <c r="W41" s="57"/>
      <c r="X41" s="57" t="s">
        <v>500</v>
      </c>
      <c r="Y41" s="36" t="s">
        <v>33</v>
      </c>
      <c r="Z41" s="36" t="s">
        <v>43</v>
      </c>
      <c r="AA41" s="57" t="s">
        <v>435</v>
      </c>
      <c r="AB41" s="57" t="s">
        <v>33</v>
      </c>
    </row>
    <row r="42" spans="1:28" ht="15" hidden="1" customHeight="1" x14ac:dyDescent="0.3">
      <c r="A42" s="36" t="s">
        <v>122</v>
      </c>
      <c r="B42" s="36" t="s">
        <v>127</v>
      </c>
      <c r="C42" s="36" t="s">
        <v>124</v>
      </c>
      <c r="D42" s="133">
        <v>1</v>
      </c>
      <c r="E42" s="71">
        <v>2</v>
      </c>
      <c r="F42" s="36" t="s">
        <v>125</v>
      </c>
      <c r="G42" s="36" t="s">
        <v>128</v>
      </c>
      <c r="H42" s="36" t="s">
        <v>28</v>
      </c>
      <c r="I42" s="36" t="s">
        <v>29</v>
      </c>
      <c r="J42" s="37">
        <v>1994</v>
      </c>
      <c r="K42" s="37"/>
      <c r="L42" s="36" t="s">
        <v>68</v>
      </c>
      <c r="M42" s="36"/>
      <c r="N42" s="36" t="s">
        <v>32</v>
      </c>
      <c r="O42" s="39">
        <f t="shared" si="0"/>
        <v>0</v>
      </c>
      <c r="P42" s="57"/>
      <c r="Q42" s="57"/>
      <c r="R42" s="40">
        <f t="shared" si="1"/>
        <v>0</v>
      </c>
      <c r="S42" s="57"/>
      <c r="T42" s="57"/>
      <c r="U42" s="39">
        <f t="shared" si="2"/>
        <v>0</v>
      </c>
      <c r="V42" s="57"/>
      <c r="W42" s="57"/>
      <c r="X42" s="57" t="s">
        <v>500</v>
      </c>
      <c r="Y42" s="36" t="s">
        <v>33</v>
      </c>
      <c r="Z42" s="36" t="s">
        <v>43</v>
      </c>
      <c r="AA42" s="57" t="s">
        <v>435</v>
      </c>
      <c r="AB42" s="57" t="s">
        <v>33</v>
      </c>
    </row>
    <row r="43" spans="1:28" s="22" customFormat="1" ht="15" hidden="1" customHeight="1" x14ac:dyDescent="0.3">
      <c r="A43" s="58" t="s">
        <v>122</v>
      </c>
      <c r="B43" s="17" t="s">
        <v>129</v>
      </c>
      <c r="C43" s="17" t="s">
        <v>124</v>
      </c>
      <c r="D43" s="134">
        <v>1</v>
      </c>
      <c r="E43" s="72"/>
      <c r="F43" s="59" t="s">
        <v>125</v>
      </c>
      <c r="G43" s="59" t="s">
        <v>130</v>
      </c>
      <c r="H43" s="17" t="s">
        <v>28</v>
      </c>
      <c r="I43" s="17" t="s">
        <v>29</v>
      </c>
      <c r="J43" s="18"/>
      <c r="K43" s="18"/>
      <c r="L43" s="17" t="s">
        <v>482</v>
      </c>
      <c r="M43" s="17"/>
      <c r="N43" s="17" t="s">
        <v>32</v>
      </c>
      <c r="O43" s="19">
        <f t="shared" si="0"/>
        <v>10.46</v>
      </c>
      <c r="P43" s="20">
        <v>10.46</v>
      </c>
      <c r="Q43" s="20"/>
      <c r="R43" s="21">
        <f t="shared" si="1"/>
        <v>90.72</v>
      </c>
      <c r="S43" s="20">
        <v>90.72</v>
      </c>
      <c r="T43" s="20"/>
      <c r="U43" s="19">
        <f t="shared" si="2"/>
        <v>180.9</v>
      </c>
      <c r="V43" s="20">
        <v>180.9</v>
      </c>
      <c r="W43" s="20"/>
      <c r="X43" s="20" t="s">
        <v>500</v>
      </c>
      <c r="Y43" s="58" t="s">
        <v>43</v>
      </c>
      <c r="Z43" s="58" t="s">
        <v>33</v>
      </c>
      <c r="AA43" s="20" t="s">
        <v>435</v>
      </c>
      <c r="AB43" s="20"/>
    </row>
    <row r="44" spans="1:28" ht="15" hidden="1" customHeight="1" x14ac:dyDescent="0.3">
      <c r="A44" s="36" t="s">
        <v>131</v>
      </c>
      <c r="B44" s="36" t="s">
        <v>132</v>
      </c>
      <c r="C44" s="36" t="s">
        <v>133</v>
      </c>
      <c r="D44" s="133">
        <v>1</v>
      </c>
      <c r="E44" s="71">
        <v>1</v>
      </c>
      <c r="F44" s="36" t="s">
        <v>134</v>
      </c>
      <c r="G44" s="36" t="s">
        <v>135</v>
      </c>
      <c r="H44" s="36" t="s">
        <v>28</v>
      </c>
      <c r="I44" s="36" t="s">
        <v>29</v>
      </c>
      <c r="J44" s="37">
        <v>1980</v>
      </c>
      <c r="K44" s="37"/>
      <c r="L44" s="36" t="s">
        <v>63</v>
      </c>
      <c r="M44" s="36" t="s">
        <v>466</v>
      </c>
      <c r="N44" s="36" t="s">
        <v>32</v>
      </c>
      <c r="O44" s="39">
        <f t="shared" si="0"/>
        <v>0</v>
      </c>
      <c r="P44" s="57"/>
      <c r="Q44" s="57"/>
      <c r="R44" s="40">
        <f t="shared" si="1"/>
        <v>0</v>
      </c>
      <c r="S44" s="57"/>
      <c r="T44" s="57"/>
      <c r="U44" s="39">
        <f t="shared" si="2"/>
        <v>0</v>
      </c>
      <c r="V44" s="57"/>
      <c r="W44" s="57"/>
      <c r="X44" s="57" t="s">
        <v>76</v>
      </c>
      <c r="Y44" s="36" t="s">
        <v>33</v>
      </c>
      <c r="Z44" s="36" t="s">
        <v>43</v>
      </c>
      <c r="AA44" s="57" t="s">
        <v>435</v>
      </c>
      <c r="AB44" s="57" t="s">
        <v>33</v>
      </c>
    </row>
    <row r="45" spans="1:28" ht="15" hidden="1" customHeight="1" x14ac:dyDescent="0.3">
      <c r="A45" s="36" t="s">
        <v>131</v>
      </c>
      <c r="B45" s="36" t="s">
        <v>136</v>
      </c>
      <c r="C45" s="36" t="s">
        <v>133</v>
      </c>
      <c r="D45" s="133">
        <v>1</v>
      </c>
      <c r="E45" s="71">
        <v>2</v>
      </c>
      <c r="F45" s="36" t="s">
        <v>134</v>
      </c>
      <c r="G45" s="36" t="s">
        <v>137</v>
      </c>
      <c r="H45" s="36" t="s">
        <v>28</v>
      </c>
      <c r="I45" s="36" t="s">
        <v>29</v>
      </c>
      <c r="J45" s="37">
        <v>1993</v>
      </c>
      <c r="K45" s="37"/>
      <c r="L45" s="36" t="s">
        <v>63</v>
      </c>
      <c r="M45" s="36" t="s">
        <v>467</v>
      </c>
      <c r="N45" s="36" t="s">
        <v>32</v>
      </c>
      <c r="O45" s="39">
        <f t="shared" si="0"/>
        <v>0</v>
      </c>
      <c r="P45" s="57"/>
      <c r="Q45" s="57"/>
      <c r="R45" s="40">
        <f t="shared" si="1"/>
        <v>0</v>
      </c>
      <c r="S45" s="57"/>
      <c r="T45" s="57"/>
      <c r="U45" s="39">
        <f t="shared" si="2"/>
        <v>0</v>
      </c>
      <c r="V45" s="57"/>
      <c r="W45" s="57"/>
      <c r="X45" s="57" t="s">
        <v>76</v>
      </c>
      <c r="Y45" s="36" t="s">
        <v>33</v>
      </c>
      <c r="Z45" s="36" t="s">
        <v>43</v>
      </c>
      <c r="AA45" s="57" t="s">
        <v>435</v>
      </c>
      <c r="AB45" s="57" t="s">
        <v>33</v>
      </c>
    </row>
    <row r="46" spans="1:28" ht="15" hidden="1" customHeight="1" x14ac:dyDescent="0.3">
      <c r="A46" s="36" t="s">
        <v>131</v>
      </c>
      <c r="B46" s="36" t="s">
        <v>138</v>
      </c>
      <c r="C46" s="36" t="s">
        <v>133</v>
      </c>
      <c r="D46" s="133">
        <v>1</v>
      </c>
      <c r="E46" s="71">
        <v>3</v>
      </c>
      <c r="F46" s="36" t="s">
        <v>134</v>
      </c>
      <c r="G46" s="36" t="s">
        <v>139</v>
      </c>
      <c r="H46" s="36" t="s">
        <v>28</v>
      </c>
      <c r="I46" s="36" t="s">
        <v>29</v>
      </c>
      <c r="J46" s="37">
        <v>1970</v>
      </c>
      <c r="K46" s="37"/>
      <c r="L46" s="36" t="s">
        <v>63</v>
      </c>
      <c r="M46" s="36" t="s">
        <v>468</v>
      </c>
      <c r="N46" s="36" t="s">
        <v>32</v>
      </c>
      <c r="O46" s="39">
        <f t="shared" si="0"/>
        <v>0</v>
      </c>
      <c r="P46" s="57"/>
      <c r="Q46" s="57"/>
      <c r="R46" s="40">
        <f t="shared" si="1"/>
        <v>0</v>
      </c>
      <c r="S46" s="57"/>
      <c r="T46" s="57"/>
      <c r="U46" s="39">
        <f t="shared" si="2"/>
        <v>0</v>
      </c>
      <c r="V46" s="57"/>
      <c r="W46" s="57"/>
      <c r="X46" s="57" t="s">
        <v>76</v>
      </c>
      <c r="Y46" s="36" t="s">
        <v>33</v>
      </c>
      <c r="Z46" s="36" t="s">
        <v>43</v>
      </c>
      <c r="AA46" s="57" t="s">
        <v>435</v>
      </c>
      <c r="AB46" s="57" t="s">
        <v>33</v>
      </c>
    </row>
    <row r="47" spans="1:28" s="145" customFormat="1" ht="15" hidden="1" customHeight="1" x14ac:dyDescent="0.3">
      <c r="A47" s="17" t="s">
        <v>131</v>
      </c>
      <c r="B47" s="17" t="str">
        <f>C47&amp;TEXT(D47,"0#")&amp;TEXT(E47,"00#")</f>
        <v>FR01V1</v>
      </c>
      <c r="C47" s="17" t="s">
        <v>133</v>
      </c>
      <c r="D47" s="134">
        <v>1</v>
      </c>
      <c r="E47" s="72" t="s">
        <v>456</v>
      </c>
      <c r="F47" s="59" t="s">
        <v>134</v>
      </c>
      <c r="G47" s="59" t="s">
        <v>141</v>
      </c>
      <c r="H47" s="17" t="s">
        <v>28</v>
      </c>
      <c r="I47" s="17" t="s">
        <v>29</v>
      </c>
      <c r="J47" s="18"/>
      <c r="K47" s="18"/>
      <c r="L47" s="17" t="s">
        <v>63</v>
      </c>
      <c r="M47" s="17"/>
      <c r="N47" s="17" t="s">
        <v>32</v>
      </c>
      <c r="O47" s="19">
        <f t="shared" si="0"/>
        <v>10.3</v>
      </c>
      <c r="P47" s="20">
        <v>10.3</v>
      </c>
      <c r="Q47" s="20"/>
      <c r="R47" s="21">
        <f t="shared" si="1"/>
        <v>137.6</v>
      </c>
      <c r="S47" s="20">
        <v>137.6</v>
      </c>
      <c r="T47" s="20"/>
      <c r="U47" s="19">
        <f t="shared" si="2"/>
        <v>558.20000000000005</v>
      </c>
      <c r="V47" s="20">
        <v>558.20000000000005</v>
      </c>
      <c r="W47" s="20"/>
      <c r="X47" s="20" t="s">
        <v>76</v>
      </c>
      <c r="Y47" s="17" t="s">
        <v>43</v>
      </c>
      <c r="Z47" s="17" t="s">
        <v>33</v>
      </c>
      <c r="AA47" s="20" t="s">
        <v>435</v>
      </c>
      <c r="AB47" s="20"/>
    </row>
    <row r="48" spans="1:28" ht="15" hidden="1" customHeight="1" x14ac:dyDescent="0.3">
      <c r="A48" s="36" t="s">
        <v>131</v>
      </c>
      <c r="B48" s="36" t="s">
        <v>142</v>
      </c>
      <c r="C48" s="36" t="s">
        <v>133</v>
      </c>
      <c r="D48" s="133">
        <v>1</v>
      </c>
      <c r="E48" s="71">
        <v>4</v>
      </c>
      <c r="F48" s="36" t="s">
        <v>134</v>
      </c>
      <c r="G48" s="36" t="s">
        <v>143</v>
      </c>
      <c r="H48" s="36" t="s">
        <v>28</v>
      </c>
      <c r="I48" s="36" t="s">
        <v>29</v>
      </c>
      <c r="J48" s="37">
        <v>1956</v>
      </c>
      <c r="K48" s="37"/>
      <c r="L48" s="36" t="s">
        <v>68</v>
      </c>
      <c r="M48" s="36" t="s">
        <v>469</v>
      </c>
      <c r="N48" s="36" t="s">
        <v>32</v>
      </c>
      <c r="O48" s="39">
        <f t="shared" si="0"/>
        <v>0</v>
      </c>
      <c r="P48" s="57"/>
      <c r="Q48" s="57"/>
      <c r="R48" s="40">
        <f t="shared" si="1"/>
        <v>0</v>
      </c>
      <c r="S48" s="57"/>
      <c r="T48" s="57"/>
      <c r="U48" s="39">
        <f t="shared" si="2"/>
        <v>0</v>
      </c>
      <c r="V48" s="57"/>
      <c r="W48" s="57"/>
      <c r="X48" s="57" t="s">
        <v>76</v>
      </c>
      <c r="Y48" s="36" t="s">
        <v>33</v>
      </c>
      <c r="Z48" s="36" t="s">
        <v>43</v>
      </c>
      <c r="AA48" s="57" t="s">
        <v>435</v>
      </c>
      <c r="AB48" s="57" t="s">
        <v>33</v>
      </c>
    </row>
    <row r="49" spans="1:28" ht="15" hidden="1" customHeight="1" x14ac:dyDescent="0.3">
      <c r="A49" s="36" t="s">
        <v>131</v>
      </c>
      <c r="B49" s="36" t="s">
        <v>144</v>
      </c>
      <c r="C49" s="36" t="s">
        <v>133</v>
      </c>
      <c r="D49" s="133">
        <v>1</v>
      </c>
      <c r="E49" s="71">
        <v>5</v>
      </c>
      <c r="F49" s="36" t="s">
        <v>134</v>
      </c>
      <c r="G49" s="36" t="s">
        <v>145</v>
      </c>
      <c r="H49" s="36" t="s">
        <v>28</v>
      </c>
      <c r="I49" s="36" t="s">
        <v>29</v>
      </c>
      <c r="J49" s="37">
        <v>1956</v>
      </c>
      <c r="K49" s="37"/>
      <c r="L49" s="36" t="s">
        <v>68</v>
      </c>
      <c r="M49" s="36" t="s">
        <v>469</v>
      </c>
      <c r="N49" s="36" t="s">
        <v>32</v>
      </c>
      <c r="O49" s="39">
        <f t="shared" si="0"/>
        <v>0</v>
      </c>
      <c r="P49" s="57"/>
      <c r="Q49" s="57"/>
      <c r="R49" s="40">
        <f t="shared" si="1"/>
        <v>0</v>
      </c>
      <c r="S49" s="57"/>
      <c r="T49" s="57"/>
      <c r="U49" s="39">
        <f t="shared" si="2"/>
        <v>0</v>
      </c>
      <c r="V49" s="57"/>
      <c r="W49" s="57"/>
      <c r="X49" s="57" t="s">
        <v>76</v>
      </c>
      <c r="Y49" s="36" t="s">
        <v>33</v>
      </c>
      <c r="Z49" s="36" t="s">
        <v>43</v>
      </c>
      <c r="AA49" s="57" t="s">
        <v>435</v>
      </c>
      <c r="AB49" s="57" t="s">
        <v>33</v>
      </c>
    </row>
    <row r="50" spans="1:28" ht="15" hidden="1" customHeight="1" x14ac:dyDescent="0.3">
      <c r="A50" s="36" t="s">
        <v>131</v>
      </c>
      <c r="B50" s="36" t="s">
        <v>146</v>
      </c>
      <c r="C50" s="36" t="s">
        <v>133</v>
      </c>
      <c r="D50" s="133">
        <v>1</v>
      </c>
      <c r="E50" s="71">
        <v>6</v>
      </c>
      <c r="F50" s="36" t="s">
        <v>134</v>
      </c>
      <c r="G50" s="36" t="s">
        <v>147</v>
      </c>
      <c r="H50" s="36" t="s">
        <v>28</v>
      </c>
      <c r="I50" s="36" t="s">
        <v>29</v>
      </c>
      <c r="J50" s="37">
        <v>1965</v>
      </c>
      <c r="K50" s="37"/>
      <c r="L50" s="36" t="s">
        <v>68</v>
      </c>
      <c r="M50" s="36" t="s">
        <v>470</v>
      </c>
      <c r="N50" s="36" t="s">
        <v>32</v>
      </c>
      <c r="O50" s="39">
        <f t="shared" si="0"/>
        <v>0</v>
      </c>
      <c r="P50" s="57"/>
      <c r="Q50" s="57"/>
      <c r="R50" s="40">
        <f t="shared" si="1"/>
        <v>0</v>
      </c>
      <c r="S50" s="57"/>
      <c r="T50" s="57"/>
      <c r="U50" s="39">
        <f t="shared" si="2"/>
        <v>0</v>
      </c>
      <c r="V50" s="57"/>
      <c r="W50" s="57"/>
      <c r="X50" s="57" t="s">
        <v>76</v>
      </c>
      <c r="Y50" s="36" t="s">
        <v>33</v>
      </c>
      <c r="Z50" s="36" t="s">
        <v>43</v>
      </c>
      <c r="AA50" s="57" t="s">
        <v>435</v>
      </c>
      <c r="AB50" s="57" t="s">
        <v>33</v>
      </c>
    </row>
    <row r="51" spans="1:28" s="145" customFormat="1" ht="15" hidden="1" customHeight="1" x14ac:dyDescent="0.3">
      <c r="A51" s="17" t="s">
        <v>131</v>
      </c>
      <c r="B51" s="17" t="str">
        <f>C51&amp;TEXT(D51,"0#")&amp;TEXT(E51,"00#")</f>
        <v>FR01V2</v>
      </c>
      <c r="C51" s="17" t="s">
        <v>133</v>
      </c>
      <c r="D51" s="134">
        <v>1</v>
      </c>
      <c r="E51" s="72" t="s">
        <v>457</v>
      </c>
      <c r="F51" s="59" t="s">
        <v>134</v>
      </c>
      <c r="G51" s="59" t="s">
        <v>148</v>
      </c>
      <c r="H51" s="17" t="s">
        <v>28</v>
      </c>
      <c r="I51" s="17" t="s">
        <v>29</v>
      </c>
      <c r="J51" s="18"/>
      <c r="K51" s="18"/>
      <c r="L51" s="17" t="s">
        <v>68</v>
      </c>
      <c r="M51" s="17"/>
      <c r="N51" s="17" t="s">
        <v>32</v>
      </c>
      <c r="O51" s="19">
        <f t="shared" si="0"/>
        <v>13.5</v>
      </c>
      <c r="P51" s="20">
        <v>13.5</v>
      </c>
      <c r="Q51" s="20"/>
      <c r="R51" s="21">
        <f t="shared" si="1"/>
        <v>137.6</v>
      </c>
      <c r="S51" s="20">
        <v>137.6</v>
      </c>
      <c r="T51" s="20"/>
      <c r="U51" s="19">
        <f t="shared" si="2"/>
        <v>265.89999999999998</v>
      </c>
      <c r="V51" s="20">
        <v>265.89999999999998</v>
      </c>
      <c r="W51" s="20"/>
      <c r="X51" s="20" t="s">
        <v>76</v>
      </c>
      <c r="Y51" s="17" t="s">
        <v>43</v>
      </c>
      <c r="Z51" s="17" t="s">
        <v>33</v>
      </c>
      <c r="AA51" s="20" t="s">
        <v>435</v>
      </c>
      <c r="AB51" s="20"/>
    </row>
    <row r="52" spans="1:28" ht="15" hidden="1" customHeight="1" x14ac:dyDescent="0.3">
      <c r="A52" s="12" t="s">
        <v>131</v>
      </c>
      <c r="B52" s="12" t="s">
        <v>149</v>
      </c>
      <c r="C52" s="12" t="s">
        <v>133</v>
      </c>
      <c r="D52" s="132">
        <v>1</v>
      </c>
      <c r="E52" s="70">
        <v>7</v>
      </c>
      <c r="F52" s="12" t="s">
        <v>134</v>
      </c>
      <c r="G52" s="12" t="s">
        <v>150</v>
      </c>
      <c r="H52" s="12" t="s">
        <v>28</v>
      </c>
      <c r="I52" s="12" t="s">
        <v>29</v>
      </c>
      <c r="J52" s="13">
        <v>1976</v>
      </c>
      <c r="K52" s="13"/>
      <c r="L52" s="12" t="s">
        <v>68</v>
      </c>
      <c r="M52" s="12" t="s">
        <v>470</v>
      </c>
      <c r="N52" s="12" t="s">
        <v>32</v>
      </c>
      <c r="O52" s="14">
        <f t="shared" si="0"/>
        <v>13.4</v>
      </c>
      <c r="P52" s="27">
        <v>13.4</v>
      </c>
      <c r="Q52" s="27"/>
      <c r="R52" s="15">
        <f t="shared" si="1"/>
        <v>100</v>
      </c>
      <c r="S52" s="27">
        <v>100</v>
      </c>
      <c r="T52" s="27"/>
      <c r="U52" s="14">
        <f t="shared" si="2"/>
        <v>223.3</v>
      </c>
      <c r="V52" s="27">
        <v>223.3</v>
      </c>
      <c r="W52" s="27"/>
      <c r="X52" s="27" t="s">
        <v>76</v>
      </c>
      <c r="Y52" s="12" t="s">
        <v>33</v>
      </c>
      <c r="Z52" s="12" t="s">
        <v>33</v>
      </c>
      <c r="AA52" s="57" t="s">
        <v>435</v>
      </c>
      <c r="AB52" s="57" t="s">
        <v>33</v>
      </c>
    </row>
    <row r="53" spans="1:28" s="22" customFormat="1" ht="15" hidden="1" customHeight="1" x14ac:dyDescent="0.3">
      <c r="A53" s="119" t="s">
        <v>131</v>
      </c>
      <c r="B53" s="117" t="str">
        <f>C53&amp;TEXT(D53,"0#")&amp;TEXT(E53,"00#")</f>
        <v>FR0100</v>
      </c>
      <c r="C53" s="117" t="s">
        <v>133</v>
      </c>
      <c r="D53" s="135">
        <v>1</v>
      </c>
      <c r="E53" s="120"/>
      <c r="F53" s="121" t="s">
        <v>134</v>
      </c>
      <c r="G53" s="121" t="s">
        <v>151</v>
      </c>
      <c r="H53" s="117" t="s">
        <v>451</v>
      </c>
      <c r="I53" s="117" t="s">
        <v>29</v>
      </c>
      <c r="J53" s="122"/>
      <c r="K53" s="122"/>
      <c r="L53" s="117" t="s">
        <v>68</v>
      </c>
      <c r="M53" s="117"/>
      <c r="N53" s="117" t="s">
        <v>32</v>
      </c>
      <c r="O53" s="123"/>
      <c r="P53" s="124"/>
      <c r="Q53" s="124"/>
      <c r="R53" s="125"/>
      <c r="S53" s="124"/>
      <c r="T53" s="124"/>
      <c r="U53" s="123"/>
      <c r="V53" s="124"/>
      <c r="W53" s="124"/>
      <c r="X53" s="124"/>
      <c r="Y53" s="119" t="s">
        <v>43</v>
      </c>
      <c r="Z53" s="119" t="s">
        <v>43</v>
      </c>
      <c r="AA53" s="57" t="s">
        <v>435</v>
      </c>
      <c r="AB53" s="57"/>
    </row>
    <row r="54" spans="1:28" ht="15" hidden="1" customHeight="1" x14ac:dyDescent="0.3">
      <c r="A54" s="36" t="s">
        <v>131</v>
      </c>
      <c r="B54" s="36" t="str">
        <f>C54&amp;"01"&amp;"0"&amp;TEXT(E54,0)</f>
        <v>FR0108</v>
      </c>
      <c r="C54" s="36" t="s">
        <v>133</v>
      </c>
      <c r="D54" s="133">
        <v>1</v>
      </c>
      <c r="E54" s="71">
        <v>8</v>
      </c>
      <c r="F54" s="36" t="s">
        <v>134</v>
      </c>
      <c r="G54" s="36" t="s">
        <v>152</v>
      </c>
      <c r="H54" s="36" t="s">
        <v>28</v>
      </c>
      <c r="I54" s="36" t="s">
        <v>29</v>
      </c>
      <c r="J54" s="37">
        <v>1970</v>
      </c>
      <c r="K54" s="37"/>
      <c r="L54" s="36" t="s">
        <v>68</v>
      </c>
      <c r="M54" s="36" t="s">
        <v>471</v>
      </c>
      <c r="N54" s="36" t="s">
        <v>32</v>
      </c>
      <c r="O54" s="39">
        <f t="shared" si="0"/>
        <v>0</v>
      </c>
      <c r="P54" s="57"/>
      <c r="Q54" s="57"/>
      <c r="R54" s="40">
        <f t="shared" si="1"/>
        <v>0</v>
      </c>
      <c r="S54" s="57"/>
      <c r="T54" s="57"/>
      <c r="U54" s="39">
        <f t="shared" si="2"/>
        <v>0</v>
      </c>
      <c r="V54" s="57"/>
      <c r="W54" s="57"/>
      <c r="X54" s="57" t="s">
        <v>76</v>
      </c>
      <c r="Y54" s="36" t="s">
        <v>33</v>
      </c>
      <c r="Z54" s="36" t="s">
        <v>43</v>
      </c>
      <c r="AA54" s="57" t="s">
        <v>435</v>
      </c>
      <c r="AB54" s="57" t="s">
        <v>33</v>
      </c>
    </row>
    <row r="55" spans="1:28" ht="15" hidden="1" customHeight="1" x14ac:dyDescent="0.3">
      <c r="A55" s="36" t="s">
        <v>131</v>
      </c>
      <c r="B55" s="36" t="str">
        <f t="shared" ref="B55" si="12">C55&amp;"01"&amp;"0"&amp;TEXT(E55,0)</f>
        <v>FR0109</v>
      </c>
      <c r="C55" s="36" t="s">
        <v>133</v>
      </c>
      <c r="D55" s="133">
        <v>1</v>
      </c>
      <c r="E55" s="71">
        <v>9</v>
      </c>
      <c r="F55" s="36" t="s">
        <v>134</v>
      </c>
      <c r="G55" s="36" t="s">
        <v>153</v>
      </c>
      <c r="H55" s="36" t="s">
        <v>28</v>
      </c>
      <c r="I55" s="36" t="s">
        <v>29</v>
      </c>
      <c r="J55" s="37">
        <v>1982</v>
      </c>
      <c r="K55" s="37"/>
      <c r="L55" s="36" t="s">
        <v>68</v>
      </c>
      <c r="M55" s="36" t="s">
        <v>470</v>
      </c>
      <c r="N55" s="36" t="s">
        <v>32</v>
      </c>
      <c r="O55" s="39">
        <f t="shared" si="0"/>
        <v>0</v>
      </c>
      <c r="P55" s="57"/>
      <c r="Q55" s="57"/>
      <c r="R55" s="40">
        <f t="shared" si="1"/>
        <v>0</v>
      </c>
      <c r="S55" s="57"/>
      <c r="T55" s="57"/>
      <c r="U55" s="39">
        <f t="shared" si="2"/>
        <v>0</v>
      </c>
      <c r="V55" s="57"/>
      <c r="W55" s="57"/>
      <c r="X55" s="57" t="s">
        <v>76</v>
      </c>
      <c r="Y55" s="36" t="s">
        <v>33</v>
      </c>
      <c r="Z55" s="36" t="s">
        <v>43</v>
      </c>
      <c r="AA55" s="57" t="s">
        <v>435</v>
      </c>
      <c r="AB55" s="57" t="s">
        <v>33</v>
      </c>
    </row>
    <row r="56" spans="1:28" ht="15" hidden="1" customHeight="1" x14ac:dyDescent="0.3">
      <c r="A56" s="36" t="s">
        <v>131</v>
      </c>
      <c r="B56" s="36" t="str">
        <f>C56&amp;"01"&amp;TEXT(E56,0)</f>
        <v>FR0110</v>
      </c>
      <c r="C56" s="36" t="s">
        <v>133</v>
      </c>
      <c r="D56" s="133">
        <v>1</v>
      </c>
      <c r="E56" s="71">
        <v>10</v>
      </c>
      <c r="F56" s="36" t="s">
        <v>134</v>
      </c>
      <c r="G56" s="36" t="s">
        <v>154</v>
      </c>
      <c r="H56" s="36" t="s">
        <v>28</v>
      </c>
      <c r="I56" s="36" t="s">
        <v>29</v>
      </c>
      <c r="J56" s="37">
        <v>1982</v>
      </c>
      <c r="K56" s="37"/>
      <c r="L56" s="36" t="s">
        <v>68</v>
      </c>
      <c r="M56" s="36" t="s">
        <v>472</v>
      </c>
      <c r="N56" s="36" t="s">
        <v>32</v>
      </c>
      <c r="O56" s="39">
        <f t="shared" si="0"/>
        <v>0</v>
      </c>
      <c r="P56" s="57"/>
      <c r="Q56" s="57"/>
      <c r="R56" s="40">
        <f t="shared" si="1"/>
        <v>0</v>
      </c>
      <c r="S56" s="57"/>
      <c r="T56" s="57"/>
      <c r="U56" s="39">
        <f t="shared" si="2"/>
        <v>0</v>
      </c>
      <c r="V56" s="57"/>
      <c r="W56" s="57"/>
      <c r="X56" s="57" t="s">
        <v>76</v>
      </c>
      <c r="Y56" s="36" t="s">
        <v>33</v>
      </c>
      <c r="Z56" s="36" t="s">
        <v>43</v>
      </c>
      <c r="AA56" s="57" t="s">
        <v>435</v>
      </c>
      <c r="AB56" s="57" t="s">
        <v>33</v>
      </c>
    </row>
    <row r="57" spans="1:28" ht="15" hidden="1" customHeight="1" x14ac:dyDescent="0.3">
      <c r="A57" s="36" t="s">
        <v>131</v>
      </c>
      <c r="B57" s="36" t="str">
        <f>C57&amp;"01"&amp;TEXT(E57,0)</f>
        <v>FR0111</v>
      </c>
      <c r="C57" s="36" t="s">
        <v>133</v>
      </c>
      <c r="D57" s="133">
        <v>1</v>
      </c>
      <c r="E57" s="71">
        <v>11</v>
      </c>
      <c r="F57" s="36" t="s">
        <v>134</v>
      </c>
      <c r="G57" s="36" t="s">
        <v>155</v>
      </c>
      <c r="H57" s="36" t="s">
        <v>28</v>
      </c>
      <c r="I57" s="36" t="s">
        <v>29</v>
      </c>
      <c r="J57" s="37">
        <v>1970</v>
      </c>
      <c r="K57" s="37"/>
      <c r="L57" s="36" t="s">
        <v>156</v>
      </c>
      <c r="M57" s="36" t="s">
        <v>472</v>
      </c>
      <c r="N57" s="36" t="s">
        <v>32</v>
      </c>
      <c r="O57" s="39">
        <f t="shared" si="0"/>
        <v>0</v>
      </c>
      <c r="P57" s="57"/>
      <c r="Q57" s="57"/>
      <c r="R57" s="40">
        <f t="shared" si="1"/>
        <v>0</v>
      </c>
      <c r="S57" s="57"/>
      <c r="T57" s="57"/>
      <c r="U57" s="39">
        <f t="shared" si="2"/>
        <v>0</v>
      </c>
      <c r="V57" s="57"/>
      <c r="W57" s="57"/>
      <c r="X57" s="57" t="s">
        <v>76</v>
      </c>
      <c r="Y57" s="36" t="s">
        <v>33</v>
      </c>
      <c r="Z57" s="36" t="s">
        <v>43</v>
      </c>
      <c r="AA57" s="57" t="s">
        <v>435</v>
      </c>
      <c r="AB57" s="57" t="s">
        <v>33</v>
      </c>
    </row>
    <row r="58" spans="1:28" s="145" customFormat="1" ht="15" hidden="1" customHeight="1" x14ac:dyDescent="0.3">
      <c r="A58" s="17" t="s">
        <v>131</v>
      </c>
      <c r="B58" s="17" t="str">
        <f>C58&amp;TEXT(D58,"0#")&amp;TEXT(E58,"00#")</f>
        <v>FR01V3</v>
      </c>
      <c r="C58" s="17" t="s">
        <v>133</v>
      </c>
      <c r="D58" s="134">
        <v>1</v>
      </c>
      <c r="E58" s="72" t="s">
        <v>458</v>
      </c>
      <c r="F58" s="59" t="s">
        <v>134</v>
      </c>
      <c r="G58" s="59" t="s">
        <v>157</v>
      </c>
      <c r="H58" s="17" t="s">
        <v>28</v>
      </c>
      <c r="I58" s="17" t="s">
        <v>29</v>
      </c>
      <c r="J58" s="18"/>
      <c r="K58" s="18"/>
      <c r="L58" s="17" t="s">
        <v>482</v>
      </c>
      <c r="M58" s="17"/>
      <c r="N58" s="17" t="s">
        <v>32</v>
      </c>
      <c r="O58" s="19">
        <f t="shared" si="0"/>
        <v>15</v>
      </c>
      <c r="P58" s="20">
        <v>15</v>
      </c>
      <c r="Q58" s="20"/>
      <c r="R58" s="21">
        <f t="shared" si="1"/>
        <v>111.1</v>
      </c>
      <c r="S58" s="20">
        <v>111.1</v>
      </c>
      <c r="T58" s="20"/>
      <c r="U58" s="19">
        <f t="shared" si="2"/>
        <v>179.4</v>
      </c>
      <c r="V58" s="20">
        <v>179.4</v>
      </c>
      <c r="W58" s="20"/>
      <c r="X58" s="20" t="s">
        <v>76</v>
      </c>
      <c r="Y58" s="17" t="s">
        <v>43</v>
      </c>
      <c r="Z58" s="17" t="s">
        <v>33</v>
      </c>
      <c r="AA58" s="20" t="s">
        <v>435</v>
      </c>
      <c r="AB58" s="20"/>
    </row>
    <row r="59" spans="1:28" s="22" customFormat="1" ht="15" hidden="1" customHeight="1" x14ac:dyDescent="0.3">
      <c r="A59" s="119" t="s">
        <v>131</v>
      </c>
      <c r="B59" s="117" t="s">
        <v>140</v>
      </c>
      <c r="C59" s="117" t="s">
        <v>133</v>
      </c>
      <c r="D59" s="135">
        <v>1</v>
      </c>
      <c r="E59" s="120"/>
      <c r="F59" s="121" t="s">
        <v>134</v>
      </c>
      <c r="G59" s="121" t="s">
        <v>158</v>
      </c>
      <c r="H59" s="117" t="s">
        <v>451</v>
      </c>
      <c r="I59" s="117" t="s">
        <v>29</v>
      </c>
      <c r="J59" s="122"/>
      <c r="K59" s="122"/>
      <c r="L59" s="117" t="s">
        <v>68</v>
      </c>
      <c r="M59" s="117"/>
      <c r="N59" s="117" t="s">
        <v>32</v>
      </c>
      <c r="O59" s="123">
        <f t="shared" si="0"/>
        <v>12.9</v>
      </c>
      <c r="P59" s="124">
        <v>12.9</v>
      </c>
      <c r="Q59" s="124"/>
      <c r="R59" s="125">
        <f t="shared" si="1"/>
        <v>91</v>
      </c>
      <c r="S59" s="124">
        <v>91</v>
      </c>
      <c r="T59" s="124"/>
      <c r="U59" s="123">
        <f t="shared" si="2"/>
        <v>145</v>
      </c>
      <c r="V59" s="124">
        <v>145</v>
      </c>
      <c r="W59" s="124"/>
      <c r="X59" s="124"/>
      <c r="Y59" s="119" t="s">
        <v>43</v>
      </c>
      <c r="Z59" s="119" t="s">
        <v>43</v>
      </c>
      <c r="AA59" s="57" t="s">
        <v>435</v>
      </c>
      <c r="AB59" s="57"/>
    </row>
    <row r="60" spans="1:28" ht="15" hidden="1" customHeight="1" x14ac:dyDescent="0.3">
      <c r="A60" s="36" t="s">
        <v>131</v>
      </c>
      <c r="B60" s="36" t="str">
        <f>C60&amp;"01"&amp;TEXT(E60,0)</f>
        <v>FR0112</v>
      </c>
      <c r="C60" s="36" t="s">
        <v>133</v>
      </c>
      <c r="D60" s="133">
        <v>1</v>
      </c>
      <c r="E60" s="71">
        <v>12</v>
      </c>
      <c r="F60" s="36" t="s">
        <v>134</v>
      </c>
      <c r="G60" s="36" t="s">
        <v>454</v>
      </c>
      <c r="H60" s="36" t="s">
        <v>28</v>
      </c>
      <c r="I60" s="36" t="s">
        <v>29</v>
      </c>
      <c r="J60" s="37">
        <v>1993</v>
      </c>
      <c r="K60" s="37"/>
      <c r="L60" s="36" t="s">
        <v>68</v>
      </c>
      <c r="M60" s="36" t="s">
        <v>470</v>
      </c>
      <c r="N60" s="36" t="s">
        <v>32</v>
      </c>
      <c r="O60" s="39">
        <f>P60+Q60</f>
        <v>0</v>
      </c>
      <c r="P60" s="57"/>
      <c r="Q60" s="57"/>
      <c r="R60" s="40">
        <f>S60+T60</f>
        <v>0</v>
      </c>
      <c r="S60" s="57"/>
      <c r="T60" s="57"/>
      <c r="U60" s="39">
        <f>V60+W60</f>
        <v>0</v>
      </c>
      <c r="V60" s="57"/>
      <c r="W60" s="57"/>
      <c r="X60" s="57" t="s">
        <v>76</v>
      </c>
      <c r="Y60" s="36" t="s">
        <v>33</v>
      </c>
      <c r="Z60" s="36" t="s">
        <v>43</v>
      </c>
      <c r="AA60" s="57" t="s">
        <v>435</v>
      </c>
      <c r="AB60" s="57" t="s">
        <v>33</v>
      </c>
    </row>
    <row r="61" spans="1:28" ht="15" hidden="1" customHeight="1" x14ac:dyDescent="0.3">
      <c r="A61" s="36" t="s">
        <v>131</v>
      </c>
      <c r="B61" s="36" t="str">
        <f t="shared" ref="B61:B66" si="13">C61&amp;"01"&amp;TEXT(E61,0)</f>
        <v>FR0113</v>
      </c>
      <c r="C61" s="36" t="s">
        <v>133</v>
      </c>
      <c r="D61" s="133">
        <v>1</v>
      </c>
      <c r="E61" s="71">
        <v>13</v>
      </c>
      <c r="F61" s="36" t="s">
        <v>134</v>
      </c>
      <c r="G61" s="36" t="s">
        <v>453</v>
      </c>
      <c r="H61" s="36" t="s">
        <v>28</v>
      </c>
      <c r="I61" s="36" t="s">
        <v>29</v>
      </c>
      <c r="J61" s="37">
        <v>1968</v>
      </c>
      <c r="K61" s="37"/>
      <c r="L61" s="36" t="s">
        <v>68</v>
      </c>
      <c r="M61" s="36" t="s">
        <v>470</v>
      </c>
      <c r="N61" s="36" t="s">
        <v>32</v>
      </c>
      <c r="O61" s="39">
        <f t="shared" ref="O61" si="14">P61+Q61</f>
        <v>0</v>
      </c>
      <c r="P61" s="57"/>
      <c r="Q61" s="57"/>
      <c r="R61" s="40">
        <f t="shared" ref="R61" si="15">S61+T61</f>
        <v>0</v>
      </c>
      <c r="S61" s="57"/>
      <c r="T61" s="57"/>
      <c r="U61" s="39">
        <f t="shared" ref="U61" si="16">V61+W61</f>
        <v>0</v>
      </c>
      <c r="V61" s="57"/>
      <c r="W61" s="57"/>
      <c r="X61" s="57" t="s">
        <v>76</v>
      </c>
      <c r="Y61" s="36" t="s">
        <v>33</v>
      </c>
      <c r="Z61" s="36" t="s">
        <v>43</v>
      </c>
      <c r="AA61" s="57" t="s">
        <v>435</v>
      </c>
      <c r="AB61" s="57" t="s">
        <v>33</v>
      </c>
    </row>
    <row r="62" spans="1:28" ht="15" hidden="1" customHeight="1" x14ac:dyDescent="0.3">
      <c r="A62" s="36" t="s">
        <v>131</v>
      </c>
      <c r="B62" s="36" t="str">
        <f t="shared" si="13"/>
        <v>FR0114</v>
      </c>
      <c r="C62" s="36" t="s">
        <v>133</v>
      </c>
      <c r="D62" s="133">
        <v>1</v>
      </c>
      <c r="E62" s="71">
        <v>14</v>
      </c>
      <c r="F62" s="36" t="s">
        <v>134</v>
      </c>
      <c r="G62" s="36" t="s">
        <v>455</v>
      </c>
      <c r="H62" s="36" t="s">
        <v>28</v>
      </c>
      <c r="I62" s="36" t="s">
        <v>29</v>
      </c>
      <c r="J62" s="37">
        <v>1970</v>
      </c>
      <c r="K62" s="37"/>
      <c r="L62" s="36" t="s">
        <v>156</v>
      </c>
      <c r="M62" s="36" t="s">
        <v>472</v>
      </c>
      <c r="N62" s="36" t="s">
        <v>32</v>
      </c>
      <c r="O62" s="39">
        <f t="shared" ref="O62" si="17">P62+Q62</f>
        <v>0</v>
      </c>
      <c r="P62" s="57"/>
      <c r="Q62" s="57"/>
      <c r="R62" s="40">
        <f t="shared" ref="R62" si="18">S62+T62</f>
        <v>0</v>
      </c>
      <c r="S62" s="57"/>
      <c r="T62" s="57"/>
      <c r="U62" s="39">
        <f t="shared" ref="U62" si="19">V62+W62</f>
        <v>0</v>
      </c>
      <c r="V62" s="57"/>
      <c r="W62" s="57"/>
      <c r="X62" s="57" t="s">
        <v>76</v>
      </c>
      <c r="Y62" s="36" t="s">
        <v>33</v>
      </c>
      <c r="Z62" s="36" t="s">
        <v>43</v>
      </c>
      <c r="AA62" s="57" t="s">
        <v>435</v>
      </c>
      <c r="AB62" s="57" t="s">
        <v>33</v>
      </c>
    </row>
    <row r="63" spans="1:28" s="145" customFormat="1" ht="15" hidden="1" customHeight="1" x14ac:dyDescent="0.3">
      <c r="A63" s="17" t="s">
        <v>131</v>
      </c>
      <c r="B63" s="17" t="str">
        <f>C63&amp;TEXT(D63,"0#")&amp;TEXT(E63,"00#")</f>
        <v>FR01V4</v>
      </c>
      <c r="C63" s="17" t="s">
        <v>133</v>
      </c>
      <c r="D63" s="134">
        <v>1</v>
      </c>
      <c r="E63" s="72" t="s">
        <v>459</v>
      </c>
      <c r="F63" s="59" t="s">
        <v>134</v>
      </c>
      <c r="G63" s="59" t="s">
        <v>452</v>
      </c>
      <c r="H63" s="17" t="s">
        <v>28</v>
      </c>
      <c r="I63" s="17" t="s">
        <v>29</v>
      </c>
      <c r="J63" s="18"/>
      <c r="K63" s="18"/>
      <c r="L63" s="17" t="s">
        <v>482</v>
      </c>
      <c r="M63" s="17"/>
      <c r="N63" s="17"/>
      <c r="O63" s="19">
        <f t="shared" si="0"/>
        <v>47</v>
      </c>
      <c r="P63" s="20">
        <v>47</v>
      </c>
      <c r="Q63" s="20"/>
      <c r="R63" s="21">
        <f t="shared" si="1"/>
        <v>333.3</v>
      </c>
      <c r="S63" s="20">
        <v>333.3</v>
      </c>
      <c r="T63" s="20"/>
      <c r="U63" s="19">
        <f t="shared" si="2"/>
        <v>562.5</v>
      </c>
      <c r="V63" s="20">
        <v>562.5</v>
      </c>
      <c r="W63" s="20"/>
      <c r="X63" s="20" t="s">
        <v>76</v>
      </c>
      <c r="Y63" s="17" t="s">
        <v>43</v>
      </c>
      <c r="Z63" s="17" t="s">
        <v>33</v>
      </c>
      <c r="AA63" s="20" t="s">
        <v>435</v>
      </c>
      <c r="AB63" s="20"/>
    </row>
    <row r="64" spans="1:28" ht="15" hidden="1" customHeight="1" x14ac:dyDescent="0.3">
      <c r="A64" s="36" t="s">
        <v>131</v>
      </c>
      <c r="B64" s="36" t="str">
        <f t="shared" si="13"/>
        <v>FR0115</v>
      </c>
      <c r="C64" s="36" t="s">
        <v>133</v>
      </c>
      <c r="D64" s="133">
        <v>1</v>
      </c>
      <c r="E64" s="71">
        <v>15</v>
      </c>
      <c r="F64" s="36" t="s">
        <v>134</v>
      </c>
      <c r="G64" s="36" t="s">
        <v>159</v>
      </c>
      <c r="H64" s="36" t="s">
        <v>83</v>
      </c>
      <c r="I64" s="36" t="s">
        <v>92</v>
      </c>
      <c r="J64" s="37">
        <v>2022</v>
      </c>
      <c r="K64" s="37"/>
      <c r="L64" s="36" t="s">
        <v>63</v>
      </c>
      <c r="M64" s="36"/>
      <c r="N64" s="36" t="s">
        <v>32</v>
      </c>
      <c r="O64" s="39">
        <f t="shared" si="0"/>
        <v>2.2799999999999998</v>
      </c>
      <c r="P64" s="57">
        <v>2.2799999999999998</v>
      </c>
      <c r="Q64" s="57"/>
      <c r="R64" s="40">
        <f t="shared" si="1"/>
        <v>34.200000000000003</v>
      </c>
      <c r="S64" s="57">
        <v>34.200000000000003</v>
      </c>
      <c r="T64" s="57"/>
      <c r="U64" s="39">
        <f t="shared" si="2"/>
        <v>109.4</v>
      </c>
      <c r="V64" s="57">
        <v>109.4</v>
      </c>
      <c r="W64" s="57"/>
      <c r="X64" s="57" t="s">
        <v>76</v>
      </c>
      <c r="Y64" s="36" t="s">
        <v>33</v>
      </c>
      <c r="Z64" s="36" t="s">
        <v>33</v>
      </c>
      <c r="AA64" s="57" t="s">
        <v>435</v>
      </c>
      <c r="AB64" s="57" t="s">
        <v>33</v>
      </c>
    </row>
    <row r="65" spans="1:28" ht="15" hidden="1" customHeight="1" x14ac:dyDescent="0.3">
      <c r="A65" s="36" t="s">
        <v>131</v>
      </c>
      <c r="B65" s="36" t="str">
        <f t="shared" si="13"/>
        <v>FR0116</v>
      </c>
      <c r="C65" s="36" t="s">
        <v>133</v>
      </c>
      <c r="D65" s="133">
        <v>1</v>
      </c>
      <c r="E65" s="71">
        <v>16</v>
      </c>
      <c r="F65" s="36" t="s">
        <v>134</v>
      </c>
      <c r="G65" s="36" t="s">
        <v>160</v>
      </c>
      <c r="H65" s="36" t="s">
        <v>83</v>
      </c>
      <c r="I65" s="36" t="s">
        <v>504</v>
      </c>
      <c r="J65" s="37">
        <v>2022</v>
      </c>
      <c r="K65" s="37"/>
      <c r="L65" s="36" t="s">
        <v>63</v>
      </c>
      <c r="M65" s="36" t="s">
        <v>473</v>
      </c>
      <c r="N65" s="36" t="s">
        <v>32</v>
      </c>
      <c r="O65" s="39">
        <f t="shared" si="0"/>
        <v>0.68</v>
      </c>
      <c r="P65" s="57">
        <v>0.68</v>
      </c>
      <c r="Q65" s="57"/>
      <c r="R65" s="40">
        <f t="shared" si="1"/>
        <v>0</v>
      </c>
      <c r="S65" s="57">
        <v>0</v>
      </c>
      <c r="T65" s="57"/>
      <c r="U65" s="39">
        <f t="shared" si="2"/>
        <v>45.6</v>
      </c>
      <c r="V65" s="57">
        <v>45.6</v>
      </c>
      <c r="W65" s="57"/>
      <c r="X65" s="57" t="s">
        <v>76</v>
      </c>
      <c r="Y65" s="36" t="s">
        <v>43</v>
      </c>
      <c r="Z65" s="36" t="s">
        <v>33</v>
      </c>
      <c r="AA65" s="57" t="s">
        <v>435</v>
      </c>
      <c r="AB65" s="57" t="s">
        <v>33</v>
      </c>
    </row>
    <row r="66" spans="1:28" ht="15" hidden="1" customHeight="1" x14ac:dyDescent="0.3">
      <c r="A66" s="36" t="s">
        <v>131</v>
      </c>
      <c r="B66" s="36" t="str">
        <f t="shared" si="13"/>
        <v>FR0117</v>
      </c>
      <c r="C66" s="36" t="s">
        <v>133</v>
      </c>
      <c r="D66" s="133">
        <v>1</v>
      </c>
      <c r="E66" s="71">
        <v>17</v>
      </c>
      <c r="F66" s="36" t="s">
        <v>134</v>
      </c>
      <c r="G66" s="36" t="s">
        <v>161</v>
      </c>
      <c r="H66" s="36" t="s">
        <v>83</v>
      </c>
      <c r="I66" s="36" t="s">
        <v>504</v>
      </c>
      <c r="J66" s="37"/>
      <c r="K66" s="37"/>
      <c r="L66" s="36" t="s">
        <v>63</v>
      </c>
      <c r="M66" s="36" t="s">
        <v>472</v>
      </c>
      <c r="N66" s="36" t="s">
        <v>32</v>
      </c>
      <c r="O66" s="39">
        <f t="shared" si="0"/>
        <v>1.1399999999999999</v>
      </c>
      <c r="P66" s="57">
        <v>1.1399999999999999</v>
      </c>
      <c r="Q66" s="57"/>
      <c r="R66" s="40">
        <f t="shared" si="1"/>
        <v>22.8</v>
      </c>
      <c r="S66" s="57">
        <v>22.8</v>
      </c>
      <c r="T66" s="57"/>
      <c r="U66" s="39">
        <f t="shared" si="2"/>
        <v>91.2</v>
      </c>
      <c r="V66" s="57">
        <v>91.2</v>
      </c>
      <c r="W66" s="57"/>
      <c r="X66" s="57" t="s">
        <v>76</v>
      </c>
      <c r="Y66" s="36" t="s">
        <v>43</v>
      </c>
      <c r="Z66" s="36" t="s">
        <v>33</v>
      </c>
      <c r="AA66" s="57" t="s">
        <v>435</v>
      </c>
      <c r="AB66" s="57" t="s">
        <v>33</v>
      </c>
    </row>
    <row r="67" spans="1:28" ht="15" hidden="1" customHeight="1" x14ac:dyDescent="0.3">
      <c r="A67" s="36" t="s">
        <v>131</v>
      </c>
      <c r="B67" s="36" t="s">
        <v>162</v>
      </c>
      <c r="C67" s="36" t="s">
        <v>133</v>
      </c>
      <c r="D67" s="133">
        <v>2</v>
      </c>
      <c r="E67" s="71">
        <v>1</v>
      </c>
      <c r="F67" s="36" t="s">
        <v>474</v>
      </c>
      <c r="G67" s="36" t="s">
        <v>163</v>
      </c>
      <c r="H67" s="36" t="s">
        <v>28</v>
      </c>
      <c r="I67" s="36" t="s">
        <v>29</v>
      </c>
      <c r="J67" s="37">
        <v>1981</v>
      </c>
      <c r="K67" s="37"/>
      <c r="L67" s="36" t="s">
        <v>68</v>
      </c>
      <c r="M67" s="36"/>
      <c r="N67" s="36" t="s">
        <v>32</v>
      </c>
      <c r="O67" s="39">
        <f t="shared" si="0"/>
        <v>0</v>
      </c>
      <c r="P67" s="57"/>
      <c r="Q67" s="57"/>
      <c r="R67" s="40">
        <f t="shared" si="1"/>
        <v>0</v>
      </c>
      <c r="S67" s="57"/>
      <c r="T67" s="57"/>
      <c r="U67" s="39">
        <f t="shared" si="2"/>
        <v>0</v>
      </c>
      <c r="V67" s="57"/>
      <c r="W67" s="57"/>
      <c r="X67" s="57" t="s">
        <v>76</v>
      </c>
      <c r="Y67" s="36" t="s">
        <v>33</v>
      </c>
      <c r="Z67" s="36" t="s">
        <v>43</v>
      </c>
      <c r="AA67" s="57" t="s">
        <v>435</v>
      </c>
      <c r="AB67" s="57" t="s">
        <v>33</v>
      </c>
    </row>
    <row r="68" spans="1:28" ht="15" hidden="1" customHeight="1" x14ac:dyDescent="0.3">
      <c r="A68" s="36" t="s">
        <v>131</v>
      </c>
      <c r="B68" s="36" t="s">
        <v>164</v>
      </c>
      <c r="C68" s="36" t="s">
        <v>133</v>
      </c>
      <c r="D68" s="133">
        <v>2</v>
      </c>
      <c r="E68" s="71">
        <v>2</v>
      </c>
      <c r="F68" s="36" t="s">
        <v>474</v>
      </c>
      <c r="G68" s="36" t="s">
        <v>165</v>
      </c>
      <c r="H68" s="36" t="s">
        <v>28</v>
      </c>
      <c r="I68" s="36" t="s">
        <v>29</v>
      </c>
      <c r="J68" s="37">
        <v>1957</v>
      </c>
      <c r="K68" s="37"/>
      <c r="L68" s="36" t="s">
        <v>68</v>
      </c>
      <c r="M68" s="36"/>
      <c r="N68" s="36" t="s">
        <v>32</v>
      </c>
      <c r="O68" s="39">
        <f t="shared" si="0"/>
        <v>0</v>
      </c>
      <c r="P68" s="57"/>
      <c r="Q68" s="57"/>
      <c r="R68" s="40">
        <f t="shared" si="1"/>
        <v>0</v>
      </c>
      <c r="S68" s="57"/>
      <c r="T68" s="57"/>
      <c r="U68" s="39">
        <f t="shared" si="2"/>
        <v>0</v>
      </c>
      <c r="V68" s="57"/>
      <c r="W68" s="57"/>
      <c r="X68" s="57" t="s">
        <v>76</v>
      </c>
      <c r="Y68" s="36" t="s">
        <v>33</v>
      </c>
      <c r="Z68" s="36" t="s">
        <v>43</v>
      </c>
      <c r="AA68" s="57" t="s">
        <v>435</v>
      </c>
      <c r="AB68" s="57" t="s">
        <v>33</v>
      </c>
    </row>
    <row r="69" spans="1:28" s="22" customFormat="1" ht="15" hidden="1" customHeight="1" x14ac:dyDescent="0.3">
      <c r="A69" s="58" t="s">
        <v>131</v>
      </c>
      <c r="B69" s="17" t="str">
        <f>C69&amp;TEXT(D69,"0#")&amp;TEXT(E69,"00#")</f>
        <v>FR02V1</v>
      </c>
      <c r="C69" s="17" t="s">
        <v>133</v>
      </c>
      <c r="D69" s="134">
        <v>2</v>
      </c>
      <c r="E69" s="72" t="s">
        <v>456</v>
      </c>
      <c r="F69" s="59" t="s">
        <v>474</v>
      </c>
      <c r="G69" s="59" t="s">
        <v>475</v>
      </c>
      <c r="H69" s="17" t="s">
        <v>28</v>
      </c>
      <c r="I69" s="17" t="s">
        <v>29</v>
      </c>
      <c r="J69" s="18"/>
      <c r="K69" s="18"/>
      <c r="L69" s="17" t="s">
        <v>482</v>
      </c>
      <c r="M69" s="17"/>
      <c r="N69" s="17" t="s">
        <v>32</v>
      </c>
      <c r="O69" s="19">
        <v>33.1</v>
      </c>
      <c r="P69" s="20">
        <v>33.1</v>
      </c>
      <c r="Q69" s="20"/>
      <c r="R69" s="21">
        <v>300</v>
      </c>
      <c r="S69" s="20">
        <v>300</v>
      </c>
      <c r="T69" s="20"/>
      <c r="U69" s="19">
        <v>556</v>
      </c>
      <c r="V69" s="20">
        <v>556</v>
      </c>
      <c r="W69" s="20"/>
      <c r="X69" s="20" t="s">
        <v>76</v>
      </c>
      <c r="Y69" s="58" t="s">
        <v>43</v>
      </c>
      <c r="Z69" s="58" t="s">
        <v>33</v>
      </c>
      <c r="AA69" s="20" t="s">
        <v>435</v>
      </c>
      <c r="AB69" s="20"/>
    </row>
    <row r="70" spans="1:28" ht="15" hidden="1" customHeight="1" x14ac:dyDescent="0.3">
      <c r="A70" s="36" t="s">
        <v>166</v>
      </c>
      <c r="B70" s="36" t="s">
        <v>167</v>
      </c>
      <c r="C70" s="36" t="s">
        <v>168</v>
      </c>
      <c r="D70" s="133">
        <v>1</v>
      </c>
      <c r="E70" s="71">
        <v>1</v>
      </c>
      <c r="F70" s="36" t="s">
        <v>169</v>
      </c>
      <c r="G70" s="36" t="s">
        <v>447</v>
      </c>
      <c r="H70" s="36" t="s">
        <v>28</v>
      </c>
      <c r="I70" s="36" t="s">
        <v>29</v>
      </c>
      <c r="J70" s="37">
        <v>2013</v>
      </c>
      <c r="K70" s="37"/>
      <c r="L70" s="36" t="s">
        <v>63</v>
      </c>
      <c r="M70" s="36"/>
      <c r="N70" s="36" t="s">
        <v>32</v>
      </c>
      <c r="O70" s="39">
        <f t="shared" si="0"/>
        <v>6.86</v>
      </c>
      <c r="P70" s="57">
        <v>6.86</v>
      </c>
      <c r="Q70" s="57"/>
      <c r="R70" s="40">
        <f t="shared" si="1"/>
        <v>99.9</v>
      </c>
      <c r="S70" s="57">
        <v>99.9</v>
      </c>
      <c r="T70" s="57"/>
      <c r="U70" s="39">
        <f t="shared" si="2"/>
        <v>145.80000000000001</v>
      </c>
      <c r="V70" s="57">
        <v>145.80000000000001</v>
      </c>
      <c r="W70" s="57"/>
      <c r="X70" s="57" t="s">
        <v>500</v>
      </c>
      <c r="Y70" s="36" t="s">
        <v>33</v>
      </c>
      <c r="Z70" s="36" t="s">
        <v>33</v>
      </c>
      <c r="AA70" s="57" t="s">
        <v>435</v>
      </c>
      <c r="AB70" s="57" t="s">
        <v>33</v>
      </c>
    </row>
    <row r="71" spans="1:28" ht="15" hidden="1" customHeight="1" x14ac:dyDescent="0.3">
      <c r="A71" s="36" t="s">
        <v>166</v>
      </c>
      <c r="B71" s="36" t="s">
        <v>170</v>
      </c>
      <c r="C71" s="36" t="s">
        <v>168</v>
      </c>
      <c r="D71" s="133">
        <v>1</v>
      </c>
      <c r="E71" s="71">
        <v>2</v>
      </c>
      <c r="F71" s="36" t="s">
        <v>169</v>
      </c>
      <c r="G71" s="36" t="s">
        <v>447</v>
      </c>
      <c r="H71" s="36" t="s">
        <v>28</v>
      </c>
      <c r="I71" s="36" t="s">
        <v>504</v>
      </c>
      <c r="J71" s="37">
        <v>2018</v>
      </c>
      <c r="K71" s="37"/>
      <c r="L71" s="36" t="s">
        <v>63</v>
      </c>
      <c r="M71" s="36"/>
      <c r="N71" s="36" t="s">
        <v>32</v>
      </c>
      <c r="O71" s="39">
        <f t="shared" si="0"/>
        <v>1.4299999999999988</v>
      </c>
      <c r="P71" s="57">
        <f>8.29-P70</f>
        <v>1.4299999999999988</v>
      </c>
      <c r="Q71" s="57"/>
      <c r="R71" s="40">
        <f t="shared" si="1"/>
        <v>36.22999999999999</v>
      </c>
      <c r="S71" s="57">
        <f>136.13-S70</f>
        <v>36.22999999999999</v>
      </c>
      <c r="T71" s="57"/>
      <c r="U71" s="39">
        <f t="shared" si="2"/>
        <v>63.449999999999989</v>
      </c>
      <c r="V71" s="57">
        <f>209.25-V70</f>
        <v>63.449999999999989</v>
      </c>
      <c r="W71" s="57"/>
      <c r="X71" s="57" t="s">
        <v>500</v>
      </c>
      <c r="Y71" s="36" t="s">
        <v>43</v>
      </c>
      <c r="Z71" s="36" t="s">
        <v>33</v>
      </c>
      <c r="AA71" s="57" t="s">
        <v>435</v>
      </c>
      <c r="AB71" s="57" t="s">
        <v>33</v>
      </c>
    </row>
    <row r="72" spans="1:28" ht="15" hidden="1" customHeight="1" x14ac:dyDescent="0.3">
      <c r="A72" s="36" t="s">
        <v>166</v>
      </c>
      <c r="B72" s="36" t="s">
        <v>171</v>
      </c>
      <c r="C72" s="36" t="s">
        <v>168</v>
      </c>
      <c r="D72" s="133">
        <v>1</v>
      </c>
      <c r="E72" s="71">
        <v>3</v>
      </c>
      <c r="F72" s="36" t="s">
        <v>169</v>
      </c>
      <c r="G72" s="36" t="s">
        <v>172</v>
      </c>
      <c r="H72" s="36" t="s">
        <v>28</v>
      </c>
      <c r="I72" s="36" t="s">
        <v>29</v>
      </c>
      <c r="J72" s="37">
        <v>1993</v>
      </c>
      <c r="K72" s="37"/>
      <c r="L72" s="36" t="s">
        <v>30</v>
      </c>
      <c r="M72" s="36" t="s">
        <v>31</v>
      </c>
      <c r="N72" s="36" t="s">
        <v>32</v>
      </c>
      <c r="O72" s="39">
        <f t="shared" ref="O72:O137" si="20">P72+Q72</f>
        <v>44.512500000000003</v>
      </c>
      <c r="P72" s="57">
        <v>44.512500000000003</v>
      </c>
      <c r="Q72" s="57"/>
      <c r="R72" s="40">
        <f t="shared" ref="R72:R137" si="21">S72+T72</f>
        <v>344.76</v>
      </c>
      <c r="S72" s="57">
        <v>344.76</v>
      </c>
      <c r="T72" s="57"/>
      <c r="U72" s="39">
        <f t="shared" ref="U72:U137" si="22">V72+W72</f>
        <v>530.4</v>
      </c>
      <c r="V72" s="57">
        <v>530.4</v>
      </c>
      <c r="W72" s="57"/>
      <c r="X72" s="57" t="s">
        <v>500</v>
      </c>
      <c r="Y72" s="36" t="s">
        <v>33</v>
      </c>
      <c r="Z72" s="36" t="s">
        <v>33</v>
      </c>
      <c r="AA72" s="57" t="s">
        <v>435</v>
      </c>
      <c r="AB72" s="57" t="s">
        <v>33</v>
      </c>
    </row>
    <row r="73" spans="1:28" s="22" customFormat="1" ht="15" hidden="1" customHeight="1" x14ac:dyDescent="0.3">
      <c r="A73" s="58" t="s">
        <v>166</v>
      </c>
      <c r="B73" s="17" t="str">
        <f>C73&amp;TEXT(D73,"0#")&amp;TEXT(E73,"0#")</f>
        <v>DE01V1</v>
      </c>
      <c r="C73" s="17" t="s">
        <v>168</v>
      </c>
      <c r="D73" s="134">
        <v>1</v>
      </c>
      <c r="E73" s="72" t="s">
        <v>456</v>
      </c>
      <c r="F73" s="59" t="s">
        <v>169</v>
      </c>
      <c r="G73" s="59" t="s">
        <v>460</v>
      </c>
      <c r="H73" s="17" t="s">
        <v>28</v>
      </c>
      <c r="I73" s="17" t="s">
        <v>29</v>
      </c>
      <c r="J73" s="18"/>
      <c r="K73" s="18"/>
      <c r="L73" s="17" t="s">
        <v>482</v>
      </c>
      <c r="M73" s="17"/>
      <c r="N73" s="17"/>
      <c r="O73" s="19">
        <f>SUM(O70:O72)</f>
        <v>52.802500000000002</v>
      </c>
      <c r="P73" s="20">
        <f t="shared" ref="P73:V73" si="23">SUM(P70:P72)</f>
        <v>52.802500000000002</v>
      </c>
      <c r="Q73" s="20"/>
      <c r="R73" s="21">
        <f t="shared" si="23"/>
        <v>480.89</v>
      </c>
      <c r="S73" s="20">
        <f t="shared" si="23"/>
        <v>480.89</v>
      </c>
      <c r="T73" s="20"/>
      <c r="U73" s="19">
        <f t="shared" si="23"/>
        <v>739.65</v>
      </c>
      <c r="V73" s="20">
        <f t="shared" si="23"/>
        <v>739.65</v>
      </c>
      <c r="W73" s="20"/>
      <c r="X73" s="20" t="s">
        <v>500</v>
      </c>
      <c r="Y73" s="58" t="s">
        <v>43</v>
      </c>
      <c r="Z73" s="58" t="s">
        <v>43</v>
      </c>
      <c r="AA73" s="20" t="s">
        <v>435</v>
      </c>
      <c r="AB73" s="20"/>
    </row>
    <row r="74" spans="1:28" ht="15" hidden="1" customHeight="1" x14ac:dyDescent="0.3">
      <c r="A74" s="12" t="s">
        <v>166</v>
      </c>
      <c r="B74" s="12" t="str">
        <f>C74&amp;TEXT(D74,"0#")&amp;TEXT(E74,"0#")</f>
        <v>DE0201</v>
      </c>
      <c r="C74" s="12" t="s">
        <v>168</v>
      </c>
      <c r="D74" s="132">
        <v>2</v>
      </c>
      <c r="E74" s="70">
        <v>1</v>
      </c>
      <c r="F74" s="12" t="s">
        <v>173</v>
      </c>
      <c r="G74" s="12" t="s">
        <v>174</v>
      </c>
      <c r="H74" s="12" t="s">
        <v>28</v>
      </c>
      <c r="I74" s="12" t="s">
        <v>29</v>
      </c>
      <c r="J74" s="13">
        <v>1973</v>
      </c>
      <c r="K74" s="13"/>
      <c r="L74" s="12" t="s">
        <v>30</v>
      </c>
      <c r="M74" s="12" t="s">
        <v>31</v>
      </c>
      <c r="N74" s="12" t="s">
        <v>32</v>
      </c>
      <c r="O74" s="14">
        <f t="shared" si="20"/>
        <v>4.1157000000000004</v>
      </c>
      <c r="P74" s="16">
        <v>4.1157000000000004</v>
      </c>
      <c r="Q74" s="16"/>
      <c r="R74" s="14">
        <f t="shared" si="21"/>
        <v>37.89</v>
      </c>
      <c r="S74" s="16">
        <v>37.89</v>
      </c>
      <c r="T74" s="16"/>
      <c r="U74" s="14">
        <f t="shared" si="22"/>
        <v>64.95</v>
      </c>
      <c r="V74" s="16">
        <v>64.95</v>
      </c>
      <c r="W74" s="16"/>
      <c r="X74" s="16" t="s">
        <v>500</v>
      </c>
      <c r="Y74" s="12" t="s">
        <v>33</v>
      </c>
      <c r="Z74" s="12" t="s">
        <v>33</v>
      </c>
      <c r="AA74" s="16" t="s">
        <v>435</v>
      </c>
      <c r="AB74" s="16"/>
    </row>
    <row r="75" spans="1:28" ht="15" hidden="1" customHeight="1" x14ac:dyDescent="0.3">
      <c r="A75" s="12" t="s">
        <v>166</v>
      </c>
      <c r="B75" s="12" t="str">
        <f t="shared" ref="B75:B140" si="24">C75&amp;TEXT(D75,"0#")&amp;TEXT(E75,"0#")</f>
        <v>DE0301</v>
      </c>
      <c r="C75" s="12" t="s">
        <v>168</v>
      </c>
      <c r="D75" s="132">
        <v>3</v>
      </c>
      <c r="E75" s="70">
        <v>1</v>
      </c>
      <c r="F75" s="12" t="s">
        <v>175</v>
      </c>
      <c r="G75" s="12" t="s">
        <v>176</v>
      </c>
      <c r="H75" s="12" t="s">
        <v>28</v>
      </c>
      <c r="I75" s="12" t="s">
        <v>29</v>
      </c>
      <c r="J75" s="13">
        <v>2012</v>
      </c>
      <c r="K75" s="13"/>
      <c r="L75" s="12" t="s">
        <v>63</v>
      </c>
      <c r="M75" s="12"/>
      <c r="N75" s="12" t="s">
        <v>32</v>
      </c>
      <c r="O75" s="14">
        <f t="shared" si="20"/>
        <v>2.4209999999999998</v>
      </c>
      <c r="P75" s="16">
        <v>2.4209999999999998</v>
      </c>
      <c r="Q75" s="16"/>
      <c r="R75" s="14">
        <f t="shared" si="21"/>
        <v>54</v>
      </c>
      <c r="S75" s="16">
        <f>2.25*24</f>
        <v>54</v>
      </c>
      <c r="T75" s="16"/>
      <c r="U75" s="14">
        <f t="shared" si="22"/>
        <v>94.08</v>
      </c>
      <c r="V75" s="16">
        <f>3.92*24</f>
        <v>94.08</v>
      </c>
      <c r="W75" s="16"/>
      <c r="X75" s="16" t="s">
        <v>500</v>
      </c>
      <c r="Y75" s="12" t="s">
        <v>33</v>
      </c>
      <c r="Z75" s="12" t="s">
        <v>33</v>
      </c>
      <c r="AA75" s="16" t="s">
        <v>435</v>
      </c>
      <c r="AB75" s="16"/>
    </row>
    <row r="76" spans="1:28" ht="15" hidden="1" customHeight="1" x14ac:dyDescent="0.3">
      <c r="A76" s="12" t="s">
        <v>166</v>
      </c>
      <c r="B76" s="12" t="str">
        <f t="shared" si="24"/>
        <v>DE0401</v>
      </c>
      <c r="C76" s="12" t="s">
        <v>168</v>
      </c>
      <c r="D76" s="132">
        <v>4</v>
      </c>
      <c r="E76" s="70">
        <v>1</v>
      </c>
      <c r="F76" s="12" t="s">
        <v>496</v>
      </c>
      <c r="G76" s="12" t="s">
        <v>177</v>
      </c>
      <c r="H76" s="12" t="s">
        <v>28</v>
      </c>
      <c r="I76" s="12" t="s">
        <v>29</v>
      </c>
      <c r="J76" s="13">
        <v>1982</v>
      </c>
      <c r="K76" s="13"/>
      <c r="L76" s="12" t="s">
        <v>30</v>
      </c>
      <c r="M76" s="12"/>
      <c r="N76" s="12" t="s">
        <v>32</v>
      </c>
      <c r="O76" s="14">
        <f t="shared" si="20"/>
        <v>4.8600000000000003</v>
      </c>
      <c r="P76" s="16">
        <v>4.8600000000000003</v>
      </c>
      <c r="Q76" s="16"/>
      <c r="R76" s="14">
        <f t="shared" si="21"/>
        <v>44.93</v>
      </c>
      <c r="S76" s="16">
        <v>44.93</v>
      </c>
      <c r="T76" s="16"/>
      <c r="U76" s="14">
        <f t="shared" si="22"/>
        <v>82.15</v>
      </c>
      <c r="V76" s="16">
        <v>82.15</v>
      </c>
      <c r="W76" s="16"/>
      <c r="X76" s="16" t="s">
        <v>500</v>
      </c>
      <c r="Y76" s="12" t="s">
        <v>33</v>
      </c>
      <c r="Z76" s="12" t="s">
        <v>33</v>
      </c>
      <c r="AA76" s="16" t="s">
        <v>435</v>
      </c>
      <c r="AB76" s="16"/>
    </row>
    <row r="77" spans="1:28" ht="15" hidden="1" customHeight="1" x14ac:dyDescent="0.3">
      <c r="A77" s="12" t="s">
        <v>166</v>
      </c>
      <c r="B77" s="12" t="str">
        <f t="shared" si="24"/>
        <v>DE0501</v>
      </c>
      <c r="C77" s="12" t="s">
        <v>168</v>
      </c>
      <c r="D77" s="132">
        <v>5</v>
      </c>
      <c r="E77" s="70">
        <v>1</v>
      </c>
      <c r="F77" s="12" t="s">
        <v>178</v>
      </c>
      <c r="G77" s="12" t="s">
        <v>179</v>
      </c>
      <c r="H77" s="12" t="s">
        <v>28</v>
      </c>
      <c r="I77" s="12" t="s">
        <v>29</v>
      </c>
      <c r="J77" s="13">
        <v>2012</v>
      </c>
      <c r="K77" s="13"/>
      <c r="L77" s="12" t="s">
        <v>63</v>
      </c>
      <c r="M77" s="12"/>
      <c r="N77" s="12" t="s">
        <v>32</v>
      </c>
      <c r="O77" s="14">
        <f t="shared" si="20"/>
        <v>11.202</v>
      </c>
      <c r="P77" s="16">
        <v>11.202</v>
      </c>
      <c r="Q77" s="16"/>
      <c r="R77" s="14">
        <f t="shared" si="21"/>
        <v>122.04</v>
      </c>
      <c r="S77" s="16">
        <v>122.04</v>
      </c>
      <c r="T77" s="16"/>
      <c r="U77" s="14">
        <f t="shared" si="22"/>
        <v>216.96</v>
      </c>
      <c r="V77" s="16">
        <v>216.96</v>
      </c>
      <c r="W77" s="16"/>
      <c r="X77" s="16" t="s">
        <v>500</v>
      </c>
      <c r="Y77" s="12" t="s">
        <v>33</v>
      </c>
      <c r="Z77" s="12" t="s">
        <v>33</v>
      </c>
      <c r="AA77" s="16" t="s">
        <v>435</v>
      </c>
      <c r="AB77" s="16"/>
    </row>
    <row r="78" spans="1:28" ht="17.25" hidden="1" customHeight="1" x14ac:dyDescent="0.3">
      <c r="A78" s="12" t="s">
        <v>166</v>
      </c>
      <c r="B78" s="12" t="str">
        <f t="shared" si="24"/>
        <v>DE0601</v>
      </c>
      <c r="C78" s="12" t="s">
        <v>168</v>
      </c>
      <c r="D78" s="132">
        <v>6</v>
      </c>
      <c r="E78" s="70">
        <v>1</v>
      </c>
      <c r="F78" s="12" t="s">
        <v>180</v>
      </c>
      <c r="G78" s="12" t="s">
        <v>181</v>
      </c>
      <c r="H78" s="12" t="s">
        <v>28</v>
      </c>
      <c r="I78" s="12" t="s">
        <v>29</v>
      </c>
      <c r="J78" s="13">
        <v>2012</v>
      </c>
      <c r="K78" s="13"/>
      <c r="L78" s="12" t="s">
        <v>63</v>
      </c>
      <c r="M78" s="12"/>
      <c r="N78" s="12" t="s">
        <v>32</v>
      </c>
      <c r="O78" s="14">
        <f t="shared" si="20"/>
        <v>2.3199999999999998</v>
      </c>
      <c r="P78" s="16">
        <v>2.3199999999999998</v>
      </c>
      <c r="Q78" s="16"/>
      <c r="R78" s="14">
        <f t="shared" si="21"/>
        <v>54</v>
      </c>
      <c r="S78" s="16">
        <f>2250*24/1000</f>
        <v>54</v>
      </c>
      <c r="T78" s="16"/>
      <c r="U78" s="14">
        <f t="shared" si="22"/>
        <v>94.08</v>
      </c>
      <c r="V78" s="16">
        <f>3920*24/1000</f>
        <v>94.08</v>
      </c>
      <c r="W78" s="16"/>
      <c r="X78" s="16" t="s">
        <v>500</v>
      </c>
      <c r="Y78" s="12" t="s">
        <v>33</v>
      </c>
      <c r="Z78" s="12" t="s">
        <v>33</v>
      </c>
      <c r="AA78" s="16" t="s">
        <v>435</v>
      </c>
      <c r="AB78" s="16"/>
    </row>
    <row r="79" spans="1:28" ht="17.25" hidden="1" customHeight="1" x14ac:dyDescent="0.3">
      <c r="A79" s="12" t="s">
        <v>166</v>
      </c>
      <c r="B79" s="12" t="str">
        <f t="shared" si="24"/>
        <v>DE0701</v>
      </c>
      <c r="C79" s="12" t="s">
        <v>168</v>
      </c>
      <c r="D79" s="132">
        <v>7</v>
      </c>
      <c r="E79" s="70">
        <v>1</v>
      </c>
      <c r="F79" s="12" t="s">
        <v>182</v>
      </c>
      <c r="G79" s="12" t="s">
        <v>183</v>
      </c>
      <c r="H79" s="12" t="s">
        <v>28</v>
      </c>
      <c r="I79" s="12" t="s">
        <v>29</v>
      </c>
      <c r="J79" s="13">
        <v>2012</v>
      </c>
      <c r="K79" s="13"/>
      <c r="L79" s="12" t="s">
        <v>63</v>
      </c>
      <c r="M79" s="12"/>
      <c r="N79" s="12" t="s">
        <v>32</v>
      </c>
      <c r="O79" s="14">
        <f t="shared" si="20"/>
        <v>1.43520001</v>
      </c>
      <c r="P79" s="16">
        <v>1.43520001</v>
      </c>
      <c r="Q79" s="16"/>
      <c r="R79" s="14">
        <f t="shared" si="21"/>
        <v>46.8</v>
      </c>
      <c r="S79" s="16">
        <v>46.8</v>
      </c>
      <c r="T79" s="16"/>
      <c r="U79" s="14">
        <f t="shared" si="22"/>
        <v>93.6</v>
      </c>
      <c r="V79" s="16">
        <v>93.6</v>
      </c>
      <c r="W79" s="16"/>
      <c r="X79" s="16" t="s">
        <v>500</v>
      </c>
      <c r="Y79" s="12" t="s">
        <v>33</v>
      </c>
      <c r="Z79" s="12" t="s">
        <v>33</v>
      </c>
      <c r="AA79" s="16" t="s">
        <v>435</v>
      </c>
      <c r="AB79" s="16"/>
    </row>
    <row r="80" spans="1:28" ht="17.25" hidden="1" customHeight="1" x14ac:dyDescent="0.3">
      <c r="A80" s="12" t="s">
        <v>166</v>
      </c>
      <c r="B80" s="12" t="str">
        <f t="shared" si="24"/>
        <v>DE0801</v>
      </c>
      <c r="C80" s="12" t="s">
        <v>168</v>
      </c>
      <c r="D80" s="132">
        <v>8</v>
      </c>
      <c r="E80" s="70">
        <v>1</v>
      </c>
      <c r="F80" s="12" t="s">
        <v>184</v>
      </c>
      <c r="G80" s="12" t="s">
        <v>185</v>
      </c>
      <c r="H80" s="12" t="s">
        <v>28</v>
      </c>
      <c r="I80" s="12" t="s">
        <v>29</v>
      </c>
      <c r="J80" s="13">
        <v>1979</v>
      </c>
      <c r="K80" s="13"/>
      <c r="L80" s="12" t="s">
        <v>68</v>
      </c>
      <c r="M80" s="12"/>
      <c r="N80" s="12" t="s">
        <v>32</v>
      </c>
      <c r="O80" s="14">
        <f t="shared" si="20"/>
        <v>0.88800000000000001</v>
      </c>
      <c r="P80" s="16">
        <f>(3700*240)/1000000</f>
        <v>0.88800000000000001</v>
      </c>
      <c r="Q80" s="16"/>
      <c r="R80" s="15">
        <f t="shared" si="21"/>
        <v>6.47424</v>
      </c>
      <c r="S80" s="16">
        <f>(1124*240)*24/1000000</f>
        <v>6.47424</v>
      </c>
      <c r="T80" s="16"/>
      <c r="U80" s="14">
        <f t="shared" si="22"/>
        <v>26.64</v>
      </c>
      <c r="V80" s="16">
        <f>240*4625*24/1000000</f>
        <v>26.64</v>
      </c>
      <c r="W80" s="16"/>
      <c r="X80" s="16" t="s">
        <v>500</v>
      </c>
      <c r="Y80" s="12" t="s">
        <v>33</v>
      </c>
      <c r="Z80" s="12" t="s">
        <v>33</v>
      </c>
      <c r="AA80" s="16" t="s">
        <v>435</v>
      </c>
      <c r="AB80" s="16"/>
    </row>
    <row r="81" spans="1:28" ht="17.25" hidden="1" customHeight="1" x14ac:dyDescent="0.3">
      <c r="A81" s="12" t="s">
        <v>166</v>
      </c>
      <c r="B81" s="12" t="str">
        <f t="shared" si="24"/>
        <v>DE0901</v>
      </c>
      <c r="C81" s="12" t="s">
        <v>168</v>
      </c>
      <c r="D81" s="132">
        <v>9</v>
      </c>
      <c r="E81" s="70">
        <v>1</v>
      </c>
      <c r="F81" s="12" t="s">
        <v>186</v>
      </c>
      <c r="G81" s="12" t="s">
        <v>187</v>
      </c>
      <c r="H81" s="12" t="s">
        <v>28</v>
      </c>
      <c r="I81" s="12" t="s">
        <v>29</v>
      </c>
      <c r="J81" s="13">
        <v>2012</v>
      </c>
      <c r="K81" s="13"/>
      <c r="L81" s="12" t="s">
        <v>63</v>
      </c>
      <c r="M81" s="12"/>
      <c r="N81" s="12" t="s">
        <v>32</v>
      </c>
      <c r="O81" s="14">
        <f t="shared" si="20"/>
        <v>5.43153665</v>
      </c>
      <c r="P81" s="16">
        <f>484.31*11.215/1000</f>
        <v>5.43153665</v>
      </c>
      <c r="Q81" s="16"/>
      <c r="R81" s="14">
        <f>S81+T82</f>
        <v>135.04</v>
      </c>
      <c r="S81" s="16">
        <v>135.04</v>
      </c>
      <c r="T81" s="16"/>
      <c r="U81" s="14">
        <f>V81+W82</f>
        <v>270.07</v>
      </c>
      <c r="V81" s="16">
        <v>270.07</v>
      </c>
      <c r="W81" s="16"/>
      <c r="X81" s="16" t="s">
        <v>500</v>
      </c>
      <c r="Y81" s="12" t="s">
        <v>33</v>
      </c>
      <c r="Z81" s="12" t="s">
        <v>33</v>
      </c>
      <c r="AA81" s="16" t="s">
        <v>435</v>
      </c>
      <c r="AB81" s="16"/>
    </row>
    <row r="82" spans="1:28" ht="17.25" hidden="1" customHeight="1" x14ac:dyDescent="0.3">
      <c r="A82" s="12" t="str">
        <f>A81</f>
        <v>Germany</v>
      </c>
      <c r="B82" s="12" t="str">
        <f t="shared" si="24"/>
        <v>DE0902</v>
      </c>
      <c r="C82" s="12" t="s">
        <v>168</v>
      </c>
      <c r="D82" s="132">
        <v>9</v>
      </c>
      <c r="E82" s="70">
        <v>2</v>
      </c>
      <c r="F82" s="12" t="str">
        <f>F81</f>
        <v>Erdgasspeicher Peissen</v>
      </c>
      <c r="G82" s="12" t="str">
        <f>G81</f>
        <v>Katharina</v>
      </c>
      <c r="H82" s="12" t="s">
        <v>83</v>
      </c>
      <c r="I82" s="12" t="s">
        <v>504</v>
      </c>
      <c r="J82" s="13">
        <v>2025</v>
      </c>
      <c r="K82" s="13"/>
      <c r="L82" s="12" t="str">
        <f>L81</f>
        <v>Salt cavern</v>
      </c>
      <c r="M82" s="12"/>
      <c r="N82" s="12" t="s">
        <v>32</v>
      </c>
      <c r="O82" s="14">
        <f t="shared" si="20"/>
        <v>1.2974633500000001</v>
      </c>
      <c r="P82" s="16">
        <f>600*11.215/1000-P81</f>
        <v>1.2974633500000001</v>
      </c>
      <c r="Q82" s="16"/>
      <c r="R82" s="14"/>
      <c r="S82" s="16"/>
      <c r="T82" s="16"/>
      <c r="U82" s="14"/>
      <c r="V82" s="16"/>
      <c r="W82" s="16"/>
      <c r="X82" s="16" t="s">
        <v>500</v>
      </c>
      <c r="Y82" s="12" t="s">
        <v>43</v>
      </c>
      <c r="Z82" s="12" t="s">
        <v>33</v>
      </c>
      <c r="AA82" s="16" t="s">
        <v>435</v>
      </c>
      <c r="AB82" s="16"/>
    </row>
    <row r="83" spans="1:28" ht="17.25" hidden="1" customHeight="1" x14ac:dyDescent="0.3">
      <c r="A83" s="12" t="s">
        <v>166</v>
      </c>
      <c r="B83" s="12" t="str">
        <f t="shared" si="24"/>
        <v>DE1001</v>
      </c>
      <c r="C83" s="12" t="s">
        <v>168</v>
      </c>
      <c r="D83" s="132">
        <v>10</v>
      </c>
      <c r="E83" s="70">
        <v>1</v>
      </c>
      <c r="F83" s="12" t="s">
        <v>188</v>
      </c>
      <c r="G83" s="12" t="s">
        <v>478</v>
      </c>
      <c r="H83" s="12" t="s">
        <v>28</v>
      </c>
      <c r="I83" s="12" t="s">
        <v>29</v>
      </c>
      <c r="J83" s="13">
        <v>1972</v>
      </c>
      <c r="K83" s="13"/>
      <c r="L83" s="12" t="s">
        <v>63</v>
      </c>
      <c r="M83" s="12"/>
      <c r="N83" s="12" t="s">
        <v>32</v>
      </c>
      <c r="O83" s="14">
        <f t="shared" si="20"/>
        <v>9.1</v>
      </c>
      <c r="P83" s="16">
        <v>9.1</v>
      </c>
      <c r="Q83" s="16"/>
      <c r="R83" s="14">
        <f t="shared" si="21"/>
        <v>98.78</v>
      </c>
      <c r="S83" s="16">
        <v>98.78</v>
      </c>
      <c r="T83" s="16"/>
      <c r="U83" s="14">
        <f t="shared" si="22"/>
        <v>258.72000000000003</v>
      </c>
      <c r="V83" s="16">
        <v>258.72000000000003</v>
      </c>
      <c r="W83" s="16"/>
      <c r="X83" s="16" t="s">
        <v>500</v>
      </c>
      <c r="Y83" s="12" t="s">
        <v>33</v>
      </c>
      <c r="Z83" s="12" t="s">
        <v>33</v>
      </c>
      <c r="AA83" s="16" t="s">
        <v>435</v>
      </c>
      <c r="AB83" s="16"/>
    </row>
    <row r="84" spans="1:28" ht="17.25" hidden="1" customHeight="1" x14ac:dyDescent="0.3">
      <c r="A84" s="12" t="s">
        <v>166</v>
      </c>
      <c r="B84" s="12" t="str">
        <f t="shared" si="24"/>
        <v>DE1009</v>
      </c>
      <c r="C84" s="12" t="s">
        <v>168</v>
      </c>
      <c r="D84" s="132">
        <v>10</v>
      </c>
      <c r="E84" s="70">
        <v>9</v>
      </c>
      <c r="F84" s="12" t="s">
        <v>188</v>
      </c>
      <c r="G84" s="12" t="s">
        <v>479</v>
      </c>
      <c r="H84" s="12" t="s">
        <v>28</v>
      </c>
      <c r="I84" s="12" t="s">
        <v>29</v>
      </c>
      <c r="J84" s="13"/>
      <c r="K84" s="13"/>
      <c r="L84" s="12" t="s">
        <v>63</v>
      </c>
      <c r="M84" s="12"/>
      <c r="N84" s="12"/>
      <c r="O84" s="14">
        <f t="shared" si="20"/>
        <v>0.81</v>
      </c>
      <c r="P84" s="16">
        <v>0.81</v>
      </c>
      <c r="Q84" s="16"/>
      <c r="R84" s="14">
        <f t="shared" si="21"/>
        <v>13.8</v>
      </c>
      <c r="S84" s="16">
        <v>13.8</v>
      </c>
      <c r="T84" s="16"/>
      <c r="U84" s="14">
        <f t="shared" si="22"/>
        <v>27.6</v>
      </c>
      <c r="V84" s="16">
        <v>27.6</v>
      </c>
      <c r="W84" s="16"/>
      <c r="X84" s="16" t="s">
        <v>500</v>
      </c>
      <c r="Y84" s="12" t="s">
        <v>33</v>
      </c>
      <c r="Z84" s="12" t="s">
        <v>33</v>
      </c>
      <c r="AA84" s="16" t="s">
        <v>435</v>
      </c>
      <c r="AB84" s="16"/>
    </row>
    <row r="85" spans="1:28" ht="17.25" hidden="1" customHeight="1" x14ac:dyDescent="0.3">
      <c r="A85" s="12" t="s">
        <v>166</v>
      </c>
      <c r="B85" s="12" t="str">
        <f t="shared" si="24"/>
        <v>DE1002</v>
      </c>
      <c r="C85" s="12" t="s">
        <v>168</v>
      </c>
      <c r="D85" s="132">
        <v>10</v>
      </c>
      <c r="E85" s="70">
        <v>2</v>
      </c>
      <c r="F85" s="12" t="s">
        <v>188</v>
      </c>
      <c r="G85" s="12" t="s">
        <v>189</v>
      </c>
      <c r="H85" s="12" t="s">
        <v>28</v>
      </c>
      <c r="I85" s="12" t="s">
        <v>29</v>
      </c>
      <c r="J85" s="13">
        <v>2013</v>
      </c>
      <c r="K85" s="13"/>
      <c r="L85" s="12" t="s">
        <v>63</v>
      </c>
      <c r="M85" s="12"/>
      <c r="N85" s="12" t="s">
        <v>32</v>
      </c>
      <c r="O85" s="14">
        <f t="shared" si="20"/>
        <v>3.5</v>
      </c>
      <c r="P85" s="16">
        <v>3.5</v>
      </c>
      <c r="Q85" s="16"/>
      <c r="R85" s="14">
        <f t="shared" si="21"/>
        <v>55.2</v>
      </c>
      <c r="S85" s="16">
        <v>55.2</v>
      </c>
      <c r="T85" s="16"/>
      <c r="U85" s="14">
        <f t="shared" si="22"/>
        <v>69</v>
      </c>
      <c r="V85" s="16">
        <v>69</v>
      </c>
      <c r="W85" s="16"/>
      <c r="X85" s="16" t="s">
        <v>500</v>
      </c>
      <c r="Y85" s="12" t="s">
        <v>33</v>
      </c>
      <c r="Z85" s="12" t="s">
        <v>33</v>
      </c>
      <c r="AA85" s="16" t="s">
        <v>435</v>
      </c>
      <c r="AB85" s="16"/>
    </row>
    <row r="86" spans="1:28" ht="17.25" hidden="1" customHeight="1" x14ac:dyDescent="0.3">
      <c r="A86" s="12" t="s">
        <v>166</v>
      </c>
      <c r="B86" s="12" t="str">
        <f t="shared" si="24"/>
        <v>DE1004</v>
      </c>
      <c r="C86" s="12" t="s">
        <v>168</v>
      </c>
      <c r="D86" s="132">
        <v>10</v>
      </c>
      <c r="E86" s="70">
        <v>4</v>
      </c>
      <c r="F86" s="12" t="s">
        <v>188</v>
      </c>
      <c r="G86" s="12" t="s">
        <v>190</v>
      </c>
      <c r="H86" s="12" t="s">
        <v>28</v>
      </c>
      <c r="I86" s="12" t="s">
        <v>29</v>
      </c>
      <c r="J86" s="13">
        <v>1979</v>
      </c>
      <c r="K86" s="13"/>
      <c r="L86" s="12" t="s">
        <v>63</v>
      </c>
      <c r="M86" s="12"/>
      <c r="N86" s="12" t="s">
        <v>32</v>
      </c>
      <c r="O86" s="14">
        <f t="shared" si="20"/>
        <v>1.8320000000000001</v>
      </c>
      <c r="P86" s="16">
        <v>1.8320000000000001</v>
      </c>
      <c r="Q86" s="16"/>
      <c r="R86" s="15">
        <f t="shared" si="21"/>
        <v>48.72</v>
      </c>
      <c r="S86" s="16">
        <v>48.72</v>
      </c>
      <c r="T86" s="16"/>
      <c r="U86" s="14">
        <f t="shared" si="22"/>
        <v>69.599999999999994</v>
      </c>
      <c r="V86" s="16">
        <v>69.599999999999994</v>
      </c>
      <c r="W86" s="16"/>
      <c r="X86" s="16" t="s">
        <v>500</v>
      </c>
      <c r="Y86" s="12" t="s">
        <v>33</v>
      </c>
      <c r="Z86" s="12" t="s">
        <v>33</v>
      </c>
      <c r="AA86" s="16" t="s">
        <v>435</v>
      </c>
      <c r="AB86" s="16"/>
    </row>
    <row r="87" spans="1:28" ht="17.25" hidden="1" customHeight="1" x14ac:dyDescent="0.3">
      <c r="A87" s="12" t="s">
        <v>166</v>
      </c>
      <c r="B87" s="12" t="str">
        <f t="shared" si="24"/>
        <v>DE1005</v>
      </c>
      <c r="C87" s="12" t="s">
        <v>168</v>
      </c>
      <c r="D87" s="132">
        <v>10</v>
      </c>
      <c r="E87" s="70">
        <v>5</v>
      </c>
      <c r="F87" s="12" t="s">
        <v>188</v>
      </c>
      <c r="G87" s="12" t="s">
        <v>191</v>
      </c>
      <c r="H87" s="12" t="s">
        <v>28</v>
      </c>
      <c r="I87" s="12" t="s">
        <v>29</v>
      </c>
      <c r="J87" s="13">
        <v>1979</v>
      </c>
      <c r="K87" s="13"/>
      <c r="L87" s="12" t="s">
        <v>63</v>
      </c>
      <c r="M87" s="12"/>
      <c r="N87" s="12" t="s">
        <v>32</v>
      </c>
      <c r="O87" s="14">
        <f t="shared" si="20"/>
        <v>1.9550000000000001</v>
      </c>
      <c r="P87" s="16">
        <v>1.9550000000000001</v>
      </c>
      <c r="Q87" s="16"/>
      <c r="R87" s="15">
        <f t="shared" si="21"/>
        <v>24.84</v>
      </c>
      <c r="S87" s="16">
        <v>24.84</v>
      </c>
      <c r="T87" s="16"/>
      <c r="U87" s="14">
        <f t="shared" si="22"/>
        <v>49.68</v>
      </c>
      <c r="V87" s="16">
        <v>49.68</v>
      </c>
      <c r="W87" s="16"/>
      <c r="X87" s="16" t="s">
        <v>500</v>
      </c>
      <c r="Y87" s="12" t="s">
        <v>33</v>
      </c>
      <c r="Z87" s="12" t="s">
        <v>33</v>
      </c>
      <c r="AA87" s="16" t="s">
        <v>435</v>
      </c>
      <c r="AB87" s="16"/>
    </row>
    <row r="88" spans="1:28" ht="17.25" hidden="1" customHeight="1" x14ac:dyDescent="0.3">
      <c r="A88" s="12" t="s">
        <v>166</v>
      </c>
      <c r="B88" s="12" t="str">
        <f t="shared" si="24"/>
        <v>DE1006</v>
      </c>
      <c r="C88" s="12" t="s">
        <v>168</v>
      </c>
      <c r="D88" s="132">
        <v>10</v>
      </c>
      <c r="E88" s="70">
        <v>6</v>
      </c>
      <c r="F88" s="12" t="s">
        <v>188</v>
      </c>
      <c r="G88" s="12" t="s">
        <v>192</v>
      </c>
      <c r="H88" s="12" t="s">
        <v>28</v>
      </c>
      <c r="I88" s="12" t="s">
        <v>29</v>
      </c>
      <c r="J88" s="13">
        <v>1979</v>
      </c>
      <c r="K88" s="13"/>
      <c r="L88" s="12" t="s">
        <v>63</v>
      </c>
      <c r="M88" s="12"/>
      <c r="N88" s="12" t="s">
        <v>32</v>
      </c>
      <c r="O88" s="14">
        <f t="shared" si="20"/>
        <v>2.69</v>
      </c>
      <c r="P88" s="16">
        <v>2.69</v>
      </c>
      <c r="Q88" s="16"/>
      <c r="R88" s="15">
        <f t="shared" si="21"/>
        <v>41.04</v>
      </c>
      <c r="S88" s="16">
        <v>41.04</v>
      </c>
      <c r="T88" s="16"/>
      <c r="U88" s="14">
        <f t="shared" si="22"/>
        <v>82.08</v>
      </c>
      <c r="V88" s="16">
        <v>82.08</v>
      </c>
      <c r="W88" s="16"/>
      <c r="X88" s="16" t="s">
        <v>500</v>
      </c>
      <c r="Y88" s="12" t="s">
        <v>33</v>
      </c>
      <c r="Z88" s="12" t="s">
        <v>33</v>
      </c>
      <c r="AA88" s="16" t="s">
        <v>435</v>
      </c>
      <c r="AB88" s="16"/>
    </row>
    <row r="89" spans="1:28" ht="17.25" hidden="1" customHeight="1" x14ac:dyDescent="0.3">
      <c r="A89" s="12" t="s">
        <v>166</v>
      </c>
      <c r="B89" s="12" t="str">
        <f t="shared" si="24"/>
        <v>DE1007</v>
      </c>
      <c r="C89" s="12" t="s">
        <v>168</v>
      </c>
      <c r="D89" s="132">
        <v>10</v>
      </c>
      <c r="E89" s="70">
        <v>7</v>
      </c>
      <c r="F89" s="12" t="s">
        <v>188</v>
      </c>
      <c r="G89" s="12" t="s">
        <v>193</v>
      </c>
      <c r="H89" s="12" t="s">
        <v>28</v>
      </c>
      <c r="I89" s="12" t="s">
        <v>29</v>
      </c>
      <c r="J89" s="13">
        <v>1979</v>
      </c>
      <c r="K89" s="13"/>
      <c r="L89" s="12" t="s">
        <v>63</v>
      </c>
      <c r="M89" s="12"/>
      <c r="N89" s="12" t="s">
        <v>32</v>
      </c>
      <c r="O89" s="14">
        <f t="shared" si="20"/>
        <v>0.43030000000000002</v>
      </c>
      <c r="P89" s="16">
        <v>0.43030000000000002</v>
      </c>
      <c r="Q89" s="16"/>
      <c r="R89" s="14">
        <f t="shared" si="21"/>
        <v>10.58</v>
      </c>
      <c r="S89" s="16">
        <v>10.58</v>
      </c>
      <c r="T89" s="16"/>
      <c r="U89" s="14">
        <f t="shared" si="22"/>
        <v>23.52</v>
      </c>
      <c r="V89" s="16">
        <v>23.52</v>
      </c>
      <c r="W89" s="16"/>
      <c r="X89" s="16" t="s">
        <v>500</v>
      </c>
      <c r="Y89" s="12" t="s">
        <v>33</v>
      </c>
      <c r="Z89" s="12" t="s">
        <v>33</v>
      </c>
      <c r="AA89" s="16" t="s">
        <v>435</v>
      </c>
      <c r="AB89" s="16"/>
    </row>
    <row r="90" spans="1:28" ht="17.25" hidden="1" customHeight="1" x14ac:dyDescent="0.3">
      <c r="A90" s="12" t="s">
        <v>166</v>
      </c>
      <c r="B90" s="12" t="str">
        <f t="shared" si="24"/>
        <v>DE1008</v>
      </c>
      <c r="C90" s="12" t="s">
        <v>168</v>
      </c>
      <c r="D90" s="132">
        <v>10</v>
      </c>
      <c r="E90" s="70">
        <v>8</v>
      </c>
      <c r="F90" s="12" t="s">
        <v>188</v>
      </c>
      <c r="G90" s="12" t="s">
        <v>194</v>
      </c>
      <c r="H90" s="12" t="s">
        <v>28</v>
      </c>
      <c r="I90" s="12" t="s">
        <v>29</v>
      </c>
      <c r="J90" s="13">
        <v>2007</v>
      </c>
      <c r="K90" s="13"/>
      <c r="L90" s="12" t="s">
        <v>63</v>
      </c>
      <c r="M90" s="12"/>
      <c r="N90" s="12" t="s">
        <v>32</v>
      </c>
      <c r="O90" s="14">
        <f t="shared" si="20"/>
        <v>1.0900000000000001</v>
      </c>
      <c r="P90" s="16">
        <v>1.0900000000000001</v>
      </c>
      <c r="Q90" s="16"/>
      <c r="R90" s="14">
        <f t="shared" si="21"/>
        <v>10.66</v>
      </c>
      <c r="S90" s="16">
        <v>10.66</v>
      </c>
      <c r="T90" s="16"/>
      <c r="U90" s="14">
        <f t="shared" si="22"/>
        <v>32.76</v>
      </c>
      <c r="V90" s="16">
        <v>32.76</v>
      </c>
      <c r="W90" s="16"/>
      <c r="X90" s="16" t="s">
        <v>500</v>
      </c>
      <c r="Y90" s="12" t="s">
        <v>33</v>
      </c>
      <c r="Z90" s="12" t="s">
        <v>33</v>
      </c>
      <c r="AA90" s="16" t="s">
        <v>435</v>
      </c>
      <c r="AB90" s="16"/>
    </row>
    <row r="91" spans="1:28" ht="17.25" hidden="1" customHeight="1" x14ac:dyDescent="0.3">
      <c r="A91" s="12" t="s">
        <v>166</v>
      </c>
      <c r="B91" s="12" t="str">
        <f t="shared" si="24"/>
        <v>DE1101</v>
      </c>
      <c r="C91" s="12" t="s">
        <v>168</v>
      </c>
      <c r="D91" s="132">
        <v>11</v>
      </c>
      <c r="E91" s="70">
        <v>1</v>
      </c>
      <c r="F91" s="12" t="s">
        <v>195</v>
      </c>
      <c r="G91" s="12" t="s">
        <v>196</v>
      </c>
      <c r="H91" s="12" t="s">
        <v>28</v>
      </c>
      <c r="I91" s="12" t="s">
        <v>29</v>
      </c>
      <c r="J91" s="13">
        <v>1993</v>
      </c>
      <c r="K91" s="13"/>
      <c r="L91" s="12" t="s">
        <v>63</v>
      </c>
      <c r="M91" s="12"/>
      <c r="N91" s="12" t="s">
        <v>32</v>
      </c>
      <c r="O91" s="14">
        <f t="shared" si="20"/>
        <v>2.1850999999999998</v>
      </c>
      <c r="P91" s="16">
        <v>2.1850999999999998</v>
      </c>
      <c r="Q91" s="16"/>
      <c r="R91" s="14">
        <f t="shared" si="21"/>
        <v>210.672</v>
      </c>
      <c r="S91" s="16">
        <v>210.672</v>
      </c>
      <c r="T91" s="16"/>
      <c r="U91" s="14">
        <f t="shared" si="22"/>
        <v>361.15199999999999</v>
      </c>
      <c r="V91" s="16">
        <v>361.15199999999999</v>
      </c>
      <c r="W91" s="16"/>
      <c r="X91" s="16" t="s">
        <v>500</v>
      </c>
      <c r="Y91" s="12" t="s">
        <v>33</v>
      </c>
      <c r="Z91" s="12" t="s">
        <v>33</v>
      </c>
      <c r="AA91" s="16" t="s">
        <v>435</v>
      </c>
      <c r="AB91" s="16"/>
    </row>
    <row r="92" spans="1:28" ht="17.25" hidden="1" customHeight="1" x14ac:dyDescent="0.3">
      <c r="A92" s="12" t="s">
        <v>166</v>
      </c>
      <c r="B92" s="12" t="str">
        <f t="shared" si="24"/>
        <v>DE1201</v>
      </c>
      <c r="C92" s="12" t="s">
        <v>168</v>
      </c>
      <c r="D92" s="132">
        <v>12</v>
      </c>
      <c r="E92" s="70">
        <v>1</v>
      </c>
      <c r="F92" s="12" t="s">
        <v>197</v>
      </c>
      <c r="G92" s="12" t="s">
        <v>198</v>
      </c>
      <c r="H92" s="12" t="s">
        <v>28</v>
      </c>
      <c r="I92" s="12" t="s">
        <v>29</v>
      </c>
      <c r="J92" s="13">
        <v>1982</v>
      </c>
      <c r="K92" s="13"/>
      <c r="L92" s="12" t="s">
        <v>63</v>
      </c>
      <c r="M92" s="12"/>
      <c r="N92" s="12" t="s">
        <v>32</v>
      </c>
      <c r="O92" s="14">
        <f t="shared" si="20"/>
        <v>3.8294999999999999</v>
      </c>
      <c r="P92" s="16">
        <f>333*11.5/1000</f>
        <v>3.8294999999999999</v>
      </c>
      <c r="Q92" s="16"/>
      <c r="R92" s="15">
        <f t="shared" si="21"/>
        <v>44.16</v>
      </c>
      <c r="S92" s="16">
        <f>160000*11.5*24/1000000</f>
        <v>44.16</v>
      </c>
      <c r="T92" s="16"/>
      <c r="U92" s="14">
        <f t="shared" si="22"/>
        <v>140.76</v>
      </c>
      <c r="V92" s="16">
        <f>510000*11.5*24/1000000</f>
        <v>140.76</v>
      </c>
      <c r="W92" s="16"/>
      <c r="X92" s="16" t="s">
        <v>500</v>
      </c>
      <c r="Y92" s="12" t="s">
        <v>33</v>
      </c>
      <c r="Z92" s="12" t="s">
        <v>33</v>
      </c>
      <c r="AA92" s="16" t="s">
        <v>435</v>
      </c>
      <c r="AB92" s="16"/>
    </row>
    <row r="93" spans="1:28" ht="17.25" hidden="1" customHeight="1" x14ac:dyDescent="0.3">
      <c r="A93" s="12" t="s">
        <v>166</v>
      </c>
      <c r="B93" s="12" t="str">
        <f t="shared" si="24"/>
        <v>DE1202</v>
      </c>
      <c r="C93" s="12" t="s">
        <v>168</v>
      </c>
      <c r="D93" s="132">
        <v>12</v>
      </c>
      <c r="E93" s="70">
        <v>2</v>
      </c>
      <c r="F93" s="12" t="s">
        <v>197</v>
      </c>
      <c r="G93" s="12" t="s">
        <v>198</v>
      </c>
      <c r="H93" s="12" t="s">
        <v>83</v>
      </c>
      <c r="I93" s="12" t="s">
        <v>504</v>
      </c>
      <c r="J93" s="13"/>
      <c r="K93" s="13"/>
      <c r="L93" s="12" t="s">
        <v>63</v>
      </c>
      <c r="M93" s="12"/>
      <c r="N93" s="12" t="s">
        <v>32</v>
      </c>
      <c r="O93" s="14">
        <f t="shared" si="20"/>
        <v>4.5999999999999996</v>
      </c>
      <c r="P93" s="16">
        <f>100*11.5/1000*4</f>
        <v>4.5999999999999996</v>
      </c>
      <c r="Q93" s="16"/>
      <c r="R93" s="15">
        <f t="shared" si="21"/>
        <v>58.879999999999995</v>
      </c>
      <c r="S93" s="16">
        <f>160000*11.5*24/1000000/3*4</f>
        <v>58.879999999999995</v>
      </c>
      <c r="T93" s="16"/>
      <c r="U93" s="14">
        <f t="shared" si="22"/>
        <v>187.67999999999998</v>
      </c>
      <c r="V93" s="16">
        <f>510000*11.5*24/1000000/3*4</f>
        <v>187.67999999999998</v>
      </c>
      <c r="W93" s="16"/>
      <c r="X93" s="16" t="s">
        <v>500</v>
      </c>
      <c r="Y93" s="12" t="s">
        <v>43</v>
      </c>
      <c r="Z93" s="12" t="s">
        <v>33</v>
      </c>
      <c r="AA93" s="16" t="s">
        <v>435</v>
      </c>
      <c r="AB93" s="16"/>
    </row>
    <row r="94" spans="1:28" ht="17.25" hidden="1" customHeight="1" x14ac:dyDescent="0.3">
      <c r="A94" s="12" t="s">
        <v>166</v>
      </c>
      <c r="B94" s="12" t="str">
        <f t="shared" si="24"/>
        <v>DE1301</v>
      </c>
      <c r="C94" s="12" t="s">
        <v>168</v>
      </c>
      <c r="D94" s="132">
        <v>13</v>
      </c>
      <c r="E94" s="70">
        <v>1</v>
      </c>
      <c r="F94" s="12" t="s">
        <v>199</v>
      </c>
      <c r="G94" s="12" t="s">
        <v>200</v>
      </c>
      <c r="H94" s="12" t="s">
        <v>28</v>
      </c>
      <c r="I94" s="12" t="s">
        <v>29</v>
      </c>
      <c r="J94" s="13">
        <v>2012</v>
      </c>
      <c r="K94" s="13"/>
      <c r="L94" s="12" t="s">
        <v>63</v>
      </c>
      <c r="M94" s="12"/>
      <c r="N94" s="12" t="s">
        <v>32</v>
      </c>
      <c r="O94" s="14">
        <f t="shared" si="20"/>
        <v>1.5801000000000001</v>
      </c>
      <c r="P94" s="16">
        <f>137.4*11.5/1000</f>
        <v>1.5801000000000001</v>
      </c>
      <c r="Q94" s="16"/>
      <c r="R94" s="15">
        <f t="shared" si="21"/>
        <v>31.795200000000001</v>
      </c>
      <c r="S94" s="16">
        <f>(104500+10700)*11.5*24/1000000</f>
        <v>31.795200000000001</v>
      </c>
      <c r="T94" s="16"/>
      <c r="U94" s="14">
        <f t="shared" si="22"/>
        <v>55.641599999999997</v>
      </c>
      <c r="V94" s="16">
        <f>(168000+33600)*11.5*24/1000000</f>
        <v>55.641599999999997</v>
      </c>
      <c r="W94" s="16"/>
      <c r="X94" s="16" t="s">
        <v>500</v>
      </c>
      <c r="Y94" s="12" t="s">
        <v>33</v>
      </c>
      <c r="Z94" s="12" t="s">
        <v>33</v>
      </c>
      <c r="AA94" s="16" t="s">
        <v>435</v>
      </c>
      <c r="AB94" s="16"/>
    </row>
    <row r="95" spans="1:28" ht="17.25" hidden="1" customHeight="1" x14ac:dyDescent="0.3">
      <c r="A95" s="12" t="s">
        <v>166</v>
      </c>
      <c r="B95" s="12" t="str">
        <f t="shared" si="24"/>
        <v>DE1302</v>
      </c>
      <c r="C95" s="12" t="s">
        <v>168</v>
      </c>
      <c r="D95" s="132">
        <v>13</v>
      </c>
      <c r="E95" s="70">
        <v>2</v>
      </c>
      <c r="F95" s="12" t="s">
        <v>199</v>
      </c>
      <c r="G95" s="12" t="s">
        <v>201</v>
      </c>
      <c r="H95" s="12" t="s">
        <v>28</v>
      </c>
      <c r="I95" s="12" t="s">
        <v>29</v>
      </c>
      <c r="J95" s="13">
        <v>2001</v>
      </c>
      <c r="K95" s="13"/>
      <c r="L95" s="12" t="s">
        <v>63</v>
      </c>
      <c r="M95" s="12"/>
      <c r="N95" s="12" t="s">
        <v>32</v>
      </c>
      <c r="O95" s="14">
        <f t="shared" si="20"/>
        <v>1.3225</v>
      </c>
      <c r="P95" s="16">
        <f>115*11.5/1000</f>
        <v>1.3225</v>
      </c>
      <c r="Q95" s="16"/>
      <c r="R95" s="15">
        <f t="shared" si="21"/>
        <v>13.8</v>
      </c>
      <c r="S95" s="16">
        <f>50000*11.5*24/1000000</f>
        <v>13.8</v>
      </c>
      <c r="T95" s="16"/>
      <c r="U95" s="14">
        <f t="shared" si="22"/>
        <v>27.6</v>
      </c>
      <c r="V95" s="16">
        <f>100000*11.5*24/1000000</f>
        <v>27.6</v>
      </c>
      <c r="W95" s="16"/>
      <c r="X95" s="16" t="s">
        <v>500</v>
      </c>
      <c r="Y95" s="12" t="s">
        <v>33</v>
      </c>
      <c r="Z95" s="12" t="s">
        <v>33</v>
      </c>
      <c r="AA95" s="16" t="s">
        <v>435</v>
      </c>
      <c r="AB95" s="16"/>
    </row>
    <row r="96" spans="1:28" ht="17.25" hidden="1" customHeight="1" x14ac:dyDescent="0.3">
      <c r="A96" s="12" t="s">
        <v>166</v>
      </c>
      <c r="B96" s="12" t="str">
        <f t="shared" si="24"/>
        <v>DE1401</v>
      </c>
      <c r="C96" s="12" t="s">
        <v>168</v>
      </c>
      <c r="D96" s="132">
        <v>14</v>
      </c>
      <c r="E96" s="70">
        <v>1</v>
      </c>
      <c r="F96" s="12" t="s">
        <v>202</v>
      </c>
      <c r="G96" s="12" t="s">
        <v>203</v>
      </c>
      <c r="H96" s="12" t="s">
        <v>28</v>
      </c>
      <c r="I96" s="12" t="s">
        <v>29</v>
      </c>
      <c r="J96" s="13">
        <v>1971</v>
      </c>
      <c r="K96" s="13"/>
      <c r="L96" s="12" t="s">
        <v>63</v>
      </c>
      <c r="M96" s="12"/>
      <c r="N96" s="12" t="s">
        <v>32</v>
      </c>
      <c r="O96" s="14">
        <f t="shared" si="20"/>
        <v>0.24299999999999999</v>
      </c>
      <c r="P96" s="16">
        <v>0.24299999999999999</v>
      </c>
      <c r="Q96" s="16"/>
      <c r="R96" s="15">
        <f t="shared" si="21"/>
        <v>5.69</v>
      </c>
      <c r="S96" s="16">
        <v>5.69</v>
      </c>
      <c r="T96" s="16"/>
      <c r="U96" s="14">
        <f t="shared" si="22"/>
        <v>13.56</v>
      </c>
      <c r="V96" s="16">
        <v>13.56</v>
      </c>
      <c r="W96" s="16"/>
      <c r="X96" s="16" t="s">
        <v>500</v>
      </c>
      <c r="Y96" s="12" t="s">
        <v>33</v>
      </c>
      <c r="Z96" s="12" t="s">
        <v>33</v>
      </c>
      <c r="AA96" s="16" t="s">
        <v>435</v>
      </c>
      <c r="AB96" s="16"/>
    </row>
    <row r="97" spans="1:28" ht="17.25" hidden="1" customHeight="1" x14ac:dyDescent="0.3">
      <c r="A97" s="12" t="s">
        <v>166</v>
      </c>
      <c r="B97" s="12" t="str">
        <f t="shared" si="24"/>
        <v>DE1402</v>
      </c>
      <c r="C97" s="12" t="s">
        <v>168</v>
      </c>
      <c r="D97" s="132">
        <v>14</v>
      </c>
      <c r="E97" s="70">
        <v>2</v>
      </c>
      <c r="F97" s="12" t="s">
        <v>202</v>
      </c>
      <c r="G97" s="12" t="s">
        <v>204</v>
      </c>
      <c r="H97" s="12" t="s">
        <v>28</v>
      </c>
      <c r="I97" s="12" t="s">
        <v>29</v>
      </c>
      <c r="J97" s="13">
        <v>2000</v>
      </c>
      <c r="K97" s="13"/>
      <c r="L97" s="12" t="s">
        <v>63</v>
      </c>
      <c r="M97" s="12"/>
      <c r="N97" s="12" t="s">
        <v>32</v>
      </c>
      <c r="O97" s="14">
        <f t="shared" si="20"/>
        <v>2.88</v>
      </c>
      <c r="P97" s="16">
        <v>2.88</v>
      </c>
      <c r="Q97" s="16"/>
      <c r="R97" s="14">
        <f t="shared" si="21"/>
        <v>48.38</v>
      </c>
      <c r="S97" s="16">
        <v>48.38</v>
      </c>
      <c r="T97" s="16"/>
      <c r="U97" s="14">
        <f t="shared" si="22"/>
        <v>107.52</v>
      </c>
      <c r="V97" s="16">
        <v>107.52</v>
      </c>
      <c r="W97" s="16"/>
      <c r="X97" s="16" t="s">
        <v>500</v>
      </c>
      <c r="Y97" s="12" t="s">
        <v>33</v>
      </c>
      <c r="Z97" s="12" t="s">
        <v>33</v>
      </c>
      <c r="AA97" s="16" t="s">
        <v>435</v>
      </c>
      <c r="AB97" s="16"/>
    </row>
    <row r="98" spans="1:28" ht="17.25" hidden="1" customHeight="1" x14ac:dyDescent="0.3">
      <c r="A98" s="12" t="s">
        <v>166</v>
      </c>
      <c r="B98" s="12" t="str">
        <f t="shared" si="24"/>
        <v>DE1501</v>
      </c>
      <c r="C98" s="12" t="s">
        <v>168</v>
      </c>
      <c r="D98" s="132">
        <v>15</v>
      </c>
      <c r="E98" s="70">
        <v>1</v>
      </c>
      <c r="F98" s="12" t="s">
        <v>497</v>
      </c>
      <c r="G98" s="12" t="s">
        <v>205</v>
      </c>
      <c r="H98" s="12" t="s">
        <v>28</v>
      </c>
      <c r="I98" s="12" t="s">
        <v>29</v>
      </c>
      <c r="J98" s="13">
        <v>2012</v>
      </c>
      <c r="K98" s="13"/>
      <c r="L98" s="12" t="s">
        <v>63</v>
      </c>
      <c r="M98" s="12"/>
      <c r="N98" s="12" t="s">
        <v>32</v>
      </c>
      <c r="O98" s="14">
        <f t="shared" si="20"/>
        <v>1.8255999999999999</v>
      </c>
      <c r="P98" s="16">
        <v>1.8255999999999999</v>
      </c>
      <c r="Q98" s="16"/>
      <c r="R98" s="14">
        <f t="shared" si="21"/>
        <v>49.23</v>
      </c>
      <c r="S98" s="16">
        <v>49.23</v>
      </c>
      <c r="T98" s="16"/>
      <c r="U98" s="14">
        <f t="shared" si="22"/>
        <v>98.46</v>
      </c>
      <c r="V98" s="16">
        <v>98.46</v>
      </c>
      <c r="W98" s="16"/>
      <c r="X98" s="16" t="s">
        <v>500</v>
      </c>
      <c r="Y98" s="12" t="s">
        <v>33</v>
      </c>
      <c r="Z98" s="12" t="s">
        <v>33</v>
      </c>
      <c r="AA98" s="16" t="s">
        <v>435</v>
      </c>
      <c r="AB98" s="16" t="s">
        <v>33</v>
      </c>
    </row>
    <row r="99" spans="1:28" ht="17.25" hidden="1" customHeight="1" x14ac:dyDescent="0.3">
      <c r="A99" s="12" t="s">
        <v>166</v>
      </c>
      <c r="B99" s="12" t="str">
        <f t="shared" si="24"/>
        <v>DE1502</v>
      </c>
      <c r="C99" s="12" t="s">
        <v>168</v>
      </c>
      <c r="D99" s="132">
        <v>15</v>
      </c>
      <c r="E99" s="70">
        <v>2</v>
      </c>
      <c r="F99" s="12" t="s">
        <v>497</v>
      </c>
      <c r="G99" s="12" t="s">
        <v>206</v>
      </c>
      <c r="H99" s="12" t="s">
        <v>28</v>
      </c>
      <c r="I99" s="12" t="s">
        <v>29</v>
      </c>
      <c r="J99" s="13">
        <v>2006</v>
      </c>
      <c r="K99" s="13"/>
      <c r="L99" s="12" t="s">
        <v>63</v>
      </c>
      <c r="M99" s="12"/>
      <c r="N99" s="12" t="s">
        <v>32</v>
      </c>
      <c r="O99" s="14">
        <f t="shared" si="20"/>
        <v>2.9392</v>
      </c>
      <c r="P99" s="16">
        <v>2.9392</v>
      </c>
      <c r="Q99" s="16"/>
      <c r="R99" s="14">
        <f t="shared" si="21"/>
        <v>47.73</v>
      </c>
      <c r="S99" s="16">
        <v>47.73</v>
      </c>
      <c r="T99" s="16"/>
      <c r="U99" s="14">
        <f t="shared" si="22"/>
        <v>175.47</v>
      </c>
      <c r="V99" s="16">
        <v>175.47</v>
      </c>
      <c r="W99" s="16"/>
      <c r="X99" s="16" t="s">
        <v>500</v>
      </c>
      <c r="Y99" s="12" t="s">
        <v>33</v>
      </c>
      <c r="Z99" s="12" t="s">
        <v>33</v>
      </c>
      <c r="AA99" s="16" t="s">
        <v>435</v>
      </c>
      <c r="AB99" s="16" t="s">
        <v>33</v>
      </c>
    </row>
    <row r="100" spans="1:28" ht="17.25" hidden="1" customHeight="1" x14ac:dyDescent="0.3">
      <c r="A100" s="12" t="s">
        <v>166</v>
      </c>
      <c r="B100" s="12" t="str">
        <f t="shared" si="24"/>
        <v>DE1503</v>
      </c>
      <c r="C100" s="12" t="s">
        <v>168</v>
      </c>
      <c r="D100" s="132">
        <v>15</v>
      </c>
      <c r="E100" s="70">
        <v>3</v>
      </c>
      <c r="F100" s="12" t="s">
        <v>497</v>
      </c>
      <c r="G100" s="12" t="s">
        <v>207</v>
      </c>
      <c r="H100" s="12" t="s">
        <v>28</v>
      </c>
      <c r="I100" s="12" t="s">
        <v>29</v>
      </c>
      <c r="J100" s="13">
        <v>1996</v>
      </c>
      <c r="K100" s="13"/>
      <c r="L100" s="12" t="s">
        <v>63</v>
      </c>
      <c r="M100" s="12"/>
      <c r="N100" s="12" t="s">
        <v>32</v>
      </c>
      <c r="O100" s="14">
        <f t="shared" si="20"/>
        <v>7.2561</v>
      </c>
      <c r="P100" s="16">
        <v>7.2561</v>
      </c>
      <c r="Q100" s="16"/>
      <c r="R100" s="14">
        <f t="shared" si="21"/>
        <v>83.69</v>
      </c>
      <c r="S100" s="16">
        <v>83.69</v>
      </c>
      <c r="T100" s="16"/>
      <c r="U100" s="14">
        <f t="shared" si="22"/>
        <v>175.47</v>
      </c>
      <c r="V100" s="16">
        <v>175.47</v>
      </c>
      <c r="W100" s="16"/>
      <c r="X100" s="16" t="s">
        <v>500</v>
      </c>
      <c r="Y100" s="12" t="s">
        <v>33</v>
      </c>
      <c r="Z100" s="12" t="s">
        <v>33</v>
      </c>
      <c r="AA100" s="16" t="s">
        <v>435</v>
      </c>
      <c r="AB100" s="16" t="s">
        <v>33</v>
      </c>
    </row>
    <row r="101" spans="1:28" ht="17.25" hidden="1" customHeight="1" x14ac:dyDescent="0.3">
      <c r="A101" s="36" t="s">
        <v>166</v>
      </c>
      <c r="B101" s="36" t="str">
        <f t="shared" si="24"/>
        <v>DE1504</v>
      </c>
      <c r="C101" s="36" t="s">
        <v>168</v>
      </c>
      <c r="D101" s="133">
        <v>15</v>
      </c>
      <c r="E101" s="71">
        <v>4</v>
      </c>
      <c r="F101" s="36" t="s">
        <v>497</v>
      </c>
      <c r="G101" s="36" t="s">
        <v>208</v>
      </c>
      <c r="H101" s="36" t="s">
        <v>28</v>
      </c>
      <c r="I101" s="36" t="s">
        <v>29</v>
      </c>
      <c r="J101" s="37">
        <v>1990</v>
      </c>
      <c r="K101" s="37"/>
      <c r="L101" s="36" t="s">
        <v>63</v>
      </c>
      <c r="M101" s="36"/>
      <c r="N101" s="36" t="s">
        <v>32</v>
      </c>
      <c r="O101" s="36">
        <f t="shared" si="20"/>
        <v>0</v>
      </c>
      <c r="P101" s="38"/>
      <c r="Q101" s="38"/>
      <c r="R101" s="36">
        <f t="shared" si="21"/>
        <v>0</v>
      </c>
      <c r="S101" s="38"/>
      <c r="T101" s="38"/>
      <c r="U101" s="36">
        <f t="shared" si="22"/>
        <v>0</v>
      </c>
      <c r="V101" s="38"/>
      <c r="W101" s="38"/>
      <c r="X101" s="38" t="s">
        <v>500</v>
      </c>
      <c r="Y101" s="36" t="s">
        <v>33</v>
      </c>
      <c r="Z101" s="36" t="s">
        <v>43</v>
      </c>
      <c r="AA101" s="38" t="s">
        <v>435</v>
      </c>
      <c r="AB101" s="38" t="s">
        <v>33</v>
      </c>
    </row>
    <row r="102" spans="1:28" ht="17.25" hidden="1" customHeight="1" x14ac:dyDescent="0.3">
      <c r="A102" s="36" t="s">
        <v>166</v>
      </c>
      <c r="B102" s="36" t="str">
        <f t="shared" si="24"/>
        <v>DE1505</v>
      </c>
      <c r="C102" s="36" t="s">
        <v>168</v>
      </c>
      <c r="D102" s="133">
        <v>15</v>
      </c>
      <c r="E102" s="71">
        <v>5</v>
      </c>
      <c r="F102" s="36" t="s">
        <v>497</v>
      </c>
      <c r="G102" s="36" t="s">
        <v>209</v>
      </c>
      <c r="H102" s="36" t="s">
        <v>28</v>
      </c>
      <c r="I102" s="36" t="s">
        <v>29</v>
      </c>
      <c r="J102" s="37">
        <v>1985</v>
      </c>
      <c r="K102" s="37"/>
      <c r="L102" s="36" t="s">
        <v>63</v>
      </c>
      <c r="M102" s="36"/>
      <c r="N102" s="36" t="s">
        <v>32</v>
      </c>
      <c r="O102" s="36">
        <f t="shared" si="20"/>
        <v>0</v>
      </c>
      <c r="P102" s="38"/>
      <c r="Q102" s="38"/>
      <c r="R102" s="36">
        <f t="shared" si="21"/>
        <v>0</v>
      </c>
      <c r="S102" s="38"/>
      <c r="T102" s="38"/>
      <c r="U102" s="36">
        <f t="shared" si="22"/>
        <v>0</v>
      </c>
      <c r="V102" s="38"/>
      <c r="W102" s="38"/>
      <c r="X102" s="38" t="s">
        <v>500</v>
      </c>
      <c r="Y102" s="36" t="s">
        <v>33</v>
      </c>
      <c r="Z102" s="36" t="s">
        <v>43</v>
      </c>
      <c r="AA102" s="38" t="s">
        <v>435</v>
      </c>
      <c r="AB102" s="38" t="s">
        <v>33</v>
      </c>
    </row>
    <row r="103" spans="1:28" s="22" customFormat="1" hidden="1" x14ac:dyDescent="0.3">
      <c r="A103" s="58" t="s">
        <v>166</v>
      </c>
      <c r="B103" s="17" t="str">
        <f>C103&amp;TEXT(D103,"0#")&amp;TEXT(E103,"00#")</f>
        <v>DE15V1</v>
      </c>
      <c r="C103" s="17" t="s">
        <v>168</v>
      </c>
      <c r="D103" s="134">
        <v>15</v>
      </c>
      <c r="E103" s="72" t="s">
        <v>456</v>
      </c>
      <c r="F103" s="59" t="s">
        <v>498</v>
      </c>
      <c r="G103" s="59" t="s">
        <v>247</v>
      </c>
      <c r="H103" s="17" t="s">
        <v>28</v>
      </c>
      <c r="I103" s="17" t="s">
        <v>29</v>
      </c>
      <c r="J103" s="18">
        <v>1986</v>
      </c>
      <c r="K103" s="18"/>
      <c r="L103" s="17" t="s">
        <v>63</v>
      </c>
      <c r="M103" s="17"/>
      <c r="N103" s="17" t="s">
        <v>32</v>
      </c>
      <c r="O103" s="19">
        <f t="shared" si="20"/>
        <v>6.3852000000000002</v>
      </c>
      <c r="P103" s="20">
        <v>6.3852000000000002</v>
      </c>
      <c r="Q103" s="20"/>
      <c r="R103" s="21">
        <f t="shared" si="21"/>
        <v>104.03</v>
      </c>
      <c r="S103" s="20">
        <v>104.03</v>
      </c>
      <c r="T103" s="20"/>
      <c r="U103" s="19">
        <f t="shared" si="22"/>
        <v>325.77999999999997</v>
      </c>
      <c r="V103" s="20">
        <v>325.77999999999997</v>
      </c>
      <c r="W103" s="20"/>
      <c r="X103" s="20" t="s">
        <v>500</v>
      </c>
      <c r="Y103" s="58" t="s">
        <v>43</v>
      </c>
      <c r="Z103" s="58" t="s">
        <v>33</v>
      </c>
      <c r="AA103" s="20" t="s">
        <v>435</v>
      </c>
      <c r="AB103" s="20"/>
    </row>
    <row r="104" spans="1:28" ht="17.25" hidden="1" customHeight="1" x14ac:dyDescent="0.3">
      <c r="A104" s="12" t="s">
        <v>166</v>
      </c>
      <c r="B104" s="12" t="str">
        <f t="shared" si="24"/>
        <v>DE1601</v>
      </c>
      <c r="C104" s="12" t="s">
        <v>168</v>
      </c>
      <c r="D104" s="132">
        <v>16</v>
      </c>
      <c r="E104" s="70">
        <v>1</v>
      </c>
      <c r="F104" s="12" t="s">
        <v>210</v>
      </c>
      <c r="G104" s="12" t="s">
        <v>211</v>
      </c>
      <c r="H104" s="12" t="s">
        <v>28</v>
      </c>
      <c r="I104" s="12" t="s">
        <v>29</v>
      </c>
      <c r="J104" s="13">
        <v>2012</v>
      </c>
      <c r="K104" s="13"/>
      <c r="L104" s="12" t="s">
        <v>63</v>
      </c>
      <c r="M104" s="12"/>
      <c r="N104" s="12" t="s">
        <v>32</v>
      </c>
      <c r="O104" s="14">
        <f t="shared" si="20"/>
        <v>2.1244000000000001</v>
      </c>
      <c r="P104" s="16">
        <v>2.1244000000000001</v>
      </c>
      <c r="Q104" s="16"/>
      <c r="R104" s="14">
        <f t="shared" si="21"/>
        <v>41.04</v>
      </c>
      <c r="S104" s="16">
        <v>41.04</v>
      </c>
      <c r="T104" s="16"/>
      <c r="U104" s="14">
        <f t="shared" si="22"/>
        <v>109.44</v>
      </c>
      <c r="V104" s="16">
        <v>109.44</v>
      </c>
      <c r="W104" s="16"/>
      <c r="X104" s="16" t="s">
        <v>500</v>
      </c>
      <c r="Y104" s="12" t="s">
        <v>33</v>
      </c>
      <c r="Z104" s="12" t="s">
        <v>33</v>
      </c>
      <c r="AA104" s="16" t="s">
        <v>435</v>
      </c>
      <c r="AB104" s="16"/>
    </row>
    <row r="105" spans="1:28" ht="17.25" hidden="1" customHeight="1" x14ac:dyDescent="0.3">
      <c r="A105" s="36" t="s">
        <v>166</v>
      </c>
      <c r="B105" s="36" t="str">
        <f t="shared" si="24"/>
        <v>DE1701</v>
      </c>
      <c r="C105" s="36" t="s">
        <v>168</v>
      </c>
      <c r="D105" s="133">
        <v>17</v>
      </c>
      <c r="E105" s="71">
        <v>1</v>
      </c>
      <c r="F105" s="36" t="s">
        <v>212</v>
      </c>
      <c r="G105" s="36" t="s">
        <v>213</v>
      </c>
      <c r="H105" s="36" t="s">
        <v>28</v>
      </c>
      <c r="I105" s="36" t="s">
        <v>29</v>
      </c>
      <c r="J105" s="37">
        <v>1960</v>
      </c>
      <c r="K105" s="37"/>
      <c r="L105" s="36" t="s">
        <v>68</v>
      </c>
      <c r="M105" s="36" t="s">
        <v>68</v>
      </c>
      <c r="N105" s="36" t="s">
        <v>32</v>
      </c>
      <c r="O105" s="36">
        <f t="shared" si="20"/>
        <v>0</v>
      </c>
      <c r="P105" s="38"/>
      <c r="Q105" s="38"/>
      <c r="R105" s="36">
        <f t="shared" si="21"/>
        <v>0</v>
      </c>
      <c r="S105" s="38"/>
      <c r="T105" s="38"/>
      <c r="U105" s="36">
        <f t="shared" si="22"/>
        <v>0</v>
      </c>
      <c r="V105" s="38"/>
      <c r="W105" s="38"/>
      <c r="X105" s="38" t="s">
        <v>500</v>
      </c>
      <c r="Y105" s="36" t="s">
        <v>33</v>
      </c>
      <c r="Z105" s="36" t="s">
        <v>43</v>
      </c>
      <c r="AA105" s="38" t="s">
        <v>435</v>
      </c>
      <c r="AB105" s="38"/>
    </row>
    <row r="106" spans="1:28" ht="17.25" hidden="1" customHeight="1" x14ac:dyDescent="0.3">
      <c r="A106" s="36" t="s">
        <v>166</v>
      </c>
      <c r="B106" s="36" t="str">
        <f t="shared" si="24"/>
        <v>DE1702</v>
      </c>
      <c r="C106" s="36" t="s">
        <v>168</v>
      </c>
      <c r="D106" s="133">
        <v>17</v>
      </c>
      <c r="E106" s="71">
        <v>2</v>
      </c>
      <c r="F106" s="36" t="s">
        <v>212</v>
      </c>
      <c r="G106" s="36" t="s">
        <v>214</v>
      </c>
      <c r="H106" s="36" t="s">
        <v>28</v>
      </c>
      <c r="I106" s="36" t="s">
        <v>29</v>
      </c>
      <c r="J106" s="37">
        <v>1969</v>
      </c>
      <c r="K106" s="37"/>
      <c r="L106" s="36" t="s">
        <v>68</v>
      </c>
      <c r="M106" s="36" t="s">
        <v>68</v>
      </c>
      <c r="N106" s="36" t="s">
        <v>32</v>
      </c>
      <c r="O106" s="36">
        <f t="shared" si="20"/>
        <v>0</v>
      </c>
      <c r="P106" s="38"/>
      <c r="Q106" s="38"/>
      <c r="R106" s="36">
        <f t="shared" si="21"/>
        <v>0</v>
      </c>
      <c r="S106" s="38"/>
      <c r="T106" s="38"/>
      <c r="U106" s="36">
        <f t="shared" si="22"/>
        <v>0</v>
      </c>
      <c r="V106" s="38"/>
      <c r="W106" s="38"/>
      <c r="X106" s="38" t="s">
        <v>500</v>
      </c>
      <c r="Y106" s="36" t="s">
        <v>33</v>
      </c>
      <c r="Z106" s="36" t="s">
        <v>43</v>
      </c>
      <c r="AA106" s="38" t="s">
        <v>435</v>
      </c>
      <c r="AB106" s="38"/>
    </row>
    <row r="107" spans="1:28" s="145" customFormat="1" hidden="1" x14ac:dyDescent="0.3">
      <c r="A107" s="17" t="s">
        <v>166</v>
      </c>
      <c r="B107" s="17" t="str">
        <f>C107&amp;TEXT(D107,"0#")&amp;TEXT(E107,"00#")</f>
        <v>DE17V2</v>
      </c>
      <c r="C107" s="17" t="s">
        <v>168</v>
      </c>
      <c r="D107" s="134">
        <v>17</v>
      </c>
      <c r="E107" s="72" t="s">
        <v>457</v>
      </c>
      <c r="F107" s="59" t="s">
        <v>212</v>
      </c>
      <c r="G107" s="59" t="s">
        <v>248</v>
      </c>
      <c r="H107" s="17" t="s">
        <v>28</v>
      </c>
      <c r="I107" s="17" t="s">
        <v>29</v>
      </c>
      <c r="J107" s="18"/>
      <c r="K107" s="18"/>
      <c r="L107" s="17" t="s">
        <v>68</v>
      </c>
      <c r="M107" s="17" t="s">
        <v>68</v>
      </c>
      <c r="N107" s="17" t="s">
        <v>32</v>
      </c>
      <c r="O107" s="19">
        <f t="shared" si="20"/>
        <v>2.4300000000000002</v>
      </c>
      <c r="P107" s="20">
        <f>2.43</f>
        <v>2.4300000000000002</v>
      </c>
      <c r="Q107" s="20"/>
      <c r="R107" s="21">
        <f t="shared" si="21"/>
        <v>37.968000000000004</v>
      </c>
      <c r="S107" s="20">
        <f>1.582*24</f>
        <v>37.968000000000004</v>
      </c>
      <c r="T107" s="20"/>
      <c r="U107" s="19">
        <f t="shared" si="22"/>
        <v>61.032000000000004</v>
      </c>
      <c r="V107" s="20">
        <f>2.543*24</f>
        <v>61.032000000000004</v>
      </c>
      <c r="W107" s="20"/>
      <c r="X107" s="20" t="s">
        <v>500</v>
      </c>
      <c r="Y107" s="17" t="s">
        <v>43</v>
      </c>
      <c r="Z107" s="17" t="s">
        <v>33</v>
      </c>
      <c r="AA107" s="20" t="s">
        <v>435</v>
      </c>
      <c r="AB107" s="20"/>
    </row>
    <row r="108" spans="1:28" ht="17.25" hidden="1" customHeight="1" x14ac:dyDescent="0.3">
      <c r="A108" s="12" t="s">
        <v>166</v>
      </c>
      <c r="B108" s="12" t="str">
        <f t="shared" si="24"/>
        <v>DE1801</v>
      </c>
      <c r="C108" s="12" t="s">
        <v>168</v>
      </c>
      <c r="D108" s="132">
        <v>18</v>
      </c>
      <c r="E108" s="70">
        <v>1</v>
      </c>
      <c r="F108" s="12" t="s">
        <v>215</v>
      </c>
      <c r="G108" s="12" t="s">
        <v>216</v>
      </c>
      <c r="H108" s="12" t="s">
        <v>28</v>
      </c>
      <c r="I108" s="12" t="s">
        <v>29</v>
      </c>
      <c r="J108" s="13">
        <v>1976</v>
      </c>
      <c r="K108" s="13"/>
      <c r="L108" s="12" t="s">
        <v>68</v>
      </c>
      <c r="M108" s="12"/>
      <c r="N108" s="12" t="s">
        <v>32</v>
      </c>
      <c r="O108" s="14">
        <f t="shared" si="20"/>
        <v>0.22617008599999999</v>
      </c>
      <c r="P108" s="16">
        <f>19.666964*11.5/1000</f>
        <v>0.22617008599999999</v>
      </c>
      <c r="Q108" s="16"/>
      <c r="R108" s="15">
        <f t="shared" si="21"/>
        <v>52.015000000000001</v>
      </c>
      <c r="S108" s="16">
        <f>S103/2</f>
        <v>52.015000000000001</v>
      </c>
      <c r="T108" s="16"/>
      <c r="U108" s="14">
        <f t="shared" si="22"/>
        <v>162.88999999999999</v>
      </c>
      <c r="V108" s="16">
        <f>V103/2</f>
        <v>162.88999999999999</v>
      </c>
      <c r="W108" s="16"/>
      <c r="X108" s="16" t="s">
        <v>500</v>
      </c>
      <c r="Y108" s="12" t="s">
        <v>33</v>
      </c>
      <c r="Z108" s="12" t="s">
        <v>33</v>
      </c>
      <c r="AA108" s="16" t="s">
        <v>435</v>
      </c>
      <c r="AB108" s="16"/>
    </row>
    <row r="109" spans="1:28" ht="17.25" hidden="1" customHeight="1" x14ac:dyDescent="0.3">
      <c r="A109" s="12" t="s">
        <v>166</v>
      </c>
      <c r="B109" s="12" t="str">
        <f t="shared" si="24"/>
        <v>DE1901</v>
      </c>
      <c r="C109" s="12" t="s">
        <v>168</v>
      </c>
      <c r="D109" s="132">
        <v>19</v>
      </c>
      <c r="E109" s="70">
        <v>1</v>
      </c>
      <c r="F109" s="12" t="s">
        <v>217</v>
      </c>
      <c r="G109" s="12" t="s">
        <v>218</v>
      </c>
      <c r="H109" s="12" t="s">
        <v>28</v>
      </c>
      <c r="I109" s="12" t="s">
        <v>29</v>
      </c>
      <c r="J109" s="13">
        <v>2007</v>
      </c>
      <c r="K109" s="13"/>
      <c r="L109" s="12" t="s">
        <v>63</v>
      </c>
      <c r="M109" s="12"/>
      <c r="N109" s="12" t="s">
        <v>32</v>
      </c>
      <c r="O109" s="14">
        <f t="shared" si="20"/>
        <v>3.012</v>
      </c>
      <c r="P109" s="16">
        <v>3.012</v>
      </c>
      <c r="Q109" s="16"/>
      <c r="R109" s="14">
        <f t="shared" si="21"/>
        <v>84.97</v>
      </c>
      <c r="S109" s="16">
        <v>84.97</v>
      </c>
      <c r="T109" s="16"/>
      <c r="U109" s="14">
        <f t="shared" si="22"/>
        <v>141.61000000000001</v>
      </c>
      <c r="V109" s="16">
        <v>141.61000000000001</v>
      </c>
      <c r="W109" s="16"/>
      <c r="X109" s="16" t="s">
        <v>500</v>
      </c>
      <c r="Y109" s="12" t="s">
        <v>33</v>
      </c>
      <c r="Z109" s="12" t="s">
        <v>33</v>
      </c>
      <c r="AA109" s="16" t="s">
        <v>435</v>
      </c>
      <c r="AB109" s="16"/>
    </row>
    <row r="110" spans="1:28" ht="17.25" hidden="1" customHeight="1" x14ac:dyDescent="0.3">
      <c r="A110" s="12" t="s">
        <v>166</v>
      </c>
      <c r="B110" s="12" t="str">
        <f t="shared" si="24"/>
        <v>DE2001</v>
      </c>
      <c r="C110" s="12" t="s">
        <v>168</v>
      </c>
      <c r="D110" s="132">
        <v>20</v>
      </c>
      <c r="E110" s="70">
        <v>1</v>
      </c>
      <c r="F110" s="12" t="s">
        <v>219</v>
      </c>
      <c r="G110" s="12" t="s">
        <v>200</v>
      </c>
      <c r="H110" s="12" t="s">
        <v>28</v>
      </c>
      <c r="I110" s="12" t="s">
        <v>29</v>
      </c>
      <c r="J110" s="13">
        <v>2012</v>
      </c>
      <c r="K110" s="13"/>
      <c r="L110" s="12" t="s">
        <v>63</v>
      </c>
      <c r="M110" s="12"/>
      <c r="N110" s="12" t="s">
        <v>32</v>
      </c>
      <c r="O110" s="14">
        <f t="shared" si="20"/>
        <v>5.2949999999999999</v>
      </c>
      <c r="P110" s="16">
        <v>5.2949999999999999</v>
      </c>
      <c r="Q110" s="16"/>
      <c r="R110" s="15">
        <f t="shared" si="21"/>
        <v>71.28</v>
      </c>
      <c r="S110" s="16">
        <v>71.28</v>
      </c>
      <c r="T110" s="16"/>
      <c r="U110" s="14">
        <f t="shared" si="22"/>
        <v>106.8</v>
      </c>
      <c r="V110" s="16">
        <v>106.8</v>
      </c>
      <c r="W110" s="16"/>
      <c r="X110" s="16" t="s">
        <v>500</v>
      </c>
      <c r="Y110" s="12" t="s">
        <v>33</v>
      </c>
      <c r="Z110" s="12" t="s">
        <v>33</v>
      </c>
      <c r="AA110" s="16" t="s">
        <v>435</v>
      </c>
      <c r="AB110" s="16"/>
    </row>
    <row r="111" spans="1:28" ht="17.25" hidden="1" customHeight="1" x14ac:dyDescent="0.3">
      <c r="A111" s="12" t="s">
        <v>166</v>
      </c>
      <c r="B111" s="12" t="str">
        <f t="shared" si="24"/>
        <v>DE2101</v>
      </c>
      <c r="C111" s="12" t="s">
        <v>168</v>
      </c>
      <c r="D111" s="132">
        <v>21</v>
      </c>
      <c r="E111" s="70">
        <v>1</v>
      </c>
      <c r="F111" s="12" t="s">
        <v>220</v>
      </c>
      <c r="G111" s="12" t="s">
        <v>221</v>
      </c>
      <c r="H111" s="12" t="s">
        <v>28</v>
      </c>
      <c r="I111" s="12" t="s">
        <v>29</v>
      </c>
      <c r="J111" s="13">
        <v>1970</v>
      </c>
      <c r="K111" s="13"/>
      <c r="L111" s="12" t="s">
        <v>63</v>
      </c>
      <c r="M111" s="12"/>
      <c r="N111" s="12" t="s">
        <v>32</v>
      </c>
      <c r="O111" s="14">
        <f t="shared" si="20"/>
        <v>3.4500000000000003E-2</v>
      </c>
      <c r="P111" s="16">
        <v>0</v>
      </c>
      <c r="Q111" s="16">
        <f>3*11.5/1000</f>
        <v>3.4500000000000003E-2</v>
      </c>
      <c r="R111" s="15">
        <f t="shared" si="21"/>
        <v>0</v>
      </c>
      <c r="S111" s="16"/>
      <c r="T111" s="16"/>
      <c r="U111" s="14">
        <f t="shared" si="22"/>
        <v>0</v>
      </c>
      <c r="V111" s="16"/>
      <c r="W111" s="16"/>
      <c r="X111" s="16" t="s">
        <v>500</v>
      </c>
      <c r="Y111" s="12" t="s">
        <v>33</v>
      </c>
      <c r="Z111" s="12" t="s">
        <v>33</v>
      </c>
      <c r="AA111" s="16" t="s">
        <v>435</v>
      </c>
      <c r="AB111" s="16" t="s">
        <v>33</v>
      </c>
    </row>
    <row r="112" spans="1:28" ht="17.25" hidden="1" customHeight="1" x14ac:dyDescent="0.3">
      <c r="A112" s="12" t="s">
        <v>166</v>
      </c>
      <c r="B112" s="12" t="str">
        <f t="shared" si="24"/>
        <v>DE2201</v>
      </c>
      <c r="C112" s="12" t="s">
        <v>168</v>
      </c>
      <c r="D112" s="132">
        <v>22</v>
      </c>
      <c r="E112" s="70">
        <v>1</v>
      </c>
      <c r="F112" s="12" t="s">
        <v>222</v>
      </c>
      <c r="G112" s="12" t="s">
        <v>223</v>
      </c>
      <c r="H112" s="12" t="s">
        <v>28</v>
      </c>
      <c r="I112" s="12" t="s">
        <v>29</v>
      </c>
      <c r="J112" s="13">
        <v>2000</v>
      </c>
      <c r="K112" s="13"/>
      <c r="L112" s="12" t="s">
        <v>63</v>
      </c>
      <c r="M112" s="12"/>
      <c r="N112" s="12" t="s">
        <v>32</v>
      </c>
      <c r="O112" s="14">
        <f t="shared" si="20"/>
        <v>0.86250000000000004</v>
      </c>
      <c r="P112" s="16">
        <f>75*11.5/1000</f>
        <v>0.86250000000000004</v>
      </c>
      <c r="Q112" s="16"/>
      <c r="R112" s="15">
        <f t="shared" si="21"/>
        <v>1.38</v>
      </c>
      <c r="S112" s="16">
        <f>5000*11.5*24/1000000</f>
        <v>1.38</v>
      </c>
      <c r="T112" s="16"/>
      <c r="U112" s="14">
        <f t="shared" si="22"/>
        <v>4.1399999999999997</v>
      </c>
      <c r="V112" s="16">
        <f>15000*11.5*24/1000000</f>
        <v>4.1399999999999997</v>
      </c>
      <c r="W112" s="16"/>
      <c r="X112" s="16" t="s">
        <v>500</v>
      </c>
      <c r="Y112" s="12" t="s">
        <v>33</v>
      </c>
      <c r="Z112" s="12" t="s">
        <v>33</v>
      </c>
      <c r="AA112" s="16" t="s">
        <v>435</v>
      </c>
      <c r="AB112" s="16"/>
    </row>
    <row r="113" spans="1:28" ht="17.25" hidden="1" customHeight="1" x14ac:dyDescent="0.3">
      <c r="A113" s="12" t="s">
        <v>166</v>
      </c>
      <c r="B113" s="12" t="str">
        <f t="shared" si="24"/>
        <v>DE2301</v>
      </c>
      <c r="C113" s="12" t="s">
        <v>168</v>
      </c>
      <c r="D113" s="132">
        <v>23</v>
      </c>
      <c r="E113" s="70">
        <v>1</v>
      </c>
      <c r="F113" s="12" t="s">
        <v>224</v>
      </c>
      <c r="G113" s="12" t="s">
        <v>203</v>
      </c>
      <c r="H113" s="12" t="s">
        <v>28</v>
      </c>
      <c r="I113" s="12" t="s">
        <v>29</v>
      </c>
      <c r="J113" s="13">
        <v>1971</v>
      </c>
      <c r="K113" s="13"/>
      <c r="L113" s="12" t="s">
        <v>63</v>
      </c>
      <c r="M113" s="12"/>
      <c r="N113" s="12" t="s">
        <v>32</v>
      </c>
      <c r="O113" s="14">
        <f t="shared" si="20"/>
        <v>0.66800000000000004</v>
      </c>
      <c r="P113" s="16">
        <v>0.66800000000000004</v>
      </c>
      <c r="Q113" s="16"/>
      <c r="R113" s="14">
        <f t="shared" si="21"/>
        <v>11.38</v>
      </c>
      <c r="S113" s="16">
        <v>11.38</v>
      </c>
      <c r="T113" s="16"/>
      <c r="U113" s="14">
        <f t="shared" si="22"/>
        <v>27.12</v>
      </c>
      <c r="V113" s="16">
        <v>27.12</v>
      </c>
      <c r="W113" s="16"/>
      <c r="X113" s="16" t="s">
        <v>500</v>
      </c>
      <c r="Y113" s="12" t="s">
        <v>33</v>
      </c>
      <c r="Z113" s="12" t="s">
        <v>33</v>
      </c>
      <c r="AA113" s="16" t="s">
        <v>435</v>
      </c>
      <c r="AB113" s="16"/>
    </row>
    <row r="114" spans="1:28" ht="17.25" hidden="1" customHeight="1" x14ac:dyDescent="0.3">
      <c r="A114" s="12" t="s">
        <v>166</v>
      </c>
      <c r="B114" s="12" t="str">
        <f t="shared" si="24"/>
        <v>DE2401</v>
      </c>
      <c r="C114" s="12" t="s">
        <v>168</v>
      </c>
      <c r="D114" s="132">
        <v>24</v>
      </c>
      <c r="E114" s="70">
        <v>1</v>
      </c>
      <c r="F114" s="12" t="s">
        <v>225</v>
      </c>
      <c r="G114" s="12" t="s">
        <v>223</v>
      </c>
      <c r="H114" s="12" t="s">
        <v>28</v>
      </c>
      <c r="I114" s="12" t="s">
        <v>29</v>
      </c>
      <c r="J114" s="13">
        <v>2000</v>
      </c>
      <c r="K114" s="13"/>
      <c r="L114" s="12" t="s">
        <v>63</v>
      </c>
      <c r="M114" s="12"/>
      <c r="N114" s="12" t="s">
        <v>32</v>
      </c>
      <c r="O114" s="14">
        <v>1.55</v>
      </c>
      <c r="P114" s="16">
        <v>1.55</v>
      </c>
      <c r="Q114" s="16"/>
      <c r="R114" s="14">
        <v>24.821999999999996</v>
      </c>
      <c r="S114" s="16">
        <v>24.821999999999996</v>
      </c>
      <c r="T114" s="16"/>
      <c r="U114" s="14">
        <v>52.007999999999996</v>
      </c>
      <c r="V114" s="16">
        <v>52.007999999999996</v>
      </c>
      <c r="W114" s="16"/>
      <c r="X114" s="16" t="s">
        <v>500</v>
      </c>
      <c r="Y114" s="12" t="s">
        <v>33</v>
      </c>
      <c r="Z114" s="12" t="s">
        <v>33</v>
      </c>
      <c r="AA114" s="57" t="s">
        <v>435</v>
      </c>
      <c r="AB114" s="57" t="s">
        <v>33</v>
      </c>
    </row>
    <row r="115" spans="1:28" ht="17.25" hidden="1" customHeight="1" x14ac:dyDescent="0.3">
      <c r="A115" s="12" t="s">
        <v>166</v>
      </c>
      <c r="B115" s="12" t="str">
        <f t="shared" si="24"/>
        <v>DE2402</v>
      </c>
      <c r="C115" s="12" t="s">
        <v>168</v>
      </c>
      <c r="D115" s="132">
        <v>24</v>
      </c>
      <c r="E115" s="70">
        <v>2</v>
      </c>
      <c r="F115" s="12" t="s">
        <v>225</v>
      </c>
      <c r="G115" s="12" t="s">
        <v>226</v>
      </c>
      <c r="H115" s="12" t="s">
        <v>28</v>
      </c>
      <c r="I115" s="12" t="s">
        <v>29</v>
      </c>
      <c r="J115" s="13">
        <v>1997</v>
      </c>
      <c r="K115" s="13"/>
      <c r="L115" s="12" t="s">
        <v>30</v>
      </c>
      <c r="M115" s="12" t="s">
        <v>31</v>
      </c>
      <c r="N115" s="12" t="s">
        <v>32</v>
      </c>
      <c r="O115" s="14">
        <f t="shared" si="20"/>
        <v>0.11</v>
      </c>
      <c r="P115" s="16">
        <v>0.11</v>
      </c>
      <c r="Q115" s="16"/>
      <c r="R115" s="14">
        <f t="shared" si="21"/>
        <v>5.3520000000000003</v>
      </c>
      <c r="S115" s="16">
        <v>5.3520000000000003</v>
      </c>
      <c r="T115" s="16"/>
      <c r="U115" s="14">
        <f t="shared" si="22"/>
        <v>8.0280000000000005</v>
      </c>
      <c r="V115" s="16">
        <v>8.0280000000000005</v>
      </c>
      <c r="W115" s="16"/>
      <c r="X115" s="16" t="s">
        <v>500</v>
      </c>
      <c r="Y115" s="12" t="s">
        <v>33</v>
      </c>
      <c r="Z115" s="12" t="s">
        <v>33</v>
      </c>
      <c r="AA115" s="57" t="s">
        <v>435</v>
      </c>
      <c r="AB115" s="57" t="s">
        <v>33</v>
      </c>
    </row>
    <row r="116" spans="1:28" ht="17.25" hidden="1" customHeight="1" x14ac:dyDescent="0.3">
      <c r="A116" s="12" t="s">
        <v>166</v>
      </c>
      <c r="B116" s="12" t="str">
        <f t="shared" si="24"/>
        <v>DE2403</v>
      </c>
      <c r="C116" s="12" t="s">
        <v>168</v>
      </c>
      <c r="D116" s="132">
        <v>24</v>
      </c>
      <c r="E116" s="70">
        <v>3</v>
      </c>
      <c r="F116" s="12" t="s">
        <v>225</v>
      </c>
      <c r="G116" s="12" t="s">
        <v>227</v>
      </c>
      <c r="H116" s="12" t="s">
        <v>28</v>
      </c>
      <c r="I116" s="12" t="s">
        <v>29</v>
      </c>
      <c r="J116" s="13">
        <v>1992</v>
      </c>
      <c r="K116" s="13"/>
      <c r="L116" s="12" t="s">
        <v>63</v>
      </c>
      <c r="M116" s="12"/>
      <c r="N116" s="12" t="s">
        <v>32</v>
      </c>
      <c r="O116" s="14">
        <v>1.212</v>
      </c>
      <c r="P116" s="16">
        <v>1.212</v>
      </c>
      <c r="Q116" s="16"/>
      <c r="R116" s="14">
        <f t="shared" si="21"/>
        <v>24.667000000000002</v>
      </c>
      <c r="S116" s="16">
        <v>24.667000000000002</v>
      </c>
      <c r="T116" s="16"/>
      <c r="U116" s="14">
        <f t="shared" si="22"/>
        <v>81.72</v>
      </c>
      <c r="V116" s="16">
        <v>81.72</v>
      </c>
      <c r="W116" s="16"/>
      <c r="X116" s="16" t="s">
        <v>500</v>
      </c>
      <c r="Y116" s="12" t="s">
        <v>33</v>
      </c>
      <c r="Z116" s="12" t="s">
        <v>33</v>
      </c>
      <c r="AA116" s="57" t="s">
        <v>435</v>
      </c>
      <c r="AB116" s="57" t="s">
        <v>33</v>
      </c>
    </row>
    <row r="117" spans="1:28" ht="17.25" hidden="1" customHeight="1" x14ac:dyDescent="0.3">
      <c r="A117" s="12" t="s">
        <v>166</v>
      </c>
      <c r="B117" s="12" t="str">
        <f t="shared" si="24"/>
        <v>DE2404</v>
      </c>
      <c r="C117" s="12" t="s">
        <v>168</v>
      </c>
      <c r="D117" s="132">
        <v>24</v>
      </c>
      <c r="E117" s="70">
        <v>4</v>
      </c>
      <c r="F117" s="12" t="s">
        <v>225</v>
      </c>
      <c r="G117" s="12" t="s">
        <v>228</v>
      </c>
      <c r="H117" s="12" t="s">
        <v>28</v>
      </c>
      <c r="I117" s="12" t="s">
        <v>29</v>
      </c>
      <c r="J117" s="13">
        <v>2002</v>
      </c>
      <c r="K117" s="13"/>
      <c r="L117" s="12" t="s">
        <v>63</v>
      </c>
      <c r="M117" s="12"/>
      <c r="N117" s="12" t="s">
        <v>32</v>
      </c>
      <c r="O117" s="14">
        <v>3.7810000000000001</v>
      </c>
      <c r="P117" s="16">
        <v>3.7810000000000001</v>
      </c>
      <c r="Q117" s="16"/>
      <c r="R117" s="14">
        <f t="shared" si="21"/>
        <v>84.671999999999997</v>
      </c>
      <c r="S117" s="16">
        <v>84.671999999999997</v>
      </c>
      <c r="T117" s="16"/>
      <c r="U117" s="14">
        <f t="shared" si="22"/>
        <v>231.958</v>
      </c>
      <c r="V117" s="16">
        <v>231.958</v>
      </c>
      <c r="W117" s="16"/>
      <c r="X117" s="16" t="s">
        <v>500</v>
      </c>
      <c r="Y117" s="12" t="s">
        <v>33</v>
      </c>
      <c r="Z117" s="12" t="s">
        <v>33</v>
      </c>
      <c r="AA117" s="57" t="s">
        <v>435</v>
      </c>
      <c r="AB117" s="57" t="s">
        <v>33</v>
      </c>
    </row>
    <row r="118" spans="1:28" ht="17.25" hidden="1" customHeight="1" x14ac:dyDescent="0.3">
      <c r="A118" s="12" t="s">
        <v>166</v>
      </c>
      <c r="B118" s="12" t="str">
        <f t="shared" si="24"/>
        <v>DE2405</v>
      </c>
      <c r="C118" s="12" t="s">
        <v>168</v>
      </c>
      <c r="D118" s="132">
        <v>24</v>
      </c>
      <c r="E118" s="70">
        <v>5</v>
      </c>
      <c r="F118" s="12" t="s">
        <v>225</v>
      </c>
      <c r="G118" s="12" t="s">
        <v>229</v>
      </c>
      <c r="H118" s="12" t="s">
        <v>28</v>
      </c>
      <c r="I118" s="12" t="s">
        <v>29</v>
      </c>
      <c r="J118" s="13">
        <v>1983</v>
      </c>
      <c r="K118" s="13"/>
      <c r="L118" s="12" t="s">
        <v>30</v>
      </c>
      <c r="M118" s="12" t="s">
        <v>31</v>
      </c>
      <c r="N118" s="12" t="s">
        <v>32</v>
      </c>
      <c r="O118" s="14">
        <v>1.74</v>
      </c>
      <c r="P118" s="16">
        <v>1.74</v>
      </c>
      <c r="Q118" s="16"/>
      <c r="R118" s="14">
        <f t="shared" si="21"/>
        <v>10.75</v>
      </c>
      <c r="S118" s="16">
        <v>10.75</v>
      </c>
      <c r="T118" s="16"/>
      <c r="U118" s="14">
        <f t="shared" si="22"/>
        <v>40.32</v>
      </c>
      <c r="V118" s="16">
        <v>40.32</v>
      </c>
      <c r="W118" s="16"/>
      <c r="X118" s="16" t="s">
        <v>500</v>
      </c>
      <c r="Y118" s="12" t="s">
        <v>33</v>
      </c>
      <c r="Z118" s="12" t="s">
        <v>33</v>
      </c>
      <c r="AA118" s="57" t="s">
        <v>435</v>
      </c>
      <c r="AB118" s="57" t="s">
        <v>33</v>
      </c>
    </row>
    <row r="119" spans="1:28" hidden="1" x14ac:dyDescent="0.3">
      <c r="A119" s="12" t="s">
        <v>166</v>
      </c>
      <c r="B119" s="12" t="str">
        <f t="shared" si="24"/>
        <v>DE2406</v>
      </c>
      <c r="C119" s="12" t="s">
        <v>168</v>
      </c>
      <c r="D119" s="132">
        <v>24</v>
      </c>
      <c r="E119" s="70">
        <v>6</v>
      </c>
      <c r="F119" s="12" t="s">
        <v>225</v>
      </c>
      <c r="G119" s="12" t="s">
        <v>230</v>
      </c>
      <c r="H119" s="12" t="s">
        <v>28</v>
      </c>
      <c r="I119" s="12" t="s">
        <v>29</v>
      </c>
      <c r="J119" s="13">
        <v>1997</v>
      </c>
      <c r="K119" s="13"/>
      <c r="L119" s="12" t="s">
        <v>30</v>
      </c>
      <c r="M119" s="12" t="s">
        <v>31</v>
      </c>
      <c r="N119" s="12" t="s">
        <v>32</v>
      </c>
      <c r="O119" s="14">
        <v>9.8109999999999999</v>
      </c>
      <c r="P119" s="16">
        <v>9.8109999999999999</v>
      </c>
      <c r="Q119" s="16"/>
      <c r="R119" s="14">
        <f t="shared" si="21"/>
        <v>81.025000000000006</v>
      </c>
      <c r="S119" s="16">
        <v>81.025000000000006</v>
      </c>
      <c r="T119" s="16"/>
      <c r="U119" s="14">
        <f t="shared" si="22"/>
        <v>107.598</v>
      </c>
      <c r="V119" s="16">
        <v>107.598</v>
      </c>
      <c r="W119" s="16"/>
      <c r="X119" s="16" t="s">
        <v>500</v>
      </c>
      <c r="Y119" s="12" t="s">
        <v>33</v>
      </c>
      <c r="Z119" s="12" t="s">
        <v>33</v>
      </c>
      <c r="AA119" s="57" t="s">
        <v>435</v>
      </c>
      <c r="AB119" s="57" t="s">
        <v>33</v>
      </c>
    </row>
    <row r="120" spans="1:28" hidden="1" x14ac:dyDescent="0.3">
      <c r="A120" s="12" t="s">
        <v>166</v>
      </c>
      <c r="B120" s="12" t="str">
        <f t="shared" si="24"/>
        <v>DE2501</v>
      </c>
      <c r="C120" s="12" t="s">
        <v>168</v>
      </c>
      <c r="D120" s="132">
        <v>25</v>
      </c>
      <c r="E120" s="70">
        <v>1</v>
      </c>
      <c r="F120" s="12" t="s">
        <v>231</v>
      </c>
      <c r="G120" s="12" t="s">
        <v>232</v>
      </c>
      <c r="H120" s="12" t="s">
        <v>28</v>
      </c>
      <c r="I120" s="12" t="s">
        <v>29</v>
      </c>
      <c r="J120" s="13">
        <v>1996</v>
      </c>
      <c r="K120" s="13"/>
      <c r="L120" s="12" t="s">
        <v>30</v>
      </c>
      <c r="M120" s="12" t="s">
        <v>31</v>
      </c>
      <c r="N120" s="12" t="s">
        <v>32</v>
      </c>
      <c r="O120" s="14">
        <f t="shared" si="20"/>
        <v>0.71299999999999997</v>
      </c>
      <c r="P120" s="16">
        <f>62*11.5/1000</f>
        <v>0.71299999999999997</v>
      </c>
      <c r="Q120" s="16"/>
      <c r="R120" s="15">
        <f t="shared" si="21"/>
        <v>8.5559999999999992</v>
      </c>
      <c r="S120" s="16">
        <f>31*11.5*24/1000</f>
        <v>8.5559999999999992</v>
      </c>
      <c r="T120" s="16"/>
      <c r="U120" s="14">
        <f t="shared" si="22"/>
        <v>17.111999999999998</v>
      </c>
      <c r="V120" s="16">
        <f>62*11.5*24/1000</f>
        <v>17.111999999999998</v>
      </c>
      <c r="W120" s="16"/>
      <c r="X120" s="16" t="s">
        <v>500</v>
      </c>
      <c r="Y120" s="12" t="s">
        <v>33</v>
      </c>
      <c r="Z120" s="12" t="s">
        <v>33</v>
      </c>
      <c r="AA120" s="16" t="s">
        <v>435</v>
      </c>
      <c r="AB120" s="16"/>
    </row>
    <row r="121" spans="1:28" hidden="1" x14ac:dyDescent="0.3">
      <c r="A121" s="12" t="s">
        <v>166</v>
      </c>
      <c r="B121" s="12" t="str">
        <f t="shared" si="24"/>
        <v>DE2601</v>
      </c>
      <c r="C121" s="12" t="s">
        <v>168</v>
      </c>
      <c r="D121" s="132">
        <v>26</v>
      </c>
      <c r="E121" s="70">
        <v>1</v>
      </c>
      <c r="F121" s="12" t="s">
        <v>233</v>
      </c>
      <c r="G121" s="12" t="s">
        <v>234</v>
      </c>
      <c r="H121" s="12" t="s">
        <v>28</v>
      </c>
      <c r="I121" s="12" t="s">
        <v>29</v>
      </c>
      <c r="J121" s="13">
        <v>1991</v>
      </c>
      <c r="K121" s="13"/>
      <c r="L121" s="12" t="s">
        <v>68</v>
      </c>
      <c r="M121" s="12"/>
      <c r="N121" s="12" t="s">
        <v>32</v>
      </c>
      <c r="O121" s="14">
        <f t="shared" si="20"/>
        <v>0.34499999999999997</v>
      </c>
      <c r="P121" s="27">
        <v>0</v>
      </c>
      <c r="Q121" s="27">
        <f>30*11.5/1000</f>
        <v>0.34499999999999997</v>
      </c>
      <c r="R121" s="15">
        <f t="shared" si="21"/>
        <v>5.52</v>
      </c>
      <c r="S121" s="27">
        <v>0</v>
      </c>
      <c r="T121" s="27">
        <f>0.48*11.5</f>
        <v>5.52</v>
      </c>
      <c r="U121" s="14">
        <f t="shared" si="22"/>
        <v>12.420000000000002</v>
      </c>
      <c r="V121" s="27">
        <v>0</v>
      </c>
      <c r="W121" s="27">
        <f>1.08*11.5</f>
        <v>12.420000000000002</v>
      </c>
      <c r="X121" s="27" t="s">
        <v>500</v>
      </c>
      <c r="Y121" s="12" t="s">
        <v>33</v>
      </c>
      <c r="Z121" s="12" t="s">
        <v>33</v>
      </c>
      <c r="AA121" s="27" t="s">
        <v>435</v>
      </c>
      <c r="AB121" s="27"/>
    </row>
    <row r="122" spans="1:28" hidden="1" x14ac:dyDescent="0.3">
      <c r="A122" s="12" t="s">
        <v>166</v>
      </c>
      <c r="B122" s="12" t="str">
        <f t="shared" si="24"/>
        <v>DE2701</v>
      </c>
      <c r="C122" s="12" t="s">
        <v>168</v>
      </c>
      <c r="D122" s="132">
        <v>27</v>
      </c>
      <c r="E122" s="70">
        <v>1</v>
      </c>
      <c r="F122" s="12" t="s">
        <v>235</v>
      </c>
      <c r="G122" s="12" t="s">
        <v>196</v>
      </c>
      <c r="H122" s="12" t="s">
        <v>28</v>
      </c>
      <c r="I122" s="12" t="s">
        <v>29</v>
      </c>
      <c r="J122" s="13">
        <v>1993</v>
      </c>
      <c r="K122" s="13"/>
      <c r="L122" s="12" t="s">
        <v>63</v>
      </c>
      <c r="M122" s="12"/>
      <c r="N122" s="12" t="s">
        <v>32</v>
      </c>
      <c r="O122" s="14">
        <f t="shared" si="20"/>
        <v>6.2932289500000002E-2</v>
      </c>
      <c r="P122" s="27">
        <f>5.472373*11.5/1000</f>
        <v>6.2932289500000002E-2</v>
      </c>
      <c r="Q122" s="27"/>
      <c r="R122" s="15">
        <f t="shared" si="21"/>
        <v>0.89341199999999998</v>
      </c>
      <c r="S122" s="27">
        <f>3237*11.5*24/1000000</f>
        <v>0.89341199999999998</v>
      </c>
      <c r="T122" s="27"/>
      <c r="U122" s="14">
        <f t="shared" si="22"/>
        <v>1.9656720000000001</v>
      </c>
      <c r="V122" s="27">
        <f>7122*11.5*24/1000000</f>
        <v>1.9656720000000001</v>
      </c>
      <c r="W122" s="27"/>
      <c r="X122" s="27" t="s">
        <v>500</v>
      </c>
      <c r="Y122" s="12" t="s">
        <v>33</v>
      </c>
      <c r="Z122" s="12" t="s">
        <v>33</v>
      </c>
      <c r="AA122" s="27" t="s">
        <v>435</v>
      </c>
      <c r="AB122" s="27"/>
    </row>
    <row r="123" spans="1:28" hidden="1" x14ac:dyDescent="0.3">
      <c r="A123" s="12" t="s">
        <v>166</v>
      </c>
      <c r="B123" s="12" t="str">
        <f t="shared" si="24"/>
        <v>DE2801</v>
      </c>
      <c r="C123" s="12" t="s">
        <v>168</v>
      </c>
      <c r="D123" s="132">
        <v>28</v>
      </c>
      <c r="E123" s="70">
        <v>1</v>
      </c>
      <c r="F123" s="12" t="s">
        <v>236</v>
      </c>
      <c r="G123" s="12" t="s">
        <v>237</v>
      </c>
      <c r="H123" s="12" t="s">
        <v>28</v>
      </c>
      <c r="I123" s="12" t="s">
        <v>29</v>
      </c>
      <c r="J123" s="13">
        <v>2008</v>
      </c>
      <c r="K123" s="13"/>
      <c r="L123" s="12" t="s">
        <v>63</v>
      </c>
      <c r="M123" s="12"/>
      <c r="N123" s="12" t="s">
        <v>32</v>
      </c>
      <c r="O123" s="14">
        <f t="shared" si="20"/>
        <v>2.1698</v>
      </c>
      <c r="P123" s="16">
        <v>2.1698</v>
      </c>
      <c r="Q123" s="16"/>
      <c r="R123" s="14">
        <f t="shared" si="21"/>
        <v>82.22</v>
      </c>
      <c r="S123" s="16">
        <v>82.22</v>
      </c>
      <c r="T123" s="16"/>
      <c r="U123" s="14">
        <f t="shared" si="22"/>
        <v>164.45</v>
      </c>
      <c r="V123" s="16">
        <v>164.45</v>
      </c>
      <c r="W123" s="16"/>
      <c r="X123" s="16" t="s">
        <v>500</v>
      </c>
      <c r="Y123" s="12" t="s">
        <v>33</v>
      </c>
      <c r="Z123" s="12" t="s">
        <v>33</v>
      </c>
      <c r="AA123" s="16" t="s">
        <v>435</v>
      </c>
      <c r="AB123" s="16"/>
    </row>
    <row r="124" spans="1:28" hidden="1" x14ac:dyDescent="0.3">
      <c r="A124" s="12" t="s">
        <v>166</v>
      </c>
      <c r="B124" s="12" t="str">
        <f t="shared" si="24"/>
        <v>DE2901</v>
      </c>
      <c r="C124" s="12" t="s">
        <v>168</v>
      </c>
      <c r="D124" s="132">
        <v>29</v>
      </c>
      <c r="E124" s="70">
        <v>1</v>
      </c>
      <c r="F124" s="12" t="s">
        <v>56</v>
      </c>
      <c r="G124" s="12" t="s">
        <v>238</v>
      </c>
      <c r="H124" s="12" t="s">
        <v>28</v>
      </c>
      <c r="I124" s="12" t="s">
        <v>29</v>
      </c>
      <c r="J124" s="13">
        <v>1975</v>
      </c>
      <c r="K124" s="13"/>
      <c r="L124" s="12" t="s">
        <v>30</v>
      </c>
      <c r="M124" s="12" t="s">
        <v>31</v>
      </c>
      <c r="N124" s="12" t="s">
        <v>32</v>
      </c>
      <c r="O124" s="14">
        <f t="shared" si="20"/>
        <v>9.4079999999999995</v>
      </c>
      <c r="P124" s="16">
        <v>9.4079999999999995</v>
      </c>
      <c r="Q124" s="16"/>
      <c r="R124" s="14">
        <f t="shared" si="21"/>
        <v>268.8</v>
      </c>
      <c r="S124" s="16">
        <v>268.8</v>
      </c>
      <c r="T124" s="16"/>
      <c r="U124" s="14">
        <f t="shared" si="22"/>
        <v>349.44</v>
      </c>
      <c r="V124" s="16">
        <v>349.44</v>
      </c>
      <c r="W124" s="16"/>
      <c r="X124" s="16" t="s">
        <v>500</v>
      </c>
      <c r="Y124" s="12" t="s">
        <v>33</v>
      </c>
      <c r="Z124" s="12" t="s">
        <v>33</v>
      </c>
      <c r="AA124" s="16" t="s">
        <v>435</v>
      </c>
      <c r="AB124" s="16" t="s">
        <v>33</v>
      </c>
    </row>
    <row r="125" spans="1:28" hidden="1" x14ac:dyDescent="0.3">
      <c r="A125" s="12" t="s">
        <v>166</v>
      </c>
      <c r="B125" s="12" t="str">
        <f t="shared" si="24"/>
        <v>DE2902</v>
      </c>
      <c r="C125" s="12" t="s">
        <v>168</v>
      </c>
      <c r="D125" s="132">
        <v>29</v>
      </c>
      <c r="E125" s="70">
        <v>2</v>
      </c>
      <c r="F125" s="12" t="s">
        <v>56</v>
      </c>
      <c r="G125" s="12" t="s">
        <v>239</v>
      </c>
      <c r="H125" s="12" t="s">
        <v>28</v>
      </c>
      <c r="I125" s="12" t="s">
        <v>29</v>
      </c>
      <c r="J125" s="13">
        <v>1996</v>
      </c>
      <c r="K125" s="13"/>
      <c r="L125" s="12" t="s">
        <v>30</v>
      </c>
      <c r="M125" s="12" t="s">
        <v>31</v>
      </c>
      <c r="N125" s="12" t="s">
        <v>32</v>
      </c>
      <c r="O125" s="14">
        <v>11.22</v>
      </c>
      <c r="P125" s="16">
        <v>11.22</v>
      </c>
      <c r="Q125" s="16"/>
      <c r="R125" s="14">
        <f t="shared" si="21"/>
        <v>67.2</v>
      </c>
      <c r="S125" s="16">
        <v>67.2</v>
      </c>
      <c r="T125" s="16"/>
      <c r="U125" s="14">
        <f t="shared" si="22"/>
        <v>139.77600000000001</v>
      </c>
      <c r="V125" s="16">
        <v>139.77600000000001</v>
      </c>
      <c r="W125" s="16"/>
      <c r="X125" s="16" t="s">
        <v>500</v>
      </c>
      <c r="Y125" s="12" t="s">
        <v>33</v>
      </c>
      <c r="Z125" s="12" t="s">
        <v>33</v>
      </c>
      <c r="AA125" s="16" t="s">
        <v>435</v>
      </c>
      <c r="AB125" s="16" t="s">
        <v>33</v>
      </c>
    </row>
    <row r="126" spans="1:28" hidden="1" x14ac:dyDescent="0.3">
      <c r="A126" s="12" t="s">
        <v>166</v>
      </c>
      <c r="B126" s="12" t="str">
        <f t="shared" si="24"/>
        <v>DE2903</v>
      </c>
      <c r="C126" s="12" t="s">
        <v>168</v>
      </c>
      <c r="D126" s="132">
        <v>29</v>
      </c>
      <c r="E126" s="70">
        <v>3</v>
      </c>
      <c r="F126" s="12" t="s">
        <v>56</v>
      </c>
      <c r="G126" s="12" t="s">
        <v>240</v>
      </c>
      <c r="H126" s="12" t="s">
        <v>28</v>
      </c>
      <c r="I126" s="12" t="s">
        <v>29</v>
      </c>
      <c r="J126" s="13">
        <v>1976</v>
      </c>
      <c r="K126" s="13"/>
      <c r="L126" s="12" t="s">
        <v>63</v>
      </c>
      <c r="M126" s="12"/>
      <c r="N126" s="12" t="s">
        <v>32</v>
      </c>
      <c r="O126" s="14">
        <f t="shared" si="20"/>
        <v>14.425000000000001</v>
      </c>
      <c r="P126" s="16">
        <v>14.425000000000001</v>
      </c>
      <c r="Q126" s="16"/>
      <c r="R126" s="14">
        <f t="shared" si="21"/>
        <v>328.32</v>
      </c>
      <c r="S126" s="16">
        <v>328.32</v>
      </c>
      <c r="T126" s="16"/>
      <c r="U126" s="14">
        <f t="shared" si="22"/>
        <v>465.12</v>
      </c>
      <c r="V126" s="16">
        <v>465.12</v>
      </c>
      <c r="W126" s="16"/>
      <c r="X126" s="16" t="s">
        <v>500</v>
      </c>
      <c r="Y126" s="12" t="s">
        <v>33</v>
      </c>
      <c r="Z126" s="12" t="s">
        <v>33</v>
      </c>
      <c r="AA126" s="16" t="s">
        <v>435</v>
      </c>
      <c r="AB126" s="16" t="s">
        <v>33</v>
      </c>
    </row>
    <row r="127" spans="1:28" hidden="1" x14ac:dyDescent="0.3">
      <c r="A127" s="12" t="s">
        <v>166</v>
      </c>
      <c r="B127" s="12" t="str">
        <f t="shared" si="24"/>
        <v>DE2904</v>
      </c>
      <c r="C127" s="12" t="s">
        <v>168</v>
      </c>
      <c r="D127" s="132">
        <v>29</v>
      </c>
      <c r="E127" s="70">
        <v>4</v>
      </c>
      <c r="F127" s="12" t="s">
        <v>56</v>
      </c>
      <c r="G127" s="12" t="s">
        <v>241</v>
      </c>
      <c r="H127" s="12" t="s">
        <v>28</v>
      </c>
      <c r="I127" s="12" t="s">
        <v>29</v>
      </c>
      <c r="J127" s="13">
        <v>1976</v>
      </c>
      <c r="K127" s="13"/>
      <c r="L127" s="12" t="s">
        <v>63</v>
      </c>
      <c r="M127" s="12"/>
      <c r="N127" s="12" t="s">
        <v>32</v>
      </c>
      <c r="O127" s="14">
        <f t="shared" si="20"/>
        <v>4.25</v>
      </c>
      <c r="P127" s="16">
        <v>4.25</v>
      </c>
      <c r="Q127" s="16"/>
      <c r="R127" s="14">
        <f t="shared" si="21"/>
        <v>57.6</v>
      </c>
      <c r="S127" s="16">
        <v>57.6</v>
      </c>
      <c r="T127" s="16"/>
      <c r="U127" s="14">
        <f t="shared" si="22"/>
        <v>288</v>
      </c>
      <c r="V127" s="16">
        <v>288</v>
      </c>
      <c r="W127" s="16"/>
      <c r="X127" s="16" t="s">
        <v>500</v>
      </c>
      <c r="Y127" s="12" t="s">
        <v>33</v>
      </c>
      <c r="Z127" s="12" t="s">
        <v>33</v>
      </c>
      <c r="AA127" s="16" t="s">
        <v>435</v>
      </c>
      <c r="AB127" s="16" t="s">
        <v>33</v>
      </c>
    </row>
    <row r="128" spans="1:28" hidden="1" x14ac:dyDescent="0.3">
      <c r="A128" s="12" t="s">
        <v>166</v>
      </c>
      <c r="B128" s="12" t="str">
        <f t="shared" si="24"/>
        <v>DE2905</v>
      </c>
      <c r="C128" s="12" t="s">
        <v>168</v>
      </c>
      <c r="D128" s="132">
        <v>29</v>
      </c>
      <c r="E128" s="70">
        <v>5</v>
      </c>
      <c r="F128" s="12" t="s">
        <v>56</v>
      </c>
      <c r="G128" s="12" t="s">
        <v>216</v>
      </c>
      <c r="H128" s="12" t="s">
        <v>28</v>
      </c>
      <c r="I128" s="12" t="s">
        <v>29</v>
      </c>
      <c r="J128" s="13">
        <v>1976</v>
      </c>
      <c r="K128" s="13"/>
      <c r="L128" s="12" t="s">
        <v>68</v>
      </c>
      <c r="M128" s="12"/>
      <c r="N128" s="12" t="s">
        <v>32</v>
      </c>
      <c r="O128" s="14">
        <f t="shared" si="20"/>
        <v>0.51980000000000004</v>
      </c>
      <c r="P128" s="16">
        <v>0.51980000000000004</v>
      </c>
      <c r="Q128" s="16"/>
      <c r="R128" s="14">
        <f t="shared" si="21"/>
        <v>5.4240000000000004</v>
      </c>
      <c r="S128" s="16">
        <v>5.4240000000000004</v>
      </c>
      <c r="T128" s="16"/>
      <c r="U128" s="14">
        <f t="shared" si="22"/>
        <v>10.848000000000001</v>
      </c>
      <c r="V128" s="16">
        <v>10.848000000000001</v>
      </c>
      <c r="W128" s="16"/>
      <c r="X128" s="16" t="s">
        <v>500</v>
      </c>
      <c r="Y128" s="12" t="s">
        <v>33</v>
      </c>
      <c r="Z128" s="12" t="s">
        <v>33</v>
      </c>
      <c r="AA128" s="16" t="s">
        <v>435</v>
      </c>
      <c r="AB128" s="16" t="s">
        <v>33</v>
      </c>
    </row>
    <row r="129" spans="1:28" hidden="1" x14ac:dyDescent="0.3">
      <c r="A129" s="12" t="s">
        <v>166</v>
      </c>
      <c r="B129" s="12" t="str">
        <f t="shared" si="24"/>
        <v>DE2906</v>
      </c>
      <c r="C129" s="12" t="s">
        <v>168</v>
      </c>
      <c r="D129" s="132">
        <v>29</v>
      </c>
      <c r="E129" s="70">
        <v>6</v>
      </c>
      <c r="F129" s="12" t="s">
        <v>56</v>
      </c>
      <c r="G129" s="12" t="s">
        <v>196</v>
      </c>
      <c r="H129" s="12" t="s">
        <v>28</v>
      </c>
      <c r="I129" s="12" t="s">
        <v>29</v>
      </c>
      <c r="J129" s="13">
        <v>1993</v>
      </c>
      <c r="K129" s="13"/>
      <c r="L129" s="12" t="s">
        <v>63</v>
      </c>
      <c r="M129" s="12"/>
      <c r="N129" s="12" t="s">
        <v>32</v>
      </c>
      <c r="O129" s="14">
        <f t="shared" si="20"/>
        <v>11.087</v>
      </c>
      <c r="P129" s="16">
        <v>11.087</v>
      </c>
      <c r="Q129" s="16"/>
      <c r="R129" s="14">
        <f t="shared" si="21"/>
        <v>155.67840000000001</v>
      </c>
      <c r="S129" s="16">
        <v>155.67840000000001</v>
      </c>
      <c r="T129" s="16"/>
      <c r="U129" s="14">
        <f t="shared" si="22"/>
        <v>271.68400000000003</v>
      </c>
      <c r="V129" s="16">
        <v>271.68400000000003</v>
      </c>
      <c r="W129" s="16"/>
      <c r="X129" s="16" t="s">
        <v>500</v>
      </c>
      <c r="Y129" s="12" t="s">
        <v>33</v>
      </c>
      <c r="Z129" s="12" t="s">
        <v>33</v>
      </c>
      <c r="AA129" s="16" t="s">
        <v>435</v>
      </c>
      <c r="AB129" s="16" t="s">
        <v>33</v>
      </c>
    </row>
    <row r="130" spans="1:28" hidden="1" x14ac:dyDescent="0.3">
      <c r="A130" s="12" t="s">
        <v>166</v>
      </c>
      <c r="B130" s="12" t="str">
        <f t="shared" si="24"/>
        <v>DE2907</v>
      </c>
      <c r="C130" s="12" t="s">
        <v>168</v>
      </c>
      <c r="D130" s="132">
        <v>29</v>
      </c>
      <c r="E130" s="70">
        <v>7</v>
      </c>
      <c r="F130" s="12" t="s">
        <v>56</v>
      </c>
      <c r="G130" s="12" t="s">
        <v>200</v>
      </c>
      <c r="H130" s="12" t="s">
        <v>28</v>
      </c>
      <c r="I130" s="12" t="s">
        <v>29</v>
      </c>
      <c r="J130" s="13">
        <v>2012</v>
      </c>
      <c r="K130" s="13"/>
      <c r="L130" s="12" t="s">
        <v>63</v>
      </c>
      <c r="M130" s="12"/>
      <c r="N130" s="12" t="s">
        <v>32</v>
      </c>
      <c r="O130" s="14">
        <f t="shared" si="20"/>
        <v>11.490600000000001</v>
      </c>
      <c r="P130" s="16">
        <v>11.490600000000001</v>
      </c>
      <c r="Q130" s="16"/>
      <c r="R130" s="14">
        <f t="shared" si="21"/>
        <v>425.63900000000001</v>
      </c>
      <c r="S130" s="16">
        <v>425.63900000000001</v>
      </c>
      <c r="T130" s="16"/>
      <c r="U130" s="14">
        <f t="shared" si="22"/>
        <v>396.72</v>
      </c>
      <c r="V130" s="16">
        <v>396.72</v>
      </c>
      <c r="W130" s="16"/>
      <c r="X130" s="16" t="s">
        <v>500</v>
      </c>
      <c r="Y130" s="12" t="s">
        <v>33</v>
      </c>
      <c r="Z130" s="12" t="s">
        <v>33</v>
      </c>
      <c r="AA130" s="16" t="s">
        <v>435</v>
      </c>
      <c r="AB130" s="16" t="s">
        <v>33</v>
      </c>
    </row>
    <row r="131" spans="1:28" ht="15" hidden="1" customHeight="1" x14ac:dyDescent="0.3">
      <c r="A131" s="12" t="s">
        <v>166</v>
      </c>
      <c r="B131" s="12" t="str">
        <f t="shared" si="24"/>
        <v>DE3001</v>
      </c>
      <c r="C131" s="12" t="s">
        <v>168</v>
      </c>
      <c r="D131" s="132">
        <v>30</v>
      </c>
      <c r="E131" s="70">
        <v>1</v>
      </c>
      <c r="F131" s="12" t="s">
        <v>242</v>
      </c>
      <c r="G131" s="12" t="s">
        <v>461</v>
      </c>
      <c r="H131" s="12" t="s">
        <v>28</v>
      </c>
      <c r="I131" s="12" t="s">
        <v>29</v>
      </c>
      <c r="J131" s="13">
        <v>2012</v>
      </c>
      <c r="K131" s="13"/>
      <c r="L131" s="12" t="s">
        <v>63</v>
      </c>
      <c r="M131" s="12"/>
      <c r="N131" s="12" t="s">
        <v>32</v>
      </c>
      <c r="O131" s="14">
        <f t="shared" si="20"/>
        <v>1.2788999999999999</v>
      </c>
      <c r="P131" s="16">
        <v>1.2788999999999999</v>
      </c>
      <c r="Q131" s="16"/>
      <c r="R131" s="14">
        <f t="shared" si="21"/>
        <v>28.728000000000002</v>
      </c>
      <c r="S131" s="16">
        <v>28.728000000000002</v>
      </c>
      <c r="T131" s="16"/>
      <c r="U131" s="14">
        <f t="shared" si="22"/>
        <v>46.17</v>
      </c>
      <c r="V131" s="16">
        <v>46.17</v>
      </c>
      <c r="W131" s="16"/>
      <c r="X131" s="16" t="s">
        <v>500</v>
      </c>
      <c r="Y131" s="12" t="s">
        <v>33</v>
      </c>
      <c r="Z131" s="12" t="s">
        <v>33</v>
      </c>
      <c r="AA131" s="16" t="s">
        <v>435</v>
      </c>
      <c r="AB131" s="16" t="s">
        <v>33</v>
      </c>
    </row>
    <row r="132" spans="1:28" s="82" customFormat="1" ht="15" hidden="1" customHeight="1" x14ac:dyDescent="0.3">
      <c r="A132" s="79" t="s">
        <v>166</v>
      </c>
      <c r="B132" s="79" t="str">
        <f t="shared" si="24"/>
        <v>DE3002</v>
      </c>
      <c r="C132" s="79" t="s">
        <v>168</v>
      </c>
      <c r="D132" s="136">
        <v>30</v>
      </c>
      <c r="E132" s="80">
        <v>2</v>
      </c>
      <c r="F132" s="79" t="s">
        <v>242</v>
      </c>
      <c r="G132" s="79" t="s">
        <v>243</v>
      </c>
      <c r="H132" s="79" t="s">
        <v>451</v>
      </c>
      <c r="I132" s="79" t="s">
        <v>29</v>
      </c>
      <c r="J132" s="81">
        <v>1973</v>
      </c>
      <c r="K132" s="81">
        <v>2018</v>
      </c>
      <c r="L132" s="79" t="s">
        <v>30</v>
      </c>
      <c r="M132" s="79" t="s">
        <v>31</v>
      </c>
      <c r="N132" s="79" t="s">
        <v>32</v>
      </c>
      <c r="O132" s="115">
        <f t="shared" si="20"/>
        <v>2.0205000000000002</v>
      </c>
      <c r="P132" s="116">
        <v>2.0205000000000002</v>
      </c>
      <c r="Q132" s="116"/>
      <c r="R132" s="115">
        <f t="shared" si="21"/>
        <v>37.72</v>
      </c>
      <c r="S132" s="116">
        <v>37.72</v>
      </c>
      <c r="T132" s="116"/>
      <c r="U132" s="115">
        <f t="shared" si="22"/>
        <v>33.68</v>
      </c>
      <c r="V132" s="116">
        <v>33.68</v>
      </c>
      <c r="W132" s="116"/>
      <c r="X132" s="116" t="s">
        <v>500</v>
      </c>
      <c r="Y132" s="79" t="s">
        <v>43</v>
      </c>
      <c r="Z132" s="79" t="s">
        <v>43</v>
      </c>
      <c r="AA132" s="16" t="s">
        <v>476</v>
      </c>
      <c r="AB132" s="16" t="s">
        <v>33</v>
      </c>
    </row>
    <row r="133" spans="1:28" hidden="1" x14ac:dyDescent="0.3">
      <c r="A133" s="12" t="s">
        <v>166</v>
      </c>
      <c r="B133" s="12" t="str">
        <f>C133&amp;TEXT(D133,"0#")&amp;TEXT(E133,"0#")</f>
        <v>DE3006</v>
      </c>
      <c r="C133" s="12" t="s">
        <v>168</v>
      </c>
      <c r="D133" s="137">
        <v>30</v>
      </c>
      <c r="E133" s="12">
        <v>6</v>
      </c>
      <c r="F133" s="12" t="s">
        <v>242</v>
      </c>
      <c r="G133" s="12" t="s">
        <v>462</v>
      </c>
      <c r="H133" s="12" t="s">
        <v>28</v>
      </c>
      <c r="I133" s="12" t="s">
        <v>29</v>
      </c>
      <c r="J133" s="12">
        <v>2019</v>
      </c>
      <c r="K133" s="12"/>
      <c r="L133" s="12" t="s">
        <v>63</v>
      </c>
      <c r="M133" s="12"/>
      <c r="N133" s="12" t="s">
        <v>32</v>
      </c>
      <c r="O133" s="14">
        <f t="shared" si="20"/>
        <v>1.6628000000000001</v>
      </c>
      <c r="P133" s="16">
        <v>1.6628000000000001</v>
      </c>
      <c r="Q133" s="16"/>
      <c r="R133" s="14">
        <f t="shared" ref="R133" si="25">S133+T133</f>
        <v>27.22</v>
      </c>
      <c r="S133" s="16">
        <v>27.22</v>
      </c>
      <c r="T133" s="16"/>
      <c r="U133" s="14">
        <f t="shared" ref="U133" si="26">V133+W133</f>
        <v>41.85</v>
      </c>
      <c r="V133" s="16">
        <v>41.85</v>
      </c>
      <c r="W133" s="16"/>
      <c r="X133" s="16" t="s">
        <v>500</v>
      </c>
      <c r="Y133" s="12" t="s">
        <v>33</v>
      </c>
      <c r="Z133" s="12" t="s">
        <v>33</v>
      </c>
      <c r="AA133" s="16" t="s">
        <v>435</v>
      </c>
      <c r="AB133" s="16" t="s">
        <v>33</v>
      </c>
    </row>
    <row r="134" spans="1:28" hidden="1" x14ac:dyDescent="0.3">
      <c r="A134" s="36" t="s">
        <v>166</v>
      </c>
      <c r="B134" s="36" t="str">
        <f t="shared" si="24"/>
        <v>DE3003</v>
      </c>
      <c r="C134" s="36" t="s">
        <v>168</v>
      </c>
      <c r="D134" s="133">
        <v>30</v>
      </c>
      <c r="E134" s="71">
        <v>3</v>
      </c>
      <c r="F134" s="36" t="s">
        <v>242</v>
      </c>
      <c r="G134" s="36" t="s">
        <v>244</v>
      </c>
      <c r="H134" s="36" t="s">
        <v>28</v>
      </c>
      <c r="I134" s="36" t="s">
        <v>29</v>
      </c>
      <c r="J134" s="37">
        <v>1974</v>
      </c>
      <c r="K134" s="37"/>
      <c r="L134" s="36" t="s">
        <v>63</v>
      </c>
      <c r="M134" s="36"/>
      <c r="N134" s="36" t="s">
        <v>32</v>
      </c>
      <c r="O134" s="77">
        <f t="shared" si="20"/>
        <v>0</v>
      </c>
      <c r="P134" s="38"/>
      <c r="Q134" s="38"/>
      <c r="R134" s="77">
        <f t="shared" si="21"/>
        <v>0</v>
      </c>
      <c r="S134" s="38"/>
      <c r="T134" s="38"/>
      <c r="U134" s="77">
        <f t="shared" si="22"/>
        <v>0</v>
      </c>
      <c r="V134" s="38"/>
      <c r="W134" s="38"/>
      <c r="X134" s="38" t="s">
        <v>500</v>
      </c>
      <c r="Y134" s="36" t="s">
        <v>33</v>
      </c>
      <c r="Z134" s="36" t="s">
        <v>43</v>
      </c>
      <c r="AA134" s="38" t="s">
        <v>435</v>
      </c>
      <c r="AB134" s="38" t="s">
        <v>33</v>
      </c>
    </row>
    <row r="135" spans="1:28" hidden="1" x14ac:dyDescent="0.3">
      <c r="A135" s="36" t="s">
        <v>166</v>
      </c>
      <c r="B135" s="36" t="str">
        <f t="shared" si="24"/>
        <v>DE3004</v>
      </c>
      <c r="C135" s="36" t="s">
        <v>168</v>
      </c>
      <c r="D135" s="133">
        <v>30</v>
      </c>
      <c r="E135" s="71">
        <v>4</v>
      </c>
      <c r="F135" s="36" t="s">
        <v>242</v>
      </c>
      <c r="G135" s="36" t="s">
        <v>245</v>
      </c>
      <c r="H135" s="36" t="s">
        <v>28</v>
      </c>
      <c r="I135" s="36" t="s">
        <v>29</v>
      </c>
      <c r="J135" s="37">
        <v>1975</v>
      </c>
      <c r="K135" s="37"/>
      <c r="L135" s="36" t="s">
        <v>63</v>
      </c>
      <c r="M135" s="36"/>
      <c r="N135" s="36" t="s">
        <v>32</v>
      </c>
      <c r="O135" s="77">
        <f t="shared" si="20"/>
        <v>0</v>
      </c>
      <c r="P135" s="38"/>
      <c r="Q135" s="38"/>
      <c r="R135" s="77">
        <f t="shared" si="21"/>
        <v>0</v>
      </c>
      <c r="S135" s="38"/>
      <c r="T135" s="38"/>
      <c r="U135" s="77">
        <f t="shared" si="22"/>
        <v>0</v>
      </c>
      <c r="V135" s="38"/>
      <c r="W135" s="38"/>
      <c r="X135" s="38" t="s">
        <v>500</v>
      </c>
      <c r="Y135" s="36" t="s">
        <v>33</v>
      </c>
      <c r="Z135" s="36" t="s">
        <v>43</v>
      </c>
      <c r="AA135" s="38" t="s">
        <v>435</v>
      </c>
      <c r="AB135" s="38" t="s">
        <v>33</v>
      </c>
    </row>
    <row r="136" spans="1:28" hidden="1" x14ac:dyDescent="0.3">
      <c r="A136" s="36" t="s">
        <v>166</v>
      </c>
      <c r="B136" s="36" t="str">
        <f t="shared" si="24"/>
        <v>DE3005</v>
      </c>
      <c r="C136" s="36" t="s">
        <v>168</v>
      </c>
      <c r="D136" s="133">
        <v>30</v>
      </c>
      <c r="E136" s="71">
        <v>5</v>
      </c>
      <c r="F136" s="36" t="s">
        <v>242</v>
      </c>
      <c r="G136" s="36" t="s">
        <v>245</v>
      </c>
      <c r="H136" s="36" t="s">
        <v>28</v>
      </c>
      <c r="I136" s="36" t="s">
        <v>29</v>
      </c>
      <c r="J136" s="37">
        <v>1975</v>
      </c>
      <c r="K136" s="37"/>
      <c r="L136" s="36" t="s">
        <v>30</v>
      </c>
      <c r="M136" s="36" t="s">
        <v>246</v>
      </c>
      <c r="N136" s="36" t="s">
        <v>32</v>
      </c>
      <c r="O136" s="77">
        <f t="shared" si="20"/>
        <v>0</v>
      </c>
      <c r="P136" s="38"/>
      <c r="Q136" s="38"/>
      <c r="R136" s="77">
        <f t="shared" si="21"/>
        <v>0</v>
      </c>
      <c r="S136" s="38"/>
      <c r="T136" s="38"/>
      <c r="U136" s="77">
        <f t="shared" si="22"/>
        <v>0</v>
      </c>
      <c r="V136" s="38"/>
      <c r="W136" s="38"/>
      <c r="X136" s="38" t="s">
        <v>500</v>
      </c>
      <c r="Y136" s="36" t="s">
        <v>33</v>
      </c>
      <c r="Z136" s="36" t="s">
        <v>43</v>
      </c>
      <c r="AA136" s="38" t="s">
        <v>435</v>
      </c>
      <c r="AB136" s="38" t="s">
        <v>33</v>
      </c>
    </row>
    <row r="137" spans="1:28" s="22" customFormat="1" ht="15" hidden="1" customHeight="1" x14ac:dyDescent="0.3">
      <c r="A137" s="58" t="s">
        <v>166</v>
      </c>
      <c r="B137" s="17" t="str">
        <f>C137&amp;TEXT(D137,"0#")&amp;TEXT(E137,"00#")</f>
        <v>DE30V1</v>
      </c>
      <c r="C137" s="17" t="s">
        <v>168</v>
      </c>
      <c r="D137" s="134">
        <v>30</v>
      </c>
      <c r="E137" s="72" t="s">
        <v>456</v>
      </c>
      <c r="F137" s="59" t="s">
        <v>242</v>
      </c>
      <c r="G137" s="59" t="s">
        <v>249</v>
      </c>
      <c r="H137" s="17" t="s">
        <v>28</v>
      </c>
      <c r="I137" s="17" t="s">
        <v>29</v>
      </c>
      <c r="J137" s="18"/>
      <c r="K137" s="18"/>
      <c r="L137" s="17" t="s">
        <v>482</v>
      </c>
      <c r="M137" s="17"/>
      <c r="N137" s="17" t="s">
        <v>32</v>
      </c>
      <c r="O137" s="20">
        <f t="shared" si="20"/>
        <v>21.707799999999999</v>
      </c>
      <c r="P137" s="20">
        <v>21.707799999999999</v>
      </c>
      <c r="Q137" s="20"/>
      <c r="R137" s="83">
        <f t="shared" si="21"/>
        <v>339.9</v>
      </c>
      <c r="S137" s="20">
        <v>339.9</v>
      </c>
      <c r="T137" s="20"/>
      <c r="U137" s="17">
        <f t="shared" si="22"/>
        <v>497.17</v>
      </c>
      <c r="V137" s="20">
        <v>497.17</v>
      </c>
      <c r="W137" s="20"/>
      <c r="X137" s="20" t="s">
        <v>500</v>
      </c>
      <c r="Y137" s="58" t="s">
        <v>43</v>
      </c>
      <c r="Z137" s="58" t="s">
        <v>33</v>
      </c>
      <c r="AA137" s="20" t="s">
        <v>435</v>
      </c>
      <c r="AB137" s="20"/>
    </row>
    <row r="138" spans="1:28" hidden="1" x14ac:dyDescent="0.3">
      <c r="A138" s="12" t="s">
        <v>250</v>
      </c>
      <c r="B138" s="12" t="str">
        <f t="shared" si="24"/>
        <v>GR0101</v>
      </c>
      <c r="C138" s="12" t="s">
        <v>251</v>
      </c>
      <c r="D138" s="132">
        <v>1</v>
      </c>
      <c r="E138" s="70">
        <v>1</v>
      </c>
      <c r="F138" s="12" t="s">
        <v>252</v>
      </c>
      <c r="G138" s="12" t="s">
        <v>253</v>
      </c>
      <c r="H138" s="12" t="s">
        <v>83</v>
      </c>
      <c r="I138" s="12" t="s">
        <v>92</v>
      </c>
      <c r="J138" s="13">
        <v>2022</v>
      </c>
      <c r="K138" s="13"/>
      <c r="L138" s="12" t="s">
        <v>30</v>
      </c>
      <c r="M138" s="12" t="s">
        <v>31</v>
      </c>
      <c r="N138" s="12" t="s">
        <v>32</v>
      </c>
      <c r="O138" s="14">
        <f t="shared" ref="O138:O199" si="27">P138+Q138</f>
        <v>3.8605</v>
      </c>
      <c r="P138" s="16">
        <f>350*11.03/1000</f>
        <v>3.8605</v>
      </c>
      <c r="Q138" s="16"/>
      <c r="R138" s="15">
        <f t="shared" ref="R138:R199" si="28">S138+T138</f>
        <v>55.15</v>
      </c>
      <c r="S138" s="16">
        <f>5*11.03</f>
        <v>55.15</v>
      </c>
      <c r="T138" s="16"/>
      <c r="U138" s="14">
        <f t="shared" ref="U138:U199" si="29">V138+W138</f>
        <v>44.12</v>
      </c>
      <c r="V138" s="16">
        <f>4*11.03</f>
        <v>44.12</v>
      </c>
      <c r="W138" s="16"/>
      <c r="X138" s="16" t="s">
        <v>76</v>
      </c>
      <c r="Y138" s="12" t="s">
        <v>33</v>
      </c>
      <c r="Z138" s="12" t="s">
        <v>33</v>
      </c>
      <c r="AA138" s="16" t="s">
        <v>435</v>
      </c>
      <c r="AB138" s="16"/>
    </row>
    <row r="139" spans="1:28" ht="17.25" hidden="1" customHeight="1" x14ac:dyDescent="0.3">
      <c r="A139" s="36" t="s">
        <v>254</v>
      </c>
      <c r="B139" s="36" t="str">
        <f t="shared" si="24"/>
        <v>HU0101</v>
      </c>
      <c r="C139" s="36" t="s">
        <v>255</v>
      </c>
      <c r="D139" s="133">
        <v>1</v>
      </c>
      <c r="E139" s="71">
        <v>1</v>
      </c>
      <c r="F139" s="36" t="s">
        <v>256</v>
      </c>
      <c r="G139" s="36" t="s">
        <v>258</v>
      </c>
      <c r="H139" s="36" t="s">
        <v>28</v>
      </c>
      <c r="I139" s="36" t="s">
        <v>29</v>
      </c>
      <c r="J139" s="37">
        <v>1981</v>
      </c>
      <c r="K139" s="37"/>
      <c r="L139" s="36" t="s">
        <v>156</v>
      </c>
      <c r="M139" s="36"/>
      <c r="N139" s="36" t="s">
        <v>32</v>
      </c>
      <c r="O139" s="126">
        <f t="shared" si="27"/>
        <v>18.332461200000001</v>
      </c>
      <c r="P139" s="38">
        <f>1640*11.17833/1000</f>
        <v>18.332461200000001</v>
      </c>
      <c r="Q139" s="38"/>
      <c r="R139" s="126">
        <f t="shared" si="28"/>
        <v>112.63629819999998</v>
      </c>
      <c r="S139" s="38">
        <f>10.03*11.22994</f>
        <v>112.63629819999998</v>
      </c>
      <c r="T139" s="38"/>
      <c r="U139" s="126">
        <f t="shared" si="29"/>
        <v>184.9992</v>
      </c>
      <c r="V139" s="38">
        <f>16*11.56245</f>
        <v>184.9992</v>
      </c>
      <c r="W139" s="38"/>
      <c r="X139" s="38" t="s">
        <v>76</v>
      </c>
      <c r="Y139" s="12" t="s">
        <v>33</v>
      </c>
      <c r="Z139" s="12" t="s">
        <v>33</v>
      </c>
      <c r="AA139" s="38" t="s">
        <v>435</v>
      </c>
      <c r="AB139" s="38"/>
    </row>
    <row r="140" spans="1:28" hidden="1" x14ac:dyDescent="0.3">
      <c r="A140" s="36" t="s">
        <v>254</v>
      </c>
      <c r="B140" s="36" t="str">
        <f t="shared" si="24"/>
        <v>HU0102</v>
      </c>
      <c r="C140" s="36" t="s">
        <v>255</v>
      </c>
      <c r="D140" s="133">
        <v>1</v>
      </c>
      <c r="E140" s="71">
        <v>2</v>
      </c>
      <c r="F140" s="36" t="s">
        <v>256</v>
      </c>
      <c r="G140" s="36" t="s">
        <v>259</v>
      </c>
      <c r="H140" s="36" t="s">
        <v>28</v>
      </c>
      <c r="I140" s="36" t="s">
        <v>29</v>
      </c>
      <c r="J140" s="37">
        <v>1978</v>
      </c>
      <c r="K140" s="37"/>
      <c r="L140" s="36" t="s">
        <v>156</v>
      </c>
      <c r="M140" s="36"/>
      <c r="N140" s="36" t="s">
        <v>32</v>
      </c>
      <c r="O140" s="126">
        <f t="shared" si="27"/>
        <v>3.1299323999999999</v>
      </c>
      <c r="P140" s="38">
        <f>280*11.17833/1000</f>
        <v>3.1299323999999999</v>
      </c>
      <c r="Q140" s="38"/>
      <c r="R140" s="126">
        <f t="shared" si="28"/>
        <v>17.967904000000001</v>
      </c>
      <c r="S140" s="38">
        <f>1.6*11.22994</f>
        <v>17.967904000000001</v>
      </c>
      <c r="T140" s="38"/>
      <c r="U140" s="126">
        <f t="shared" si="29"/>
        <v>33.531104999999997</v>
      </c>
      <c r="V140" s="38">
        <f>2.9*11.56245</f>
        <v>33.531104999999997</v>
      </c>
      <c r="W140" s="38"/>
      <c r="X140" s="38" t="s">
        <v>76</v>
      </c>
      <c r="Y140" s="12" t="s">
        <v>33</v>
      </c>
      <c r="Z140" s="12" t="s">
        <v>33</v>
      </c>
      <c r="AA140" s="38" t="s">
        <v>435</v>
      </c>
      <c r="AB140" s="38"/>
    </row>
    <row r="141" spans="1:28" hidden="1" x14ac:dyDescent="0.3">
      <c r="A141" s="36" t="s">
        <v>254</v>
      </c>
      <c r="B141" s="36" t="str">
        <f t="shared" ref="B141:B202" si="30">C141&amp;TEXT(D141,"0#")&amp;TEXT(E141,"0#")</f>
        <v>HU0103</v>
      </c>
      <c r="C141" s="36" t="s">
        <v>255</v>
      </c>
      <c r="D141" s="133">
        <v>1</v>
      </c>
      <c r="E141" s="71">
        <v>3</v>
      </c>
      <c r="F141" s="36" t="s">
        <v>256</v>
      </c>
      <c r="G141" s="36" t="s">
        <v>260</v>
      </c>
      <c r="H141" s="36" t="s">
        <v>28</v>
      </c>
      <c r="I141" s="36" t="s">
        <v>29</v>
      </c>
      <c r="J141" s="37">
        <v>1979</v>
      </c>
      <c r="K141" s="37"/>
      <c r="L141" s="36" t="s">
        <v>156</v>
      </c>
      <c r="M141" s="36"/>
      <c r="N141" s="36" t="s">
        <v>32</v>
      </c>
      <c r="O141" s="126">
        <f t="shared" si="27"/>
        <v>3.8006322000000003</v>
      </c>
      <c r="P141" s="38">
        <f>340*11.17833/1000</f>
        <v>3.8006322000000003</v>
      </c>
      <c r="Q141" s="38"/>
      <c r="R141" s="126">
        <f t="shared" si="28"/>
        <v>32.566825999999999</v>
      </c>
      <c r="S141" s="38">
        <f>2.9*11.22994</f>
        <v>32.566825999999999</v>
      </c>
      <c r="T141" s="38"/>
      <c r="U141" s="126">
        <f t="shared" si="29"/>
        <v>33.531104999999997</v>
      </c>
      <c r="V141" s="38">
        <f>2.9*11.56245</f>
        <v>33.531104999999997</v>
      </c>
      <c r="W141" s="38"/>
      <c r="X141" s="38" t="s">
        <v>76</v>
      </c>
      <c r="Y141" s="12" t="s">
        <v>33</v>
      </c>
      <c r="Z141" s="12" t="s">
        <v>33</v>
      </c>
      <c r="AA141" s="38" t="s">
        <v>435</v>
      </c>
      <c r="AB141" s="38"/>
    </row>
    <row r="142" spans="1:28" hidden="1" x14ac:dyDescent="0.3">
      <c r="A142" s="36" t="s">
        <v>254</v>
      </c>
      <c r="B142" s="36" t="str">
        <f t="shared" si="30"/>
        <v>HU0104</v>
      </c>
      <c r="C142" s="36" t="s">
        <v>255</v>
      </c>
      <c r="D142" s="133">
        <v>1</v>
      </c>
      <c r="E142" s="71">
        <v>4</v>
      </c>
      <c r="F142" s="36" t="s">
        <v>256</v>
      </c>
      <c r="G142" s="36" t="s">
        <v>261</v>
      </c>
      <c r="H142" s="36" t="s">
        <v>28</v>
      </c>
      <c r="I142" s="36" t="s">
        <v>29</v>
      </c>
      <c r="J142" s="37">
        <v>1996</v>
      </c>
      <c r="K142" s="37"/>
      <c r="L142" s="36" t="s">
        <v>156</v>
      </c>
      <c r="M142" s="36"/>
      <c r="N142" s="36" t="s">
        <v>32</v>
      </c>
      <c r="O142" s="126">
        <f t="shared" si="27"/>
        <v>24.256976099999999</v>
      </c>
      <c r="P142" s="38">
        <f>2170*11.17833/1000</f>
        <v>24.256976099999999</v>
      </c>
      <c r="Q142" s="38"/>
      <c r="R142" s="126">
        <f t="shared" si="28"/>
        <v>190.90897999999999</v>
      </c>
      <c r="S142" s="38">
        <f>17*11.22994</f>
        <v>190.90897999999999</v>
      </c>
      <c r="T142" s="38"/>
      <c r="U142" s="126">
        <f t="shared" si="29"/>
        <v>323.74860000000001</v>
      </c>
      <c r="V142" s="38">
        <f>28*11.56245</f>
        <v>323.74860000000001</v>
      </c>
      <c r="W142" s="38"/>
      <c r="X142" s="38" t="s">
        <v>76</v>
      </c>
      <c r="Y142" s="12" t="s">
        <v>33</v>
      </c>
      <c r="Z142" s="12" t="s">
        <v>33</v>
      </c>
      <c r="AA142" s="38" t="s">
        <v>435</v>
      </c>
      <c r="AB142" s="38"/>
    </row>
    <row r="143" spans="1:28" s="22" customFormat="1" ht="15" hidden="1" customHeight="1" x14ac:dyDescent="0.3">
      <c r="A143" s="58" t="s">
        <v>254</v>
      </c>
      <c r="B143" s="17" t="str">
        <f>C143&amp;TEXT(D143,"0#")&amp;TEXT(E143,"00#")</f>
        <v>HU01V1</v>
      </c>
      <c r="C143" s="17" t="s">
        <v>255</v>
      </c>
      <c r="D143" s="134">
        <v>1</v>
      </c>
      <c r="E143" s="72" t="s">
        <v>456</v>
      </c>
      <c r="F143" s="59" t="s">
        <v>256</v>
      </c>
      <c r="G143" s="59" t="s">
        <v>257</v>
      </c>
      <c r="H143" s="17" t="s">
        <v>28</v>
      </c>
      <c r="I143" s="17" t="s">
        <v>29</v>
      </c>
      <c r="J143" s="18"/>
      <c r="K143" s="18"/>
      <c r="L143" s="17" t="s">
        <v>156</v>
      </c>
      <c r="M143" s="17"/>
      <c r="N143" s="17" t="s">
        <v>32</v>
      </c>
      <c r="O143" s="19">
        <f t="shared" si="27"/>
        <v>49.523699999999998</v>
      </c>
      <c r="P143" s="20">
        <v>49.523699999999998</v>
      </c>
      <c r="Q143" s="20"/>
      <c r="R143" s="21">
        <f t="shared" si="28"/>
        <v>354.08</v>
      </c>
      <c r="S143" s="20">
        <v>354.08</v>
      </c>
      <c r="T143" s="20"/>
      <c r="U143" s="19">
        <f t="shared" si="29"/>
        <v>575.80999999999995</v>
      </c>
      <c r="V143" s="20">
        <v>575.80999999999995</v>
      </c>
      <c r="W143" s="20"/>
      <c r="X143" s="20" t="s">
        <v>76</v>
      </c>
      <c r="Y143" s="58" t="s">
        <v>43</v>
      </c>
      <c r="Z143" s="58" t="s">
        <v>43</v>
      </c>
      <c r="AA143" s="20" t="s">
        <v>435</v>
      </c>
      <c r="AB143" s="20"/>
    </row>
    <row r="144" spans="1:28" hidden="1" x14ac:dyDescent="0.3">
      <c r="A144" s="12" t="s">
        <v>254</v>
      </c>
      <c r="B144" s="12" t="str">
        <f t="shared" si="30"/>
        <v>HU0201</v>
      </c>
      <c r="C144" s="12" t="s">
        <v>255</v>
      </c>
      <c r="D144" s="132">
        <v>2</v>
      </c>
      <c r="E144" s="70">
        <v>1</v>
      </c>
      <c r="F144" s="12" t="s">
        <v>499</v>
      </c>
      <c r="G144" s="12" t="s">
        <v>262</v>
      </c>
      <c r="H144" s="12" t="s">
        <v>28</v>
      </c>
      <c r="I144" s="12" t="s">
        <v>29</v>
      </c>
      <c r="J144" s="13">
        <v>2009</v>
      </c>
      <c r="K144" s="13"/>
      <c r="L144" s="12" t="s">
        <v>30</v>
      </c>
      <c r="M144" s="12" t="s">
        <v>263</v>
      </c>
      <c r="N144" s="12" t="s">
        <v>32</v>
      </c>
      <c r="O144" s="14">
        <f t="shared" si="27"/>
        <v>20.1129</v>
      </c>
      <c r="P144" s="16">
        <v>20.1129</v>
      </c>
      <c r="Q144" s="16"/>
      <c r="R144" s="15">
        <f t="shared" si="28"/>
        <v>134.06200000000001</v>
      </c>
      <c r="S144" s="16">
        <v>134.06200000000001</v>
      </c>
      <c r="T144" s="16"/>
      <c r="U144" s="14">
        <f t="shared" si="29"/>
        <v>263.89999999999998</v>
      </c>
      <c r="V144" s="16">
        <v>263.89999999999998</v>
      </c>
      <c r="W144" s="16"/>
      <c r="X144" s="16" t="s">
        <v>76</v>
      </c>
      <c r="Y144" s="12" t="s">
        <v>33</v>
      </c>
      <c r="Z144" s="12" t="s">
        <v>33</v>
      </c>
      <c r="AA144" s="16" t="s">
        <v>435</v>
      </c>
      <c r="AB144" s="16" t="s">
        <v>33</v>
      </c>
    </row>
    <row r="145" spans="1:28" hidden="1" x14ac:dyDescent="0.3">
      <c r="A145" s="36" t="s">
        <v>264</v>
      </c>
      <c r="B145" s="36" t="str">
        <f t="shared" si="30"/>
        <v>IT0101</v>
      </c>
      <c r="C145" s="36" t="s">
        <v>267</v>
      </c>
      <c r="D145" s="133">
        <v>1</v>
      </c>
      <c r="E145" s="71">
        <v>1</v>
      </c>
      <c r="F145" s="36" t="s">
        <v>268</v>
      </c>
      <c r="G145" s="36" t="s">
        <v>270</v>
      </c>
      <c r="H145" s="36" t="s">
        <v>28</v>
      </c>
      <c r="I145" s="36" t="s">
        <v>29</v>
      </c>
      <c r="J145" s="37">
        <v>1984</v>
      </c>
      <c r="K145" s="37"/>
      <c r="L145" s="36" t="s">
        <v>156</v>
      </c>
      <c r="M145" s="36" t="s">
        <v>31</v>
      </c>
      <c r="N145" s="36" t="s">
        <v>32</v>
      </c>
      <c r="O145" s="126">
        <f t="shared" si="27"/>
        <v>0</v>
      </c>
      <c r="P145" s="38"/>
      <c r="Q145" s="38"/>
      <c r="R145" s="126">
        <f t="shared" si="28"/>
        <v>0</v>
      </c>
      <c r="S145" s="38"/>
      <c r="T145" s="38"/>
      <c r="U145" s="126">
        <f t="shared" si="29"/>
        <v>0</v>
      </c>
      <c r="V145" s="38"/>
      <c r="W145" s="38"/>
      <c r="X145" s="38" t="s">
        <v>76</v>
      </c>
      <c r="Y145" s="12" t="s">
        <v>33</v>
      </c>
      <c r="Z145" s="12" t="s">
        <v>43</v>
      </c>
      <c r="AA145" s="38" t="s">
        <v>435</v>
      </c>
      <c r="AB145" s="38" t="s">
        <v>33</v>
      </c>
    </row>
    <row r="146" spans="1:28" hidden="1" x14ac:dyDescent="0.3">
      <c r="A146" s="36" t="s">
        <v>264</v>
      </c>
      <c r="B146" s="36" t="str">
        <f t="shared" si="30"/>
        <v>IT0102</v>
      </c>
      <c r="C146" s="36" t="s">
        <v>267</v>
      </c>
      <c r="D146" s="133">
        <v>1</v>
      </c>
      <c r="E146" s="71">
        <v>2</v>
      </c>
      <c r="F146" s="36" t="s">
        <v>268</v>
      </c>
      <c r="G146" s="36" t="s">
        <v>271</v>
      </c>
      <c r="H146" s="36" t="s">
        <v>28</v>
      </c>
      <c r="I146" s="36" t="s">
        <v>29</v>
      </c>
      <c r="J146" s="37">
        <v>1994</v>
      </c>
      <c r="K146" s="37"/>
      <c r="L146" s="36" t="s">
        <v>156</v>
      </c>
      <c r="M146" s="36" t="s">
        <v>31</v>
      </c>
      <c r="N146" s="36" t="s">
        <v>32</v>
      </c>
      <c r="O146" s="126">
        <f t="shared" si="27"/>
        <v>0</v>
      </c>
      <c r="P146" s="38"/>
      <c r="Q146" s="38"/>
      <c r="R146" s="126">
        <f t="shared" si="28"/>
        <v>0</v>
      </c>
      <c r="S146" s="38"/>
      <c r="T146" s="38"/>
      <c r="U146" s="126">
        <f t="shared" si="29"/>
        <v>0</v>
      </c>
      <c r="V146" s="38"/>
      <c r="W146" s="38"/>
      <c r="X146" s="38" t="s">
        <v>76</v>
      </c>
      <c r="Y146" s="12" t="s">
        <v>33</v>
      </c>
      <c r="Z146" s="12" t="s">
        <v>43</v>
      </c>
      <c r="AA146" s="38" t="s">
        <v>435</v>
      </c>
      <c r="AB146" s="38" t="s">
        <v>33</v>
      </c>
    </row>
    <row r="147" spans="1:28" hidden="1" x14ac:dyDescent="0.3">
      <c r="A147" s="36" t="s">
        <v>264</v>
      </c>
      <c r="B147" s="36" t="str">
        <f t="shared" si="30"/>
        <v>IT0103</v>
      </c>
      <c r="C147" s="36" t="s">
        <v>267</v>
      </c>
      <c r="D147" s="133">
        <v>1</v>
      </c>
      <c r="E147" s="71">
        <v>3</v>
      </c>
      <c r="F147" s="36" t="s">
        <v>268</v>
      </c>
      <c r="G147" s="36" t="s">
        <v>272</v>
      </c>
      <c r="H147" s="36" t="s">
        <v>28</v>
      </c>
      <c r="I147" s="36" t="s">
        <v>29</v>
      </c>
      <c r="J147" s="37">
        <v>2013</v>
      </c>
      <c r="K147" s="37"/>
      <c r="L147" s="36" t="s">
        <v>156</v>
      </c>
      <c r="M147" s="36" t="s">
        <v>31</v>
      </c>
      <c r="N147" s="36" t="s">
        <v>32</v>
      </c>
      <c r="O147" s="126">
        <f t="shared" si="27"/>
        <v>0</v>
      </c>
      <c r="P147" s="38"/>
      <c r="Q147" s="38"/>
      <c r="R147" s="126">
        <f t="shared" si="28"/>
        <v>0</v>
      </c>
      <c r="S147" s="38"/>
      <c r="T147" s="38"/>
      <c r="U147" s="126">
        <f t="shared" si="29"/>
        <v>0</v>
      </c>
      <c r="V147" s="38"/>
      <c r="W147" s="38"/>
      <c r="X147" s="38" t="s">
        <v>76</v>
      </c>
      <c r="Y147" s="12" t="s">
        <v>33</v>
      </c>
      <c r="Z147" s="12" t="s">
        <v>43</v>
      </c>
      <c r="AA147" s="38" t="s">
        <v>435</v>
      </c>
      <c r="AB147" s="38" t="s">
        <v>33</v>
      </c>
    </row>
    <row r="148" spans="1:28" s="22" customFormat="1" ht="15" hidden="1" customHeight="1" x14ac:dyDescent="0.3">
      <c r="A148" s="58" t="s">
        <v>264</v>
      </c>
      <c r="B148" s="17" t="str">
        <f>C148&amp;TEXT(D148,"0#")&amp;TEXT(E148,"00#")</f>
        <v>IT01V1</v>
      </c>
      <c r="C148" s="17" t="s">
        <v>267</v>
      </c>
      <c r="D148" s="134">
        <v>1</v>
      </c>
      <c r="E148" s="72" t="s">
        <v>456</v>
      </c>
      <c r="F148" s="59" t="s">
        <v>268</v>
      </c>
      <c r="G148" s="59" t="s">
        <v>269</v>
      </c>
      <c r="H148" s="17" t="s">
        <v>28</v>
      </c>
      <c r="I148" s="17" t="s">
        <v>29</v>
      </c>
      <c r="J148" s="18"/>
      <c r="K148" s="18"/>
      <c r="L148" s="17" t="s">
        <v>156</v>
      </c>
      <c r="M148" s="17" t="s">
        <v>31</v>
      </c>
      <c r="N148" s="17" t="s">
        <v>32</v>
      </c>
      <c r="O148" s="19">
        <f t="shared" si="27"/>
        <v>10.838100000000001</v>
      </c>
      <c r="P148" s="20">
        <v>10.838100000000001</v>
      </c>
      <c r="Q148" s="20">
        <f>SUM(Q145:Q147)</f>
        <v>0</v>
      </c>
      <c r="R148" s="21">
        <f t="shared" si="28"/>
        <v>77.349999999999994</v>
      </c>
      <c r="S148" s="20">
        <v>77.349999999999994</v>
      </c>
      <c r="T148" s="20">
        <f>SUM(T145:T147)</f>
        <v>0</v>
      </c>
      <c r="U148" s="19">
        <f t="shared" si="29"/>
        <v>93.6</v>
      </c>
      <c r="V148" s="20">
        <v>93.6</v>
      </c>
      <c r="W148" s="20">
        <f>SUM(W145:W147)</f>
        <v>0</v>
      </c>
      <c r="X148" s="20" t="s">
        <v>76</v>
      </c>
      <c r="Y148" s="58" t="s">
        <v>43</v>
      </c>
      <c r="Z148" s="58" t="s">
        <v>33</v>
      </c>
      <c r="AA148" s="20" t="s">
        <v>435</v>
      </c>
      <c r="AB148" s="20"/>
    </row>
    <row r="149" spans="1:28" hidden="1" x14ac:dyDescent="0.3">
      <c r="A149" s="12" t="s">
        <v>264</v>
      </c>
      <c r="B149" s="12" t="str">
        <f t="shared" si="30"/>
        <v>IT0106</v>
      </c>
      <c r="C149" s="12" t="s">
        <v>267</v>
      </c>
      <c r="D149" s="132">
        <v>1</v>
      </c>
      <c r="E149" s="70">
        <v>6</v>
      </c>
      <c r="F149" s="12" t="s">
        <v>268</v>
      </c>
      <c r="G149" s="12" t="s">
        <v>274</v>
      </c>
      <c r="H149" s="12" t="s">
        <v>83</v>
      </c>
      <c r="I149" s="12" t="s">
        <v>429</v>
      </c>
      <c r="J149" s="12"/>
      <c r="K149" s="13"/>
      <c r="L149" s="12" t="s">
        <v>156</v>
      </c>
      <c r="M149" s="12" t="s">
        <v>31</v>
      </c>
      <c r="N149" s="12" t="s">
        <v>32</v>
      </c>
      <c r="O149" s="27">
        <f t="shared" si="27"/>
        <v>0.57000000000000006</v>
      </c>
      <c r="P149" s="27">
        <f>0.05*11.4</f>
        <v>0.57000000000000006</v>
      </c>
      <c r="Q149" s="27"/>
      <c r="R149" s="12">
        <f t="shared" si="28"/>
        <v>9.5154750000000003</v>
      </c>
      <c r="S149" s="27">
        <v>9.5154750000000003</v>
      </c>
      <c r="T149" s="27"/>
      <c r="U149" s="27">
        <f t="shared" si="29"/>
        <v>9.5154750000000003</v>
      </c>
      <c r="V149" s="27">
        <v>9.5154750000000003</v>
      </c>
      <c r="W149" s="27"/>
      <c r="X149" s="27" t="s">
        <v>76</v>
      </c>
      <c r="Y149" s="12" t="s">
        <v>33</v>
      </c>
      <c r="Z149" s="12" t="s">
        <v>33</v>
      </c>
      <c r="AA149" s="27" t="s">
        <v>435</v>
      </c>
      <c r="AB149" s="27" t="s">
        <v>33</v>
      </c>
    </row>
    <row r="150" spans="1:28" hidden="1" x14ac:dyDescent="0.3">
      <c r="A150" s="12" t="s">
        <v>264</v>
      </c>
      <c r="B150" s="12" t="str">
        <f t="shared" si="30"/>
        <v>IT0201</v>
      </c>
      <c r="C150" s="12" t="s">
        <v>267</v>
      </c>
      <c r="D150" s="132">
        <v>2</v>
      </c>
      <c r="E150" s="70">
        <v>1</v>
      </c>
      <c r="F150" s="12" t="s">
        <v>275</v>
      </c>
      <c r="G150" s="12" t="s">
        <v>276</v>
      </c>
      <c r="H150" s="12" t="s">
        <v>83</v>
      </c>
      <c r="I150" s="12" t="s">
        <v>92</v>
      </c>
      <c r="J150" s="13"/>
      <c r="K150" s="13"/>
      <c r="L150" s="12" t="s">
        <v>156</v>
      </c>
      <c r="M150" s="12"/>
      <c r="N150" s="12" t="s">
        <v>32</v>
      </c>
      <c r="O150" s="14">
        <f t="shared" si="27"/>
        <v>5.742</v>
      </c>
      <c r="P150" s="16">
        <f>522*11/1000/3*2</f>
        <v>3.8279999999999998</v>
      </c>
      <c r="Q150" s="16">
        <f>522*11/1000/3</f>
        <v>1.9139999999999999</v>
      </c>
      <c r="R150" s="15">
        <f t="shared" si="28"/>
        <v>65.34</v>
      </c>
      <c r="S150" s="16">
        <f>5.94*11</f>
        <v>65.34</v>
      </c>
      <c r="T150" s="16"/>
      <c r="U150" s="14">
        <f t="shared" si="29"/>
        <v>65.34</v>
      </c>
      <c r="V150" s="16">
        <f>5.94*11</f>
        <v>65.34</v>
      </c>
      <c r="W150" s="16"/>
      <c r="X150" s="16" t="s">
        <v>76</v>
      </c>
      <c r="Y150" s="12" t="s">
        <v>33</v>
      </c>
      <c r="Z150" s="12" t="s">
        <v>33</v>
      </c>
      <c r="AA150" s="16" t="s">
        <v>435</v>
      </c>
      <c r="AB150" s="16"/>
    </row>
    <row r="151" spans="1:28" hidden="1" x14ac:dyDescent="0.3">
      <c r="A151" s="12" t="s">
        <v>264</v>
      </c>
      <c r="B151" s="12" t="str">
        <f t="shared" si="30"/>
        <v>IT0202</v>
      </c>
      <c r="C151" s="12" t="s">
        <v>267</v>
      </c>
      <c r="D151" s="132">
        <v>2</v>
      </c>
      <c r="E151" s="70">
        <v>2</v>
      </c>
      <c r="F151" s="12" t="s">
        <v>275</v>
      </c>
      <c r="G151" s="12" t="s">
        <v>277</v>
      </c>
      <c r="H151" s="12" t="s">
        <v>83</v>
      </c>
      <c r="I151" s="12" t="s">
        <v>92</v>
      </c>
      <c r="J151" s="13"/>
      <c r="K151" s="13"/>
      <c r="L151" s="12" t="s">
        <v>156</v>
      </c>
      <c r="M151" s="12"/>
      <c r="N151" s="12" t="s">
        <v>32</v>
      </c>
      <c r="O151" s="14">
        <f t="shared" si="27"/>
        <v>1.8260000000000001</v>
      </c>
      <c r="P151" s="16">
        <f>166*11/1000/3*2</f>
        <v>1.2173333333333334</v>
      </c>
      <c r="Q151" s="16">
        <f>166*11/1000/3</f>
        <v>0.60866666666666669</v>
      </c>
      <c r="R151" s="15">
        <f t="shared" si="28"/>
        <v>18.7</v>
      </c>
      <c r="S151" s="16">
        <f>1.7*11</f>
        <v>18.7</v>
      </c>
      <c r="T151" s="16"/>
      <c r="U151" s="14">
        <f t="shared" si="29"/>
        <v>18.7</v>
      </c>
      <c r="V151" s="16">
        <f>1.7*11</f>
        <v>18.7</v>
      </c>
      <c r="W151" s="16"/>
      <c r="X151" s="16" t="s">
        <v>76</v>
      </c>
      <c r="Y151" s="12" t="s">
        <v>33</v>
      </c>
      <c r="Z151" s="12" t="s">
        <v>33</v>
      </c>
      <c r="AA151" s="24" t="s">
        <v>435</v>
      </c>
      <c r="AB151" s="16"/>
    </row>
    <row r="152" spans="1:28" hidden="1" x14ac:dyDescent="0.3">
      <c r="A152" s="12" t="s">
        <v>264</v>
      </c>
      <c r="B152" s="12" t="str">
        <f t="shared" si="30"/>
        <v>IT0203</v>
      </c>
      <c r="C152" s="12" t="s">
        <v>267</v>
      </c>
      <c r="D152" s="132">
        <v>2</v>
      </c>
      <c r="E152" s="70">
        <v>3</v>
      </c>
      <c r="F152" s="12" t="s">
        <v>275</v>
      </c>
      <c r="G152" s="12" t="s">
        <v>278</v>
      </c>
      <c r="H152" s="12" t="s">
        <v>83</v>
      </c>
      <c r="I152" s="12" t="s">
        <v>92</v>
      </c>
      <c r="J152" s="13"/>
      <c r="K152" s="13"/>
      <c r="L152" s="12" t="s">
        <v>156</v>
      </c>
      <c r="M152" s="12"/>
      <c r="N152" s="12" t="s">
        <v>32</v>
      </c>
      <c r="O152" s="14">
        <f t="shared" si="27"/>
        <v>3.5640000000000001</v>
      </c>
      <c r="P152" s="16">
        <f>324*11/1000/3*2</f>
        <v>2.3759999999999999</v>
      </c>
      <c r="Q152" s="16">
        <f>324*11/1000/3</f>
        <v>1.1879999999999999</v>
      </c>
      <c r="R152" s="15">
        <f t="shared" si="28"/>
        <v>35.200000000000003</v>
      </c>
      <c r="S152" s="16">
        <f>3.2*11</f>
        <v>35.200000000000003</v>
      </c>
      <c r="T152" s="16"/>
      <c r="U152" s="14">
        <f t="shared" si="29"/>
        <v>35.200000000000003</v>
      </c>
      <c r="V152" s="16">
        <f>3.2*11</f>
        <v>35.200000000000003</v>
      </c>
      <c r="W152" s="16"/>
      <c r="X152" s="16" t="s">
        <v>76</v>
      </c>
      <c r="Y152" s="12" t="s">
        <v>33</v>
      </c>
      <c r="Z152" s="12" t="s">
        <v>33</v>
      </c>
      <c r="AA152" s="24" t="s">
        <v>435</v>
      </c>
      <c r="AB152" s="16"/>
    </row>
    <row r="153" spans="1:28" hidden="1" x14ac:dyDescent="0.3">
      <c r="A153" s="12" t="s">
        <v>264</v>
      </c>
      <c r="B153" s="12" t="str">
        <f t="shared" si="30"/>
        <v>IT0301</v>
      </c>
      <c r="C153" s="12" t="s">
        <v>267</v>
      </c>
      <c r="D153" s="132">
        <v>3</v>
      </c>
      <c r="E153" s="70">
        <v>1</v>
      </c>
      <c r="F153" s="12" t="s">
        <v>279</v>
      </c>
      <c r="G153" s="12" t="s">
        <v>280</v>
      </c>
      <c r="H153" s="12" t="s">
        <v>83</v>
      </c>
      <c r="I153" s="12" t="s">
        <v>92</v>
      </c>
      <c r="J153" s="13"/>
      <c r="K153" s="13"/>
      <c r="L153" s="12" t="s">
        <v>30</v>
      </c>
      <c r="M153" s="12"/>
      <c r="N153" s="12" t="s">
        <v>32</v>
      </c>
      <c r="O153" s="14">
        <f t="shared" si="27"/>
        <v>8.8000000000000007</v>
      </c>
      <c r="P153" s="16">
        <f>800*11/1000</f>
        <v>8.8000000000000007</v>
      </c>
      <c r="Q153" s="16"/>
      <c r="R153" s="15">
        <f t="shared" si="28"/>
        <v>110</v>
      </c>
      <c r="S153" s="16">
        <f>10*11</f>
        <v>110</v>
      </c>
      <c r="T153" s="16"/>
      <c r="U153" s="14">
        <f t="shared" si="29"/>
        <v>110</v>
      </c>
      <c r="V153" s="16">
        <f>10*11</f>
        <v>110</v>
      </c>
      <c r="W153" s="16"/>
      <c r="X153" s="16" t="s">
        <v>76</v>
      </c>
      <c r="Y153" s="12" t="s">
        <v>33</v>
      </c>
      <c r="Z153" s="12" t="s">
        <v>33</v>
      </c>
      <c r="AA153" s="24" t="s">
        <v>435</v>
      </c>
      <c r="AB153" s="16"/>
    </row>
    <row r="154" spans="1:28" hidden="1" x14ac:dyDescent="0.3">
      <c r="A154" s="12" t="s">
        <v>264</v>
      </c>
      <c r="B154" s="12" t="str">
        <f t="shared" si="30"/>
        <v>IT0401</v>
      </c>
      <c r="C154" s="12" t="s">
        <v>267</v>
      </c>
      <c r="D154" s="132">
        <v>4</v>
      </c>
      <c r="E154" s="70">
        <v>1</v>
      </c>
      <c r="F154" s="12" t="s">
        <v>281</v>
      </c>
      <c r="G154" s="12" t="s">
        <v>282</v>
      </c>
      <c r="H154" s="12" t="s">
        <v>28</v>
      </c>
      <c r="I154" s="52" t="s">
        <v>92</v>
      </c>
      <c r="J154" s="53">
        <v>2018</v>
      </c>
      <c r="K154" s="53"/>
      <c r="L154" s="52" t="s">
        <v>30</v>
      </c>
      <c r="M154" s="52" t="s">
        <v>31</v>
      </c>
      <c r="N154" s="52" t="s">
        <v>32</v>
      </c>
      <c r="O154" s="14">
        <f t="shared" si="27"/>
        <v>1.5822000000000001</v>
      </c>
      <c r="P154" s="16">
        <v>1.5822000000000001</v>
      </c>
      <c r="Q154" s="16"/>
      <c r="R154" s="14">
        <f t="shared" si="28"/>
        <v>15.12</v>
      </c>
      <c r="S154" s="16">
        <v>15.12</v>
      </c>
      <c r="T154" s="16"/>
      <c r="U154" s="14">
        <f t="shared" si="29"/>
        <v>21.6</v>
      </c>
      <c r="V154" s="16">
        <v>21.6</v>
      </c>
      <c r="W154" s="16"/>
      <c r="X154" s="16" t="s">
        <v>76</v>
      </c>
      <c r="Y154" s="12" t="s">
        <v>33</v>
      </c>
      <c r="Z154" s="12" t="s">
        <v>33</v>
      </c>
      <c r="AA154" s="24" t="s">
        <v>435</v>
      </c>
      <c r="AB154" s="16" t="s">
        <v>33</v>
      </c>
    </row>
    <row r="155" spans="1:28" hidden="1" x14ac:dyDescent="0.3">
      <c r="A155" s="12" t="s">
        <v>264</v>
      </c>
      <c r="B155" s="12" t="str">
        <f t="shared" si="30"/>
        <v>IT0510</v>
      </c>
      <c r="C155" s="12" t="s">
        <v>267</v>
      </c>
      <c r="D155" s="132">
        <v>5</v>
      </c>
      <c r="E155" s="70">
        <v>10</v>
      </c>
      <c r="F155" s="12" t="s">
        <v>265</v>
      </c>
      <c r="G155" s="12" t="s">
        <v>284</v>
      </c>
      <c r="H155" s="12" t="s">
        <v>83</v>
      </c>
      <c r="I155" s="12" t="s">
        <v>92</v>
      </c>
      <c r="J155" s="13">
        <v>2026</v>
      </c>
      <c r="K155" s="13"/>
      <c r="L155" s="12" t="s">
        <v>156</v>
      </c>
      <c r="M155" s="12"/>
      <c r="N155" s="12" t="s">
        <v>32</v>
      </c>
      <c r="O155" s="14">
        <f t="shared" si="27"/>
        <v>1.5509368421052632</v>
      </c>
      <c r="P155" s="16">
        <v>1.5509368421052632</v>
      </c>
      <c r="Q155" s="16">
        <v>0</v>
      </c>
      <c r="R155" s="15">
        <f t="shared" si="28"/>
        <v>25.858521052631577</v>
      </c>
      <c r="S155" s="16">
        <v>25.858521052631577</v>
      </c>
      <c r="T155" s="16">
        <v>0</v>
      </c>
      <c r="U155" s="14">
        <f t="shared" si="29"/>
        <v>25.858521052631577</v>
      </c>
      <c r="V155" s="16">
        <v>25.858521052631577</v>
      </c>
      <c r="W155" s="16"/>
      <c r="X155" s="16" t="s">
        <v>76</v>
      </c>
      <c r="Y155" s="12" t="s">
        <v>33</v>
      </c>
      <c r="Z155" s="12" t="s">
        <v>33</v>
      </c>
      <c r="AA155" s="24" t="s">
        <v>435</v>
      </c>
      <c r="AB155" s="16" t="s">
        <v>33</v>
      </c>
    </row>
    <row r="156" spans="1:28" hidden="1" x14ac:dyDescent="0.3">
      <c r="A156" s="12" t="s">
        <v>264</v>
      </c>
      <c r="B156" s="12" t="str">
        <f t="shared" si="30"/>
        <v>IT0511</v>
      </c>
      <c r="C156" s="12" t="s">
        <v>267</v>
      </c>
      <c r="D156" s="132">
        <v>5</v>
      </c>
      <c r="E156" s="70">
        <v>11</v>
      </c>
      <c r="F156" s="12" t="s">
        <v>265</v>
      </c>
      <c r="G156" s="12" t="s">
        <v>283</v>
      </c>
      <c r="H156" s="12" t="s">
        <v>65</v>
      </c>
      <c r="I156" s="12" t="s">
        <v>504</v>
      </c>
      <c r="J156" s="13"/>
      <c r="K156" s="13"/>
      <c r="L156" s="12" t="s">
        <v>156</v>
      </c>
      <c r="M156" s="12"/>
      <c r="N156" s="12" t="s">
        <v>32</v>
      </c>
      <c r="O156" s="14">
        <f t="shared" si="27"/>
        <v>2.5848947368421054</v>
      </c>
      <c r="P156" s="16">
        <v>2.5848947368421054</v>
      </c>
      <c r="Q156" s="16">
        <v>0</v>
      </c>
      <c r="R156" s="15">
        <f t="shared" si="28"/>
        <v>0</v>
      </c>
      <c r="S156" s="16">
        <v>0</v>
      </c>
      <c r="T156" s="16">
        <v>0</v>
      </c>
      <c r="U156" s="14">
        <f t="shared" si="29"/>
        <v>20.688731578947365</v>
      </c>
      <c r="V156" s="16">
        <v>20.688731578947365</v>
      </c>
      <c r="W156" s="16"/>
      <c r="X156" s="16" t="s">
        <v>76</v>
      </c>
      <c r="Y156" s="12" t="s">
        <v>43</v>
      </c>
      <c r="Z156" s="12" t="s">
        <v>33</v>
      </c>
      <c r="AA156" s="24" t="s">
        <v>435</v>
      </c>
      <c r="AB156" s="16" t="s">
        <v>33</v>
      </c>
    </row>
    <row r="157" spans="1:28" hidden="1" x14ac:dyDescent="0.3">
      <c r="A157" s="12" t="s">
        <v>264</v>
      </c>
      <c r="B157" s="12" t="str">
        <f t="shared" si="30"/>
        <v>IT0512</v>
      </c>
      <c r="C157" s="12" t="s">
        <v>267</v>
      </c>
      <c r="D157" s="132">
        <v>5</v>
      </c>
      <c r="E157" s="70">
        <v>12</v>
      </c>
      <c r="F157" s="12" t="s">
        <v>265</v>
      </c>
      <c r="G157" s="12" t="s">
        <v>285</v>
      </c>
      <c r="H157" s="12" t="s">
        <v>83</v>
      </c>
      <c r="I157" s="12" t="s">
        <v>504</v>
      </c>
      <c r="J157" s="13">
        <v>2021</v>
      </c>
      <c r="K157" s="13"/>
      <c r="L157" s="12" t="s">
        <v>156</v>
      </c>
      <c r="M157" s="12"/>
      <c r="N157" s="12" t="s">
        <v>32</v>
      </c>
      <c r="O157" s="14">
        <f t="shared" si="27"/>
        <v>2.0679157894736844</v>
      </c>
      <c r="P157" s="16">
        <v>2.0679157894736844</v>
      </c>
      <c r="Q157" s="16">
        <v>0</v>
      </c>
      <c r="R157" s="15">
        <f t="shared" si="28"/>
        <v>0</v>
      </c>
      <c r="S157" s="16">
        <v>0</v>
      </c>
      <c r="T157" s="16">
        <v>0</v>
      </c>
      <c r="U157" s="14">
        <f t="shared" si="29"/>
        <v>41.377463157894731</v>
      </c>
      <c r="V157" s="16">
        <v>41.377463157894731</v>
      </c>
      <c r="W157" s="16"/>
      <c r="X157" s="16" t="s">
        <v>76</v>
      </c>
      <c r="Y157" s="12" t="s">
        <v>43</v>
      </c>
      <c r="Z157" s="12" t="s">
        <v>33</v>
      </c>
      <c r="AA157" s="24" t="s">
        <v>435</v>
      </c>
      <c r="AB157" s="16" t="s">
        <v>33</v>
      </c>
    </row>
    <row r="158" spans="1:28" hidden="1" x14ac:dyDescent="0.3">
      <c r="A158" s="12" t="s">
        <v>264</v>
      </c>
      <c r="B158" s="12" t="str">
        <f t="shared" si="30"/>
        <v>IT0513</v>
      </c>
      <c r="C158" s="12" t="s">
        <v>267</v>
      </c>
      <c r="D158" s="132">
        <v>5</v>
      </c>
      <c r="E158" s="70">
        <v>13</v>
      </c>
      <c r="F158" s="12" t="s">
        <v>265</v>
      </c>
      <c r="G158" s="12" t="s">
        <v>286</v>
      </c>
      <c r="H158" s="12" t="s">
        <v>83</v>
      </c>
      <c r="I158" s="12" t="s">
        <v>504</v>
      </c>
      <c r="J158" s="13">
        <v>2021</v>
      </c>
      <c r="K158" s="13"/>
      <c r="L158" s="12" t="s">
        <v>156</v>
      </c>
      <c r="M158" s="12"/>
      <c r="N158" s="12" t="s">
        <v>32</v>
      </c>
      <c r="O158" s="14">
        <f t="shared" si="27"/>
        <v>2.0679157894736844</v>
      </c>
      <c r="P158" s="16">
        <v>2.0679157894736844</v>
      </c>
      <c r="Q158" s="16">
        <v>0</v>
      </c>
      <c r="R158" s="15">
        <f t="shared" si="28"/>
        <v>0</v>
      </c>
      <c r="S158" s="16">
        <v>0</v>
      </c>
      <c r="T158" s="16">
        <v>0</v>
      </c>
      <c r="U158" s="14">
        <f t="shared" si="29"/>
        <v>0</v>
      </c>
      <c r="V158" s="16">
        <v>0</v>
      </c>
      <c r="W158" s="16"/>
      <c r="X158" s="16" t="s">
        <v>76</v>
      </c>
      <c r="Y158" s="12" t="s">
        <v>43</v>
      </c>
      <c r="Z158" s="12" t="s">
        <v>33</v>
      </c>
      <c r="AA158" s="24" t="s">
        <v>435</v>
      </c>
      <c r="AB158" s="16" t="s">
        <v>33</v>
      </c>
    </row>
    <row r="159" spans="1:28" hidden="1" x14ac:dyDescent="0.3">
      <c r="A159" s="12" t="s">
        <v>264</v>
      </c>
      <c r="B159" s="12" t="str">
        <f t="shared" si="30"/>
        <v>IT0514</v>
      </c>
      <c r="C159" s="12" t="s">
        <v>267</v>
      </c>
      <c r="D159" s="132">
        <v>5</v>
      </c>
      <c r="E159" s="70">
        <v>14</v>
      </c>
      <c r="F159" s="12" t="s">
        <v>265</v>
      </c>
      <c r="G159" s="12" t="s">
        <v>287</v>
      </c>
      <c r="H159" s="12" t="s">
        <v>65</v>
      </c>
      <c r="I159" s="12" t="s">
        <v>504</v>
      </c>
      <c r="J159" s="12"/>
      <c r="K159" s="13"/>
      <c r="L159" s="12" t="s">
        <v>156</v>
      </c>
      <c r="M159" s="12"/>
      <c r="N159" s="12" t="s">
        <v>32</v>
      </c>
      <c r="O159" s="14">
        <f t="shared" si="27"/>
        <v>4.3464526315789476</v>
      </c>
      <c r="P159" s="16">
        <v>4.3464526315789476</v>
      </c>
      <c r="Q159" s="16">
        <v>0</v>
      </c>
      <c r="R159" s="15">
        <f t="shared" si="28"/>
        <v>0</v>
      </c>
      <c r="S159" s="16">
        <v>0</v>
      </c>
      <c r="T159" s="16">
        <v>0</v>
      </c>
      <c r="U159" s="14">
        <f t="shared" si="29"/>
        <v>0</v>
      </c>
      <c r="V159" s="16">
        <v>0</v>
      </c>
      <c r="W159" s="16"/>
      <c r="X159" s="16" t="s">
        <v>76</v>
      </c>
      <c r="Y159" s="12" t="s">
        <v>43</v>
      </c>
      <c r="Z159" s="12" t="s">
        <v>33</v>
      </c>
      <c r="AA159" s="24" t="s">
        <v>435</v>
      </c>
      <c r="AB159" s="16" t="s">
        <v>33</v>
      </c>
    </row>
    <row r="160" spans="1:28" hidden="1" x14ac:dyDescent="0.3">
      <c r="A160" s="12" t="s">
        <v>264</v>
      </c>
      <c r="B160" s="12" t="str">
        <f t="shared" si="30"/>
        <v>IT0515</v>
      </c>
      <c r="C160" s="12" t="s">
        <v>267</v>
      </c>
      <c r="D160" s="132">
        <v>5</v>
      </c>
      <c r="E160" s="70">
        <v>15</v>
      </c>
      <c r="F160" s="12" t="s">
        <v>265</v>
      </c>
      <c r="G160" s="12" t="s">
        <v>288</v>
      </c>
      <c r="H160" s="12" t="s">
        <v>65</v>
      </c>
      <c r="I160" s="12" t="s">
        <v>504</v>
      </c>
      <c r="J160" s="12"/>
      <c r="K160" s="13"/>
      <c r="L160" s="12" t="s">
        <v>156</v>
      </c>
      <c r="M160" s="12"/>
      <c r="N160" s="12" t="s">
        <v>32</v>
      </c>
      <c r="O160" s="14">
        <f t="shared" si="27"/>
        <v>0</v>
      </c>
      <c r="P160" s="16">
        <v>0</v>
      </c>
      <c r="Q160" s="16">
        <v>0</v>
      </c>
      <c r="R160" s="15">
        <f t="shared" si="28"/>
        <v>20.688731578947365</v>
      </c>
      <c r="S160" s="16">
        <v>20.688731578947365</v>
      </c>
      <c r="T160" s="16">
        <v>0</v>
      </c>
      <c r="U160" s="14">
        <f t="shared" si="29"/>
        <v>0</v>
      </c>
      <c r="V160" s="16">
        <v>0</v>
      </c>
      <c r="W160" s="16"/>
      <c r="X160" s="16" t="s">
        <v>76</v>
      </c>
      <c r="Y160" s="12" t="s">
        <v>43</v>
      </c>
      <c r="Z160" s="12" t="s">
        <v>33</v>
      </c>
      <c r="AA160" s="24" t="s">
        <v>435</v>
      </c>
      <c r="AB160" s="16" t="s">
        <v>33</v>
      </c>
    </row>
    <row r="161" spans="1:28" hidden="1" x14ac:dyDescent="0.3">
      <c r="A161" s="12" t="s">
        <v>264</v>
      </c>
      <c r="B161" s="12" t="str">
        <f t="shared" si="30"/>
        <v>IT0516</v>
      </c>
      <c r="C161" s="12" t="s">
        <v>267</v>
      </c>
      <c r="D161" s="132">
        <v>5</v>
      </c>
      <c r="E161" s="70">
        <v>16</v>
      </c>
      <c r="F161" s="12" t="s">
        <v>265</v>
      </c>
      <c r="G161" s="12" t="s">
        <v>288</v>
      </c>
      <c r="H161" s="12" t="s">
        <v>83</v>
      </c>
      <c r="I161" s="12" t="s">
        <v>504</v>
      </c>
      <c r="J161" s="13">
        <v>2026</v>
      </c>
      <c r="K161" s="13"/>
      <c r="L161" s="12" t="s">
        <v>156</v>
      </c>
      <c r="M161" s="12"/>
      <c r="N161" s="12" t="s">
        <v>32</v>
      </c>
      <c r="O161" s="14">
        <f t="shared" si="27"/>
        <v>3.7241631578947367</v>
      </c>
      <c r="P161" s="16">
        <v>3.7241631578947367</v>
      </c>
      <c r="Q161" s="16">
        <v>0</v>
      </c>
      <c r="R161" s="15">
        <f t="shared" si="28"/>
        <v>0</v>
      </c>
      <c r="S161" s="16">
        <v>0</v>
      </c>
      <c r="T161" s="16">
        <v>0</v>
      </c>
      <c r="U161" s="14">
        <f t="shared" si="29"/>
        <v>0</v>
      </c>
      <c r="V161" s="16">
        <v>0</v>
      </c>
      <c r="W161" s="16"/>
      <c r="X161" s="16" t="s">
        <v>76</v>
      </c>
      <c r="Y161" s="12" t="s">
        <v>43</v>
      </c>
      <c r="Z161" s="12" t="s">
        <v>33</v>
      </c>
      <c r="AA161" s="24" t="s">
        <v>435</v>
      </c>
      <c r="AB161" s="16" t="s">
        <v>33</v>
      </c>
    </row>
    <row r="162" spans="1:28" ht="17.25" hidden="1" customHeight="1" x14ac:dyDescent="0.3">
      <c r="A162" s="12" t="s">
        <v>264</v>
      </c>
      <c r="B162" s="12" t="str">
        <f t="shared" si="30"/>
        <v>IT0517</v>
      </c>
      <c r="C162" s="12" t="s">
        <v>267</v>
      </c>
      <c r="D162" s="132">
        <v>5</v>
      </c>
      <c r="E162" s="70">
        <v>17</v>
      </c>
      <c r="F162" s="12" t="s">
        <v>265</v>
      </c>
      <c r="G162" s="12" t="s">
        <v>289</v>
      </c>
      <c r="H162" s="12" t="s">
        <v>65</v>
      </c>
      <c r="I162" s="12" t="s">
        <v>92</v>
      </c>
      <c r="J162" s="13">
        <v>2023</v>
      </c>
      <c r="K162" s="13"/>
      <c r="L162" s="12" t="s">
        <v>156</v>
      </c>
      <c r="M162" s="12"/>
      <c r="N162" s="12" t="s">
        <v>32</v>
      </c>
      <c r="O162" s="14">
        <f t="shared" si="27"/>
        <v>0</v>
      </c>
      <c r="P162" s="16">
        <v>0</v>
      </c>
      <c r="Q162" s="16">
        <v>0</v>
      </c>
      <c r="R162" s="15">
        <f t="shared" si="28"/>
        <v>0</v>
      </c>
      <c r="S162" s="16">
        <v>0</v>
      </c>
      <c r="T162" s="16">
        <v>0</v>
      </c>
      <c r="U162" s="14">
        <f t="shared" si="29"/>
        <v>62.0661947368421</v>
      </c>
      <c r="V162" s="16">
        <v>62.0661947368421</v>
      </c>
      <c r="W162" s="16"/>
      <c r="X162" s="16" t="s">
        <v>76</v>
      </c>
      <c r="Y162" s="12" t="s">
        <v>33</v>
      </c>
      <c r="Z162" s="12" t="s">
        <v>33</v>
      </c>
      <c r="AA162" s="24" t="s">
        <v>435</v>
      </c>
      <c r="AB162" s="16" t="s">
        <v>33</v>
      </c>
    </row>
    <row r="163" spans="1:28" hidden="1" x14ac:dyDescent="0.3">
      <c r="A163" s="12" t="s">
        <v>264</v>
      </c>
      <c r="B163" s="12" t="str">
        <f t="shared" si="30"/>
        <v>IT0518</v>
      </c>
      <c r="C163" s="12" t="s">
        <v>267</v>
      </c>
      <c r="D163" s="132">
        <v>5</v>
      </c>
      <c r="E163" s="70">
        <v>18</v>
      </c>
      <c r="F163" s="12" t="s">
        <v>265</v>
      </c>
      <c r="G163" s="12" t="s">
        <v>290</v>
      </c>
      <c r="H163" s="12" t="s">
        <v>65</v>
      </c>
      <c r="I163" s="12" t="s">
        <v>504</v>
      </c>
      <c r="J163" s="12"/>
      <c r="K163" s="13"/>
      <c r="L163" s="12" t="s">
        <v>156</v>
      </c>
      <c r="M163" s="12"/>
      <c r="N163" s="12" t="s">
        <v>32</v>
      </c>
      <c r="O163" s="14">
        <f t="shared" si="27"/>
        <v>1.6562473684210526</v>
      </c>
      <c r="P163" s="16">
        <v>1.6562473684210526</v>
      </c>
      <c r="Q163" s="16">
        <v>0</v>
      </c>
      <c r="R163" s="15">
        <f t="shared" si="28"/>
        <v>0</v>
      </c>
      <c r="S163" s="16">
        <v>0</v>
      </c>
      <c r="T163" s="16">
        <v>0</v>
      </c>
      <c r="U163" s="14">
        <f t="shared" si="29"/>
        <v>0</v>
      </c>
      <c r="V163" s="16">
        <v>0</v>
      </c>
      <c r="W163" s="16"/>
      <c r="X163" s="16" t="s">
        <v>76</v>
      </c>
      <c r="Y163" s="12" t="s">
        <v>43</v>
      </c>
      <c r="Z163" s="12" t="s">
        <v>33</v>
      </c>
      <c r="AA163" s="24" t="s">
        <v>435</v>
      </c>
      <c r="AB163" s="16" t="s">
        <v>33</v>
      </c>
    </row>
    <row r="164" spans="1:28" ht="17.25" hidden="1" customHeight="1" x14ac:dyDescent="0.3">
      <c r="A164" s="12" t="s">
        <v>264</v>
      </c>
      <c r="B164" s="12" t="str">
        <f t="shared" si="30"/>
        <v>IT0519</v>
      </c>
      <c r="C164" s="12" t="s">
        <v>267</v>
      </c>
      <c r="D164" s="132">
        <v>5</v>
      </c>
      <c r="E164" s="70">
        <v>19</v>
      </c>
      <c r="F164" s="12" t="s">
        <v>265</v>
      </c>
      <c r="G164" s="12" t="s">
        <v>291</v>
      </c>
      <c r="H164" s="12" t="s">
        <v>83</v>
      </c>
      <c r="I164" s="12" t="s">
        <v>504</v>
      </c>
      <c r="J164" s="13">
        <v>2026</v>
      </c>
      <c r="K164" s="13"/>
      <c r="L164" s="12" t="s">
        <v>156</v>
      </c>
      <c r="M164" s="12"/>
      <c r="N164" s="12" t="s">
        <v>32</v>
      </c>
      <c r="O164" s="14">
        <f t="shared" si="27"/>
        <v>3.6188526315789469</v>
      </c>
      <c r="P164" s="16">
        <v>3.6188526315789469</v>
      </c>
      <c r="Q164" s="16">
        <v>0</v>
      </c>
      <c r="R164" s="15">
        <f t="shared" si="28"/>
        <v>0</v>
      </c>
      <c r="S164" s="16">
        <v>0</v>
      </c>
      <c r="T164" s="16">
        <v>0</v>
      </c>
      <c r="U164" s="14">
        <f t="shared" si="29"/>
        <v>0</v>
      </c>
      <c r="V164" s="16">
        <v>0</v>
      </c>
      <c r="W164" s="16"/>
      <c r="X164" s="16" t="s">
        <v>76</v>
      </c>
      <c r="Y164" s="12" t="s">
        <v>43</v>
      </c>
      <c r="Z164" s="12" t="s">
        <v>33</v>
      </c>
      <c r="AA164" s="24" t="s">
        <v>435</v>
      </c>
      <c r="AB164" s="16" t="s">
        <v>33</v>
      </c>
    </row>
    <row r="165" spans="1:28" hidden="1" x14ac:dyDescent="0.3">
      <c r="A165" s="36" t="s">
        <v>264</v>
      </c>
      <c r="B165" s="36" t="str">
        <f t="shared" si="30"/>
        <v>IT0501</v>
      </c>
      <c r="C165" s="36" t="s">
        <v>267</v>
      </c>
      <c r="D165" s="133">
        <v>5</v>
      </c>
      <c r="E165" s="71">
        <v>1</v>
      </c>
      <c r="F165" s="36" t="s">
        <v>265</v>
      </c>
      <c r="G165" s="36" t="s">
        <v>283</v>
      </c>
      <c r="H165" s="36" t="s">
        <v>28</v>
      </c>
      <c r="I165" s="36" t="s">
        <v>29</v>
      </c>
      <c r="J165" s="37">
        <v>2016</v>
      </c>
      <c r="K165" s="37"/>
      <c r="L165" s="36" t="s">
        <v>156</v>
      </c>
      <c r="M165" s="36"/>
      <c r="N165" s="36" t="s">
        <v>32</v>
      </c>
      <c r="O165" s="36">
        <f t="shared" si="27"/>
        <v>0</v>
      </c>
      <c r="P165" s="38"/>
      <c r="Q165" s="38"/>
      <c r="R165" s="36">
        <f t="shared" si="28"/>
        <v>0</v>
      </c>
      <c r="S165" s="38"/>
      <c r="T165" s="38"/>
      <c r="U165" s="36">
        <f t="shared" si="29"/>
        <v>0</v>
      </c>
      <c r="V165" s="38"/>
      <c r="W165" s="38"/>
      <c r="X165" s="38" t="s">
        <v>76</v>
      </c>
      <c r="Y165" s="146" t="s">
        <v>33</v>
      </c>
      <c r="Z165" s="146" t="s">
        <v>43</v>
      </c>
      <c r="AA165" s="38" t="s">
        <v>435</v>
      </c>
      <c r="AB165" s="38" t="s">
        <v>33</v>
      </c>
    </row>
    <row r="166" spans="1:28" ht="17.25" hidden="1" customHeight="1" x14ac:dyDescent="0.3">
      <c r="A166" s="36" t="s">
        <v>264</v>
      </c>
      <c r="B166" s="36" t="str">
        <f t="shared" si="30"/>
        <v>IT0502</v>
      </c>
      <c r="C166" s="36" t="s">
        <v>267</v>
      </c>
      <c r="D166" s="133">
        <v>5</v>
      </c>
      <c r="E166" s="71">
        <v>2</v>
      </c>
      <c r="F166" s="36" t="s">
        <v>265</v>
      </c>
      <c r="G166" s="36" t="s">
        <v>292</v>
      </c>
      <c r="H166" s="36" t="s">
        <v>28</v>
      </c>
      <c r="I166" s="36" t="s">
        <v>29</v>
      </c>
      <c r="J166" s="37">
        <v>1966</v>
      </c>
      <c r="K166" s="37"/>
      <c r="L166" s="36" t="s">
        <v>156</v>
      </c>
      <c r="M166" s="36"/>
      <c r="N166" s="36" t="s">
        <v>32</v>
      </c>
      <c r="O166" s="36">
        <f t="shared" si="27"/>
        <v>0</v>
      </c>
      <c r="P166" s="38"/>
      <c r="Q166" s="38"/>
      <c r="R166" s="36">
        <f t="shared" si="28"/>
        <v>0</v>
      </c>
      <c r="S166" s="38"/>
      <c r="T166" s="38"/>
      <c r="U166" s="36">
        <f t="shared" si="29"/>
        <v>0</v>
      </c>
      <c r="V166" s="38"/>
      <c r="W166" s="38"/>
      <c r="X166" s="38" t="s">
        <v>76</v>
      </c>
      <c r="Y166" s="146" t="s">
        <v>33</v>
      </c>
      <c r="Z166" s="146" t="s">
        <v>43</v>
      </c>
      <c r="AA166" s="38" t="s">
        <v>435</v>
      </c>
      <c r="AB166" s="38" t="s">
        <v>33</v>
      </c>
    </row>
    <row r="167" spans="1:28" hidden="1" x14ac:dyDescent="0.3">
      <c r="A167" s="36" t="s">
        <v>264</v>
      </c>
      <c r="B167" s="36" t="str">
        <f t="shared" si="30"/>
        <v>IT0503</v>
      </c>
      <c r="C167" s="36" t="s">
        <v>267</v>
      </c>
      <c r="D167" s="133">
        <v>5</v>
      </c>
      <c r="E167" s="71">
        <v>3</v>
      </c>
      <c r="F167" s="36" t="s">
        <v>265</v>
      </c>
      <c r="G167" s="36" t="s">
        <v>293</v>
      </c>
      <c r="H167" s="36" t="s">
        <v>28</v>
      </c>
      <c r="I167" s="36" t="s">
        <v>29</v>
      </c>
      <c r="J167" s="37">
        <v>1964</v>
      </c>
      <c r="K167" s="37"/>
      <c r="L167" s="36" t="s">
        <v>156</v>
      </c>
      <c r="M167" s="36"/>
      <c r="N167" s="36" t="s">
        <v>32</v>
      </c>
      <c r="O167" s="36">
        <f t="shared" si="27"/>
        <v>0</v>
      </c>
      <c r="P167" s="38"/>
      <c r="Q167" s="38"/>
      <c r="R167" s="36">
        <f t="shared" si="28"/>
        <v>0</v>
      </c>
      <c r="S167" s="38"/>
      <c r="T167" s="38"/>
      <c r="U167" s="36">
        <f t="shared" si="29"/>
        <v>0</v>
      </c>
      <c r="V167" s="38"/>
      <c r="W167" s="38"/>
      <c r="X167" s="38" t="s">
        <v>76</v>
      </c>
      <c r="Y167" s="146" t="s">
        <v>33</v>
      </c>
      <c r="Z167" s="146" t="s">
        <v>43</v>
      </c>
      <c r="AA167" s="38" t="s">
        <v>435</v>
      </c>
      <c r="AB167" s="38" t="s">
        <v>33</v>
      </c>
    </row>
    <row r="168" spans="1:28" hidden="1" x14ac:dyDescent="0.3">
      <c r="A168" s="36" t="s">
        <v>264</v>
      </c>
      <c r="B168" s="36" t="str">
        <f t="shared" si="30"/>
        <v>IT0504</v>
      </c>
      <c r="C168" s="36" t="s">
        <v>267</v>
      </c>
      <c r="D168" s="133">
        <v>5</v>
      </c>
      <c r="E168" s="71">
        <v>4</v>
      </c>
      <c r="F168" s="36" t="s">
        <v>265</v>
      </c>
      <c r="G168" s="36" t="s">
        <v>285</v>
      </c>
      <c r="H168" s="36" t="s">
        <v>28</v>
      </c>
      <c r="I168" s="36" t="s">
        <v>29</v>
      </c>
      <c r="J168" s="37">
        <v>1982</v>
      </c>
      <c r="K168" s="37"/>
      <c r="L168" s="36" t="s">
        <v>156</v>
      </c>
      <c r="M168" s="36"/>
      <c r="N168" s="36" t="s">
        <v>32</v>
      </c>
      <c r="O168" s="36">
        <f t="shared" si="27"/>
        <v>0</v>
      </c>
      <c r="P168" s="38"/>
      <c r="Q168" s="38"/>
      <c r="R168" s="36">
        <f t="shared" si="28"/>
        <v>0</v>
      </c>
      <c r="S168" s="38"/>
      <c r="T168" s="38"/>
      <c r="U168" s="36">
        <f t="shared" si="29"/>
        <v>0</v>
      </c>
      <c r="V168" s="38"/>
      <c r="W168" s="38"/>
      <c r="X168" s="38" t="s">
        <v>76</v>
      </c>
      <c r="Y168" s="146" t="s">
        <v>33</v>
      </c>
      <c r="Z168" s="146" t="s">
        <v>43</v>
      </c>
      <c r="AA168" s="38" t="s">
        <v>435</v>
      </c>
      <c r="AB168" s="38" t="s">
        <v>33</v>
      </c>
    </row>
    <row r="169" spans="1:28" hidden="1" x14ac:dyDescent="0.3">
      <c r="A169" s="36" t="s">
        <v>264</v>
      </c>
      <c r="B169" s="36" t="str">
        <f t="shared" si="30"/>
        <v>IT0505</v>
      </c>
      <c r="C169" s="36" t="s">
        <v>267</v>
      </c>
      <c r="D169" s="133">
        <v>5</v>
      </c>
      <c r="E169" s="71">
        <v>5</v>
      </c>
      <c r="F169" s="36" t="s">
        <v>265</v>
      </c>
      <c r="G169" s="36" t="s">
        <v>287</v>
      </c>
      <c r="H169" s="36" t="s">
        <v>28</v>
      </c>
      <c r="I169" s="36" t="s">
        <v>29</v>
      </c>
      <c r="J169" s="37">
        <v>1975</v>
      </c>
      <c r="K169" s="37"/>
      <c r="L169" s="36" t="s">
        <v>156</v>
      </c>
      <c r="M169" s="36"/>
      <c r="N169" s="36" t="s">
        <v>32</v>
      </c>
      <c r="O169" s="36">
        <f t="shared" si="27"/>
        <v>0</v>
      </c>
      <c r="P169" s="38"/>
      <c r="Q169" s="38"/>
      <c r="R169" s="36">
        <f t="shared" si="28"/>
        <v>0</v>
      </c>
      <c r="S169" s="38"/>
      <c r="T169" s="38"/>
      <c r="U169" s="36">
        <f t="shared" si="29"/>
        <v>0</v>
      </c>
      <c r="V169" s="38"/>
      <c r="W169" s="38"/>
      <c r="X169" s="38" t="s">
        <v>76</v>
      </c>
      <c r="Y169" s="146" t="s">
        <v>33</v>
      </c>
      <c r="Z169" s="146" t="s">
        <v>43</v>
      </c>
      <c r="AA169" s="38" t="s">
        <v>435</v>
      </c>
      <c r="AB169" s="38" t="s">
        <v>33</v>
      </c>
    </row>
    <row r="170" spans="1:28" hidden="1" x14ac:dyDescent="0.3">
      <c r="A170" s="36" t="s">
        <v>264</v>
      </c>
      <c r="B170" s="36" t="str">
        <f t="shared" si="30"/>
        <v>IT0506</v>
      </c>
      <c r="C170" s="36" t="s">
        <v>267</v>
      </c>
      <c r="D170" s="133">
        <v>5</v>
      </c>
      <c r="E170" s="71">
        <v>6</v>
      </c>
      <c r="F170" s="36" t="s">
        <v>265</v>
      </c>
      <c r="G170" s="36" t="s">
        <v>288</v>
      </c>
      <c r="H170" s="36" t="s">
        <v>28</v>
      </c>
      <c r="I170" s="36" t="s">
        <v>29</v>
      </c>
      <c r="J170" s="37">
        <v>1967</v>
      </c>
      <c r="K170" s="37"/>
      <c r="L170" s="36" t="s">
        <v>156</v>
      </c>
      <c r="M170" s="36"/>
      <c r="N170" s="36" t="s">
        <v>32</v>
      </c>
      <c r="O170" s="36">
        <f t="shared" si="27"/>
        <v>0</v>
      </c>
      <c r="P170" s="38"/>
      <c r="Q170" s="38"/>
      <c r="R170" s="36">
        <f t="shared" si="28"/>
        <v>0</v>
      </c>
      <c r="S170" s="38"/>
      <c r="T170" s="38"/>
      <c r="U170" s="36">
        <f t="shared" si="29"/>
        <v>0</v>
      </c>
      <c r="V170" s="38"/>
      <c r="W170" s="38"/>
      <c r="X170" s="38" t="s">
        <v>76</v>
      </c>
      <c r="Y170" s="146" t="s">
        <v>33</v>
      </c>
      <c r="Z170" s="146" t="s">
        <v>43</v>
      </c>
      <c r="AA170" s="38" t="s">
        <v>435</v>
      </c>
      <c r="AB170" s="38" t="s">
        <v>33</v>
      </c>
    </row>
    <row r="171" spans="1:28" hidden="1" x14ac:dyDescent="0.3">
      <c r="A171" s="36" t="s">
        <v>264</v>
      </c>
      <c r="B171" s="36" t="str">
        <f t="shared" si="30"/>
        <v>IT0507</v>
      </c>
      <c r="C171" s="36" t="s">
        <v>267</v>
      </c>
      <c r="D171" s="133">
        <v>5</v>
      </c>
      <c r="E171" s="71">
        <v>7</v>
      </c>
      <c r="F171" s="36" t="s">
        <v>265</v>
      </c>
      <c r="G171" s="36" t="s">
        <v>289</v>
      </c>
      <c r="H171" s="36" t="s">
        <v>28</v>
      </c>
      <c r="I171" s="36" t="s">
        <v>29</v>
      </c>
      <c r="J171" s="37">
        <v>1985</v>
      </c>
      <c r="K171" s="37"/>
      <c r="L171" s="36" t="s">
        <v>156</v>
      </c>
      <c r="M171" s="36"/>
      <c r="N171" s="36" t="s">
        <v>32</v>
      </c>
      <c r="O171" s="36">
        <f t="shared" si="27"/>
        <v>0</v>
      </c>
      <c r="P171" s="38"/>
      <c r="Q171" s="38"/>
      <c r="R171" s="36">
        <f t="shared" si="28"/>
        <v>0</v>
      </c>
      <c r="S171" s="38"/>
      <c r="T171" s="38"/>
      <c r="U171" s="36">
        <f t="shared" si="29"/>
        <v>0</v>
      </c>
      <c r="V171" s="38"/>
      <c r="W171" s="38"/>
      <c r="X171" s="38" t="s">
        <v>76</v>
      </c>
      <c r="Y171" s="146" t="s">
        <v>33</v>
      </c>
      <c r="Z171" s="146" t="s">
        <v>43</v>
      </c>
      <c r="AA171" s="38" t="s">
        <v>435</v>
      </c>
      <c r="AB171" s="38" t="s">
        <v>33</v>
      </c>
    </row>
    <row r="172" spans="1:28" hidden="1" x14ac:dyDescent="0.3">
      <c r="A172" s="36" t="s">
        <v>264</v>
      </c>
      <c r="B172" s="36" t="str">
        <f t="shared" si="30"/>
        <v>IT0508</v>
      </c>
      <c r="C172" s="36" t="s">
        <v>267</v>
      </c>
      <c r="D172" s="133">
        <v>5</v>
      </c>
      <c r="E172" s="71">
        <v>8</v>
      </c>
      <c r="F172" s="36" t="s">
        <v>265</v>
      </c>
      <c r="G172" s="36" t="s">
        <v>290</v>
      </c>
      <c r="H172" s="36" t="s">
        <v>28</v>
      </c>
      <c r="I172" s="36" t="s">
        <v>29</v>
      </c>
      <c r="J172" s="37">
        <v>1965</v>
      </c>
      <c r="K172" s="37"/>
      <c r="L172" s="36" t="s">
        <v>156</v>
      </c>
      <c r="M172" s="36"/>
      <c r="N172" s="36" t="s">
        <v>32</v>
      </c>
      <c r="O172" s="36">
        <f t="shared" si="27"/>
        <v>0</v>
      </c>
      <c r="P172" s="38"/>
      <c r="Q172" s="38"/>
      <c r="R172" s="36">
        <f t="shared" si="28"/>
        <v>0</v>
      </c>
      <c r="S172" s="38"/>
      <c r="T172" s="38"/>
      <c r="U172" s="36">
        <f t="shared" si="29"/>
        <v>0</v>
      </c>
      <c r="V172" s="38"/>
      <c r="W172" s="38"/>
      <c r="X172" s="38" t="s">
        <v>76</v>
      </c>
      <c r="Y172" s="146" t="s">
        <v>33</v>
      </c>
      <c r="Z172" s="146" t="s">
        <v>43</v>
      </c>
      <c r="AA172" s="38" t="s">
        <v>435</v>
      </c>
      <c r="AB172" s="38" t="s">
        <v>33</v>
      </c>
    </row>
    <row r="173" spans="1:28" hidden="1" x14ac:dyDescent="0.3">
      <c r="A173" s="36" t="s">
        <v>264</v>
      </c>
      <c r="B173" s="36" t="str">
        <f t="shared" si="30"/>
        <v>IT0509</v>
      </c>
      <c r="C173" s="36" t="s">
        <v>267</v>
      </c>
      <c r="D173" s="133">
        <v>5</v>
      </c>
      <c r="E173" s="71">
        <v>9</v>
      </c>
      <c r="F173" s="36" t="s">
        <v>265</v>
      </c>
      <c r="G173" s="36" t="s">
        <v>291</v>
      </c>
      <c r="H173" s="36" t="s">
        <v>28</v>
      </c>
      <c r="I173" s="36" t="s">
        <v>29</v>
      </c>
      <c r="J173" s="37">
        <v>1986</v>
      </c>
      <c r="K173" s="37"/>
      <c r="L173" s="36" t="s">
        <v>156</v>
      </c>
      <c r="M173" s="36"/>
      <c r="N173" s="36" t="s">
        <v>32</v>
      </c>
      <c r="O173" s="36">
        <f t="shared" si="27"/>
        <v>0</v>
      </c>
      <c r="P173" s="38"/>
      <c r="Q173" s="38"/>
      <c r="R173" s="36">
        <f t="shared" si="28"/>
        <v>0</v>
      </c>
      <c r="S173" s="38"/>
      <c r="T173" s="38"/>
      <c r="U173" s="36">
        <f t="shared" si="29"/>
        <v>0</v>
      </c>
      <c r="V173" s="38"/>
      <c r="W173" s="38"/>
      <c r="X173" s="38" t="s">
        <v>76</v>
      </c>
      <c r="Y173" s="146" t="s">
        <v>33</v>
      </c>
      <c r="Z173" s="146" t="s">
        <v>43</v>
      </c>
      <c r="AA173" s="38" t="s">
        <v>435</v>
      </c>
      <c r="AB173" s="38" t="s">
        <v>33</v>
      </c>
    </row>
    <row r="174" spans="1:28" s="22" customFormat="1" hidden="1" x14ac:dyDescent="0.3">
      <c r="A174" s="58" t="s">
        <v>264</v>
      </c>
      <c r="B174" s="78" t="str">
        <f>C174&amp;TEXT(D174,"0#")&amp;TEXT(E174,"00#")</f>
        <v>IT05V1</v>
      </c>
      <c r="C174" s="78" t="s">
        <v>267</v>
      </c>
      <c r="D174" s="138">
        <v>5</v>
      </c>
      <c r="E174" s="72" t="s">
        <v>456</v>
      </c>
      <c r="F174" s="59" t="s">
        <v>265</v>
      </c>
      <c r="G174" s="59" t="s">
        <v>266</v>
      </c>
      <c r="H174" s="17" t="s">
        <v>28</v>
      </c>
      <c r="I174" s="17" t="s">
        <v>29</v>
      </c>
      <c r="J174" s="18"/>
      <c r="K174" s="18"/>
      <c r="L174" s="17" t="s">
        <v>30</v>
      </c>
      <c r="M174" s="17"/>
      <c r="N174" s="17" t="s">
        <v>32</v>
      </c>
      <c r="O174" s="19">
        <v>182.94558000000001</v>
      </c>
      <c r="P174" s="20">
        <v>134.53469999999999</v>
      </c>
      <c r="Q174" s="20">
        <v>48.410879999999992</v>
      </c>
      <c r="R174" s="21">
        <v>1588.4819999999995</v>
      </c>
      <c r="S174" s="20">
        <v>1588.4819999999995</v>
      </c>
      <c r="T174" s="20">
        <v>0</v>
      </c>
      <c r="U174" s="19">
        <v>2679.8879999999995</v>
      </c>
      <c r="V174" s="20">
        <v>2679.8879999999995</v>
      </c>
      <c r="W174" s="20">
        <v>0</v>
      </c>
      <c r="X174" s="20" t="s">
        <v>76</v>
      </c>
      <c r="Y174" s="20" t="s">
        <v>43</v>
      </c>
      <c r="Z174" s="20" t="s">
        <v>33</v>
      </c>
      <c r="AA174" s="20" t="s">
        <v>435</v>
      </c>
      <c r="AB174" s="20" t="s">
        <v>33</v>
      </c>
    </row>
    <row r="175" spans="1:28" hidden="1" x14ac:dyDescent="0.3">
      <c r="A175" s="12" t="s">
        <v>264</v>
      </c>
      <c r="B175" s="12" t="str">
        <f>C175&amp;TEXT(D175,"0#")&amp;TEXT(E175,"0#")</f>
        <v>IT0601</v>
      </c>
      <c r="C175" s="12" t="s">
        <v>267</v>
      </c>
      <c r="D175" s="132">
        <v>6</v>
      </c>
      <c r="E175" s="70">
        <v>1</v>
      </c>
      <c r="F175" s="12" t="s">
        <v>428</v>
      </c>
      <c r="G175" s="12" t="s">
        <v>273</v>
      </c>
      <c r="H175" s="12" t="s">
        <v>83</v>
      </c>
      <c r="I175" s="12" t="s">
        <v>429</v>
      </c>
      <c r="J175" s="13"/>
      <c r="K175" s="13"/>
      <c r="L175" s="12" t="s">
        <v>156</v>
      </c>
      <c r="M175" s="12"/>
      <c r="N175" s="12" t="s">
        <v>32</v>
      </c>
      <c r="O175" s="27">
        <f>P175+Q175</f>
        <v>7.2162000000000006</v>
      </c>
      <c r="P175" s="27">
        <f>0.633*11.4</f>
        <v>7.2162000000000006</v>
      </c>
      <c r="Q175" s="27"/>
      <c r="R175" s="12">
        <f>S175+T175</f>
        <v>0</v>
      </c>
      <c r="S175" s="27"/>
      <c r="T175" s="27"/>
      <c r="U175" s="12">
        <f>V175+W175</f>
        <v>0</v>
      </c>
      <c r="V175" s="27"/>
      <c r="W175" s="27"/>
      <c r="X175" s="27" t="s">
        <v>76</v>
      </c>
      <c r="Y175" s="12" t="s">
        <v>33</v>
      </c>
      <c r="Z175" s="12" t="s">
        <v>33</v>
      </c>
      <c r="AA175" s="24" t="s">
        <v>435</v>
      </c>
      <c r="AB175" s="27"/>
    </row>
    <row r="176" spans="1:28" hidden="1" x14ac:dyDescent="0.3">
      <c r="A176" s="12" t="s">
        <v>294</v>
      </c>
      <c r="B176" s="12" t="str">
        <f t="shared" si="30"/>
        <v>LV0101</v>
      </c>
      <c r="C176" s="12" t="s">
        <v>295</v>
      </c>
      <c r="D176" s="132">
        <v>1</v>
      </c>
      <c r="E176" s="70">
        <v>1</v>
      </c>
      <c r="F176" s="12" t="s">
        <v>448</v>
      </c>
      <c r="G176" s="12" t="s">
        <v>296</v>
      </c>
      <c r="H176" s="12" t="s">
        <v>28</v>
      </c>
      <c r="I176" s="12" t="s">
        <v>29</v>
      </c>
      <c r="J176" s="13">
        <v>1968</v>
      </c>
      <c r="K176" s="13"/>
      <c r="L176" s="12" t="s">
        <v>68</v>
      </c>
      <c r="M176" s="12"/>
      <c r="N176" s="12" t="s">
        <v>32</v>
      </c>
      <c r="O176" s="14">
        <v>24.2</v>
      </c>
      <c r="P176" s="16">
        <v>24.2</v>
      </c>
      <c r="Q176" s="16"/>
      <c r="R176" s="14">
        <v>178.5</v>
      </c>
      <c r="S176" s="16">
        <v>178.5</v>
      </c>
      <c r="T176" s="16"/>
      <c r="U176" s="14">
        <v>316</v>
      </c>
      <c r="V176" s="16">
        <v>316</v>
      </c>
      <c r="W176" s="16"/>
      <c r="X176" s="16" t="s">
        <v>76</v>
      </c>
      <c r="Y176" s="12" t="s">
        <v>33</v>
      </c>
      <c r="Z176" s="12" t="s">
        <v>33</v>
      </c>
      <c r="AA176" s="24" t="s">
        <v>435</v>
      </c>
      <c r="AB176" s="16" t="s">
        <v>33</v>
      </c>
    </row>
    <row r="177" spans="1:28" hidden="1" x14ac:dyDescent="0.3">
      <c r="A177" s="12" t="s">
        <v>297</v>
      </c>
      <c r="B177" s="12" t="str">
        <f t="shared" si="30"/>
        <v>NL0101</v>
      </c>
      <c r="C177" s="12" t="s">
        <v>298</v>
      </c>
      <c r="D177" s="132">
        <v>1</v>
      </c>
      <c r="E177" s="70">
        <v>1</v>
      </c>
      <c r="F177" s="12" t="s">
        <v>299</v>
      </c>
      <c r="G177" s="12" t="s">
        <v>300</v>
      </c>
      <c r="H177" s="12" t="s">
        <v>28</v>
      </c>
      <c r="I177" s="12" t="s">
        <v>29</v>
      </c>
      <c r="J177" s="13">
        <v>2011</v>
      </c>
      <c r="K177" s="13"/>
      <c r="L177" s="12" t="s">
        <v>63</v>
      </c>
      <c r="M177" s="12"/>
      <c r="N177" s="12" t="s">
        <v>32</v>
      </c>
      <c r="O177" s="14">
        <f t="shared" si="27"/>
        <v>3.65</v>
      </c>
      <c r="P177" s="16">
        <v>3.65</v>
      </c>
      <c r="Q177" s="16"/>
      <c r="R177" s="14">
        <f t="shared" si="28"/>
        <v>345.03</v>
      </c>
      <c r="S177" s="16">
        <v>345.03</v>
      </c>
      <c r="T177" s="16"/>
      <c r="U177" s="14">
        <f t="shared" si="29"/>
        <v>595.86</v>
      </c>
      <c r="V177" s="16">
        <v>595.86</v>
      </c>
      <c r="W177" s="16"/>
      <c r="X177" s="16" t="s">
        <v>500</v>
      </c>
      <c r="Y177" s="12" t="s">
        <v>33</v>
      </c>
      <c r="Z177" s="12" t="s">
        <v>33</v>
      </c>
      <c r="AA177" s="24" t="s">
        <v>435</v>
      </c>
      <c r="AB177" s="16" t="s">
        <v>33</v>
      </c>
    </row>
    <row r="178" spans="1:28" hidden="1" x14ac:dyDescent="0.3">
      <c r="A178" s="12" t="s">
        <v>297</v>
      </c>
      <c r="B178" s="12" t="str">
        <f t="shared" si="30"/>
        <v>NL0102</v>
      </c>
      <c r="C178" s="12" t="s">
        <v>298</v>
      </c>
      <c r="D178" s="132">
        <v>1</v>
      </c>
      <c r="E178" s="70">
        <v>2</v>
      </c>
      <c r="F178" s="12" t="s">
        <v>299</v>
      </c>
      <c r="G178" s="12" t="s">
        <v>300</v>
      </c>
      <c r="H178" s="12" t="s">
        <v>28</v>
      </c>
      <c r="I178" s="12" t="s">
        <v>504</v>
      </c>
      <c r="J178" s="12">
        <v>2020</v>
      </c>
      <c r="K178" s="13"/>
      <c r="L178" s="12" t="s">
        <v>63</v>
      </c>
      <c r="M178" s="12"/>
      <c r="N178" s="12" t="s">
        <v>32</v>
      </c>
      <c r="O178" s="14">
        <f>P178+Q178</f>
        <v>0.85</v>
      </c>
      <c r="P178" s="16">
        <v>0.85</v>
      </c>
      <c r="Q178" s="16"/>
      <c r="R178" s="15">
        <f>S178+T178</f>
        <v>0</v>
      </c>
      <c r="S178" s="16"/>
      <c r="T178" s="16"/>
      <c r="U178" s="14">
        <f>V178+W178</f>
        <v>0</v>
      </c>
      <c r="V178" s="16"/>
      <c r="W178" s="16"/>
      <c r="X178" s="16" t="s">
        <v>500</v>
      </c>
      <c r="Y178" s="12" t="s">
        <v>43</v>
      </c>
      <c r="Z178" s="12" t="s">
        <v>33</v>
      </c>
      <c r="AA178" s="24" t="s">
        <v>435</v>
      </c>
      <c r="AB178" s="16" t="s">
        <v>33</v>
      </c>
    </row>
    <row r="179" spans="1:28" hidden="1" x14ac:dyDescent="0.3">
      <c r="A179" s="12" t="s">
        <v>297</v>
      </c>
      <c r="B179" s="12" t="str">
        <f t="shared" si="30"/>
        <v>NL0201</v>
      </c>
      <c r="C179" s="12" t="s">
        <v>298</v>
      </c>
      <c r="D179" s="132">
        <v>2</v>
      </c>
      <c r="E179" s="70">
        <v>1</v>
      </c>
      <c r="F179" s="12" t="s">
        <v>301</v>
      </c>
      <c r="G179" s="12" t="s">
        <v>302</v>
      </c>
      <c r="H179" s="12" t="s">
        <v>28</v>
      </c>
      <c r="I179" s="12" t="s">
        <v>29</v>
      </c>
      <c r="J179" s="13">
        <v>1997</v>
      </c>
      <c r="K179" s="13"/>
      <c r="L179" s="12" t="s">
        <v>30</v>
      </c>
      <c r="M179" s="12" t="s">
        <v>303</v>
      </c>
      <c r="N179" s="12" t="s">
        <v>32</v>
      </c>
      <c r="O179" s="14">
        <f t="shared" si="27"/>
        <v>27.666699999999999</v>
      </c>
      <c r="P179" s="16">
        <v>0</v>
      </c>
      <c r="Q179" s="16">
        <v>27.666699999999999</v>
      </c>
      <c r="R179" s="15">
        <f t="shared" si="28"/>
        <v>172.916</v>
      </c>
      <c r="S179" s="16">
        <v>0</v>
      </c>
      <c r="T179" s="16">
        <v>172.916</v>
      </c>
      <c r="U179" s="14">
        <f t="shared" si="29"/>
        <v>719.33299999999997</v>
      </c>
      <c r="V179" s="16">
        <v>0</v>
      </c>
      <c r="W179" s="16">
        <v>719.33299999999997</v>
      </c>
      <c r="X179" s="16" t="s">
        <v>500</v>
      </c>
      <c r="Y179" s="12" t="s">
        <v>33</v>
      </c>
      <c r="Z179" s="12" t="s">
        <v>33</v>
      </c>
      <c r="AA179" s="24" t="s">
        <v>435</v>
      </c>
      <c r="AB179" s="16" t="s">
        <v>33</v>
      </c>
    </row>
    <row r="180" spans="1:28" hidden="1" x14ac:dyDescent="0.3">
      <c r="A180" s="12" t="s">
        <v>297</v>
      </c>
      <c r="B180" s="12" t="str">
        <f t="shared" si="30"/>
        <v>NL0202</v>
      </c>
      <c r="C180" s="12" t="s">
        <v>298</v>
      </c>
      <c r="D180" s="132">
        <v>2</v>
      </c>
      <c r="E180" s="70">
        <v>2</v>
      </c>
      <c r="F180" s="12" t="s">
        <v>301</v>
      </c>
      <c r="G180" s="12" t="s">
        <v>304</v>
      </c>
      <c r="H180" s="12" t="s">
        <v>28</v>
      </c>
      <c r="I180" s="12" t="s">
        <v>29</v>
      </c>
      <c r="J180" s="13">
        <v>1997</v>
      </c>
      <c r="K180" s="13"/>
      <c r="L180" s="12" t="s">
        <v>30</v>
      </c>
      <c r="M180" s="12" t="s">
        <v>303</v>
      </c>
      <c r="N180" s="12" t="s">
        <v>32</v>
      </c>
      <c r="O180" s="14">
        <f t="shared" si="27"/>
        <v>59.338500000000003</v>
      </c>
      <c r="P180" s="16">
        <v>0</v>
      </c>
      <c r="Q180" s="16">
        <v>59.338500000000003</v>
      </c>
      <c r="R180" s="14">
        <f t="shared" si="28"/>
        <v>448.75</v>
      </c>
      <c r="S180" s="16">
        <v>0</v>
      </c>
      <c r="T180" s="16">
        <v>448.75</v>
      </c>
      <c r="U180" s="14">
        <f t="shared" si="29"/>
        <v>791.18</v>
      </c>
      <c r="V180" s="16">
        <v>0</v>
      </c>
      <c r="W180" s="16">
        <v>791.18</v>
      </c>
      <c r="X180" s="16" t="s">
        <v>500</v>
      </c>
      <c r="Y180" s="12" t="s">
        <v>33</v>
      </c>
      <c r="Z180" s="12" t="s">
        <v>33</v>
      </c>
      <c r="AA180" s="24" t="s">
        <v>435</v>
      </c>
      <c r="AB180" s="16" t="s">
        <v>33</v>
      </c>
    </row>
    <row r="181" spans="1:28" hidden="1" x14ac:dyDescent="0.3">
      <c r="A181" s="12" t="s">
        <v>297</v>
      </c>
      <c r="B181" s="12" t="str">
        <f t="shared" si="30"/>
        <v>NL0301</v>
      </c>
      <c r="C181" s="12" t="s">
        <v>298</v>
      </c>
      <c r="D181" s="132">
        <v>3</v>
      </c>
      <c r="E181" s="70">
        <v>1</v>
      </c>
      <c r="F181" s="12" t="s">
        <v>305</v>
      </c>
      <c r="G181" s="12" t="s">
        <v>306</v>
      </c>
      <c r="H181" s="12" t="s">
        <v>28</v>
      </c>
      <c r="I181" s="12" t="s">
        <v>29</v>
      </c>
      <c r="J181" s="13">
        <v>2015</v>
      </c>
      <c r="K181" s="13"/>
      <c r="L181" s="12" t="s">
        <v>30</v>
      </c>
      <c r="M181" s="12" t="s">
        <v>31</v>
      </c>
      <c r="N181" s="12" t="s">
        <v>32</v>
      </c>
      <c r="O181" s="14">
        <f t="shared" si="27"/>
        <v>48.151499999999999</v>
      </c>
      <c r="P181" s="16">
        <v>48.151499999999999</v>
      </c>
      <c r="Q181" s="16"/>
      <c r="R181" s="14">
        <f t="shared" si="28"/>
        <v>407.55</v>
      </c>
      <c r="S181" s="16">
        <v>407.55</v>
      </c>
      <c r="T181" s="16"/>
      <c r="U181" s="14">
        <f t="shared" si="29"/>
        <v>490.85</v>
      </c>
      <c r="V181" s="16">
        <v>490.85</v>
      </c>
      <c r="W181" s="16"/>
      <c r="X181" s="16" t="s">
        <v>500</v>
      </c>
      <c r="Y181" s="12" t="s">
        <v>33</v>
      </c>
      <c r="Z181" s="12" t="s">
        <v>33</v>
      </c>
      <c r="AA181" s="24" t="s">
        <v>435</v>
      </c>
      <c r="AB181" s="16" t="s">
        <v>33</v>
      </c>
    </row>
    <row r="182" spans="1:28" hidden="1" x14ac:dyDescent="0.3">
      <c r="A182" s="12" t="s">
        <v>297</v>
      </c>
      <c r="B182" s="12" t="str">
        <f t="shared" si="30"/>
        <v>NL0302</v>
      </c>
      <c r="C182" s="12" t="s">
        <v>298</v>
      </c>
      <c r="D182" s="132">
        <v>3</v>
      </c>
      <c r="E182" s="70">
        <v>2</v>
      </c>
      <c r="F182" s="12" t="s">
        <v>307</v>
      </c>
      <c r="G182" s="12" t="s">
        <v>308</v>
      </c>
      <c r="H182" s="12" t="s">
        <v>28</v>
      </c>
      <c r="I182" s="12" t="s">
        <v>29</v>
      </c>
      <c r="J182" s="13">
        <v>1997</v>
      </c>
      <c r="K182" s="13"/>
      <c r="L182" s="12" t="s">
        <v>30</v>
      </c>
      <c r="M182" s="12" t="s">
        <v>31</v>
      </c>
      <c r="N182" s="12" t="s">
        <v>32</v>
      </c>
      <c r="O182" s="14">
        <f t="shared" si="27"/>
        <v>4.9000000000000004</v>
      </c>
      <c r="P182" s="16">
        <v>0</v>
      </c>
      <c r="Q182" s="16">
        <v>4.9000000000000004</v>
      </c>
      <c r="R182" s="15">
        <f t="shared" si="28"/>
        <v>36</v>
      </c>
      <c r="S182" s="16">
        <v>0</v>
      </c>
      <c r="T182" s="16">
        <v>36</v>
      </c>
      <c r="U182" s="14">
        <f t="shared" si="29"/>
        <v>352.8</v>
      </c>
      <c r="V182" s="16">
        <v>0</v>
      </c>
      <c r="W182" s="16">
        <v>352.8</v>
      </c>
      <c r="X182" s="16" t="s">
        <v>500</v>
      </c>
      <c r="Y182" s="12" t="s">
        <v>33</v>
      </c>
      <c r="Z182" s="12" t="s">
        <v>33</v>
      </c>
      <c r="AA182" s="24" t="s">
        <v>435</v>
      </c>
      <c r="AB182" s="16" t="s">
        <v>33</v>
      </c>
    </row>
    <row r="183" spans="1:28" hidden="1" x14ac:dyDescent="0.3">
      <c r="A183" s="12" t="s">
        <v>309</v>
      </c>
      <c r="B183" s="12" t="str">
        <f t="shared" si="30"/>
        <v>PL0101</v>
      </c>
      <c r="C183" s="12" t="s">
        <v>311</v>
      </c>
      <c r="D183" s="132">
        <v>1</v>
      </c>
      <c r="E183" s="70">
        <v>1</v>
      </c>
      <c r="F183" s="12" t="s">
        <v>310</v>
      </c>
      <c r="G183" s="12" t="s">
        <v>312</v>
      </c>
      <c r="H183" s="12" t="s">
        <v>28</v>
      </c>
      <c r="I183" s="12" t="s">
        <v>29</v>
      </c>
      <c r="J183" s="13">
        <v>1995</v>
      </c>
      <c r="K183" s="13"/>
      <c r="L183" s="12" t="s">
        <v>156</v>
      </c>
      <c r="M183" s="12"/>
      <c r="N183" s="12" t="s">
        <v>32</v>
      </c>
      <c r="O183" s="14">
        <f t="shared" si="27"/>
        <v>14.729999999999999</v>
      </c>
      <c r="P183" s="16">
        <v>14.62</v>
      </c>
      <c r="Q183" s="16">
        <v>0.11</v>
      </c>
      <c r="R183" s="14">
        <f t="shared" si="28"/>
        <v>107.52</v>
      </c>
      <c r="S183" s="16">
        <v>106.42</v>
      </c>
      <c r="T183" s="16">
        <v>1.1000000000000001</v>
      </c>
      <c r="U183" s="14">
        <f t="shared" si="29"/>
        <v>158.39999999999998</v>
      </c>
      <c r="V183" s="16">
        <v>154.91999999999999</v>
      </c>
      <c r="W183" s="16">
        <v>3.48</v>
      </c>
      <c r="X183" s="16" t="s">
        <v>76</v>
      </c>
      <c r="Y183" s="12" t="s">
        <v>33</v>
      </c>
      <c r="Z183" s="12" t="s">
        <v>33</v>
      </c>
      <c r="AA183" s="24" t="s">
        <v>435</v>
      </c>
      <c r="AB183" s="16" t="s">
        <v>33</v>
      </c>
    </row>
    <row r="184" spans="1:28" ht="17.25" hidden="1" customHeight="1" x14ac:dyDescent="0.3">
      <c r="A184" s="12" t="str">
        <f>A183</f>
        <v>Poland</v>
      </c>
      <c r="B184" s="12" t="str">
        <f t="shared" si="30"/>
        <v>PL0102</v>
      </c>
      <c r="C184" s="12" t="s">
        <v>311</v>
      </c>
      <c r="D184" s="132">
        <v>1</v>
      </c>
      <c r="E184" s="70">
        <v>2</v>
      </c>
      <c r="F184" s="12" t="s">
        <v>310</v>
      </c>
      <c r="G184" s="12" t="s">
        <v>313</v>
      </c>
      <c r="H184" s="12" t="s">
        <v>65</v>
      </c>
      <c r="I184" s="12" t="s">
        <v>504</v>
      </c>
      <c r="J184" s="12"/>
      <c r="K184" s="13"/>
      <c r="L184" s="12" t="s">
        <v>63</v>
      </c>
      <c r="M184" s="12"/>
      <c r="N184" s="12" t="s">
        <v>32</v>
      </c>
      <c r="O184" s="14">
        <f t="shared" ref="O184" si="31">P184+Q184</f>
        <v>0.69</v>
      </c>
      <c r="P184" s="16">
        <v>0.69</v>
      </c>
      <c r="Q184" s="16"/>
      <c r="R184" s="14"/>
      <c r="S184" s="16"/>
      <c r="T184" s="16"/>
      <c r="U184" s="14"/>
      <c r="V184" s="16"/>
      <c r="W184" s="16"/>
      <c r="X184" s="16" t="s">
        <v>76</v>
      </c>
      <c r="Y184" s="12" t="s">
        <v>43</v>
      </c>
      <c r="Z184" s="12" t="s">
        <v>33</v>
      </c>
      <c r="AA184" s="24" t="s">
        <v>435</v>
      </c>
      <c r="AB184" s="16" t="s">
        <v>33</v>
      </c>
    </row>
    <row r="185" spans="1:28" hidden="1" x14ac:dyDescent="0.3">
      <c r="A185" s="36" t="s">
        <v>309</v>
      </c>
      <c r="B185" s="36" t="str">
        <f t="shared" si="30"/>
        <v>PL0103</v>
      </c>
      <c r="C185" s="36" t="s">
        <v>311</v>
      </c>
      <c r="D185" s="133">
        <v>1</v>
      </c>
      <c r="E185" s="71">
        <v>3</v>
      </c>
      <c r="F185" s="36" t="s">
        <v>310</v>
      </c>
      <c r="G185" s="36" t="s">
        <v>313</v>
      </c>
      <c r="H185" s="36" t="s">
        <v>28</v>
      </c>
      <c r="I185" s="36" t="s">
        <v>29</v>
      </c>
      <c r="J185" s="37">
        <v>2014</v>
      </c>
      <c r="K185" s="37"/>
      <c r="L185" s="36" t="s">
        <v>63</v>
      </c>
      <c r="M185" s="36"/>
      <c r="N185" s="36" t="s">
        <v>32</v>
      </c>
      <c r="O185" s="38">
        <f t="shared" si="27"/>
        <v>2.67</v>
      </c>
      <c r="P185" s="38">
        <v>2.67</v>
      </c>
      <c r="Q185" s="38"/>
      <c r="R185" s="38">
        <f t="shared" si="28"/>
        <v>26.759999999999998</v>
      </c>
      <c r="S185" s="38">
        <v>26.759999999999998</v>
      </c>
      <c r="T185" s="38"/>
      <c r="U185" s="38">
        <f t="shared" si="29"/>
        <v>107.03999999999999</v>
      </c>
      <c r="V185" s="38">
        <v>107.03999999999999</v>
      </c>
      <c r="W185" s="38"/>
      <c r="X185" s="38" t="s">
        <v>76</v>
      </c>
      <c r="Y185" s="146" t="s">
        <v>33</v>
      </c>
      <c r="Z185" s="146" t="s">
        <v>33</v>
      </c>
      <c r="AA185" s="38" t="s">
        <v>435</v>
      </c>
      <c r="AB185" s="38" t="s">
        <v>33</v>
      </c>
    </row>
    <row r="186" spans="1:28" hidden="1" x14ac:dyDescent="0.3">
      <c r="A186" s="36" t="s">
        <v>309</v>
      </c>
      <c r="B186" s="36" t="str">
        <f t="shared" si="30"/>
        <v>PL0104</v>
      </c>
      <c r="C186" s="36" t="s">
        <v>311</v>
      </c>
      <c r="D186" s="133">
        <v>1</v>
      </c>
      <c r="E186" s="71">
        <v>4</v>
      </c>
      <c r="F186" s="36" t="s">
        <v>310</v>
      </c>
      <c r="G186" s="36" t="s">
        <v>314</v>
      </c>
      <c r="H186" s="36" t="s">
        <v>28</v>
      </c>
      <c r="I186" s="36" t="s">
        <v>29</v>
      </c>
      <c r="J186" s="37">
        <v>1997</v>
      </c>
      <c r="K186" s="37"/>
      <c r="L186" s="36" t="s">
        <v>63</v>
      </c>
      <c r="M186" s="36"/>
      <c r="N186" s="36" t="s">
        <v>32</v>
      </c>
      <c r="O186" s="38">
        <f>P186+Q186</f>
        <v>6.5200000000000005</v>
      </c>
      <c r="P186" s="38">
        <v>6.1858000000000004</v>
      </c>
      <c r="Q186" s="38">
        <v>0.3342</v>
      </c>
      <c r="R186" s="38">
        <f>S186+T186</f>
        <v>106.944</v>
      </c>
      <c r="S186" s="38">
        <v>101.044</v>
      </c>
      <c r="T186" s="38">
        <v>5.9</v>
      </c>
      <c r="U186" s="38">
        <f t="shared" si="29"/>
        <v>200.519967553773</v>
      </c>
      <c r="V186" s="38">
        <v>186.93716755377301</v>
      </c>
      <c r="W186" s="38">
        <v>13.582800000000001</v>
      </c>
      <c r="X186" s="38" t="s">
        <v>76</v>
      </c>
      <c r="Y186" s="146" t="s">
        <v>33</v>
      </c>
      <c r="Z186" s="146" t="s">
        <v>33</v>
      </c>
      <c r="AA186" s="38" t="s">
        <v>435</v>
      </c>
      <c r="AB186" s="38" t="s">
        <v>33</v>
      </c>
    </row>
    <row r="187" spans="1:28" s="22" customFormat="1" ht="15" hidden="1" customHeight="1" x14ac:dyDescent="0.3">
      <c r="A187" s="58" t="s">
        <v>309</v>
      </c>
      <c r="B187" s="77" t="str">
        <f t="shared" si="30"/>
        <v>PL01V1</v>
      </c>
      <c r="C187" s="77" t="s">
        <v>311</v>
      </c>
      <c r="D187" s="139">
        <v>1</v>
      </c>
      <c r="E187" s="72" t="s">
        <v>456</v>
      </c>
      <c r="F187" s="59" t="s">
        <v>310</v>
      </c>
      <c r="G187" s="59" t="s">
        <v>444</v>
      </c>
      <c r="H187" s="17" t="s">
        <v>28</v>
      </c>
      <c r="I187" s="17" t="s">
        <v>29</v>
      </c>
      <c r="J187" s="18"/>
      <c r="K187" s="18"/>
      <c r="L187" s="17" t="s">
        <v>63</v>
      </c>
      <c r="M187" s="17"/>
      <c r="N187" s="17" t="s">
        <v>32</v>
      </c>
      <c r="O187" s="19">
        <f>P187+Q187</f>
        <v>9.19</v>
      </c>
      <c r="P187" s="20">
        <f>SUM(P185:P186)</f>
        <v>8.8558000000000003</v>
      </c>
      <c r="Q187" s="20">
        <v>0.3342</v>
      </c>
      <c r="R187" s="21">
        <f>S187+T187</f>
        <v>5.9</v>
      </c>
      <c r="S187" s="20">
        <f>SUBTOTAL(9,S185:S186)</f>
        <v>0</v>
      </c>
      <c r="T187" s="20">
        <f>T186</f>
        <v>5.9</v>
      </c>
      <c r="U187" s="19">
        <f t="shared" si="29"/>
        <v>13.582800000000001</v>
      </c>
      <c r="V187" s="20">
        <f>SUBTOTAL(9,V185:V186)</f>
        <v>0</v>
      </c>
      <c r="W187" s="20">
        <f>W186</f>
        <v>13.582800000000001</v>
      </c>
      <c r="X187" s="20" t="s">
        <v>76</v>
      </c>
      <c r="Y187" s="147" t="s">
        <v>43</v>
      </c>
      <c r="Z187" s="147" t="s">
        <v>43</v>
      </c>
      <c r="AA187" s="20" t="s">
        <v>435</v>
      </c>
      <c r="AB187" s="20"/>
    </row>
    <row r="188" spans="1:28" hidden="1" x14ac:dyDescent="0.3">
      <c r="A188" s="36" t="s">
        <v>309</v>
      </c>
      <c r="B188" s="36" t="str">
        <f t="shared" si="30"/>
        <v>PL0106</v>
      </c>
      <c r="C188" s="36" t="s">
        <v>311</v>
      </c>
      <c r="D188" s="133">
        <v>1</v>
      </c>
      <c r="E188" s="71">
        <v>6</v>
      </c>
      <c r="F188" s="36" t="s">
        <v>310</v>
      </c>
      <c r="G188" s="36" t="s">
        <v>315</v>
      </c>
      <c r="H188" s="36" t="s">
        <v>28</v>
      </c>
      <c r="I188" s="36" t="s">
        <v>29</v>
      </c>
      <c r="J188" s="37">
        <v>1979</v>
      </c>
      <c r="K188" s="37"/>
      <c r="L188" s="36" t="s">
        <v>156</v>
      </c>
      <c r="M188" s="36"/>
      <c r="N188" s="36" t="s">
        <v>32</v>
      </c>
      <c r="O188" s="38">
        <f t="shared" si="27"/>
        <v>1.0134000000000001</v>
      </c>
      <c r="P188" s="38">
        <v>1.0134000000000001</v>
      </c>
      <c r="Q188" s="38"/>
      <c r="R188" s="38">
        <f t="shared" si="28"/>
        <v>11.2</v>
      </c>
      <c r="S188" s="38">
        <v>11.2</v>
      </c>
      <c r="T188" s="38"/>
      <c r="U188" s="38">
        <f t="shared" si="29"/>
        <v>10.44</v>
      </c>
      <c r="V188" s="38">
        <v>10.44</v>
      </c>
      <c r="W188" s="38"/>
      <c r="X188" s="38" t="s">
        <v>76</v>
      </c>
      <c r="Y188" s="146" t="s">
        <v>33</v>
      </c>
      <c r="Z188" s="146" t="s">
        <v>33</v>
      </c>
      <c r="AA188" s="38" t="s">
        <v>435</v>
      </c>
      <c r="AB188" s="38" t="s">
        <v>33</v>
      </c>
    </row>
    <row r="189" spans="1:28" hidden="1" x14ac:dyDescent="0.3">
      <c r="A189" s="36" t="s">
        <v>309</v>
      </c>
      <c r="B189" s="36" t="str">
        <f t="shared" si="30"/>
        <v>PL0107</v>
      </c>
      <c r="C189" s="36" t="s">
        <v>311</v>
      </c>
      <c r="D189" s="133">
        <v>1</v>
      </c>
      <c r="E189" s="71">
        <v>7</v>
      </c>
      <c r="F189" s="36" t="s">
        <v>310</v>
      </c>
      <c r="G189" s="36" t="s">
        <v>316</v>
      </c>
      <c r="H189" s="36" t="s">
        <v>28</v>
      </c>
      <c r="I189" s="36" t="s">
        <v>29</v>
      </c>
      <c r="J189" s="37">
        <v>1979</v>
      </c>
      <c r="K189" s="37"/>
      <c r="L189" s="36" t="s">
        <v>156</v>
      </c>
      <c r="M189" s="36"/>
      <c r="N189" s="36" t="s">
        <v>32</v>
      </c>
      <c r="O189" s="38">
        <f t="shared" si="27"/>
        <v>1.1259999999999999</v>
      </c>
      <c r="P189" s="38">
        <v>1.1259999999999999</v>
      </c>
      <c r="Q189" s="38"/>
      <c r="R189" s="38">
        <f t="shared" si="28"/>
        <v>16.2</v>
      </c>
      <c r="S189" s="38">
        <v>16.2</v>
      </c>
      <c r="T189" s="38"/>
      <c r="U189" s="38">
        <f t="shared" si="29"/>
        <v>16.14</v>
      </c>
      <c r="V189" s="38">
        <v>16.14</v>
      </c>
      <c r="W189" s="38"/>
      <c r="X189" s="38" t="s">
        <v>76</v>
      </c>
      <c r="Y189" s="146" t="s">
        <v>33</v>
      </c>
      <c r="Z189" s="146" t="s">
        <v>33</v>
      </c>
      <c r="AA189" s="38" t="s">
        <v>435</v>
      </c>
      <c r="AB189" s="38" t="s">
        <v>33</v>
      </c>
    </row>
    <row r="190" spans="1:28" hidden="1" x14ac:dyDescent="0.3">
      <c r="A190" s="36" t="s">
        <v>309</v>
      </c>
      <c r="B190" s="36" t="str">
        <f t="shared" si="30"/>
        <v>PL0108</v>
      </c>
      <c r="C190" s="36" t="s">
        <v>311</v>
      </c>
      <c r="D190" s="133">
        <v>1</v>
      </c>
      <c r="E190" s="71">
        <v>8</v>
      </c>
      <c r="F190" s="36" t="s">
        <v>310</v>
      </c>
      <c r="G190" s="36" t="s">
        <v>317</v>
      </c>
      <c r="H190" s="36" t="s">
        <v>28</v>
      </c>
      <c r="I190" s="36" t="s">
        <v>29</v>
      </c>
      <c r="J190" s="37">
        <v>1982</v>
      </c>
      <c r="K190" s="37"/>
      <c r="L190" s="36" t="s">
        <v>156</v>
      </c>
      <c r="M190" s="36"/>
      <c r="N190" s="36" t="s">
        <v>32</v>
      </c>
      <c r="O190" s="38">
        <f t="shared" si="27"/>
        <v>4.0788000000000002</v>
      </c>
      <c r="P190" s="38">
        <v>4.0788000000000002</v>
      </c>
      <c r="Q190" s="38"/>
      <c r="R190" s="38">
        <f t="shared" si="28"/>
        <v>29.7</v>
      </c>
      <c r="S190" s="38">
        <v>29.7</v>
      </c>
      <c r="T190" s="38"/>
      <c r="U190" s="38">
        <f t="shared" si="29"/>
        <v>37.9</v>
      </c>
      <c r="V190" s="38">
        <v>37.9</v>
      </c>
      <c r="W190" s="38"/>
      <c r="X190" s="38" t="s">
        <v>76</v>
      </c>
      <c r="Y190" s="146" t="s">
        <v>33</v>
      </c>
      <c r="Z190" s="146" t="s">
        <v>33</v>
      </c>
      <c r="AA190" s="38" t="s">
        <v>435</v>
      </c>
      <c r="AB190" s="38" t="s">
        <v>33</v>
      </c>
    </row>
    <row r="191" spans="1:28" hidden="1" x14ac:dyDescent="0.3">
      <c r="A191" s="36" t="s">
        <v>309</v>
      </c>
      <c r="B191" s="36" t="str">
        <f t="shared" si="30"/>
        <v>PL0109</v>
      </c>
      <c r="C191" s="36" t="s">
        <v>311</v>
      </c>
      <c r="D191" s="133">
        <v>1</v>
      </c>
      <c r="E191" s="71">
        <v>9</v>
      </c>
      <c r="F191" s="36" t="s">
        <v>310</v>
      </c>
      <c r="G191" s="36" t="s">
        <v>318</v>
      </c>
      <c r="H191" s="36" t="s">
        <v>28</v>
      </c>
      <c r="I191" s="36" t="s">
        <v>29</v>
      </c>
      <c r="J191" s="37">
        <v>1987</v>
      </c>
      <c r="K191" s="37"/>
      <c r="L191" s="36" t="s">
        <v>156</v>
      </c>
      <c r="M191" s="36"/>
      <c r="N191" s="36" t="s">
        <v>32</v>
      </c>
      <c r="O191" s="38">
        <f t="shared" si="27"/>
        <v>5.65</v>
      </c>
      <c r="P191" s="38">
        <v>5.65</v>
      </c>
      <c r="Q191" s="38"/>
      <c r="R191" s="38">
        <f t="shared" si="28"/>
        <v>46.71</v>
      </c>
      <c r="S191" s="38">
        <v>46.71</v>
      </c>
      <c r="T191" s="38"/>
      <c r="U191" s="38">
        <f t="shared" si="29"/>
        <v>64.63</v>
      </c>
      <c r="V191" s="38">
        <v>64.63</v>
      </c>
      <c r="W191" s="38"/>
      <c r="X191" s="38" t="s">
        <v>76</v>
      </c>
      <c r="Y191" s="146" t="s">
        <v>33</v>
      </c>
      <c r="Z191" s="146" t="s">
        <v>33</v>
      </c>
      <c r="AA191" s="38" t="s">
        <v>435</v>
      </c>
      <c r="AB191" s="38" t="s">
        <v>33</v>
      </c>
    </row>
    <row r="192" spans="1:28" s="22" customFormat="1" ht="15" hidden="1" customHeight="1" x14ac:dyDescent="0.3">
      <c r="A192" s="58" t="s">
        <v>309</v>
      </c>
      <c r="B192" s="17" t="str">
        <f t="shared" si="30"/>
        <v>PL01V2</v>
      </c>
      <c r="C192" s="17" t="s">
        <v>311</v>
      </c>
      <c r="D192" s="134">
        <v>1</v>
      </c>
      <c r="E192" s="72" t="s">
        <v>457</v>
      </c>
      <c r="F192" s="59" t="s">
        <v>310</v>
      </c>
      <c r="G192" s="59" t="s">
        <v>445</v>
      </c>
      <c r="H192" s="17" t="s">
        <v>28</v>
      </c>
      <c r="I192" s="17" t="s">
        <v>29</v>
      </c>
      <c r="J192" s="18"/>
      <c r="K192" s="18"/>
      <c r="L192" s="17" t="s">
        <v>156</v>
      </c>
      <c r="M192" s="17"/>
      <c r="N192" s="17" t="s">
        <v>32</v>
      </c>
      <c r="O192" s="19">
        <f>P192+Q192</f>
        <v>11.868200000000002</v>
      </c>
      <c r="P192" s="20">
        <f>SUM(P188:P191)</f>
        <v>11.868200000000002</v>
      </c>
      <c r="Q192" s="20"/>
      <c r="R192" s="21">
        <f t="shared" si="28"/>
        <v>103.81</v>
      </c>
      <c r="S192" s="20">
        <f>SUM(S188:S191)</f>
        <v>103.81</v>
      </c>
      <c r="T192" s="20"/>
      <c r="U192" s="19">
        <f t="shared" si="29"/>
        <v>0</v>
      </c>
      <c r="V192" s="20">
        <f>SUBTOTAL(9,V188:V191)</f>
        <v>0</v>
      </c>
      <c r="W192" s="20"/>
      <c r="X192" s="20" t="s">
        <v>76</v>
      </c>
      <c r="Y192" s="147" t="s">
        <v>43</v>
      </c>
      <c r="Z192" s="147" t="s">
        <v>43</v>
      </c>
      <c r="AA192" s="20" t="s">
        <v>435</v>
      </c>
      <c r="AB192" s="20"/>
    </row>
    <row r="193" spans="1:28" hidden="1" x14ac:dyDescent="0.3">
      <c r="A193" s="12" t="s">
        <v>309</v>
      </c>
      <c r="B193" s="12" t="str">
        <f t="shared" si="30"/>
        <v>PL0201</v>
      </c>
      <c r="C193" s="12" t="s">
        <v>311</v>
      </c>
      <c r="D193" s="132">
        <v>2</v>
      </c>
      <c r="E193" s="70">
        <v>1</v>
      </c>
      <c r="F193" s="12" t="s">
        <v>319</v>
      </c>
      <c r="G193" s="12" t="s">
        <v>320</v>
      </c>
      <c r="H193" s="12" t="s">
        <v>83</v>
      </c>
      <c r="I193" s="12" t="s">
        <v>92</v>
      </c>
      <c r="J193" s="13">
        <v>2026</v>
      </c>
      <c r="K193" s="13"/>
      <c r="L193" s="12" t="s">
        <v>63</v>
      </c>
      <c r="M193" s="12"/>
      <c r="N193" s="12" t="s">
        <v>32</v>
      </c>
      <c r="O193" s="14">
        <f t="shared" si="27"/>
        <v>9</v>
      </c>
      <c r="P193" s="16">
        <v>9</v>
      </c>
      <c r="Q193" s="16"/>
      <c r="R193" s="14">
        <f t="shared" si="28"/>
        <v>100</v>
      </c>
      <c r="S193" s="16">
        <v>100</v>
      </c>
      <c r="T193" s="16"/>
      <c r="U193" s="14">
        <f t="shared" si="29"/>
        <v>200</v>
      </c>
      <c r="V193" s="16">
        <v>200</v>
      </c>
      <c r="W193" s="16"/>
      <c r="X193" s="16" t="s">
        <v>76</v>
      </c>
      <c r="Y193" s="12" t="s">
        <v>33</v>
      </c>
      <c r="Z193" s="12" t="s">
        <v>33</v>
      </c>
      <c r="AA193" s="24" t="s">
        <v>435</v>
      </c>
      <c r="AB193" s="16" t="s">
        <v>33</v>
      </c>
    </row>
    <row r="194" spans="1:28" ht="17.25" hidden="1" customHeight="1" x14ac:dyDescent="0.3">
      <c r="A194" s="12" t="str">
        <f>A187</f>
        <v>Poland</v>
      </c>
      <c r="B194" s="12" t="str">
        <f t="shared" si="30"/>
        <v>PL0301</v>
      </c>
      <c r="C194" s="12" t="s">
        <v>311</v>
      </c>
      <c r="D194" s="132">
        <v>3</v>
      </c>
      <c r="E194" s="70">
        <v>1</v>
      </c>
      <c r="F194" s="12" t="s">
        <v>321</v>
      </c>
      <c r="G194" s="12" t="s">
        <v>322</v>
      </c>
      <c r="H194" s="12" t="s">
        <v>28</v>
      </c>
      <c r="I194" s="12" t="s">
        <v>29</v>
      </c>
      <c r="J194" s="13">
        <v>2010</v>
      </c>
      <c r="K194" s="13"/>
      <c r="L194" s="12" t="s">
        <v>156</v>
      </c>
      <c r="M194" s="12" t="s">
        <v>323</v>
      </c>
      <c r="N194" s="12" t="s">
        <v>32</v>
      </c>
      <c r="O194" s="14">
        <f t="shared" si="27"/>
        <v>2.2999999999999998</v>
      </c>
      <c r="P194" s="16">
        <v>0</v>
      </c>
      <c r="Q194" s="16">
        <f>200*11.5/1000</f>
        <v>2.2999999999999998</v>
      </c>
      <c r="R194" s="15">
        <f t="shared" si="28"/>
        <v>19.32</v>
      </c>
      <c r="S194" s="16">
        <v>0</v>
      </c>
      <c r="T194" s="16">
        <f>1.68*11.5</f>
        <v>19.32</v>
      </c>
      <c r="U194" s="14">
        <f t="shared" si="29"/>
        <v>27.599999999999998</v>
      </c>
      <c r="V194" s="16">
        <v>0</v>
      </c>
      <c r="W194" s="16">
        <f>2.4*11.5</f>
        <v>27.599999999999998</v>
      </c>
      <c r="X194" s="16" t="s">
        <v>500</v>
      </c>
      <c r="Y194" s="12" t="s">
        <v>33</v>
      </c>
      <c r="Z194" s="12" t="s">
        <v>33</v>
      </c>
      <c r="AA194" s="24" t="s">
        <v>435</v>
      </c>
      <c r="AB194" s="16"/>
    </row>
    <row r="195" spans="1:28" hidden="1" x14ac:dyDescent="0.3">
      <c r="A195" s="12" t="str">
        <f>A194</f>
        <v>Poland</v>
      </c>
      <c r="B195" s="12" t="str">
        <f t="shared" si="30"/>
        <v>PL0302</v>
      </c>
      <c r="C195" s="12" t="s">
        <v>311</v>
      </c>
      <c r="D195" s="132">
        <v>3</v>
      </c>
      <c r="E195" s="70">
        <v>2</v>
      </c>
      <c r="F195" s="12" t="s">
        <v>321</v>
      </c>
      <c r="G195" s="12" t="s">
        <v>324</v>
      </c>
      <c r="H195" s="12" t="s">
        <v>28</v>
      </c>
      <c r="I195" s="12" t="s">
        <v>29</v>
      </c>
      <c r="J195" s="13">
        <v>2009</v>
      </c>
      <c r="K195" s="13"/>
      <c r="L195" s="12" t="s">
        <v>156</v>
      </c>
      <c r="M195" s="12" t="s">
        <v>323</v>
      </c>
      <c r="N195" s="12" t="s">
        <v>32</v>
      </c>
      <c r="O195" s="14">
        <f t="shared" si="27"/>
        <v>0.34499999999999997</v>
      </c>
      <c r="P195" s="16">
        <v>0</v>
      </c>
      <c r="Q195" s="16">
        <f>30*11.5/1000</f>
        <v>0.34499999999999997</v>
      </c>
      <c r="R195" s="15">
        <f t="shared" si="28"/>
        <v>2.76</v>
      </c>
      <c r="S195" s="16">
        <v>0</v>
      </c>
      <c r="T195" s="16">
        <f>0.24*11.5</f>
        <v>2.76</v>
      </c>
      <c r="U195" s="14">
        <f t="shared" si="29"/>
        <v>4.37</v>
      </c>
      <c r="V195" s="16">
        <v>0</v>
      </c>
      <c r="W195" s="16">
        <f>0.38*11.5</f>
        <v>4.37</v>
      </c>
      <c r="X195" s="16" t="s">
        <v>500</v>
      </c>
      <c r="Y195" s="12" t="s">
        <v>33</v>
      </c>
      <c r="Z195" s="12" t="s">
        <v>33</v>
      </c>
      <c r="AA195" s="24" t="s">
        <v>435</v>
      </c>
      <c r="AB195" s="16"/>
    </row>
    <row r="196" spans="1:28" ht="15" hidden="1" customHeight="1" x14ac:dyDescent="0.3">
      <c r="A196" s="12" t="s">
        <v>325</v>
      </c>
      <c r="B196" s="12" t="str">
        <f t="shared" si="30"/>
        <v>PT0101</v>
      </c>
      <c r="C196" s="12" t="s">
        <v>326</v>
      </c>
      <c r="D196" s="132">
        <v>1</v>
      </c>
      <c r="E196" s="70">
        <v>1</v>
      </c>
      <c r="F196" s="12" t="s">
        <v>327</v>
      </c>
      <c r="G196" s="12" t="s">
        <v>328</v>
      </c>
      <c r="H196" s="12" t="s">
        <v>28</v>
      </c>
      <c r="I196" s="12" t="s">
        <v>29</v>
      </c>
      <c r="J196" s="13">
        <v>2003</v>
      </c>
      <c r="K196" s="13"/>
      <c r="L196" s="12" t="s">
        <v>329</v>
      </c>
      <c r="M196" s="12" t="s">
        <v>31</v>
      </c>
      <c r="N196" s="12" t="s">
        <v>32</v>
      </c>
      <c r="O196" s="14">
        <f t="shared" si="27"/>
        <v>3.57</v>
      </c>
      <c r="P196" s="16">
        <v>3.57</v>
      </c>
      <c r="Q196" s="16"/>
      <c r="R196" s="14">
        <f t="shared" si="28"/>
        <v>24</v>
      </c>
      <c r="S196" s="16">
        <v>24</v>
      </c>
      <c r="T196" s="16"/>
      <c r="U196" s="14">
        <f t="shared" si="29"/>
        <v>71.400000000000006</v>
      </c>
      <c r="V196" s="16">
        <v>71.400000000000006</v>
      </c>
      <c r="W196" s="16"/>
      <c r="X196" s="16" t="s">
        <v>76</v>
      </c>
      <c r="Y196" s="12" t="s">
        <v>33</v>
      </c>
      <c r="Z196" s="12" t="s">
        <v>33</v>
      </c>
      <c r="AA196" s="24" t="s">
        <v>435</v>
      </c>
      <c r="AB196" s="16" t="s">
        <v>33</v>
      </c>
    </row>
    <row r="197" spans="1:28" ht="15" hidden="1" customHeight="1" x14ac:dyDescent="0.3">
      <c r="A197" s="12" t="s">
        <v>325</v>
      </c>
      <c r="B197" s="12" t="str">
        <f t="shared" si="30"/>
        <v>PT0102</v>
      </c>
      <c r="C197" s="12" t="s">
        <v>326</v>
      </c>
      <c r="D197" s="132">
        <v>1</v>
      </c>
      <c r="E197" s="70">
        <v>2</v>
      </c>
      <c r="F197" s="12" t="s">
        <v>327</v>
      </c>
      <c r="G197" s="12" t="s">
        <v>328</v>
      </c>
      <c r="H197" s="12" t="s">
        <v>65</v>
      </c>
      <c r="I197" s="52" t="s">
        <v>504</v>
      </c>
      <c r="J197" s="12">
        <v>2023</v>
      </c>
      <c r="K197" s="53"/>
      <c r="L197" s="52" t="s">
        <v>329</v>
      </c>
      <c r="M197" s="52" t="s">
        <v>31</v>
      </c>
      <c r="N197" s="52" t="s">
        <v>32</v>
      </c>
      <c r="O197" s="14">
        <f t="shared" si="27"/>
        <v>0</v>
      </c>
      <c r="P197" s="16">
        <v>0</v>
      </c>
      <c r="Q197" s="16"/>
      <c r="R197" s="15">
        <f t="shared" si="28"/>
        <v>8.24</v>
      </c>
      <c r="S197" s="16">
        <v>8.24</v>
      </c>
      <c r="T197" s="16"/>
      <c r="U197" s="14">
        <f t="shared" si="29"/>
        <v>0</v>
      </c>
      <c r="V197" s="16">
        <v>0</v>
      </c>
      <c r="W197" s="16"/>
      <c r="X197" s="16" t="s">
        <v>76</v>
      </c>
      <c r="Y197" s="12" t="s">
        <v>43</v>
      </c>
      <c r="Z197" s="12" t="s">
        <v>33</v>
      </c>
      <c r="AA197" s="24" t="s">
        <v>435</v>
      </c>
      <c r="AB197" s="16" t="s">
        <v>33</v>
      </c>
    </row>
    <row r="198" spans="1:28" ht="15" hidden="1" customHeight="1" x14ac:dyDescent="0.3">
      <c r="A198" s="12" t="s">
        <v>330</v>
      </c>
      <c r="B198" s="12" t="str">
        <f t="shared" si="30"/>
        <v>RO0101</v>
      </c>
      <c r="C198" s="12" t="s">
        <v>331</v>
      </c>
      <c r="D198" s="132">
        <v>1</v>
      </c>
      <c r="E198" s="70">
        <v>1</v>
      </c>
      <c r="F198" s="12" t="s">
        <v>332</v>
      </c>
      <c r="G198" s="12" t="s">
        <v>333</v>
      </c>
      <c r="H198" s="12" t="s">
        <v>28</v>
      </c>
      <c r="I198" s="12" t="s">
        <v>29</v>
      </c>
      <c r="J198" s="13">
        <v>1992</v>
      </c>
      <c r="K198" s="13"/>
      <c r="L198" s="12" t="s">
        <v>30</v>
      </c>
      <c r="M198" s="12" t="s">
        <v>31</v>
      </c>
      <c r="N198" s="12" t="s">
        <v>32</v>
      </c>
      <c r="O198" s="14">
        <f t="shared" si="27"/>
        <v>0.54500000000000004</v>
      </c>
      <c r="P198" s="16">
        <v>0.54500000000000004</v>
      </c>
      <c r="Q198" s="16"/>
      <c r="R198" s="14">
        <f t="shared" si="28"/>
        <v>10.9</v>
      </c>
      <c r="S198" s="16">
        <v>10.9</v>
      </c>
      <c r="T198" s="16"/>
      <c r="U198" s="14">
        <f t="shared" si="29"/>
        <v>13.08</v>
      </c>
      <c r="V198" s="16">
        <v>13.08</v>
      </c>
      <c r="W198" s="16"/>
      <c r="X198" s="16" t="s">
        <v>76</v>
      </c>
      <c r="Y198" s="12" t="s">
        <v>33</v>
      </c>
      <c r="Z198" s="12" t="s">
        <v>33</v>
      </c>
      <c r="AA198" s="24" t="s">
        <v>435</v>
      </c>
      <c r="AB198" s="16" t="s">
        <v>33</v>
      </c>
    </row>
    <row r="199" spans="1:28" ht="15" hidden="1" customHeight="1" x14ac:dyDescent="0.3">
      <c r="A199" s="12" t="s">
        <v>330</v>
      </c>
      <c r="B199" s="12" t="str">
        <f t="shared" si="30"/>
        <v>RO0102</v>
      </c>
      <c r="C199" s="12" t="s">
        <v>331</v>
      </c>
      <c r="D199" s="132">
        <v>1</v>
      </c>
      <c r="E199" s="70">
        <v>2</v>
      </c>
      <c r="F199" s="12" t="s">
        <v>332</v>
      </c>
      <c r="G199" s="12" t="s">
        <v>334</v>
      </c>
      <c r="H199" s="12" t="s">
        <v>28</v>
      </c>
      <c r="I199" s="12" t="s">
        <v>29</v>
      </c>
      <c r="J199" s="13">
        <v>1983</v>
      </c>
      <c r="K199" s="13"/>
      <c r="L199" s="12" t="s">
        <v>30</v>
      </c>
      <c r="M199" s="12" t="s">
        <v>31</v>
      </c>
      <c r="N199" s="12" t="s">
        <v>32</v>
      </c>
      <c r="O199" s="14">
        <f t="shared" si="27"/>
        <v>14.214</v>
      </c>
      <c r="P199" s="16">
        <v>14.214</v>
      </c>
      <c r="Q199" s="16"/>
      <c r="R199" s="15">
        <f t="shared" si="28"/>
        <v>108.5</v>
      </c>
      <c r="S199" s="16">
        <v>108.5</v>
      </c>
      <c r="T199" s="16"/>
      <c r="U199" s="14">
        <f t="shared" si="29"/>
        <v>151.9</v>
      </c>
      <c r="V199" s="16">
        <v>151.9</v>
      </c>
      <c r="W199" s="16"/>
      <c r="X199" s="16" t="s">
        <v>76</v>
      </c>
      <c r="Y199" s="12" t="s">
        <v>33</v>
      </c>
      <c r="Z199" s="12" t="s">
        <v>33</v>
      </c>
      <c r="AA199" s="24" t="s">
        <v>435</v>
      </c>
      <c r="AB199" s="16" t="s">
        <v>33</v>
      </c>
    </row>
    <row r="200" spans="1:28" hidden="1" x14ac:dyDescent="0.3">
      <c r="A200" s="12" t="s">
        <v>330</v>
      </c>
      <c r="B200" s="12" t="str">
        <f t="shared" si="30"/>
        <v>RO0104</v>
      </c>
      <c r="C200" s="12" t="s">
        <v>331</v>
      </c>
      <c r="D200" s="132">
        <v>1</v>
      </c>
      <c r="E200" s="70">
        <v>4</v>
      </c>
      <c r="F200" s="12" t="s">
        <v>332</v>
      </c>
      <c r="G200" s="12" t="s">
        <v>335</v>
      </c>
      <c r="H200" s="12" t="s">
        <v>28</v>
      </c>
      <c r="I200" s="12" t="s">
        <v>29</v>
      </c>
      <c r="J200" s="13">
        <v>2004</v>
      </c>
      <c r="K200" s="13"/>
      <c r="L200" s="12" t="s">
        <v>30</v>
      </c>
      <c r="M200" s="12" t="s">
        <v>31</v>
      </c>
      <c r="N200" s="12" t="s">
        <v>32</v>
      </c>
      <c r="O200" s="14">
        <f t="shared" ref="O200:O259" si="32">P200+Q200</f>
        <v>1.6020000000000001</v>
      </c>
      <c r="P200" s="16">
        <v>1.6020000000000001</v>
      </c>
      <c r="Q200" s="16"/>
      <c r="R200" s="14">
        <f t="shared" ref="R200:R259" si="33">S200+T200</f>
        <v>21.36</v>
      </c>
      <c r="S200" s="16">
        <v>21.36</v>
      </c>
      <c r="T200" s="16"/>
      <c r="U200" s="14">
        <f t="shared" ref="U200:U259" si="34">V200+W200</f>
        <v>21.36</v>
      </c>
      <c r="V200" s="16">
        <v>21.36</v>
      </c>
      <c r="W200" s="16"/>
      <c r="X200" s="16" t="s">
        <v>76</v>
      </c>
      <c r="Y200" s="12" t="s">
        <v>33</v>
      </c>
      <c r="Z200" s="12" t="s">
        <v>33</v>
      </c>
      <c r="AA200" s="24" t="s">
        <v>435</v>
      </c>
      <c r="AB200" s="16" t="s">
        <v>33</v>
      </c>
    </row>
    <row r="201" spans="1:28" hidden="1" x14ac:dyDescent="0.3">
      <c r="A201" s="12" t="s">
        <v>330</v>
      </c>
      <c r="B201" s="12" t="str">
        <f t="shared" si="30"/>
        <v>RO0105</v>
      </c>
      <c r="C201" s="12" t="s">
        <v>331</v>
      </c>
      <c r="D201" s="132">
        <v>1</v>
      </c>
      <c r="E201" s="70">
        <v>5</v>
      </c>
      <c r="F201" s="12" t="s">
        <v>332</v>
      </c>
      <c r="G201" s="12" t="s">
        <v>336</v>
      </c>
      <c r="H201" s="12" t="s">
        <v>83</v>
      </c>
      <c r="I201" s="12" t="s">
        <v>92</v>
      </c>
      <c r="J201" s="13">
        <v>2023</v>
      </c>
      <c r="K201" s="13"/>
      <c r="L201" s="12" t="s">
        <v>156</v>
      </c>
      <c r="M201" s="12"/>
      <c r="N201" s="12" t="s">
        <v>32</v>
      </c>
      <c r="O201" s="14">
        <f t="shared" si="32"/>
        <v>2.16</v>
      </c>
      <c r="P201" s="16">
        <f>200*10.8/1000</f>
        <v>2.16</v>
      </c>
      <c r="Q201" s="16"/>
      <c r="R201" s="15">
        <f t="shared" si="33"/>
        <v>15.12</v>
      </c>
      <c r="S201" s="16">
        <f>1.4*10.8</f>
        <v>15.12</v>
      </c>
      <c r="T201" s="16"/>
      <c r="U201" s="14">
        <f t="shared" si="34"/>
        <v>21.6</v>
      </c>
      <c r="V201" s="16">
        <f>2*10.8</f>
        <v>21.6</v>
      </c>
      <c r="W201" s="16"/>
      <c r="X201" s="16" t="s">
        <v>76</v>
      </c>
      <c r="Y201" s="12" t="s">
        <v>33</v>
      </c>
      <c r="Z201" s="12" t="s">
        <v>33</v>
      </c>
      <c r="AA201" s="24" t="s">
        <v>435</v>
      </c>
      <c r="AB201" s="16" t="s">
        <v>33</v>
      </c>
    </row>
    <row r="202" spans="1:28" hidden="1" x14ac:dyDescent="0.3">
      <c r="A202" s="12" t="s">
        <v>330</v>
      </c>
      <c r="B202" s="12" t="str">
        <f t="shared" si="30"/>
        <v>RO0106</v>
      </c>
      <c r="C202" s="12" t="s">
        <v>331</v>
      </c>
      <c r="D202" s="132">
        <v>1</v>
      </c>
      <c r="E202" s="70">
        <v>6</v>
      </c>
      <c r="F202" s="12" t="s">
        <v>332</v>
      </c>
      <c r="G202" s="12" t="s">
        <v>337</v>
      </c>
      <c r="H202" s="12" t="s">
        <v>28</v>
      </c>
      <c r="I202" s="12" t="s">
        <v>29</v>
      </c>
      <c r="J202" s="13">
        <v>1995</v>
      </c>
      <c r="K202" s="13"/>
      <c r="L202" s="12" t="s">
        <v>30</v>
      </c>
      <c r="M202" s="12" t="s">
        <v>31</v>
      </c>
      <c r="N202" s="12" t="s">
        <v>32</v>
      </c>
      <c r="O202" s="14">
        <f t="shared" si="32"/>
        <v>9.5220000000000002</v>
      </c>
      <c r="P202" s="16">
        <v>9.5220000000000002</v>
      </c>
      <c r="Q202" s="16"/>
      <c r="R202" s="14">
        <f t="shared" si="33"/>
        <v>68.77</v>
      </c>
      <c r="S202" s="16">
        <v>68.77</v>
      </c>
      <c r="T202" s="16"/>
      <c r="U202" s="14">
        <f t="shared" si="34"/>
        <v>79.349999999999994</v>
      </c>
      <c r="V202" s="16">
        <v>79.349999999999994</v>
      </c>
      <c r="W202" s="16"/>
      <c r="X202" s="16" t="s">
        <v>76</v>
      </c>
      <c r="Y202" s="12" t="s">
        <v>33</v>
      </c>
      <c r="Z202" s="12" t="s">
        <v>33</v>
      </c>
      <c r="AA202" s="24" t="s">
        <v>435</v>
      </c>
      <c r="AB202" s="16" t="s">
        <v>33</v>
      </c>
    </row>
    <row r="203" spans="1:28" hidden="1" x14ac:dyDescent="0.3">
      <c r="A203" s="12" t="s">
        <v>330</v>
      </c>
      <c r="B203" s="12" t="str">
        <f t="shared" ref="B203:B260" si="35">C203&amp;TEXT(D203,"0#")&amp;TEXT(E203,"0#")</f>
        <v>RO0107</v>
      </c>
      <c r="C203" s="12" t="s">
        <v>331</v>
      </c>
      <c r="D203" s="132">
        <v>1</v>
      </c>
      <c r="E203" s="70">
        <v>7</v>
      </c>
      <c r="F203" s="12" t="s">
        <v>332</v>
      </c>
      <c r="G203" s="12" t="s">
        <v>337</v>
      </c>
      <c r="H203" s="12" t="s">
        <v>83</v>
      </c>
      <c r="I203" s="12" t="s">
        <v>504</v>
      </c>
      <c r="J203" s="13">
        <v>2024</v>
      </c>
      <c r="K203" s="13"/>
      <c r="L203" s="12" t="s">
        <v>30</v>
      </c>
      <c r="M203" s="12" t="s">
        <v>31</v>
      </c>
      <c r="N203" s="12" t="s">
        <v>32</v>
      </c>
      <c r="O203" s="14">
        <f t="shared" si="32"/>
        <v>7.2180000000000017</v>
      </c>
      <c r="P203" s="16">
        <f>1.55*10.8-P202</f>
        <v>7.2180000000000017</v>
      </c>
      <c r="Q203" s="16"/>
      <c r="R203" s="15">
        <f t="shared" si="33"/>
        <v>39.230000000000004</v>
      </c>
      <c r="S203" s="16">
        <f>10*10.8-S202</f>
        <v>39.230000000000004</v>
      </c>
      <c r="T203" s="16"/>
      <c r="U203" s="14">
        <f t="shared" si="34"/>
        <v>28.650000000000006</v>
      </c>
      <c r="V203" s="16">
        <f>10*10.8-V202</f>
        <v>28.650000000000006</v>
      </c>
      <c r="W203" s="16"/>
      <c r="X203" s="16" t="s">
        <v>76</v>
      </c>
      <c r="Y203" s="12" t="s">
        <v>43</v>
      </c>
      <c r="Z203" s="12" t="s">
        <v>33</v>
      </c>
      <c r="AA203" s="24" t="s">
        <v>435</v>
      </c>
      <c r="AB203" s="16" t="s">
        <v>33</v>
      </c>
    </row>
    <row r="204" spans="1:28" hidden="1" x14ac:dyDescent="0.3">
      <c r="A204" s="12" t="s">
        <v>330</v>
      </c>
      <c r="B204" s="12" t="str">
        <f t="shared" si="35"/>
        <v>RO0108</v>
      </c>
      <c r="C204" s="12" t="s">
        <v>331</v>
      </c>
      <c r="D204" s="132">
        <v>1</v>
      </c>
      <c r="E204" s="70">
        <v>8</v>
      </c>
      <c r="F204" s="12" t="s">
        <v>332</v>
      </c>
      <c r="G204" s="12" t="s">
        <v>338</v>
      </c>
      <c r="H204" s="12" t="s">
        <v>28</v>
      </c>
      <c r="I204" s="12" t="s">
        <v>29</v>
      </c>
      <c r="J204" s="13">
        <v>1979</v>
      </c>
      <c r="K204" s="13"/>
      <c r="L204" s="12" t="s">
        <v>30</v>
      </c>
      <c r="M204" s="12" t="s">
        <v>31</v>
      </c>
      <c r="N204" s="12" t="s">
        <v>32</v>
      </c>
      <c r="O204" s="14">
        <f t="shared" si="32"/>
        <v>3.9529999999999998</v>
      </c>
      <c r="P204" s="16">
        <v>3.9529999999999998</v>
      </c>
      <c r="Q204" s="16"/>
      <c r="R204" s="14">
        <f t="shared" si="33"/>
        <v>32.94</v>
      </c>
      <c r="S204" s="16">
        <v>32.94</v>
      </c>
      <c r="T204" s="16"/>
      <c r="U204" s="14">
        <f t="shared" si="34"/>
        <v>49.41</v>
      </c>
      <c r="V204" s="16">
        <v>49.41</v>
      </c>
      <c r="W204" s="16"/>
      <c r="X204" s="16" t="s">
        <v>76</v>
      </c>
      <c r="Y204" s="12" t="s">
        <v>33</v>
      </c>
      <c r="Z204" s="12" t="s">
        <v>33</v>
      </c>
      <c r="AA204" s="24" t="s">
        <v>435</v>
      </c>
      <c r="AB204" s="16" t="s">
        <v>33</v>
      </c>
    </row>
    <row r="205" spans="1:28" hidden="1" x14ac:dyDescent="0.3">
      <c r="A205" s="12" t="s">
        <v>330</v>
      </c>
      <c r="B205" s="12" t="str">
        <f t="shared" si="35"/>
        <v>RO0201</v>
      </c>
      <c r="C205" s="12" t="s">
        <v>331</v>
      </c>
      <c r="D205" s="132">
        <v>2</v>
      </c>
      <c r="E205" s="70">
        <v>1</v>
      </c>
      <c r="F205" s="12" t="s">
        <v>339</v>
      </c>
      <c r="G205" s="12" t="s">
        <v>340</v>
      </c>
      <c r="H205" s="12" t="s">
        <v>28</v>
      </c>
      <c r="I205" s="12" t="s">
        <v>29</v>
      </c>
      <c r="J205" s="13">
        <v>2002</v>
      </c>
      <c r="K205" s="13"/>
      <c r="L205" s="12" t="s">
        <v>30</v>
      </c>
      <c r="M205" s="12" t="s">
        <v>31</v>
      </c>
      <c r="N205" s="12" t="s">
        <v>32</v>
      </c>
      <c r="O205" s="14">
        <f t="shared" si="32"/>
        <v>3.15455</v>
      </c>
      <c r="P205" s="16">
        <v>3.15455</v>
      </c>
      <c r="Q205" s="16"/>
      <c r="R205" s="14">
        <f t="shared" si="33"/>
        <v>19</v>
      </c>
      <c r="S205" s="16">
        <v>19</v>
      </c>
      <c r="T205" s="16"/>
      <c r="U205" s="14">
        <f t="shared" si="34"/>
        <v>28</v>
      </c>
      <c r="V205" s="16">
        <v>28</v>
      </c>
      <c r="W205" s="16"/>
      <c r="X205" s="16" t="s">
        <v>76</v>
      </c>
      <c r="Y205" s="12" t="s">
        <v>33</v>
      </c>
      <c r="Z205" s="12" t="s">
        <v>33</v>
      </c>
      <c r="AA205" s="24" t="s">
        <v>435</v>
      </c>
      <c r="AB205" s="16"/>
    </row>
    <row r="206" spans="1:28" hidden="1" x14ac:dyDescent="0.3">
      <c r="A206" s="12" t="str">
        <f>A205</f>
        <v>Romania</v>
      </c>
      <c r="B206" s="12" t="str">
        <f t="shared" si="35"/>
        <v>RO0202</v>
      </c>
      <c r="C206" s="12" t="s">
        <v>331</v>
      </c>
      <c r="D206" s="132">
        <v>2</v>
      </c>
      <c r="E206" s="70">
        <v>2</v>
      </c>
      <c r="F206" s="12" t="str">
        <f>F205</f>
        <v>Depomures</v>
      </c>
      <c r="G206" s="12" t="str">
        <f>G205</f>
        <v>Târgu Mureş</v>
      </c>
      <c r="H206" s="12" t="s">
        <v>83</v>
      </c>
      <c r="I206" s="12" t="s">
        <v>504</v>
      </c>
      <c r="J206" s="12">
        <v>2023</v>
      </c>
      <c r="K206" s="13"/>
      <c r="L206" s="12" t="s">
        <v>30</v>
      </c>
      <c r="M206" s="12" t="s">
        <v>31</v>
      </c>
      <c r="N206" s="12" t="s">
        <v>32</v>
      </c>
      <c r="O206" s="14">
        <f t="shared" si="32"/>
        <v>1.05</v>
      </c>
      <c r="P206" s="16">
        <f>1.05</f>
        <v>1.05</v>
      </c>
      <c r="Q206" s="16"/>
      <c r="R206" s="14">
        <f t="shared" si="33"/>
        <v>18.920000000000002</v>
      </c>
      <c r="S206" s="16">
        <v>18.920000000000002</v>
      </c>
      <c r="T206" s="16"/>
      <c r="U206" s="14">
        <f t="shared" si="34"/>
        <v>18.920000000000002</v>
      </c>
      <c r="V206" s="16">
        <v>18.920000000000002</v>
      </c>
      <c r="W206" s="16"/>
      <c r="X206" s="16" t="s">
        <v>76</v>
      </c>
      <c r="Y206" s="12" t="s">
        <v>43</v>
      </c>
      <c r="Z206" s="12" t="s">
        <v>33</v>
      </c>
      <c r="AA206" s="24" t="s">
        <v>435</v>
      </c>
      <c r="AB206" s="16"/>
    </row>
    <row r="207" spans="1:28" hidden="1" x14ac:dyDescent="0.3">
      <c r="A207" s="12" t="str">
        <f>A206</f>
        <v>Romania</v>
      </c>
      <c r="B207" s="12" t="str">
        <f t="shared" si="35"/>
        <v>RO0203</v>
      </c>
      <c r="C207" s="12" t="s">
        <v>331</v>
      </c>
      <c r="D207" s="132">
        <v>2</v>
      </c>
      <c r="E207" s="70">
        <v>3</v>
      </c>
      <c r="F207" s="12" t="str">
        <f>F206</f>
        <v>Depomures</v>
      </c>
      <c r="G207" s="12" t="str">
        <f>G206</f>
        <v>Târgu Mureş</v>
      </c>
      <c r="H207" s="12" t="s">
        <v>83</v>
      </c>
      <c r="I207" s="12" t="s">
        <v>504</v>
      </c>
      <c r="J207" s="12">
        <v>2026</v>
      </c>
      <c r="K207" s="13"/>
      <c r="L207" s="12" t="s">
        <v>30</v>
      </c>
      <c r="M207" s="12" t="s">
        <v>31</v>
      </c>
      <c r="N207" s="12" t="s">
        <v>32</v>
      </c>
      <c r="O207" s="14">
        <f t="shared" si="32"/>
        <v>2.1</v>
      </c>
      <c r="P207" s="16">
        <v>2.1</v>
      </c>
      <c r="Q207" s="16"/>
      <c r="R207" s="14">
        <f t="shared" si="33"/>
        <v>15.78</v>
      </c>
      <c r="S207" s="16">
        <v>15.78</v>
      </c>
      <c r="T207" s="16"/>
      <c r="U207" s="14">
        <f t="shared" si="34"/>
        <v>15.78</v>
      </c>
      <c r="V207" s="16">
        <v>15.78</v>
      </c>
      <c r="W207" s="16"/>
      <c r="X207" s="16" t="s">
        <v>76</v>
      </c>
      <c r="Y207" s="12" t="s">
        <v>43</v>
      </c>
      <c r="Z207" s="12" t="s">
        <v>33</v>
      </c>
      <c r="AA207" s="24" t="s">
        <v>435</v>
      </c>
      <c r="AB207" s="16"/>
    </row>
    <row r="208" spans="1:28" hidden="1" x14ac:dyDescent="0.3">
      <c r="A208" s="12" t="s">
        <v>341</v>
      </c>
      <c r="B208" s="12" t="str">
        <f t="shared" si="35"/>
        <v>RU0101</v>
      </c>
      <c r="C208" s="12" t="s">
        <v>342</v>
      </c>
      <c r="D208" s="132">
        <v>1</v>
      </c>
      <c r="E208" s="70">
        <v>1</v>
      </c>
      <c r="F208" s="12" t="s">
        <v>343</v>
      </c>
      <c r="G208" s="12" t="s">
        <v>344</v>
      </c>
      <c r="H208" s="12" t="s">
        <v>28</v>
      </c>
      <c r="I208" s="12" t="s">
        <v>29</v>
      </c>
      <c r="J208" s="13">
        <v>1963</v>
      </c>
      <c r="K208" s="13"/>
      <c r="L208" s="12" t="s">
        <v>68</v>
      </c>
      <c r="M208" s="12"/>
      <c r="N208" s="12" t="s">
        <v>32</v>
      </c>
      <c r="O208" s="14">
        <f t="shared" si="32"/>
        <v>2.206</v>
      </c>
      <c r="P208" s="16">
        <f>200*11.03/1000</f>
        <v>2.206</v>
      </c>
      <c r="Q208" s="16"/>
      <c r="R208" s="15">
        <f t="shared" si="33"/>
        <v>19.853999999999999</v>
      </c>
      <c r="S208" s="16">
        <f>1.8*11.03</f>
        <v>19.853999999999999</v>
      </c>
      <c r="T208" s="16"/>
      <c r="U208" s="14">
        <f t="shared" si="34"/>
        <v>22.06</v>
      </c>
      <c r="V208" s="16">
        <f>2*11.03</f>
        <v>22.06</v>
      </c>
      <c r="W208" s="16"/>
      <c r="X208" s="16" t="s">
        <v>500</v>
      </c>
      <c r="Y208" s="12" t="s">
        <v>33</v>
      </c>
      <c r="Z208" s="12" t="s">
        <v>33</v>
      </c>
      <c r="AA208" s="24" t="s">
        <v>434</v>
      </c>
      <c r="AB208" s="16" t="s">
        <v>33</v>
      </c>
    </row>
    <row r="209" spans="1:28" hidden="1" x14ac:dyDescent="0.3">
      <c r="A209" s="12" t="s">
        <v>341</v>
      </c>
      <c r="B209" s="12" t="str">
        <f t="shared" si="35"/>
        <v>RU0102</v>
      </c>
      <c r="C209" s="12" t="s">
        <v>342</v>
      </c>
      <c r="D209" s="132">
        <v>1</v>
      </c>
      <c r="E209" s="70">
        <v>2</v>
      </c>
      <c r="F209" s="12" t="s">
        <v>343</v>
      </c>
      <c r="G209" s="12" t="s">
        <v>347</v>
      </c>
      <c r="H209" s="12" t="s">
        <v>28</v>
      </c>
      <c r="I209" s="12" t="s">
        <v>29</v>
      </c>
      <c r="J209" s="13">
        <v>2013</v>
      </c>
      <c r="K209" s="13"/>
      <c r="L209" s="12" t="s">
        <v>63</v>
      </c>
      <c r="M209" s="12"/>
      <c r="N209" s="12" t="s">
        <v>32</v>
      </c>
      <c r="O209" s="14">
        <f t="shared" si="32"/>
        <v>2.8677999999999999</v>
      </c>
      <c r="P209" s="16">
        <f>260*11.03/1000</f>
        <v>2.8677999999999999</v>
      </c>
      <c r="Q209" s="16"/>
      <c r="R209" s="15">
        <f t="shared" si="33"/>
        <v>119.124</v>
      </c>
      <c r="S209" s="16">
        <f>12*0.9*11.03</f>
        <v>119.124</v>
      </c>
      <c r="T209" s="16"/>
      <c r="U209" s="14">
        <f t="shared" si="34"/>
        <v>132.35999999999999</v>
      </c>
      <c r="V209" s="16">
        <f>12*11.03</f>
        <v>132.35999999999999</v>
      </c>
      <c r="W209" s="16"/>
      <c r="X209" s="16" t="s">
        <v>500</v>
      </c>
      <c r="Y209" s="12" t="s">
        <v>33</v>
      </c>
      <c r="Z209" s="12" t="s">
        <v>33</v>
      </c>
      <c r="AA209" s="24" t="s">
        <v>434</v>
      </c>
      <c r="AB209" s="16" t="s">
        <v>33</v>
      </c>
    </row>
    <row r="210" spans="1:28" hidden="1" x14ac:dyDescent="0.3">
      <c r="A210" s="12" t="s">
        <v>341</v>
      </c>
      <c r="B210" s="12" t="str">
        <f t="shared" si="35"/>
        <v>RU0103</v>
      </c>
      <c r="C210" s="12" t="s">
        <v>342</v>
      </c>
      <c r="D210" s="132">
        <v>1</v>
      </c>
      <c r="E210" s="70">
        <v>3</v>
      </c>
      <c r="F210" s="12" t="s">
        <v>343</v>
      </c>
      <c r="G210" s="12" t="s">
        <v>348</v>
      </c>
      <c r="H210" s="12" t="s">
        <v>28</v>
      </c>
      <c r="I210" s="12" t="s">
        <v>29</v>
      </c>
      <c r="J210" s="13">
        <v>1975</v>
      </c>
      <c r="K210" s="13"/>
      <c r="L210" s="12" t="s">
        <v>68</v>
      </c>
      <c r="M210" s="12"/>
      <c r="N210" s="12" t="s">
        <v>32</v>
      </c>
      <c r="O210" s="14">
        <f t="shared" si="32"/>
        <v>18.750999999999998</v>
      </c>
      <c r="P210" s="16">
        <f>1.7*11.03</f>
        <v>18.750999999999998</v>
      </c>
      <c r="Q210" s="16"/>
      <c r="R210" s="15">
        <f t="shared" si="33"/>
        <v>228.32099999999997</v>
      </c>
      <c r="S210" s="16">
        <f>23*0.9*11.03</f>
        <v>228.32099999999997</v>
      </c>
      <c r="T210" s="16"/>
      <c r="U210" s="14">
        <f t="shared" si="34"/>
        <v>253.69</v>
      </c>
      <c r="V210" s="16">
        <f>23*11.03</f>
        <v>253.69</v>
      </c>
      <c r="W210" s="16"/>
      <c r="X210" s="16" t="s">
        <v>500</v>
      </c>
      <c r="Y210" s="12" t="s">
        <v>33</v>
      </c>
      <c r="Z210" s="12" t="s">
        <v>33</v>
      </c>
      <c r="AA210" s="24" t="s">
        <v>434</v>
      </c>
      <c r="AB210" s="16" t="s">
        <v>33</v>
      </c>
    </row>
    <row r="211" spans="1:28" hidden="1" x14ac:dyDescent="0.3">
      <c r="A211" s="12" t="s">
        <v>349</v>
      </c>
      <c r="B211" s="12" t="str">
        <f t="shared" si="35"/>
        <v>RS0101</v>
      </c>
      <c r="C211" s="12" t="s">
        <v>350</v>
      </c>
      <c r="D211" s="132">
        <v>1</v>
      </c>
      <c r="E211" s="70">
        <v>1</v>
      </c>
      <c r="F211" s="12" t="s">
        <v>351</v>
      </c>
      <c r="G211" s="12" t="s">
        <v>352</v>
      </c>
      <c r="H211" s="12" t="s">
        <v>28</v>
      </c>
      <c r="I211" s="12" t="s">
        <v>29</v>
      </c>
      <c r="J211" s="13">
        <v>2011</v>
      </c>
      <c r="K211" s="13"/>
      <c r="L211" s="12" t="s">
        <v>30</v>
      </c>
      <c r="M211" s="12" t="s">
        <v>31</v>
      </c>
      <c r="N211" s="12" t="s">
        <v>32</v>
      </c>
      <c r="O211" s="14">
        <f t="shared" si="32"/>
        <v>4.5315000000000003</v>
      </c>
      <c r="P211" s="16">
        <f>450*10.07/1000</f>
        <v>4.5315000000000003</v>
      </c>
      <c r="Q211" s="16"/>
      <c r="R211" s="15">
        <f t="shared" si="33"/>
        <v>35.245000000000005</v>
      </c>
      <c r="S211" s="16">
        <f>3.5*10.07</f>
        <v>35.245000000000005</v>
      </c>
      <c r="T211" s="16"/>
      <c r="U211" s="14">
        <f t="shared" si="34"/>
        <v>50.35</v>
      </c>
      <c r="V211" s="16">
        <f>5*10.07</f>
        <v>50.35</v>
      </c>
      <c r="W211" s="16"/>
      <c r="X211" s="16" t="s">
        <v>76</v>
      </c>
      <c r="Y211" s="12" t="s">
        <v>33</v>
      </c>
      <c r="Z211" s="12" t="s">
        <v>33</v>
      </c>
      <c r="AA211" s="24" t="s">
        <v>434</v>
      </c>
      <c r="AB211" s="16"/>
    </row>
    <row r="212" spans="1:28" hidden="1" x14ac:dyDescent="0.3">
      <c r="A212" s="12" t="str">
        <f>A211</f>
        <v>Serbia</v>
      </c>
      <c r="B212" s="12" t="str">
        <f t="shared" si="35"/>
        <v>RS0102</v>
      </c>
      <c r="C212" s="12" t="s">
        <v>350</v>
      </c>
      <c r="D212" s="132">
        <v>1</v>
      </c>
      <c r="E212" s="70">
        <v>2</v>
      </c>
      <c r="F212" s="12" t="str">
        <f>F211</f>
        <v>Srbijagas</v>
      </c>
      <c r="G212" s="12" t="str">
        <f>G211</f>
        <v>Banatski Dvor</v>
      </c>
      <c r="H212" s="12" t="s">
        <v>83</v>
      </c>
      <c r="I212" s="12" t="s">
        <v>504</v>
      </c>
      <c r="J212" s="12"/>
      <c r="K212" s="60"/>
      <c r="L212" s="12" t="str">
        <f>L211</f>
        <v>Depleted field</v>
      </c>
      <c r="M212" s="12" t="s">
        <v>31</v>
      </c>
      <c r="N212" s="12" t="s">
        <v>32</v>
      </c>
      <c r="O212" s="14">
        <f t="shared" si="32"/>
        <v>3.0209999999999999</v>
      </c>
      <c r="P212" s="16">
        <f>750*10.07/1000-P211</f>
        <v>3.0209999999999999</v>
      </c>
      <c r="Q212" s="16"/>
      <c r="R212" s="15">
        <f t="shared" si="33"/>
        <v>0</v>
      </c>
      <c r="S212" s="16"/>
      <c r="T212" s="16"/>
      <c r="U212" s="14">
        <f t="shared" si="34"/>
        <v>0</v>
      </c>
      <c r="V212" s="16"/>
      <c r="W212" s="16"/>
      <c r="X212" s="16" t="s">
        <v>76</v>
      </c>
      <c r="Y212" s="12" t="s">
        <v>43</v>
      </c>
      <c r="Z212" s="12" t="s">
        <v>43</v>
      </c>
      <c r="AA212" s="24" t="s">
        <v>434</v>
      </c>
      <c r="AB212" s="16"/>
    </row>
    <row r="213" spans="1:28" hidden="1" x14ac:dyDescent="0.3">
      <c r="A213" s="12" t="str">
        <f>A212</f>
        <v>Serbia</v>
      </c>
      <c r="B213" s="12" t="str">
        <f t="shared" si="35"/>
        <v>RS0103</v>
      </c>
      <c r="C213" s="12" t="s">
        <v>350</v>
      </c>
      <c r="D213" s="132">
        <v>1</v>
      </c>
      <c r="E213" s="70">
        <v>3</v>
      </c>
      <c r="F213" s="12" t="str">
        <f>F212</f>
        <v>Srbijagas</v>
      </c>
      <c r="G213" s="12" t="str">
        <f>G212</f>
        <v>Banatski Dvor</v>
      </c>
      <c r="H213" s="12" t="s">
        <v>83</v>
      </c>
      <c r="I213" s="12" t="s">
        <v>504</v>
      </c>
      <c r="J213" s="13"/>
      <c r="K213" s="13"/>
      <c r="L213" s="12" t="str">
        <f>L212</f>
        <v>Depleted field</v>
      </c>
      <c r="M213" s="12" t="s">
        <v>31</v>
      </c>
      <c r="N213" s="12" t="s">
        <v>32</v>
      </c>
      <c r="O213" s="14">
        <f t="shared" si="32"/>
        <v>2.5175000000000001</v>
      </c>
      <c r="P213" s="16">
        <f>1000*10.07/1000-P212-P211</f>
        <v>2.5175000000000001</v>
      </c>
      <c r="Q213" s="16"/>
      <c r="R213" s="15">
        <f t="shared" si="33"/>
        <v>0</v>
      </c>
      <c r="S213" s="16"/>
      <c r="T213" s="16"/>
      <c r="U213" s="14">
        <f t="shared" si="34"/>
        <v>0</v>
      </c>
      <c r="V213" s="16"/>
      <c r="W213" s="16"/>
      <c r="X213" s="16" t="s">
        <v>76</v>
      </c>
      <c r="Y213" s="12" t="s">
        <v>43</v>
      </c>
      <c r="Z213" s="12" t="s">
        <v>43</v>
      </c>
      <c r="AA213" s="24" t="s">
        <v>434</v>
      </c>
      <c r="AB213" s="16"/>
    </row>
    <row r="214" spans="1:28" hidden="1" x14ac:dyDescent="0.3">
      <c r="A214" s="12" t="s">
        <v>353</v>
      </c>
      <c r="B214" s="12" t="str">
        <f t="shared" si="35"/>
        <v>SK0101</v>
      </c>
      <c r="C214" s="12" t="s">
        <v>354</v>
      </c>
      <c r="D214" s="132">
        <v>1</v>
      </c>
      <c r="E214" s="70">
        <v>1</v>
      </c>
      <c r="F214" s="12" t="s">
        <v>355</v>
      </c>
      <c r="G214" s="12" t="s">
        <v>464</v>
      </c>
      <c r="H214" s="12" t="s">
        <v>28</v>
      </c>
      <c r="I214" s="12" t="s">
        <v>29</v>
      </c>
      <c r="J214" s="13">
        <v>1977</v>
      </c>
      <c r="K214" s="13"/>
      <c r="L214" s="12" t="s">
        <v>30</v>
      </c>
      <c r="M214" s="12" t="s">
        <v>31</v>
      </c>
      <c r="N214" s="12" t="s">
        <v>32</v>
      </c>
      <c r="O214" s="14">
        <f t="shared" si="32"/>
        <v>36.5</v>
      </c>
      <c r="P214" s="16">
        <v>36.5</v>
      </c>
      <c r="Q214" s="16"/>
      <c r="R214" s="14">
        <f t="shared" si="33"/>
        <v>338.3</v>
      </c>
      <c r="S214" s="16">
        <v>338.3</v>
      </c>
      <c r="T214" s="16"/>
      <c r="U214" s="14">
        <f t="shared" si="34"/>
        <v>418.9</v>
      </c>
      <c r="V214" s="16">
        <v>418.9</v>
      </c>
      <c r="W214" s="16"/>
      <c r="X214" s="16" t="s">
        <v>500</v>
      </c>
      <c r="Y214" s="12" t="s">
        <v>33</v>
      </c>
      <c r="Z214" s="12" t="s">
        <v>33</v>
      </c>
      <c r="AA214" s="24" t="s">
        <v>435</v>
      </c>
      <c r="AB214" s="16" t="s">
        <v>33</v>
      </c>
    </row>
    <row r="215" spans="1:28" hidden="1" x14ac:dyDescent="0.3">
      <c r="A215" s="12" t="s">
        <v>353</v>
      </c>
      <c r="B215" s="12" t="str">
        <f t="shared" si="35"/>
        <v>SK0103</v>
      </c>
      <c r="C215" s="12" t="s">
        <v>354</v>
      </c>
      <c r="D215" s="132">
        <v>1</v>
      </c>
      <c r="E215" s="70">
        <v>3</v>
      </c>
      <c r="F215" s="12" t="s">
        <v>355</v>
      </c>
      <c r="G215" s="12" t="s">
        <v>356</v>
      </c>
      <c r="H215" s="12" t="s">
        <v>83</v>
      </c>
      <c r="I215" s="12" t="s">
        <v>92</v>
      </c>
      <c r="J215" s="13"/>
      <c r="K215" s="13"/>
      <c r="L215" s="12" t="s">
        <v>30</v>
      </c>
      <c r="M215" s="12" t="s">
        <v>31</v>
      </c>
      <c r="N215" s="12" t="s">
        <v>32</v>
      </c>
      <c r="O215" s="14">
        <f t="shared" si="32"/>
        <v>3.6057000000000001</v>
      </c>
      <c r="P215" s="16">
        <v>3.6057000000000001</v>
      </c>
      <c r="Q215" s="16"/>
      <c r="R215" s="15">
        <f t="shared" si="33"/>
        <v>39.799999999999997</v>
      </c>
      <c r="S215" s="16">
        <v>39.799999999999997</v>
      </c>
      <c r="T215" s="16"/>
      <c r="U215" s="14">
        <f t="shared" si="34"/>
        <v>39.799999999999997</v>
      </c>
      <c r="V215" s="16">
        <v>39.799999999999997</v>
      </c>
      <c r="W215" s="16"/>
      <c r="X215" s="16" t="s">
        <v>500</v>
      </c>
      <c r="Y215" s="12" t="s">
        <v>33</v>
      </c>
      <c r="Z215" s="12" t="s">
        <v>33</v>
      </c>
      <c r="AA215" s="24" t="s">
        <v>435</v>
      </c>
      <c r="AB215" s="16" t="s">
        <v>33</v>
      </c>
    </row>
    <row r="216" spans="1:28" hidden="1" x14ac:dyDescent="0.3">
      <c r="A216" s="12" t="s">
        <v>353</v>
      </c>
      <c r="B216" s="12" t="str">
        <f t="shared" si="35"/>
        <v>SK0201</v>
      </c>
      <c r="C216" s="12" t="s">
        <v>354</v>
      </c>
      <c r="D216" s="132">
        <v>2</v>
      </c>
      <c r="E216" s="70">
        <v>1</v>
      </c>
      <c r="F216" s="12" t="s">
        <v>357</v>
      </c>
      <c r="G216" s="12" t="s">
        <v>358</v>
      </c>
      <c r="H216" s="12" t="s">
        <v>28</v>
      </c>
      <c r="I216" s="12" t="s">
        <v>29</v>
      </c>
      <c r="J216" s="13">
        <v>1997</v>
      </c>
      <c r="K216" s="13"/>
      <c r="L216" s="12" t="s">
        <v>30</v>
      </c>
      <c r="M216" s="12" t="s">
        <v>31</v>
      </c>
      <c r="N216" s="12" t="s">
        <v>32</v>
      </c>
      <c r="O216" s="14">
        <f t="shared" si="32"/>
        <v>6.9476000000000004</v>
      </c>
      <c r="P216" s="16">
        <v>6.9476000000000004</v>
      </c>
      <c r="Q216" s="16"/>
      <c r="R216" s="15">
        <f t="shared" si="33"/>
        <v>72.658000000000001</v>
      </c>
      <c r="S216" s="16">
        <v>72.658000000000001</v>
      </c>
      <c r="T216" s="16"/>
      <c r="U216" s="14">
        <f t="shared" si="34"/>
        <v>72.658000000000001</v>
      </c>
      <c r="V216" s="16">
        <v>72.658000000000001</v>
      </c>
      <c r="W216" s="16"/>
      <c r="X216" s="16" t="s">
        <v>500</v>
      </c>
      <c r="Y216" s="12" t="s">
        <v>33</v>
      </c>
      <c r="Z216" s="12" t="s">
        <v>33</v>
      </c>
      <c r="AA216" s="24" t="s">
        <v>435</v>
      </c>
      <c r="AB216" s="16" t="s">
        <v>33</v>
      </c>
    </row>
    <row r="217" spans="1:28" ht="17.25" hidden="1" customHeight="1" x14ac:dyDescent="0.3">
      <c r="A217" s="36" t="s">
        <v>359</v>
      </c>
      <c r="B217" s="36" t="str">
        <f t="shared" si="35"/>
        <v>ES0101</v>
      </c>
      <c r="C217" s="36" t="s">
        <v>360</v>
      </c>
      <c r="D217" s="133">
        <v>1</v>
      </c>
      <c r="E217" s="71">
        <v>1</v>
      </c>
      <c r="F217" s="36" t="s">
        <v>362</v>
      </c>
      <c r="G217" s="36" t="s">
        <v>363</v>
      </c>
      <c r="H217" s="36" t="s">
        <v>28</v>
      </c>
      <c r="I217" s="36" t="s">
        <v>29</v>
      </c>
      <c r="J217" s="37">
        <v>1993</v>
      </c>
      <c r="K217" s="37"/>
      <c r="L217" s="36" t="s">
        <v>156</v>
      </c>
      <c r="M217" s="36"/>
      <c r="N217" s="36" t="s">
        <v>364</v>
      </c>
      <c r="O217" s="38">
        <f t="shared" si="32"/>
        <v>0</v>
      </c>
      <c r="P217" s="38"/>
      <c r="Q217" s="38"/>
      <c r="R217" s="38">
        <f t="shared" si="33"/>
        <v>0</v>
      </c>
      <c r="S217" s="38"/>
      <c r="T217" s="38"/>
      <c r="U217" s="38">
        <f t="shared" si="34"/>
        <v>0</v>
      </c>
      <c r="V217" s="38"/>
      <c r="W217" s="38"/>
      <c r="X217" s="38" t="s">
        <v>76</v>
      </c>
      <c r="Y217" s="146" t="s">
        <v>33</v>
      </c>
      <c r="Z217" s="146" t="s">
        <v>43</v>
      </c>
      <c r="AA217" s="38" t="s">
        <v>435</v>
      </c>
      <c r="AB217" s="38" t="s">
        <v>33</v>
      </c>
    </row>
    <row r="218" spans="1:28" ht="17.25" hidden="1" customHeight="1" x14ac:dyDescent="0.3">
      <c r="A218" s="36" t="s">
        <v>359</v>
      </c>
      <c r="B218" s="36" t="str">
        <f t="shared" si="35"/>
        <v>ES0102</v>
      </c>
      <c r="C218" s="36" t="s">
        <v>360</v>
      </c>
      <c r="D218" s="133">
        <v>1</v>
      </c>
      <c r="E218" s="71">
        <v>2</v>
      </c>
      <c r="F218" s="36" t="s">
        <v>365</v>
      </c>
      <c r="G218" s="36" t="s">
        <v>366</v>
      </c>
      <c r="H218" s="36" t="s">
        <v>28</v>
      </c>
      <c r="I218" s="36" t="s">
        <v>29</v>
      </c>
      <c r="J218" s="37">
        <v>2012</v>
      </c>
      <c r="K218" s="37"/>
      <c r="L218" s="36" t="s">
        <v>156</v>
      </c>
      <c r="M218" s="36"/>
      <c r="N218" s="36" t="s">
        <v>32</v>
      </c>
      <c r="O218" s="38">
        <f t="shared" si="32"/>
        <v>0</v>
      </c>
      <c r="P218" s="38"/>
      <c r="Q218" s="38"/>
      <c r="R218" s="38">
        <f t="shared" si="33"/>
        <v>0</v>
      </c>
      <c r="S218" s="38"/>
      <c r="T218" s="38"/>
      <c r="U218" s="38">
        <f t="shared" si="34"/>
        <v>0</v>
      </c>
      <c r="V218" s="38"/>
      <c r="W218" s="38"/>
      <c r="X218" s="38" t="s">
        <v>76</v>
      </c>
      <c r="Y218" s="146" t="s">
        <v>33</v>
      </c>
      <c r="Z218" s="146" t="s">
        <v>43</v>
      </c>
      <c r="AA218" s="38" t="s">
        <v>435</v>
      </c>
      <c r="AB218" s="38"/>
    </row>
    <row r="219" spans="1:28" ht="17.25" hidden="1" customHeight="1" x14ac:dyDescent="0.3">
      <c r="A219" s="36" t="s">
        <v>359</v>
      </c>
      <c r="B219" s="36" t="str">
        <f t="shared" si="35"/>
        <v>ES0103</v>
      </c>
      <c r="C219" s="36" t="s">
        <v>360</v>
      </c>
      <c r="D219" s="133">
        <v>1</v>
      </c>
      <c r="E219" s="71">
        <v>3</v>
      </c>
      <c r="F219" s="36" t="s">
        <v>362</v>
      </c>
      <c r="G219" s="36" t="s">
        <v>367</v>
      </c>
      <c r="H219" s="36" t="s">
        <v>28</v>
      </c>
      <c r="I219" s="36" t="s">
        <v>29</v>
      </c>
      <c r="J219" s="37">
        <v>1991</v>
      </c>
      <c r="K219" s="37"/>
      <c r="L219" s="36" t="s">
        <v>156</v>
      </c>
      <c r="M219" s="36"/>
      <c r="N219" s="36" t="s">
        <v>32</v>
      </c>
      <c r="O219" s="38">
        <f t="shared" si="32"/>
        <v>0</v>
      </c>
      <c r="P219" s="38"/>
      <c r="Q219" s="38"/>
      <c r="R219" s="38">
        <f t="shared" si="33"/>
        <v>0</v>
      </c>
      <c r="S219" s="38"/>
      <c r="T219" s="38"/>
      <c r="U219" s="38">
        <f t="shared" si="34"/>
        <v>0</v>
      </c>
      <c r="V219" s="38"/>
      <c r="W219" s="38"/>
      <c r="X219" s="38" t="s">
        <v>76</v>
      </c>
      <c r="Y219" s="146" t="s">
        <v>33</v>
      </c>
      <c r="Z219" s="146" t="s">
        <v>43</v>
      </c>
      <c r="AA219" s="38" t="s">
        <v>435</v>
      </c>
      <c r="AB219" s="38" t="s">
        <v>33</v>
      </c>
    </row>
    <row r="220" spans="1:28" ht="17.25" hidden="1" customHeight="1" x14ac:dyDescent="0.3">
      <c r="A220" s="36" t="s">
        <v>359</v>
      </c>
      <c r="B220" s="36" t="str">
        <f t="shared" si="35"/>
        <v>ES0104</v>
      </c>
      <c r="C220" s="36" t="s">
        <v>360</v>
      </c>
      <c r="D220" s="133">
        <v>1</v>
      </c>
      <c r="E220" s="71">
        <v>4</v>
      </c>
      <c r="F220" s="36" t="s">
        <v>362</v>
      </c>
      <c r="G220" s="36" t="s">
        <v>368</v>
      </c>
      <c r="H220" s="36" t="s">
        <v>28</v>
      </c>
      <c r="I220" s="36" t="s">
        <v>29</v>
      </c>
      <c r="J220" s="37">
        <v>2012</v>
      </c>
      <c r="K220" s="37"/>
      <c r="L220" s="36" t="s">
        <v>68</v>
      </c>
      <c r="M220" s="36"/>
      <c r="N220" s="36" t="s">
        <v>32</v>
      </c>
      <c r="O220" s="38">
        <f t="shared" si="32"/>
        <v>0</v>
      </c>
      <c r="P220" s="38"/>
      <c r="Q220" s="38"/>
      <c r="R220" s="38">
        <f t="shared" si="33"/>
        <v>0</v>
      </c>
      <c r="S220" s="38"/>
      <c r="T220" s="38"/>
      <c r="U220" s="38">
        <f t="shared" si="34"/>
        <v>0</v>
      </c>
      <c r="V220" s="38"/>
      <c r="W220" s="38"/>
      <c r="X220" s="38" t="s">
        <v>76</v>
      </c>
      <c r="Y220" s="146" t="s">
        <v>33</v>
      </c>
      <c r="Z220" s="146" t="s">
        <v>43</v>
      </c>
      <c r="AA220" s="38" t="s">
        <v>435</v>
      </c>
      <c r="AB220" s="38" t="s">
        <v>33</v>
      </c>
    </row>
    <row r="221" spans="1:28" s="22" customFormat="1" hidden="1" x14ac:dyDescent="0.3">
      <c r="A221" s="58" t="s">
        <v>359</v>
      </c>
      <c r="B221" s="17" t="str">
        <f t="shared" si="35"/>
        <v>ES01V1</v>
      </c>
      <c r="C221" s="17" t="s">
        <v>360</v>
      </c>
      <c r="D221" s="134">
        <v>1</v>
      </c>
      <c r="E221" s="72" t="s">
        <v>456</v>
      </c>
      <c r="F221" s="59" t="s">
        <v>362</v>
      </c>
      <c r="G221" s="59" t="s">
        <v>361</v>
      </c>
      <c r="H221" s="17" t="s">
        <v>28</v>
      </c>
      <c r="I221" s="17" t="s">
        <v>29</v>
      </c>
      <c r="J221" s="18"/>
      <c r="K221" s="18"/>
      <c r="L221" s="17" t="s">
        <v>482</v>
      </c>
      <c r="M221" s="17"/>
      <c r="N221" s="17" t="s">
        <v>32</v>
      </c>
      <c r="O221" s="19">
        <f t="shared" si="32"/>
        <v>34.247999999999998</v>
      </c>
      <c r="P221" s="20">
        <v>34.247999999999998</v>
      </c>
      <c r="Q221" s="20"/>
      <c r="R221" s="21">
        <f t="shared" si="33"/>
        <v>125.67</v>
      </c>
      <c r="S221" s="20">
        <v>125.67</v>
      </c>
      <c r="T221" s="20"/>
      <c r="U221" s="19">
        <f t="shared" si="34"/>
        <v>200.48</v>
      </c>
      <c r="V221" s="20">
        <v>200.48</v>
      </c>
      <c r="W221" s="20"/>
      <c r="X221" s="20" t="s">
        <v>76</v>
      </c>
      <c r="Y221" s="147" t="s">
        <v>43</v>
      </c>
      <c r="Z221" s="147" t="s">
        <v>33</v>
      </c>
      <c r="AA221" s="20" t="s">
        <v>435</v>
      </c>
      <c r="AB221" s="20" t="s">
        <v>33</v>
      </c>
    </row>
    <row r="222" spans="1:28" hidden="1" x14ac:dyDescent="0.3">
      <c r="A222" s="12" t="s">
        <v>369</v>
      </c>
      <c r="B222" s="12" t="str">
        <f t="shared" si="35"/>
        <v>SE0101</v>
      </c>
      <c r="C222" s="12" t="s">
        <v>370</v>
      </c>
      <c r="D222" s="132">
        <v>1</v>
      </c>
      <c r="E222" s="70">
        <v>1</v>
      </c>
      <c r="F222" s="12" t="s">
        <v>371</v>
      </c>
      <c r="G222" s="12" t="s">
        <v>372</v>
      </c>
      <c r="H222" s="12" t="s">
        <v>28</v>
      </c>
      <c r="I222" s="12" t="s">
        <v>29</v>
      </c>
      <c r="J222" s="13">
        <v>2004</v>
      </c>
      <c r="K222" s="13"/>
      <c r="L222" s="12" t="s">
        <v>99</v>
      </c>
      <c r="M222" s="12" t="s">
        <v>99</v>
      </c>
      <c r="N222" s="12" t="s">
        <v>32</v>
      </c>
      <c r="O222" s="14">
        <f t="shared" si="32"/>
        <v>8.6400000000000005E-2</v>
      </c>
      <c r="P222" s="16">
        <v>8.6400000000000005E-2</v>
      </c>
      <c r="Q222" s="16"/>
      <c r="R222" s="14">
        <f t="shared" si="33"/>
        <v>5.59</v>
      </c>
      <c r="S222" s="16">
        <v>5.59</v>
      </c>
      <c r="T222" s="16"/>
      <c r="U222" s="14">
        <f t="shared" si="34"/>
        <v>8.14</v>
      </c>
      <c r="V222" s="16">
        <v>8.14</v>
      </c>
      <c r="W222" s="16"/>
      <c r="X222" s="16" t="s">
        <v>500</v>
      </c>
      <c r="Y222" s="12" t="s">
        <v>33</v>
      </c>
      <c r="Z222" s="12" t="s">
        <v>33</v>
      </c>
      <c r="AA222" s="24" t="s">
        <v>435</v>
      </c>
      <c r="AB222" s="16"/>
    </row>
    <row r="223" spans="1:28" hidden="1" x14ac:dyDescent="0.3">
      <c r="A223" s="12" t="s">
        <v>373</v>
      </c>
      <c r="B223" s="12" t="str">
        <f t="shared" si="35"/>
        <v>TR0101</v>
      </c>
      <c r="C223" s="12" t="s">
        <v>374</v>
      </c>
      <c r="D223" s="132">
        <v>1</v>
      </c>
      <c r="E223" s="70">
        <v>1</v>
      </c>
      <c r="F223" s="12" t="s">
        <v>375</v>
      </c>
      <c r="G223" s="12" t="s">
        <v>376</v>
      </c>
      <c r="H223" s="12" t="s">
        <v>28</v>
      </c>
      <c r="I223" s="12" t="s">
        <v>29</v>
      </c>
      <c r="J223" s="13">
        <v>2017</v>
      </c>
      <c r="K223" s="13"/>
      <c r="L223" s="12" t="s">
        <v>63</v>
      </c>
      <c r="M223" s="12"/>
      <c r="N223" s="12" t="s">
        <v>32</v>
      </c>
      <c r="O223" s="14">
        <f t="shared" si="32"/>
        <v>6.27</v>
      </c>
      <c r="P223" s="16">
        <v>6.27</v>
      </c>
      <c r="Q223" s="16"/>
      <c r="R223" s="15">
        <f t="shared" si="33"/>
        <v>136.80000000000001</v>
      </c>
      <c r="S223" s="16">
        <v>136.80000000000001</v>
      </c>
      <c r="T223" s="16"/>
      <c r="U223" s="14">
        <f t="shared" si="34"/>
        <v>182.4</v>
      </c>
      <c r="V223" s="16">
        <v>182.4</v>
      </c>
      <c r="W223" s="16"/>
      <c r="X223" s="16" t="s">
        <v>76</v>
      </c>
      <c r="Y223" s="12" t="s">
        <v>33</v>
      </c>
      <c r="Z223" s="12" t="s">
        <v>33</v>
      </c>
      <c r="AA223" s="24" t="s">
        <v>434</v>
      </c>
      <c r="AB223" s="16"/>
    </row>
    <row r="224" spans="1:28" hidden="1" x14ac:dyDescent="0.3">
      <c r="A224" s="12" t="s">
        <v>373</v>
      </c>
      <c r="B224" s="12" t="str">
        <f t="shared" si="35"/>
        <v>TR0102</v>
      </c>
      <c r="C224" s="12" t="s">
        <v>374</v>
      </c>
      <c r="D224" s="132">
        <v>1</v>
      </c>
      <c r="E224" s="70">
        <v>2</v>
      </c>
      <c r="F224" s="12" t="s">
        <v>375</v>
      </c>
      <c r="G224" s="12" t="s">
        <v>376</v>
      </c>
      <c r="H224" s="12" t="s">
        <v>83</v>
      </c>
      <c r="I224" s="12" t="s">
        <v>504</v>
      </c>
      <c r="J224" s="12"/>
      <c r="K224" s="13"/>
      <c r="L224" s="12" t="s">
        <v>63</v>
      </c>
      <c r="M224" s="12"/>
      <c r="N224" s="12" t="s">
        <v>32</v>
      </c>
      <c r="O224" s="14">
        <f t="shared" si="32"/>
        <v>7.41</v>
      </c>
      <c r="P224" s="16">
        <v>7.41</v>
      </c>
      <c r="Q224" s="16"/>
      <c r="R224" s="15">
        <f t="shared" si="33"/>
        <v>136.80000000000001</v>
      </c>
      <c r="S224" s="16">
        <v>136.80000000000001</v>
      </c>
      <c r="T224" s="16"/>
      <c r="U224" s="14">
        <f t="shared" si="34"/>
        <v>182.4</v>
      </c>
      <c r="V224" s="16">
        <v>182.4</v>
      </c>
      <c r="W224" s="16"/>
      <c r="X224" s="16" t="s">
        <v>76</v>
      </c>
      <c r="Y224" s="12" t="s">
        <v>43</v>
      </c>
      <c r="Z224" s="12" t="s">
        <v>43</v>
      </c>
      <c r="AA224" s="24" t="s">
        <v>434</v>
      </c>
      <c r="AB224" s="16"/>
    </row>
    <row r="225" spans="1:28" hidden="1" x14ac:dyDescent="0.3">
      <c r="A225" s="12" t="s">
        <v>373</v>
      </c>
      <c r="B225" s="12" t="str">
        <f t="shared" si="35"/>
        <v>TR0103</v>
      </c>
      <c r="C225" s="12" t="s">
        <v>374</v>
      </c>
      <c r="D225" s="132">
        <v>1</v>
      </c>
      <c r="E225" s="70">
        <v>3</v>
      </c>
      <c r="F225" s="12" t="s">
        <v>375</v>
      </c>
      <c r="G225" s="12" t="s">
        <v>376</v>
      </c>
      <c r="H225" s="12" t="s">
        <v>83</v>
      </c>
      <c r="I225" s="12" t="s">
        <v>504</v>
      </c>
      <c r="J225" s="13">
        <v>2023</v>
      </c>
      <c r="K225" s="13"/>
      <c r="L225" s="12" t="s">
        <v>63</v>
      </c>
      <c r="M225" s="12"/>
      <c r="N225" s="12" t="s">
        <v>32</v>
      </c>
      <c r="O225" s="14">
        <f t="shared" si="32"/>
        <v>47.88000000000001</v>
      </c>
      <c r="P225" s="16">
        <v>47.88000000000001</v>
      </c>
      <c r="Q225" s="16"/>
      <c r="R225" s="15">
        <f t="shared" si="33"/>
        <v>410.40000000000003</v>
      </c>
      <c r="S225" s="16">
        <v>410.40000000000003</v>
      </c>
      <c r="T225" s="16"/>
      <c r="U225" s="14">
        <f t="shared" si="34"/>
        <v>547.20000000000005</v>
      </c>
      <c r="V225" s="16">
        <v>547.20000000000005</v>
      </c>
      <c r="W225" s="16"/>
      <c r="X225" s="16" t="s">
        <v>76</v>
      </c>
      <c r="Y225" s="12" t="s">
        <v>43</v>
      </c>
      <c r="Z225" s="12" t="s">
        <v>43</v>
      </c>
      <c r="AA225" s="24" t="s">
        <v>434</v>
      </c>
      <c r="AB225" s="16"/>
    </row>
    <row r="226" spans="1:28" hidden="1" x14ac:dyDescent="0.3">
      <c r="A226" s="12" t="s">
        <v>373</v>
      </c>
      <c r="B226" s="12" t="str">
        <f t="shared" si="35"/>
        <v>TR0201</v>
      </c>
      <c r="C226" s="12" t="s">
        <v>374</v>
      </c>
      <c r="D226" s="132">
        <v>2</v>
      </c>
      <c r="E226" s="70">
        <v>1</v>
      </c>
      <c r="F226" s="12" t="s">
        <v>377</v>
      </c>
      <c r="G226" s="12" t="s">
        <v>378</v>
      </c>
      <c r="H226" s="12" t="s">
        <v>83</v>
      </c>
      <c r="I226" s="12" t="s">
        <v>92</v>
      </c>
      <c r="J226" s="12"/>
      <c r="K226" s="13"/>
      <c r="L226" s="12" t="s">
        <v>63</v>
      </c>
      <c r="M226" s="12"/>
      <c r="N226" s="12" t="s">
        <v>32</v>
      </c>
      <c r="O226" s="14">
        <f t="shared" si="32"/>
        <v>43.24</v>
      </c>
      <c r="P226" s="16">
        <f>4*10.81</f>
        <v>43.24</v>
      </c>
      <c r="Q226" s="16"/>
      <c r="R226" s="15">
        <f t="shared" si="33"/>
        <v>0</v>
      </c>
      <c r="S226" s="16"/>
      <c r="T226" s="16"/>
      <c r="U226" s="14">
        <f t="shared" si="34"/>
        <v>0</v>
      </c>
      <c r="V226" s="16"/>
      <c r="W226" s="16"/>
      <c r="X226" s="16" t="s">
        <v>76</v>
      </c>
      <c r="Y226" s="12" t="s">
        <v>33</v>
      </c>
      <c r="Z226" s="12" t="s">
        <v>33</v>
      </c>
      <c r="AA226" s="24" t="s">
        <v>434</v>
      </c>
      <c r="AB226" s="16"/>
    </row>
    <row r="227" spans="1:28" hidden="1" x14ac:dyDescent="0.3">
      <c r="A227" s="12" t="s">
        <v>373</v>
      </c>
      <c r="B227" s="12" t="str">
        <f t="shared" si="35"/>
        <v>TR0301</v>
      </c>
      <c r="C227" s="12" t="s">
        <v>374</v>
      </c>
      <c r="D227" s="132">
        <v>3</v>
      </c>
      <c r="E227" s="70">
        <v>1</v>
      </c>
      <c r="F227" s="12" t="s">
        <v>379</v>
      </c>
      <c r="G227" s="12" t="s">
        <v>380</v>
      </c>
      <c r="H227" s="12" t="s">
        <v>28</v>
      </c>
      <c r="I227" s="12" t="s">
        <v>29</v>
      </c>
      <c r="J227" s="13">
        <v>2007</v>
      </c>
      <c r="K227" s="13"/>
      <c r="L227" s="12" t="s">
        <v>30</v>
      </c>
      <c r="M227" s="12" t="s">
        <v>31</v>
      </c>
      <c r="N227" s="12" t="s">
        <v>364</v>
      </c>
      <c r="O227" s="44">
        <f t="shared" si="32"/>
        <v>0</v>
      </c>
      <c r="P227" s="16"/>
      <c r="Q227" s="16"/>
      <c r="R227" s="15">
        <f t="shared" si="33"/>
        <v>0</v>
      </c>
      <c r="S227" s="16"/>
      <c r="T227" s="16"/>
      <c r="U227" s="14">
        <f t="shared" si="34"/>
        <v>0</v>
      </c>
      <c r="V227" s="16"/>
      <c r="W227" s="16"/>
      <c r="X227" s="16" t="s">
        <v>76</v>
      </c>
      <c r="Y227" s="12" t="s">
        <v>33</v>
      </c>
      <c r="Z227" s="12" t="s">
        <v>33</v>
      </c>
      <c r="AA227" s="24" t="s">
        <v>434</v>
      </c>
      <c r="AB227" s="16"/>
    </row>
    <row r="228" spans="1:28" hidden="1" x14ac:dyDescent="0.3">
      <c r="A228" s="12" t="s">
        <v>373</v>
      </c>
      <c r="B228" s="12" t="str">
        <f t="shared" si="35"/>
        <v>TR0302</v>
      </c>
      <c r="C228" s="12" t="s">
        <v>374</v>
      </c>
      <c r="D228" s="132">
        <v>3</v>
      </c>
      <c r="E228" s="70">
        <v>2</v>
      </c>
      <c r="F228" s="12" t="s">
        <v>379</v>
      </c>
      <c r="G228" s="12" t="s">
        <v>380</v>
      </c>
      <c r="H228" s="12" t="s">
        <v>28</v>
      </c>
      <c r="I228" s="12" t="s">
        <v>504</v>
      </c>
      <c r="J228" s="13">
        <v>2010</v>
      </c>
      <c r="K228" s="13"/>
      <c r="L228" s="12" t="s">
        <v>30</v>
      </c>
      <c r="M228" s="12" t="s">
        <v>31</v>
      </c>
      <c r="N228" s="12" t="s">
        <v>364</v>
      </c>
      <c r="O228" s="14">
        <f t="shared" si="32"/>
        <v>28.753933649289102</v>
      </c>
      <c r="P228" s="16">
        <v>6.061990521327016</v>
      </c>
      <c r="Q228" s="16">
        <v>22.691943127962087</v>
      </c>
      <c r="R228" s="61">
        <f t="shared" si="33"/>
        <v>0</v>
      </c>
      <c r="S228" s="16"/>
      <c r="T228" s="16"/>
      <c r="U228" s="16">
        <f t="shared" si="34"/>
        <v>0</v>
      </c>
      <c r="V228" s="16"/>
      <c r="W228" s="16"/>
      <c r="X228" s="16" t="s">
        <v>76</v>
      </c>
      <c r="Y228" s="12" t="s">
        <v>33</v>
      </c>
      <c r="Z228" s="12" t="s">
        <v>33</v>
      </c>
      <c r="AA228" s="24" t="s">
        <v>434</v>
      </c>
      <c r="AB228" s="16"/>
    </row>
    <row r="229" spans="1:28" hidden="1" x14ac:dyDescent="0.3">
      <c r="A229" s="12" t="s">
        <v>373</v>
      </c>
      <c r="B229" s="12" t="str">
        <f t="shared" si="35"/>
        <v>TR0303</v>
      </c>
      <c r="C229" s="12" t="s">
        <v>374</v>
      </c>
      <c r="D229" s="132">
        <v>3</v>
      </c>
      <c r="E229" s="70">
        <v>3</v>
      </c>
      <c r="F229" s="12" t="s">
        <v>379</v>
      </c>
      <c r="G229" s="12" t="s">
        <v>380</v>
      </c>
      <c r="H229" s="12" t="s">
        <v>83</v>
      </c>
      <c r="I229" s="12" t="s">
        <v>504</v>
      </c>
      <c r="J229" s="13"/>
      <c r="K229" s="13"/>
      <c r="L229" s="12" t="s">
        <v>30</v>
      </c>
      <c r="M229" s="12" t="s">
        <v>31</v>
      </c>
      <c r="N229" s="12" t="s">
        <v>364</v>
      </c>
      <c r="O229" s="44">
        <f t="shared" si="32"/>
        <v>0</v>
      </c>
      <c r="P229" s="12"/>
      <c r="Q229" s="16"/>
      <c r="R229" s="61">
        <f t="shared" si="33"/>
        <v>0</v>
      </c>
      <c r="S229" s="12"/>
      <c r="T229" s="16"/>
      <c r="U229" s="16">
        <f t="shared" si="34"/>
        <v>0</v>
      </c>
      <c r="V229" s="12"/>
      <c r="W229" s="16"/>
      <c r="X229" s="16" t="s">
        <v>76</v>
      </c>
      <c r="Y229" s="12" t="s">
        <v>43</v>
      </c>
      <c r="Z229" s="12" t="s">
        <v>33</v>
      </c>
      <c r="AA229" s="24" t="s">
        <v>434</v>
      </c>
      <c r="AB229" s="16"/>
    </row>
    <row r="230" spans="1:28" hidden="1" x14ac:dyDescent="0.3">
      <c r="A230" s="12" t="s">
        <v>381</v>
      </c>
      <c r="B230" s="12" t="str">
        <f>C230&amp;TEXT(D230,"0#")&amp;TEXT(E230,"0#")</f>
        <v>UA0201</v>
      </c>
      <c r="C230" s="12" t="s">
        <v>382</v>
      </c>
      <c r="D230" s="132">
        <v>2</v>
      </c>
      <c r="E230" s="70">
        <v>1</v>
      </c>
      <c r="F230" s="12" t="s">
        <v>345</v>
      </c>
      <c r="G230" s="12" t="s">
        <v>346</v>
      </c>
      <c r="H230" s="12" t="s">
        <v>28</v>
      </c>
      <c r="I230" s="12" t="s">
        <v>29</v>
      </c>
      <c r="J230" s="13">
        <v>1987</v>
      </c>
      <c r="K230" s="13"/>
      <c r="L230" s="12" t="s">
        <v>156</v>
      </c>
      <c r="M230" s="12" t="s">
        <v>477</v>
      </c>
      <c r="N230" s="12" t="s">
        <v>32</v>
      </c>
      <c r="O230" s="12"/>
      <c r="P230" s="12"/>
      <c r="Q230" s="12"/>
      <c r="R230" s="12"/>
      <c r="S230" s="12"/>
      <c r="T230" s="12"/>
      <c r="U230" s="12"/>
      <c r="V230" s="12"/>
      <c r="W230" s="12"/>
      <c r="X230" s="12" t="s">
        <v>76</v>
      </c>
      <c r="Y230" s="12" t="s">
        <v>33</v>
      </c>
      <c r="Z230" s="12" t="s">
        <v>33</v>
      </c>
      <c r="AA230" s="24" t="s">
        <v>434</v>
      </c>
      <c r="AB230" s="12"/>
    </row>
    <row r="231" spans="1:28" hidden="1" x14ac:dyDescent="0.3">
      <c r="A231" s="36" t="s">
        <v>381</v>
      </c>
      <c r="B231" s="36" t="str">
        <f t="shared" si="35"/>
        <v>UA0101</v>
      </c>
      <c r="C231" s="36" t="s">
        <v>382</v>
      </c>
      <c r="D231" s="133">
        <v>1</v>
      </c>
      <c r="E231" s="71">
        <v>1</v>
      </c>
      <c r="F231" s="36" t="s">
        <v>383</v>
      </c>
      <c r="G231" s="36" t="s">
        <v>384</v>
      </c>
      <c r="H231" s="36" t="s">
        <v>28</v>
      </c>
      <c r="I231" s="36" t="s">
        <v>29</v>
      </c>
      <c r="J231" s="37">
        <v>1990</v>
      </c>
      <c r="K231" s="37"/>
      <c r="L231" s="36" t="s">
        <v>30</v>
      </c>
      <c r="M231" s="36" t="s">
        <v>31</v>
      </c>
      <c r="N231" s="36" t="s">
        <v>32</v>
      </c>
      <c r="O231" s="39">
        <f t="shared" si="32"/>
        <v>0</v>
      </c>
      <c r="P231" s="57"/>
      <c r="Q231" s="57"/>
      <c r="R231" s="40">
        <f t="shared" si="33"/>
        <v>0</v>
      </c>
      <c r="S231" s="57"/>
      <c r="T231" s="57"/>
      <c r="U231" s="39">
        <f t="shared" si="34"/>
        <v>0</v>
      </c>
      <c r="V231" s="57"/>
      <c r="W231" s="57"/>
      <c r="X231" s="57" t="s">
        <v>76</v>
      </c>
      <c r="Y231" s="57" t="s">
        <v>33</v>
      </c>
      <c r="Z231" s="57" t="s">
        <v>43</v>
      </c>
      <c r="AA231" s="57" t="s">
        <v>434</v>
      </c>
      <c r="AB231" s="57"/>
    </row>
    <row r="232" spans="1:28" hidden="1" x14ac:dyDescent="0.3">
      <c r="A232" s="36" t="s">
        <v>381</v>
      </c>
      <c r="B232" s="36" t="str">
        <f t="shared" si="35"/>
        <v>UA0102</v>
      </c>
      <c r="C232" s="36" t="s">
        <v>382</v>
      </c>
      <c r="D232" s="133">
        <v>1</v>
      </c>
      <c r="E232" s="71">
        <v>2</v>
      </c>
      <c r="F232" s="36" t="s">
        <v>383</v>
      </c>
      <c r="G232" s="36" t="s">
        <v>385</v>
      </c>
      <c r="H232" s="36" t="s">
        <v>28</v>
      </c>
      <c r="I232" s="36" t="s">
        <v>29</v>
      </c>
      <c r="J232" s="37">
        <v>1979</v>
      </c>
      <c r="K232" s="37"/>
      <c r="L232" s="36" t="s">
        <v>30</v>
      </c>
      <c r="M232" s="36" t="s">
        <v>31</v>
      </c>
      <c r="N232" s="36" t="s">
        <v>32</v>
      </c>
      <c r="O232" s="39">
        <f t="shared" si="32"/>
        <v>0</v>
      </c>
      <c r="P232" s="57"/>
      <c r="Q232" s="57"/>
      <c r="R232" s="40">
        <f t="shared" si="33"/>
        <v>0</v>
      </c>
      <c r="S232" s="57"/>
      <c r="T232" s="57"/>
      <c r="U232" s="39">
        <f t="shared" si="34"/>
        <v>0</v>
      </c>
      <c r="V232" s="57"/>
      <c r="W232" s="57"/>
      <c r="X232" s="57" t="s">
        <v>76</v>
      </c>
      <c r="Y232" s="57" t="s">
        <v>33</v>
      </c>
      <c r="Z232" s="57" t="s">
        <v>43</v>
      </c>
      <c r="AA232" s="57" t="s">
        <v>434</v>
      </c>
      <c r="AB232" s="57"/>
    </row>
    <row r="233" spans="1:28" hidden="1" x14ac:dyDescent="0.3">
      <c r="A233" s="36" t="s">
        <v>381</v>
      </c>
      <c r="B233" s="36" t="str">
        <f t="shared" si="35"/>
        <v>UA0103</v>
      </c>
      <c r="C233" s="36" t="s">
        <v>382</v>
      </c>
      <c r="D233" s="133">
        <v>1</v>
      </c>
      <c r="E233" s="71">
        <v>3</v>
      </c>
      <c r="F233" s="36" t="s">
        <v>383</v>
      </c>
      <c r="G233" s="36" t="s">
        <v>386</v>
      </c>
      <c r="H233" s="36" t="s">
        <v>28</v>
      </c>
      <c r="I233" s="36" t="s">
        <v>29</v>
      </c>
      <c r="J233" s="37">
        <v>1989</v>
      </c>
      <c r="K233" s="37"/>
      <c r="L233" s="36" t="s">
        <v>68</v>
      </c>
      <c r="M233" s="36"/>
      <c r="N233" s="36" t="s">
        <v>32</v>
      </c>
      <c r="O233" s="39">
        <f t="shared" si="32"/>
        <v>0</v>
      </c>
      <c r="P233" s="57"/>
      <c r="Q233" s="57"/>
      <c r="R233" s="40">
        <f t="shared" si="33"/>
        <v>0</v>
      </c>
      <c r="S233" s="57"/>
      <c r="T233" s="57"/>
      <c r="U233" s="39">
        <f t="shared" si="34"/>
        <v>0</v>
      </c>
      <c r="V233" s="57"/>
      <c r="W233" s="57"/>
      <c r="X233" s="57" t="s">
        <v>76</v>
      </c>
      <c r="Y233" s="57" t="s">
        <v>33</v>
      </c>
      <c r="Z233" s="57" t="s">
        <v>43</v>
      </c>
      <c r="AA233" s="57" t="s">
        <v>434</v>
      </c>
      <c r="AB233" s="57"/>
    </row>
    <row r="234" spans="1:28" hidden="1" x14ac:dyDescent="0.3">
      <c r="A234" s="36" t="s">
        <v>381</v>
      </c>
      <c r="B234" s="36" t="str">
        <f t="shared" si="35"/>
        <v>UA0104</v>
      </c>
      <c r="C234" s="36" t="s">
        <v>382</v>
      </c>
      <c r="D234" s="133">
        <v>1</v>
      </c>
      <c r="E234" s="71">
        <v>4</v>
      </c>
      <c r="F234" s="36" t="s">
        <v>383</v>
      </c>
      <c r="G234" s="36" t="s">
        <v>387</v>
      </c>
      <c r="H234" s="36" t="s">
        <v>28</v>
      </c>
      <c r="I234" s="36" t="s">
        <v>29</v>
      </c>
      <c r="J234" s="37">
        <v>1987</v>
      </c>
      <c r="K234" s="37"/>
      <c r="L234" s="36" t="s">
        <v>30</v>
      </c>
      <c r="M234" s="36" t="s">
        <v>31</v>
      </c>
      <c r="N234" s="36" t="s">
        <v>32</v>
      </c>
      <c r="O234" s="39">
        <f t="shared" si="32"/>
        <v>0</v>
      </c>
      <c r="P234" s="57"/>
      <c r="Q234" s="57"/>
      <c r="R234" s="40">
        <f t="shared" si="33"/>
        <v>0</v>
      </c>
      <c r="S234" s="57"/>
      <c r="T234" s="57"/>
      <c r="U234" s="39">
        <f t="shared" si="34"/>
        <v>0</v>
      </c>
      <c r="V234" s="57"/>
      <c r="W234" s="57"/>
      <c r="X234" s="57" t="s">
        <v>76</v>
      </c>
      <c r="Y234" s="57" t="s">
        <v>33</v>
      </c>
      <c r="Z234" s="57" t="s">
        <v>43</v>
      </c>
      <c r="AA234" s="57" t="s">
        <v>434</v>
      </c>
      <c r="AB234" s="57"/>
    </row>
    <row r="235" spans="1:28" hidden="1" x14ac:dyDescent="0.3">
      <c r="A235" s="36" t="s">
        <v>381</v>
      </c>
      <c r="B235" s="36" t="str">
        <f t="shared" si="35"/>
        <v>UA0105</v>
      </c>
      <c r="C235" s="36" t="s">
        <v>382</v>
      </c>
      <c r="D235" s="133">
        <v>1</v>
      </c>
      <c r="E235" s="71">
        <v>5</v>
      </c>
      <c r="F235" s="36" t="s">
        <v>383</v>
      </c>
      <c r="G235" s="36" t="s">
        <v>388</v>
      </c>
      <c r="H235" s="36" t="s">
        <v>28</v>
      </c>
      <c r="I235" s="36" t="s">
        <v>29</v>
      </c>
      <c r="J235" s="37">
        <v>1988</v>
      </c>
      <c r="K235" s="37"/>
      <c r="L235" s="36" t="s">
        <v>30</v>
      </c>
      <c r="M235" s="36" t="s">
        <v>31</v>
      </c>
      <c r="N235" s="36" t="s">
        <v>32</v>
      </c>
      <c r="O235" s="39">
        <f t="shared" si="32"/>
        <v>0</v>
      </c>
      <c r="P235" s="57"/>
      <c r="Q235" s="57"/>
      <c r="R235" s="40">
        <f t="shared" si="33"/>
        <v>0</v>
      </c>
      <c r="S235" s="57"/>
      <c r="T235" s="57"/>
      <c r="U235" s="39">
        <f t="shared" si="34"/>
        <v>0</v>
      </c>
      <c r="V235" s="57"/>
      <c r="W235" s="57"/>
      <c r="X235" s="57" t="s">
        <v>76</v>
      </c>
      <c r="Y235" s="57" t="s">
        <v>33</v>
      </c>
      <c r="Z235" s="57" t="s">
        <v>43</v>
      </c>
      <c r="AA235" s="57" t="s">
        <v>434</v>
      </c>
      <c r="AB235" s="57"/>
    </row>
    <row r="236" spans="1:28" hidden="1" x14ac:dyDescent="0.3">
      <c r="A236" s="36" t="s">
        <v>381</v>
      </c>
      <c r="B236" s="36" t="str">
        <f t="shared" si="35"/>
        <v>UA0106</v>
      </c>
      <c r="C236" s="36" t="s">
        <v>382</v>
      </c>
      <c r="D236" s="133">
        <v>1</v>
      </c>
      <c r="E236" s="71">
        <v>6</v>
      </c>
      <c r="F236" s="36" t="s">
        <v>383</v>
      </c>
      <c r="G236" s="36" t="s">
        <v>389</v>
      </c>
      <c r="H236" s="36" t="s">
        <v>28</v>
      </c>
      <c r="I236" s="36" t="s">
        <v>29</v>
      </c>
      <c r="J236" s="37">
        <v>1977</v>
      </c>
      <c r="K236" s="37"/>
      <c r="L236" s="36" t="s">
        <v>30</v>
      </c>
      <c r="M236" s="36" t="s">
        <v>31</v>
      </c>
      <c r="N236" s="36" t="s">
        <v>32</v>
      </c>
      <c r="O236" s="39">
        <f t="shared" si="32"/>
        <v>0</v>
      </c>
      <c r="P236" s="57"/>
      <c r="Q236" s="57"/>
      <c r="R236" s="40">
        <f t="shared" si="33"/>
        <v>0</v>
      </c>
      <c r="S236" s="57"/>
      <c r="T236" s="57"/>
      <c r="U236" s="39">
        <f t="shared" si="34"/>
        <v>0</v>
      </c>
      <c r="V236" s="57"/>
      <c r="W236" s="57"/>
      <c r="X236" s="57" t="s">
        <v>76</v>
      </c>
      <c r="Y236" s="57" t="s">
        <v>33</v>
      </c>
      <c r="Z236" s="57" t="s">
        <v>43</v>
      </c>
      <c r="AA236" s="57" t="s">
        <v>434</v>
      </c>
      <c r="AB236" s="57"/>
    </row>
    <row r="237" spans="1:28" hidden="1" x14ac:dyDescent="0.3">
      <c r="A237" s="36" t="s">
        <v>381</v>
      </c>
      <c r="B237" s="36" t="str">
        <f t="shared" si="35"/>
        <v>UA0107</v>
      </c>
      <c r="C237" s="36" t="s">
        <v>382</v>
      </c>
      <c r="D237" s="133">
        <v>1</v>
      </c>
      <c r="E237" s="71">
        <v>7</v>
      </c>
      <c r="F237" s="36" t="s">
        <v>383</v>
      </c>
      <c r="G237" s="36" t="s">
        <v>390</v>
      </c>
      <c r="H237" s="36" t="s">
        <v>28</v>
      </c>
      <c r="I237" s="36" t="s">
        <v>29</v>
      </c>
      <c r="J237" s="37">
        <v>1978</v>
      </c>
      <c r="K237" s="37"/>
      <c r="L237" s="36" t="s">
        <v>68</v>
      </c>
      <c r="M237" s="36"/>
      <c r="N237" s="36" t="s">
        <v>32</v>
      </c>
      <c r="O237" s="39">
        <f t="shared" si="32"/>
        <v>0</v>
      </c>
      <c r="P237" s="57"/>
      <c r="Q237" s="57"/>
      <c r="R237" s="40">
        <f t="shared" si="33"/>
        <v>0</v>
      </c>
      <c r="S237" s="57"/>
      <c r="T237" s="57"/>
      <c r="U237" s="39">
        <f t="shared" si="34"/>
        <v>0</v>
      </c>
      <c r="V237" s="57"/>
      <c r="W237" s="57"/>
      <c r="X237" s="57" t="s">
        <v>76</v>
      </c>
      <c r="Y237" s="57" t="s">
        <v>33</v>
      </c>
      <c r="Z237" s="57" t="s">
        <v>43</v>
      </c>
      <c r="AA237" s="57" t="s">
        <v>434</v>
      </c>
      <c r="AB237" s="57"/>
    </row>
    <row r="238" spans="1:28" hidden="1" x14ac:dyDescent="0.3">
      <c r="A238" s="36" t="s">
        <v>381</v>
      </c>
      <c r="B238" s="36" t="str">
        <f t="shared" si="35"/>
        <v>UA0108</v>
      </c>
      <c r="C238" s="36" t="s">
        <v>382</v>
      </c>
      <c r="D238" s="133">
        <v>1</v>
      </c>
      <c r="E238" s="71">
        <v>8</v>
      </c>
      <c r="F238" s="36" t="s">
        <v>383</v>
      </c>
      <c r="G238" s="36" t="s">
        <v>391</v>
      </c>
      <c r="H238" s="36" t="s">
        <v>28</v>
      </c>
      <c r="I238" s="36" t="s">
        <v>29</v>
      </c>
      <c r="J238" s="37">
        <v>1984</v>
      </c>
      <c r="K238" s="37"/>
      <c r="L238" s="36" t="s">
        <v>30</v>
      </c>
      <c r="M238" s="36" t="s">
        <v>31</v>
      </c>
      <c r="N238" s="36" t="s">
        <v>32</v>
      </c>
      <c r="O238" s="39">
        <f t="shared" si="32"/>
        <v>0</v>
      </c>
      <c r="P238" s="57"/>
      <c r="Q238" s="57"/>
      <c r="R238" s="40">
        <f t="shared" si="33"/>
        <v>0</v>
      </c>
      <c r="S238" s="57"/>
      <c r="T238" s="57"/>
      <c r="U238" s="39">
        <f t="shared" si="34"/>
        <v>0</v>
      </c>
      <c r="V238" s="57"/>
      <c r="W238" s="57"/>
      <c r="X238" s="57" t="s">
        <v>76</v>
      </c>
      <c r="Y238" s="57" t="s">
        <v>33</v>
      </c>
      <c r="Z238" s="57" t="s">
        <v>43</v>
      </c>
      <c r="AA238" s="57" t="s">
        <v>434</v>
      </c>
      <c r="AB238" s="57"/>
    </row>
    <row r="239" spans="1:28" hidden="1" x14ac:dyDescent="0.3">
      <c r="A239" s="36" t="s">
        <v>381</v>
      </c>
      <c r="B239" s="36" t="str">
        <f t="shared" si="35"/>
        <v>UA0109</v>
      </c>
      <c r="C239" s="36" t="s">
        <v>382</v>
      </c>
      <c r="D239" s="133">
        <v>1</v>
      </c>
      <c r="E239" s="71">
        <v>9</v>
      </c>
      <c r="F239" s="36" t="s">
        <v>383</v>
      </c>
      <c r="G239" s="36" t="s">
        <v>392</v>
      </c>
      <c r="H239" s="36" t="s">
        <v>28</v>
      </c>
      <c r="I239" s="36" t="s">
        <v>29</v>
      </c>
      <c r="J239" s="37">
        <v>1991</v>
      </c>
      <c r="K239" s="37"/>
      <c r="L239" s="36" t="s">
        <v>30</v>
      </c>
      <c r="M239" s="36" t="s">
        <v>31</v>
      </c>
      <c r="N239" s="36" t="s">
        <v>32</v>
      </c>
      <c r="O239" s="39">
        <f t="shared" si="32"/>
        <v>0</v>
      </c>
      <c r="P239" s="57"/>
      <c r="Q239" s="57"/>
      <c r="R239" s="40">
        <f t="shared" si="33"/>
        <v>0</v>
      </c>
      <c r="S239" s="57"/>
      <c r="T239" s="57"/>
      <c r="U239" s="39">
        <f t="shared" si="34"/>
        <v>0</v>
      </c>
      <c r="V239" s="57"/>
      <c r="W239" s="57"/>
      <c r="X239" s="57" t="s">
        <v>76</v>
      </c>
      <c r="Y239" s="57" t="s">
        <v>33</v>
      </c>
      <c r="Z239" s="57" t="s">
        <v>43</v>
      </c>
      <c r="AA239" s="57" t="s">
        <v>434</v>
      </c>
      <c r="AB239" s="57"/>
    </row>
    <row r="240" spans="1:28" hidden="1" x14ac:dyDescent="0.3">
      <c r="A240" s="36" t="s">
        <v>381</v>
      </c>
      <c r="B240" s="36" t="str">
        <f t="shared" si="35"/>
        <v>UA0110</v>
      </c>
      <c r="C240" s="36" t="s">
        <v>382</v>
      </c>
      <c r="D240" s="133">
        <v>1</v>
      </c>
      <c r="E240" s="71">
        <v>10</v>
      </c>
      <c r="F240" s="36" t="s">
        <v>383</v>
      </c>
      <c r="G240" s="36" t="s">
        <v>393</v>
      </c>
      <c r="H240" s="36" t="s">
        <v>28</v>
      </c>
      <c r="I240" s="36" t="s">
        <v>29</v>
      </c>
      <c r="J240" s="37">
        <v>1987</v>
      </c>
      <c r="K240" s="37"/>
      <c r="L240" s="36" t="s">
        <v>30</v>
      </c>
      <c r="M240" s="36" t="s">
        <v>31</v>
      </c>
      <c r="N240" s="36" t="s">
        <v>32</v>
      </c>
      <c r="O240" s="39">
        <f t="shared" si="32"/>
        <v>0</v>
      </c>
      <c r="P240" s="57"/>
      <c r="Q240" s="57"/>
      <c r="R240" s="40">
        <f t="shared" si="33"/>
        <v>0</v>
      </c>
      <c r="S240" s="57"/>
      <c r="T240" s="57"/>
      <c r="U240" s="39">
        <f t="shared" si="34"/>
        <v>0</v>
      </c>
      <c r="V240" s="57"/>
      <c r="W240" s="57"/>
      <c r="X240" s="57" t="s">
        <v>76</v>
      </c>
      <c r="Y240" s="57" t="s">
        <v>33</v>
      </c>
      <c r="Z240" s="57" t="s">
        <v>43</v>
      </c>
      <c r="AA240" s="57" t="s">
        <v>434</v>
      </c>
      <c r="AB240" s="57"/>
    </row>
    <row r="241" spans="1:28" hidden="1" x14ac:dyDescent="0.3">
      <c r="A241" s="36" t="s">
        <v>381</v>
      </c>
      <c r="B241" s="36" t="str">
        <f t="shared" si="35"/>
        <v>UA0111</v>
      </c>
      <c r="C241" s="36" t="s">
        <v>382</v>
      </c>
      <c r="D241" s="133">
        <v>1</v>
      </c>
      <c r="E241" s="71">
        <v>11</v>
      </c>
      <c r="F241" s="36" t="s">
        <v>383</v>
      </c>
      <c r="G241" s="36" t="s">
        <v>394</v>
      </c>
      <c r="H241" s="36" t="s">
        <v>28</v>
      </c>
      <c r="I241" s="36" t="s">
        <v>29</v>
      </c>
      <c r="J241" s="37">
        <v>1982</v>
      </c>
      <c r="K241" s="37"/>
      <c r="L241" s="36" t="s">
        <v>30</v>
      </c>
      <c r="M241" s="36" t="s">
        <v>31</v>
      </c>
      <c r="N241" s="36" t="s">
        <v>32</v>
      </c>
      <c r="O241" s="39">
        <f t="shared" si="32"/>
        <v>0</v>
      </c>
      <c r="P241" s="57"/>
      <c r="Q241" s="57"/>
      <c r="R241" s="40">
        <f t="shared" si="33"/>
        <v>0</v>
      </c>
      <c r="S241" s="57"/>
      <c r="T241" s="57"/>
      <c r="U241" s="39">
        <f t="shared" si="34"/>
        <v>0</v>
      </c>
      <c r="V241" s="57"/>
      <c r="W241" s="57"/>
      <c r="X241" s="57" t="s">
        <v>76</v>
      </c>
      <c r="Y241" s="57" t="s">
        <v>33</v>
      </c>
      <c r="Z241" s="57" t="s">
        <v>43</v>
      </c>
      <c r="AA241" s="57" t="s">
        <v>434</v>
      </c>
      <c r="AB241" s="57"/>
    </row>
    <row r="242" spans="1:28" hidden="1" x14ac:dyDescent="0.3">
      <c r="A242" s="36" t="s">
        <v>381</v>
      </c>
      <c r="B242" s="36" t="str">
        <f t="shared" si="35"/>
        <v>UA0112</v>
      </c>
      <c r="C242" s="36" t="s">
        <v>382</v>
      </c>
      <c r="D242" s="133">
        <v>1</v>
      </c>
      <c r="E242" s="71">
        <v>12</v>
      </c>
      <c r="F242" s="36" t="s">
        <v>383</v>
      </c>
      <c r="G242" s="36" t="s">
        <v>395</v>
      </c>
      <c r="H242" s="36" t="s">
        <v>28</v>
      </c>
      <c r="I242" s="36" t="s">
        <v>29</v>
      </c>
      <c r="J242" s="37">
        <v>1996</v>
      </c>
      <c r="K242" s="37"/>
      <c r="L242" s="36" t="s">
        <v>30</v>
      </c>
      <c r="M242" s="36" t="s">
        <v>477</v>
      </c>
      <c r="N242" s="36" t="s">
        <v>32</v>
      </c>
      <c r="O242" s="39">
        <f t="shared" si="32"/>
        <v>0</v>
      </c>
      <c r="P242" s="57"/>
      <c r="Q242" s="57"/>
      <c r="R242" s="40">
        <f t="shared" si="33"/>
        <v>0</v>
      </c>
      <c r="S242" s="57"/>
      <c r="T242" s="57"/>
      <c r="U242" s="39">
        <f t="shared" si="34"/>
        <v>0</v>
      </c>
      <c r="V242" s="57"/>
      <c r="W242" s="57"/>
      <c r="X242" s="57" t="s">
        <v>76</v>
      </c>
      <c r="Y242" s="57" t="s">
        <v>33</v>
      </c>
      <c r="Z242" s="57" t="s">
        <v>43</v>
      </c>
      <c r="AA242" s="57" t="s">
        <v>434</v>
      </c>
      <c r="AB242" s="57"/>
    </row>
    <row r="243" spans="1:28" s="32" customFormat="1" hidden="1" x14ac:dyDescent="0.3">
      <c r="A243" s="84" t="s">
        <v>381</v>
      </c>
      <c r="B243" s="84" t="str">
        <f t="shared" si="35"/>
        <v>UA01V1</v>
      </c>
      <c r="C243" s="84" t="s">
        <v>382</v>
      </c>
      <c r="D243" s="138">
        <v>1</v>
      </c>
      <c r="E243" s="78" t="s">
        <v>456</v>
      </c>
      <c r="F243" s="59" t="s">
        <v>465</v>
      </c>
      <c r="G243" s="59" t="s">
        <v>465</v>
      </c>
      <c r="H243" s="84" t="s">
        <v>28</v>
      </c>
      <c r="I243" s="84" t="s">
        <v>29</v>
      </c>
      <c r="J243" s="128"/>
      <c r="K243" s="128"/>
      <c r="L243" s="84" t="s">
        <v>482</v>
      </c>
      <c r="M243" s="84"/>
      <c r="N243" s="84"/>
      <c r="O243" s="19">
        <f t="shared" si="32"/>
        <v>327.92</v>
      </c>
      <c r="P243" s="20">
        <v>327.92</v>
      </c>
      <c r="Q243" s="20"/>
      <c r="R243" s="21">
        <f>S243+W243</f>
        <v>2673.75</v>
      </c>
      <c r="S243" s="20">
        <v>2673.75</v>
      </c>
      <c r="T243" s="20"/>
      <c r="U243" s="19">
        <f>V243+T243</f>
        <v>2755.76</v>
      </c>
      <c r="V243" s="20">
        <v>2755.76</v>
      </c>
      <c r="W243" s="20"/>
      <c r="X243" s="20" t="s">
        <v>500</v>
      </c>
      <c r="Y243" s="20" t="s">
        <v>43</v>
      </c>
      <c r="Z243" s="20" t="s">
        <v>33</v>
      </c>
      <c r="AA243" s="20" t="s">
        <v>434</v>
      </c>
      <c r="AB243" s="20"/>
    </row>
    <row r="244" spans="1:28" s="26" customFormat="1" x14ac:dyDescent="0.3">
      <c r="A244" s="12" t="s">
        <v>396</v>
      </c>
      <c r="B244" s="12" t="str">
        <f t="shared" si="35"/>
        <v>GB0101</v>
      </c>
      <c r="C244" s="12" t="s">
        <v>397</v>
      </c>
      <c r="D244" s="132">
        <v>1</v>
      </c>
      <c r="E244" s="70">
        <v>1</v>
      </c>
      <c r="F244" s="12" t="s">
        <v>398</v>
      </c>
      <c r="G244" s="12" t="s">
        <v>399</v>
      </c>
      <c r="H244" s="12" t="s">
        <v>28</v>
      </c>
      <c r="I244" s="12" t="s">
        <v>29</v>
      </c>
      <c r="J244" s="13">
        <v>2015</v>
      </c>
      <c r="K244" s="13"/>
      <c r="L244" s="12" t="s">
        <v>63</v>
      </c>
      <c r="M244" s="12"/>
      <c r="N244" s="12" t="s">
        <v>32</v>
      </c>
      <c r="O244" s="14">
        <f t="shared" si="32"/>
        <v>0.56999999999999995</v>
      </c>
      <c r="P244" s="16">
        <f>50*11.4/1000</f>
        <v>0.56999999999999995</v>
      </c>
      <c r="Q244" s="16"/>
      <c r="R244" s="15">
        <f t="shared" si="33"/>
        <v>0</v>
      </c>
      <c r="S244" s="16"/>
      <c r="T244" s="16"/>
      <c r="U244" s="14">
        <f t="shared" si="34"/>
        <v>136.80000000000001</v>
      </c>
      <c r="V244" s="16">
        <f>12*11.4</f>
        <v>136.80000000000001</v>
      </c>
      <c r="W244" s="16"/>
      <c r="X244" s="16" t="s">
        <v>500</v>
      </c>
      <c r="Y244" s="12" t="s">
        <v>33</v>
      </c>
      <c r="Z244" s="12" t="s">
        <v>33</v>
      </c>
      <c r="AA244" s="24" t="s">
        <v>434</v>
      </c>
      <c r="AB244" s="16"/>
    </row>
    <row r="245" spans="1:28" s="26" customFormat="1" hidden="1" x14ac:dyDescent="0.3">
      <c r="A245" s="12" t="s">
        <v>396</v>
      </c>
      <c r="B245" s="12" t="str">
        <f t="shared" si="35"/>
        <v>GB0102</v>
      </c>
      <c r="C245" s="12" t="s">
        <v>397</v>
      </c>
      <c r="D245" s="132">
        <v>1</v>
      </c>
      <c r="E245" s="70">
        <v>2</v>
      </c>
      <c r="F245" s="12" t="s">
        <v>398</v>
      </c>
      <c r="G245" s="12" t="s">
        <v>399</v>
      </c>
      <c r="H245" s="12" t="s">
        <v>65</v>
      </c>
      <c r="I245" s="12" t="s">
        <v>504</v>
      </c>
      <c r="J245" s="12"/>
      <c r="K245" s="13"/>
      <c r="L245" s="12" t="s">
        <v>63</v>
      </c>
      <c r="M245" s="12"/>
      <c r="N245" s="12" t="s">
        <v>32</v>
      </c>
      <c r="O245" s="24">
        <f t="shared" si="32"/>
        <v>0.37619999999999998</v>
      </c>
      <c r="P245" s="16">
        <f>P244*0.66</f>
        <v>0.37619999999999998</v>
      </c>
      <c r="Q245" s="16"/>
      <c r="R245" s="25">
        <f t="shared" si="33"/>
        <v>0</v>
      </c>
      <c r="S245" s="16"/>
      <c r="T245" s="16"/>
      <c r="U245" s="24">
        <f t="shared" si="34"/>
        <v>90.288000000000011</v>
      </c>
      <c r="V245" s="16">
        <f>V244*0.66</f>
        <v>90.288000000000011</v>
      </c>
      <c r="W245" s="16"/>
      <c r="X245" s="16" t="s">
        <v>500</v>
      </c>
      <c r="Y245" s="12" t="s">
        <v>43</v>
      </c>
      <c r="Z245" s="12" t="s">
        <v>33</v>
      </c>
      <c r="AA245" s="24" t="s">
        <v>434</v>
      </c>
      <c r="AB245" s="16"/>
    </row>
    <row r="246" spans="1:28" s="26" customFormat="1" x14ac:dyDescent="0.3">
      <c r="A246" s="12" t="s">
        <v>396</v>
      </c>
      <c r="B246" s="12" t="str">
        <f t="shared" si="35"/>
        <v>GB0103</v>
      </c>
      <c r="C246" s="12" t="s">
        <v>397</v>
      </c>
      <c r="D246" s="132">
        <v>1</v>
      </c>
      <c r="E246" s="70">
        <v>3</v>
      </c>
      <c r="F246" s="12" t="s">
        <v>398</v>
      </c>
      <c r="G246" s="12" t="s">
        <v>400</v>
      </c>
      <c r="H246" s="12" t="s">
        <v>28</v>
      </c>
      <c r="I246" s="12" t="s">
        <v>29</v>
      </c>
      <c r="J246" s="13">
        <v>2001</v>
      </c>
      <c r="K246" s="13"/>
      <c r="L246" s="12" t="s">
        <v>63</v>
      </c>
      <c r="M246" s="12"/>
      <c r="N246" s="12" t="s">
        <v>32</v>
      </c>
      <c r="O246" s="14">
        <f t="shared" si="32"/>
        <v>0.25080000000000002</v>
      </c>
      <c r="P246" s="16">
        <f>22*11.4/1000</f>
        <v>0.25080000000000002</v>
      </c>
      <c r="Q246" s="16"/>
      <c r="R246" s="15">
        <f t="shared" si="33"/>
        <v>0</v>
      </c>
      <c r="S246" s="16"/>
      <c r="T246" s="16"/>
      <c r="U246" s="14">
        <f t="shared" si="34"/>
        <v>57</v>
      </c>
      <c r="V246" s="16">
        <f>5*11.4</f>
        <v>57</v>
      </c>
      <c r="W246" s="16"/>
      <c r="X246" s="16" t="s">
        <v>500</v>
      </c>
      <c r="Y246" s="12" t="s">
        <v>33</v>
      </c>
      <c r="Z246" s="12" t="s">
        <v>33</v>
      </c>
      <c r="AA246" s="24" t="s">
        <v>434</v>
      </c>
      <c r="AB246" s="16"/>
    </row>
    <row r="247" spans="1:28" s="26" customFormat="1" hidden="1" x14ac:dyDescent="0.3">
      <c r="A247" s="12" t="s">
        <v>396</v>
      </c>
      <c r="B247" s="12" t="str">
        <f t="shared" si="35"/>
        <v>GB0201</v>
      </c>
      <c r="C247" s="12" t="s">
        <v>397</v>
      </c>
      <c r="D247" s="140">
        <v>2</v>
      </c>
      <c r="E247" s="73">
        <v>1</v>
      </c>
      <c r="F247" s="28" t="s">
        <v>401</v>
      </c>
      <c r="G247" s="29" t="s">
        <v>402</v>
      </c>
      <c r="H247" s="28" t="s">
        <v>83</v>
      </c>
      <c r="I247" s="28" t="s">
        <v>92</v>
      </c>
      <c r="J247" s="30"/>
      <c r="K247" s="30"/>
      <c r="L247" s="28" t="s">
        <v>63</v>
      </c>
      <c r="M247" s="28"/>
      <c r="N247" s="28" t="s">
        <v>364</v>
      </c>
      <c r="O247" s="45">
        <f t="shared" si="32"/>
        <v>17.100000000000001</v>
      </c>
      <c r="P247" s="54">
        <f>1.5*11.4</f>
        <v>17.100000000000001</v>
      </c>
      <c r="Q247" s="54"/>
      <c r="R247" s="55">
        <f t="shared" si="33"/>
        <v>0</v>
      </c>
      <c r="S247" s="54"/>
      <c r="T247" s="54"/>
      <c r="U247" s="45">
        <f t="shared" si="34"/>
        <v>0</v>
      </c>
      <c r="V247" s="54"/>
      <c r="W247" s="54"/>
      <c r="X247" s="54" t="s">
        <v>500</v>
      </c>
      <c r="Y247" s="12" t="s">
        <v>33</v>
      </c>
      <c r="Z247" s="12" t="s">
        <v>33</v>
      </c>
      <c r="AA247" s="24" t="s">
        <v>434</v>
      </c>
      <c r="AB247" s="54"/>
    </row>
    <row r="248" spans="1:28" s="26" customFormat="1" hidden="1" x14ac:dyDescent="0.3">
      <c r="A248" s="12" t="s">
        <v>396</v>
      </c>
      <c r="B248" s="12" t="str">
        <f t="shared" si="35"/>
        <v>GB0301</v>
      </c>
      <c r="C248" s="12" t="s">
        <v>397</v>
      </c>
      <c r="D248" s="132">
        <v>3</v>
      </c>
      <c r="E248" s="70">
        <v>1</v>
      </c>
      <c r="F248" s="12" t="s">
        <v>403</v>
      </c>
      <c r="G248" s="12" t="s">
        <v>404</v>
      </c>
      <c r="H248" s="12" t="s">
        <v>83</v>
      </c>
      <c r="I248" s="12" t="s">
        <v>92</v>
      </c>
      <c r="J248" s="12"/>
      <c r="K248" s="13"/>
      <c r="L248" s="12" t="s">
        <v>63</v>
      </c>
      <c r="M248" s="12"/>
      <c r="N248" s="12" t="s">
        <v>32</v>
      </c>
      <c r="O248" s="14">
        <f t="shared" si="32"/>
        <v>6.84</v>
      </c>
      <c r="P248" s="16">
        <f>0.6*11.4</f>
        <v>6.84</v>
      </c>
      <c r="Q248" s="16"/>
      <c r="R248" s="15">
        <f t="shared" si="33"/>
        <v>0</v>
      </c>
      <c r="S248" s="16"/>
      <c r="T248" s="16"/>
      <c r="U248" s="14">
        <f t="shared" si="34"/>
        <v>0</v>
      </c>
      <c r="V248" s="16"/>
      <c r="W248" s="16"/>
      <c r="X248" s="16" t="s">
        <v>500</v>
      </c>
      <c r="Y248" s="12" t="s">
        <v>33</v>
      </c>
      <c r="Z248" s="12" t="s">
        <v>33</v>
      </c>
      <c r="AA248" s="24" t="s">
        <v>434</v>
      </c>
      <c r="AB248" s="16"/>
    </row>
    <row r="249" spans="1:28" s="26" customFormat="1" x14ac:dyDescent="0.3">
      <c r="A249" s="12" t="s">
        <v>396</v>
      </c>
      <c r="B249" s="12" t="str">
        <f t="shared" si="35"/>
        <v>GB0501</v>
      </c>
      <c r="C249" s="12" t="s">
        <v>397</v>
      </c>
      <c r="D249" s="132">
        <v>5</v>
      </c>
      <c r="E249" s="70">
        <v>1</v>
      </c>
      <c r="F249" s="12" t="s">
        <v>405</v>
      </c>
      <c r="G249" s="12" t="s">
        <v>406</v>
      </c>
      <c r="H249" s="12" t="s">
        <v>28</v>
      </c>
      <c r="I249" s="12" t="s">
        <v>29</v>
      </c>
      <c r="J249" s="13">
        <v>2005</v>
      </c>
      <c r="K249" s="13"/>
      <c r="L249" s="12" t="s">
        <v>30</v>
      </c>
      <c r="M249" s="12" t="s">
        <v>31</v>
      </c>
      <c r="N249" s="12" t="s">
        <v>32</v>
      </c>
      <c r="O249" s="14">
        <f t="shared" si="32"/>
        <v>3.42</v>
      </c>
      <c r="P249" s="16">
        <f>0.3*11.4</f>
        <v>3.42</v>
      </c>
      <c r="Q249" s="16"/>
      <c r="R249" s="15">
        <f t="shared" si="33"/>
        <v>0</v>
      </c>
      <c r="S249" s="16"/>
      <c r="T249" s="16"/>
      <c r="U249" s="14">
        <f t="shared" si="34"/>
        <v>79.8</v>
      </c>
      <c r="V249" s="16">
        <f>7*11.4</f>
        <v>79.8</v>
      </c>
      <c r="W249" s="16"/>
      <c r="X249" s="16" t="s">
        <v>500</v>
      </c>
      <c r="Y249" s="12" t="s">
        <v>33</v>
      </c>
      <c r="Z249" s="12" t="s">
        <v>33</v>
      </c>
      <c r="AA249" s="24" t="s">
        <v>434</v>
      </c>
      <c r="AB249" s="16"/>
    </row>
    <row r="250" spans="1:28" s="26" customFormat="1" hidden="1" x14ac:dyDescent="0.3">
      <c r="A250" s="12" t="s">
        <v>396</v>
      </c>
      <c r="B250" s="12" t="str">
        <f t="shared" si="35"/>
        <v>GB0601</v>
      </c>
      <c r="C250" s="12" t="s">
        <v>397</v>
      </c>
      <c r="D250" s="132">
        <v>6</v>
      </c>
      <c r="E250" s="70">
        <v>1</v>
      </c>
      <c r="F250" s="12" t="s">
        <v>407</v>
      </c>
      <c r="G250" s="12" t="s">
        <v>408</v>
      </c>
      <c r="H250" s="12" t="s">
        <v>83</v>
      </c>
      <c r="I250" s="12" t="s">
        <v>92</v>
      </c>
      <c r="J250" s="13">
        <v>2021</v>
      </c>
      <c r="K250" s="13"/>
      <c r="L250" s="12" t="s">
        <v>63</v>
      </c>
      <c r="M250" s="12"/>
      <c r="N250" s="12"/>
      <c r="O250" s="14">
        <f t="shared" si="32"/>
        <v>1.9000000000000001</v>
      </c>
      <c r="P250" s="16">
        <f>500*11.4/1000/3</f>
        <v>1.9000000000000001</v>
      </c>
      <c r="Q250" s="16"/>
      <c r="R250" s="15">
        <f t="shared" si="33"/>
        <v>45.6</v>
      </c>
      <c r="S250" s="16">
        <f>12*11.4/3</f>
        <v>45.6</v>
      </c>
      <c r="T250" s="16"/>
      <c r="U250" s="15">
        <f t="shared" si="34"/>
        <v>83.600000000000009</v>
      </c>
      <c r="V250" s="16">
        <f>22*11.4/3</f>
        <v>83.600000000000009</v>
      </c>
      <c r="W250" s="16"/>
      <c r="X250" s="16" t="s">
        <v>500</v>
      </c>
      <c r="Y250" s="12" t="s">
        <v>33</v>
      </c>
      <c r="Z250" s="12" t="s">
        <v>33</v>
      </c>
      <c r="AA250" s="24" t="s">
        <v>434</v>
      </c>
      <c r="AB250" s="16"/>
    </row>
    <row r="251" spans="1:28" s="26" customFormat="1" hidden="1" x14ac:dyDescent="0.3">
      <c r="A251" s="12" t="s">
        <v>396</v>
      </c>
      <c r="B251" s="12" t="str">
        <f t="shared" si="35"/>
        <v>GB0602</v>
      </c>
      <c r="C251" s="12" t="s">
        <v>397</v>
      </c>
      <c r="D251" s="132">
        <v>6</v>
      </c>
      <c r="E251" s="70">
        <v>2</v>
      </c>
      <c r="F251" s="12" t="s">
        <v>407</v>
      </c>
      <c r="G251" s="12" t="s">
        <v>408</v>
      </c>
      <c r="H251" s="12" t="s">
        <v>83</v>
      </c>
      <c r="I251" s="12" t="s">
        <v>504</v>
      </c>
      <c r="J251" s="13">
        <v>2022</v>
      </c>
      <c r="K251" s="13"/>
      <c r="L251" s="12" t="s">
        <v>63</v>
      </c>
      <c r="M251" s="12"/>
      <c r="N251" s="12"/>
      <c r="O251" s="14">
        <f t="shared" si="32"/>
        <v>1.9000000000000001</v>
      </c>
      <c r="P251" s="16">
        <f>500*11.4/1000/3</f>
        <v>1.9000000000000001</v>
      </c>
      <c r="Q251" s="16"/>
      <c r="R251" s="15">
        <f t="shared" si="33"/>
        <v>45.6</v>
      </c>
      <c r="S251" s="16">
        <f>12*11.4/3</f>
        <v>45.6</v>
      </c>
      <c r="T251" s="16"/>
      <c r="U251" s="15">
        <f t="shared" si="34"/>
        <v>83.600000000000009</v>
      </c>
      <c r="V251" s="16">
        <f>22*11.4/3</f>
        <v>83.600000000000009</v>
      </c>
      <c r="W251" s="16"/>
      <c r="X251" s="16" t="s">
        <v>500</v>
      </c>
      <c r="Y251" s="12" t="s">
        <v>43</v>
      </c>
      <c r="Z251" s="12" t="s">
        <v>33</v>
      </c>
      <c r="AA251" s="24" t="s">
        <v>434</v>
      </c>
      <c r="AB251" s="16"/>
    </row>
    <row r="252" spans="1:28" s="26" customFormat="1" hidden="1" x14ac:dyDescent="0.3">
      <c r="A252" s="12" t="s">
        <v>396</v>
      </c>
      <c r="B252" s="12" t="str">
        <f t="shared" si="35"/>
        <v>GB0603</v>
      </c>
      <c r="C252" s="12" t="s">
        <v>397</v>
      </c>
      <c r="D252" s="132">
        <v>6</v>
      </c>
      <c r="E252" s="70">
        <v>3</v>
      </c>
      <c r="F252" s="12" t="s">
        <v>407</v>
      </c>
      <c r="G252" s="12" t="s">
        <v>408</v>
      </c>
      <c r="H252" s="12" t="s">
        <v>83</v>
      </c>
      <c r="I252" s="12" t="s">
        <v>504</v>
      </c>
      <c r="J252" s="13">
        <v>2025</v>
      </c>
      <c r="K252" s="13"/>
      <c r="L252" s="12" t="s">
        <v>63</v>
      </c>
      <c r="M252" s="12"/>
      <c r="N252" s="12"/>
      <c r="O252" s="14">
        <f t="shared" si="32"/>
        <v>1.9000000000000001</v>
      </c>
      <c r="P252" s="16">
        <f>500*11.4/1000/3</f>
        <v>1.9000000000000001</v>
      </c>
      <c r="Q252" s="16"/>
      <c r="R252" s="15">
        <f t="shared" si="33"/>
        <v>45.6</v>
      </c>
      <c r="S252" s="16">
        <f>12*11.4/3</f>
        <v>45.6</v>
      </c>
      <c r="T252" s="16"/>
      <c r="U252" s="15">
        <f t="shared" si="34"/>
        <v>83.600000000000009</v>
      </c>
      <c r="V252" s="16">
        <f>22*11.4/3</f>
        <v>83.600000000000009</v>
      </c>
      <c r="W252" s="16"/>
      <c r="X252" s="16" t="s">
        <v>500</v>
      </c>
      <c r="Y252" s="12" t="s">
        <v>43</v>
      </c>
      <c r="Z252" s="12" t="s">
        <v>33</v>
      </c>
      <c r="AA252" s="24" t="s">
        <v>434</v>
      </c>
      <c r="AB252" s="16"/>
    </row>
    <row r="253" spans="1:28" s="26" customFormat="1" hidden="1" x14ac:dyDescent="0.3">
      <c r="A253" s="12" t="s">
        <v>396</v>
      </c>
      <c r="B253" s="12" t="str">
        <f t="shared" si="35"/>
        <v>GB0701</v>
      </c>
      <c r="C253" s="12" t="s">
        <v>397</v>
      </c>
      <c r="D253" s="132">
        <v>7</v>
      </c>
      <c r="E253" s="70">
        <v>1</v>
      </c>
      <c r="F253" s="12" t="s">
        <v>409</v>
      </c>
      <c r="G253" s="12" t="s">
        <v>410</v>
      </c>
      <c r="H253" s="12" t="s">
        <v>83</v>
      </c>
      <c r="I253" s="12" t="s">
        <v>92</v>
      </c>
      <c r="J253" s="13"/>
      <c r="K253" s="13"/>
      <c r="L253" s="12" t="s">
        <v>63</v>
      </c>
      <c r="M253" s="12"/>
      <c r="N253" s="56" t="s">
        <v>32</v>
      </c>
      <c r="O253" s="14">
        <f t="shared" si="32"/>
        <v>5.7</v>
      </c>
      <c r="P253" s="16">
        <f>500*11.4/1000</f>
        <v>5.7</v>
      </c>
      <c r="Q253" s="16"/>
      <c r="R253" s="14">
        <f t="shared" si="33"/>
        <v>387.6</v>
      </c>
      <c r="S253" s="16">
        <f>34*11.4</f>
        <v>387.6</v>
      </c>
      <c r="T253" s="16"/>
      <c r="U253" s="14">
        <f t="shared" si="34"/>
        <v>387.6</v>
      </c>
      <c r="V253" s="16">
        <f>34*11.4</f>
        <v>387.6</v>
      </c>
      <c r="W253" s="16"/>
      <c r="X253" s="16" t="s">
        <v>500</v>
      </c>
      <c r="Y253" s="12" t="s">
        <v>33</v>
      </c>
      <c r="Z253" s="12" t="s">
        <v>33</v>
      </c>
      <c r="AA253" s="24" t="s">
        <v>434</v>
      </c>
      <c r="AB253" s="16"/>
    </row>
    <row r="254" spans="1:28" s="26" customFormat="1" x14ac:dyDescent="0.3">
      <c r="A254" s="12" t="s">
        <v>396</v>
      </c>
      <c r="B254" s="12" t="str">
        <f t="shared" si="35"/>
        <v>GB0901</v>
      </c>
      <c r="C254" s="12" t="s">
        <v>397</v>
      </c>
      <c r="D254" s="132">
        <v>9</v>
      </c>
      <c r="E254" s="70">
        <v>1</v>
      </c>
      <c r="F254" s="12" t="s">
        <v>411</v>
      </c>
      <c r="G254" s="12" t="s">
        <v>412</v>
      </c>
      <c r="H254" s="12" t="s">
        <v>28</v>
      </c>
      <c r="I254" s="12" t="s">
        <v>29</v>
      </c>
      <c r="J254" s="13">
        <v>2000</v>
      </c>
      <c r="K254" s="13"/>
      <c r="L254" s="12" t="s">
        <v>30</v>
      </c>
      <c r="M254" s="12" t="s">
        <v>31</v>
      </c>
      <c r="N254" s="12" t="s">
        <v>32</v>
      </c>
      <c r="O254" s="14">
        <f t="shared" si="32"/>
        <v>0.79800000000000015</v>
      </c>
      <c r="P254" s="16">
        <f>0.07*11.4</f>
        <v>0.79800000000000015</v>
      </c>
      <c r="Q254" s="16"/>
      <c r="R254" s="15">
        <f t="shared" si="33"/>
        <v>20.52</v>
      </c>
      <c r="S254" s="16">
        <f>1.8*11.4</f>
        <v>20.52</v>
      </c>
      <c r="T254" s="16"/>
      <c r="U254" s="14">
        <f t="shared" si="34"/>
        <v>20.52</v>
      </c>
      <c r="V254" s="16">
        <f>1.8*11.4</f>
        <v>20.52</v>
      </c>
      <c r="W254" s="16"/>
      <c r="X254" s="16" t="s">
        <v>500</v>
      </c>
      <c r="Y254" s="12" t="s">
        <v>33</v>
      </c>
      <c r="Z254" s="12" t="s">
        <v>33</v>
      </c>
      <c r="AA254" s="24" t="s">
        <v>434</v>
      </c>
      <c r="AB254" s="16"/>
    </row>
    <row r="255" spans="1:28" s="26" customFormat="1" x14ac:dyDescent="0.3">
      <c r="A255" s="12" t="s">
        <v>396</v>
      </c>
      <c r="B255" s="12" t="str">
        <f t="shared" si="35"/>
        <v>GB1001</v>
      </c>
      <c r="C255" s="12" t="s">
        <v>397</v>
      </c>
      <c r="D255" s="141">
        <v>10</v>
      </c>
      <c r="E255" s="74">
        <v>1</v>
      </c>
      <c r="F255" s="12" t="s">
        <v>413</v>
      </c>
      <c r="G255" s="12" t="s">
        <v>414</v>
      </c>
      <c r="H255" s="12" t="s">
        <v>28</v>
      </c>
      <c r="I255" s="12" t="s">
        <v>29</v>
      </c>
      <c r="J255" s="13">
        <v>2009</v>
      </c>
      <c r="K255" s="13"/>
      <c r="L255" s="12" t="s">
        <v>63</v>
      </c>
      <c r="M255" s="12"/>
      <c r="N255" s="12" t="s">
        <v>32</v>
      </c>
      <c r="O255" s="14">
        <f t="shared" si="32"/>
        <v>2.2988</v>
      </c>
      <c r="P255" s="16">
        <v>2.2988</v>
      </c>
      <c r="Q255" s="16"/>
      <c r="R255" s="14">
        <f t="shared" si="33"/>
        <v>311</v>
      </c>
      <c r="S255" s="16">
        <v>311</v>
      </c>
      <c r="T255" s="16"/>
      <c r="U255" s="14">
        <f t="shared" si="34"/>
        <v>342</v>
      </c>
      <c r="V255" s="16">
        <v>342</v>
      </c>
      <c r="W255" s="16"/>
      <c r="X255" s="16" t="s">
        <v>500</v>
      </c>
      <c r="Y255" s="12" t="s">
        <v>33</v>
      </c>
      <c r="Z255" s="12" t="s">
        <v>33</v>
      </c>
      <c r="AA255" s="24" t="s">
        <v>434</v>
      </c>
      <c r="AB255" s="16"/>
    </row>
    <row r="256" spans="1:28" s="26" customFormat="1" x14ac:dyDescent="0.3">
      <c r="A256" s="12" t="s">
        <v>396</v>
      </c>
      <c r="B256" s="12" t="str">
        <f t="shared" si="35"/>
        <v>GB1003</v>
      </c>
      <c r="C256" s="12" t="s">
        <v>397</v>
      </c>
      <c r="D256" s="132">
        <v>10</v>
      </c>
      <c r="E256" s="70">
        <v>3</v>
      </c>
      <c r="F256" s="12" t="s">
        <v>415</v>
      </c>
      <c r="G256" s="12" t="s">
        <v>416</v>
      </c>
      <c r="H256" s="12" t="s">
        <v>28</v>
      </c>
      <c r="I256" s="12" t="s">
        <v>29</v>
      </c>
      <c r="J256" s="13">
        <v>1979</v>
      </c>
      <c r="K256" s="13"/>
      <c r="L256" s="12" t="s">
        <v>63</v>
      </c>
      <c r="M256" s="12"/>
      <c r="N256" s="12" t="s">
        <v>32</v>
      </c>
      <c r="O256" s="14">
        <f t="shared" si="32"/>
        <v>3.1640000000000001</v>
      </c>
      <c r="P256" s="16">
        <v>3.1640000000000001</v>
      </c>
      <c r="Q256" s="16"/>
      <c r="R256" s="14">
        <f t="shared" si="33"/>
        <v>30</v>
      </c>
      <c r="S256" s="16">
        <v>30</v>
      </c>
      <c r="T256" s="16"/>
      <c r="U256" s="14">
        <f t="shared" si="34"/>
        <v>130</v>
      </c>
      <c r="V256" s="16">
        <v>130</v>
      </c>
      <c r="W256" s="16"/>
      <c r="X256" s="16" t="s">
        <v>500</v>
      </c>
      <c r="Y256" s="12" t="s">
        <v>33</v>
      </c>
      <c r="Z256" s="12" t="s">
        <v>33</v>
      </c>
      <c r="AA256" s="24" t="s">
        <v>434</v>
      </c>
      <c r="AB256" s="16"/>
    </row>
    <row r="257" spans="1:28" s="26" customFormat="1" x14ac:dyDescent="0.3">
      <c r="A257" s="12" t="s">
        <v>396</v>
      </c>
      <c r="B257" s="12" t="str">
        <f t="shared" si="35"/>
        <v>GB1101</v>
      </c>
      <c r="C257" s="12" t="s">
        <v>397</v>
      </c>
      <c r="D257" s="132">
        <v>11</v>
      </c>
      <c r="E257" s="70">
        <v>1</v>
      </c>
      <c r="F257" s="12" t="s">
        <v>417</v>
      </c>
      <c r="G257" s="12" t="s">
        <v>418</v>
      </c>
      <c r="H257" s="12" t="s">
        <v>28</v>
      </c>
      <c r="I257" s="12" t="s">
        <v>29</v>
      </c>
      <c r="J257" s="13">
        <v>2014</v>
      </c>
      <c r="K257" s="13"/>
      <c r="L257" s="12" t="s">
        <v>63</v>
      </c>
      <c r="M257" s="12"/>
      <c r="N257" s="12" t="s">
        <v>32</v>
      </c>
      <c r="O257" s="14">
        <f t="shared" si="32"/>
        <v>2.4104999999999999</v>
      </c>
      <c r="P257" s="16">
        <v>2.4104999999999999</v>
      </c>
      <c r="Q257" s="16"/>
      <c r="R257" s="14">
        <f t="shared" si="33"/>
        <v>160</v>
      </c>
      <c r="S257" s="16">
        <v>160</v>
      </c>
      <c r="T257" s="16"/>
      <c r="U257" s="14">
        <f t="shared" si="34"/>
        <v>160</v>
      </c>
      <c r="V257" s="16">
        <v>160</v>
      </c>
      <c r="W257" s="16"/>
      <c r="X257" s="16" t="s">
        <v>500</v>
      </c>
      <c r="Y257" s="12" t="s">
        <v>33</v>
      </c>
      <c r="Z257" s="12" t="s">
        <v>33</v>
      </c>
      <c r="AA257" s="24" t="s">
        <v>434</v>
      </c>
      <c r="AB257" s="57" t="s">
        <v>33</v>
      </c>
    </row>
    <row r="258" spans="1:28" s="26" customFormat="1" x14ac:dyDescent="0.3">
      <c r="A258" s="12" t="s">
        <v>396</v>
      </c>
      <c r="B258" s="12" t="str">
        <f t="shared" si="35"/>
        <v>GB1102</v>
      </c>
      <c r="C258" s="12" t="s">
        <v>397</v>
      </c>
      <c r="D258" s="132">
        <v>11</v>
      </c>
      <c r="E258" s="70">
        <v>2</v>
      </c>
      <c r="F258" s="12" t="s">
        <v>417</v>
      </c>
      <c r="G258" s="12" t="s">
        <v>418</v>
      </c>
      <c r="H258" s="12" t="s">
        <v>28</v>
      </c>
      <c r="I258" s="12" t="s">
        <v>504</v>
      </c>
      <c r="J258" s="13">
        <v>2019</v>
      </c>
      <c r="K258" s="13"/>
      <c r="L258" s="12" t="s">
        <v>63</v>
      </c>
      <c r="M258" s="12"/>
      <c r="N258" s="12" t="s">
        <v>32</v>
      </c>
      <c r="O258" s="14">
        <f t="shared" si="32"/>
        <v>1.99</v>
      </c>
      <c r="P258" s="16">
        <v>1.99</v>
      </c>
      <c r="Q258" s="16"/>
      <c r="R258" s="14">
        <f t="shared" si="33"/>
        <v>22</v>
      </c>
      <c r="S258" s="16">
        <v>22</v>
      </c>
      <c r="T258" s="16"/>
      <c r="U258" s="14">
        <f t="shared" si="34"/>
        <v>22</v>
      </c>
      <c r="V258" s="16">
        <v>22</v>
      </c>
      <c r="W258" s="16"/>
      <c r="X258" s="16" t="s">
        <v>500</v>
      </c>
      <c r="Y258" s="12" t="s">
        <v>43</v>
      </c>
      <c r="Z258" s="12" t="s">
        <v>33</v>
      </c>
      <c r="AA258" s="24" t="s">
        <v>434</v>
      </c>
      <c r="AB258" s="57" t="s">
        <v>33</v>
      </c>
    </row>
    <row r="259" spans="1:28" s="26" customFormat="1" hidden="1" x14ac:dyDescent="0.3">
      <c r="A259" s="12" t="str">
        <f>A257</f>
        <v>United Kingdom</v>
      </c>
      <c r="B259" s="12" t="str">
        <f t="shared" si="35"/>
        <v>GB1103</v>
      </c>
      <c r="C259" s="12" t="s">
        <v>397</v>
      </c>
      <c r="D259" s="132">
        <v>11</v>
      </c>
      <c r="E259" s="70">
        <v>3</v>
      </c>
      <c r="F259" s="12" t="str">
        <f>F257</f>
        <v>Storengy UK</v>
      </c>
      <c r="G259" s="12" t="str">
        <f>G257</f>
        <v>Stublach</v>
      </c>
      <c r="H259" s="12" t="s">
        <v>83</v>
      </c>
      <c r="I259" s="12" t="s">
        <v>504</v>
      </c>
      <c r="J259" s="13"/>
      <c r="K259" s="13"/>
      <c r="L259" s="12" t="str">
        <f>L257</f>
        <v>Salt cavern</v>
      </c>
      <c r="M259" s="12"/>
      <c r="N259" s="12" t="str">
        <f>N257</f>
        <v>Onshore</v>
      </c>
      <c r="O259" s="14">
        <f t="shared" si="32"/>
        <v>-4.9999999999972289E-4</v>
      </c>
      <c r="P259" s="16">
        <f>400*11/1000-P258-P257</f>
        <v>-4.9999999999972289E-4</v>
      </c>
      <c r="Q259" s="16"/>
      <c r="R259" s="15">
        <f t="shared" si="33"/>
        <v>170</v>
      </c>
      <c r="S259" s="16">
        <f>330-S257</f>
        <v>170</v>
      </c>
      <c r="T259" s="16"/>
      <c r="U259" s="14">
        <f t="shared" si="34"/>
        <v>170</v>
      </c>
      <c r="V259" s="16">
        <f>330-V257</f>
        <v>170</v>
      </c>
      <c r="W259" s="16"/>
      <c r="X259" s="16" t="s">
        <v>500</v>
      </c>
      <c r="Y259" s="12" t="s">
        <v>43</v>
      </c>
      <c r="Z259" s="12" t="s">
        <v>33</v>
      </c>
      <c r="AA259" s="24" t="s">
        <v>434</v>
      </c>
      <c r="AB259" s="57" t="s">
        <v>33</v>
      </c>
    </row>
    <row r="260" spans="1:28" s="26" customFormat="1" x14ac:dyDescent="0.3">
      <c r="A260" s="12" t="s">
        <v>396</v>
      </c>
      <c r="B260" s="12" t="str">
        <f t="shared" si="35"/>
        <v>GB1201</v>
      </c>
      <c r="C260" s="12" t="s">
        <v>397</v>
      </c>
      <c r="D260" s="132">
        <v>12</v>
      </c>
      <c r="E260" s="70">
        <v>1</v>
      </c>
      <c r="F260" s="12" t="s">
        <v>56</v>
      </c>
      <c r="G260" s="12" t="s">
        <v>419</v>
      </c>
      <c r="H260" s="12" t="s">
        <v>28</v>
      </c>
      <c r="I260" s="12" t="s">
        <v>29</v>
      </c>
      <c r="J260" s="13"/>
      <c r="K260" s="13"/>
      <c r="L260" s="12" t="s">
        <v>63</v>
      </c>
      <c r="M260" s="12"/>
      <c r="N260" s="12"/>
      <c r="O260" s="14">
        <f>P260+Q260</f>
        <v>2.5674999999999999</v>
      </c>
      <c r="P260" s="16">
        <v>2.5674999999999999</v>
      </c>
      <c r="Q260" s="16"/>
      <c r="R260" s="14">
        <f>S260+T260</f>
        <v>286</v>
      </c>
      <c r="S260" s="16">
        <v>286</v>
      </c>
      <c r="T260" s="16"/>
      <c r="U260" s="14">
        <f>V260+W260</f>
        <v>238.333</v>
      </c>
      <c r="V260" s="16">
        <v>238.333</v>
      </c>
      <c r="W260" s="16"/>
      <c r="X260" s="16" t="s">
        <v>500</v>
      </c>
      <c r="Y260" s="12" t="s">
        <v>33</v>
      </c>
      <c r="Z260" s="12" t="s">
        <v>33</v>
      </c>
      <c r="AA260" s="24" t="s">
        <v>434</v>
      </c>
      <c r="AB260" s="16" t="s">
        <v>33</v>
      </c>
    </row>
    <row r="261" spans="1:28" x14ac:dyDescent="0.3">
      <c r="P261" s="6"/>
      <c r="V261" s="31"/>
    </row>
    <row r="262" spans="1:28" x14ac:dyDescent="0.3">
      <c r="A262" s="34" t="s">
        <v>420</v>
      </c>
      <c r="S262" s="38">
        <v>101.044</v>
      </c>
    </row>
    <row r="263" spans="1:28" x14ac:dyDescent="0.3">
      <c r="A263" s="33" t="s">
        <v>421</v>
      </c>
    </row>
    <row r="264" spans="1:28" x14ac:dyDescent="0.3">
      <c r="A264" s="35" t="s">
        <v>422</v>
      </c>
    </row>
    <row r="265" spans="1:28" ht="16.2" x14ac:dyDescent="0.3">
      <c r="A265" s="33" t="s">
        <v>423</v>
      </c>
      <c r="B265" s="47" t="s">
        <v>424</v>
      </c>
      <c r="C265" t="s">
        <v>425</v>
      </c>
      <c r="D265" s="142"/>
      <c r="E265" s="75"/>
    </row>
    <row r="266" spans="1:28" ht="16.2" x14ac:dyDescent="0.3">
      <c r="A266" s="33" t="s">
        <v>426</v>
      </c>
      <c r="B266" s="118">
        <v>10.805999999999999</v>
      </c>
      <c r="C266" t="s">
        <v>425</v>
      </c>
      <c r="D266" s="143"/>
      <c r="E266" s="76"/>
    </row>
    <row r="267" spans="1:28" ht="16.2" x14ac:dyDescent="0.3">
      <c r="A267" s="33" t="s">
        <v>427</v>
      </c>
      <c r="B267" s="118">
        <v>10.622</v>
      </c>
      <c r="C267" t="s">
        <v>425</v>
      </c>
      <c r="D267" s="143"/>
      <c r="E267" s="76"/>
    </row>
    <row r="268" spans="1:28" x14ac:dyDescent="0.3">
      <c r="B268" s="1"/>
      <c r="C268" s="1"/>
      <c r="D268" s="143"/>
      <c r="E268" s="76"/>
    </row>
  </sheetData>
  <autoFilter ref="A4:AB260" xr:uid="{7380DD60-74C6-41CD-B4D6-56BB26E2B038}">
    <filterColumn colId="0">
      <filters>
        <filter val="United Kingdom"/>
      </filters>
    </filterColumn>
    <filterColumn colId="7">
      <filters>
        <filter val="operational"/>
      </filters>
    </filterColumn>
  </autoFilter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68D-0CF9-403E-8C8A-A99D28E654BA}">
  <dimension ref="A1:F26"/>
  <sheetViews>
    <sheetView workbookViewId="0">
      <selection activeCell="A20" sqref="A20:G20"/>
    </sheetView>
  </sheetViews>
  <sheetFormatPr defaultRowHeight="14.4" x14ac:dyDescent="0.3"/>
  <cols>
    <col min="1" max="1" width="20.109375" bestFit="1" customWidth="1"/>
    <col min="2" max="2" width="16.33203125" bestFit="1" customWidth="1"/>
    <col min="3" max="3" width="14" bestFit="1" customWidth="1"/>
    <col min="4" max="4" width="11.6640625" bestFit="1" customWidth="1"/>
    <col min="5" max="5" width="10.5546875" bestFit="1" customWidth="1"/>
    <col min="6" max="6" width="11.33203125" bestFit="1" customWidth="1"/>
    <col min="7" max="7" width="12" bestFit="1" customWidth="1"/>
    <col min="8" max="8" width="14" bestFit="1" customWidth="1"/>
    <col min="9" max="9" width="12" bestFit="1" customWidth="1"/>
    <col min="10" max="10" width="13.33203125" bestFit="1" customWidth="1"/>
    <col min="11" max="11" width="19.88671875" bestFit="1" customWidth="1"/>
    <col min="12" max="12" width="10.5546875" bestFit="1" customWidth="1"/>
    <col min="13" max="13" width="23" bestFit="1" customWidth="1"/>
    <col min="14" max="14" width="12" bestFit="1" customWidth="1"/>
    <col min="15" max="15" width="24.44140625" bestFit="1" customWidth="1"/>
    <col min="16" max="16" width="12" bestFit="1" customWidth="1"/>
  </cols>
  <sheetData>
    <row r="1" spans="1:6" x14ac:dyDescent="0.3">
      <c r="A1" s="42" t="s">
        <v>484</v>
      </c>
      <c r="B1" t="s">
        <v>33</v>
      </c>
    </row>
    <row r="2" spans="1:6" x14ac:dyDescent="0.3">
      <c r="A2" s="42" t="s">
        <v>485</v>
      </c>
      <c r="B2" t="s">
        <v>430</v>
      </c>
    </row>
    <row r="3" spans="1:6" x14ac:dyDescent="0.3">
      <c r="A3" s="42" t="s">
        <v>483</v>
      </c>
      <c r="B3" t="s">
        <v>435</v>
      </c>
    </row>
    <row r="5" spans="1:6" x14ac:dyDescent="0.3">
      <c r="A5" s="42" t="s">
        <v>510</v>
      </c>
      <c r="B5" s="42" t="s">
        <v>433</v>
      </c>
    </row>
    <row r="6" spans="1:6" x14ac:dyDescent="0.3">
      <c r="A6" s="42" t="s">
        <v>431</v>
      </c>
      <c r="B6" t="s">
        <v>68</v>
      </c>
      <c r="C6" t="s">
        <v>30</v>
      </c>
      <c r="D6" t="s">
        <v>99</v>
      </c>
      <c r="E6" t="s">
        <v>63</v>
      </c>
      <c r="F6" t="s">
        <v>432</v>
      </c>
    </row>
    <row r="7" spans="1:6" x14ac:dyDescent="0.3">
      <c r="A7" s="43" t="s">
        <v>23</v>
      </c>
      <c r="C7">
        <v>9</v>
      </c>
      <c r="F7">
        <v>9</v>
      </c>
    </row>
    <row r="8" spans="1:6" x14ac:dyDescent="0.3">
      <c r="A8" s="43" t="s">
        <v>71</v>
      </c>
      <c r="B8">
        <v>1</v>
      </c>
      <c r="F8">
        <v>1</v>
      </c>
    </row>
    <row r="9" spans="1:6" x14ac:dyDescent="0.3">
      <c r="A9" s="43" t="s">
        <v>77</v>
      </c>
      <c r="C9">
        <v>1</v>
      </c>
      <c r="F9">
        <v>1</v>
      </c>
    </row>
    <row r="10" spans="1:6" x14ac:dyDescent="0.3">
      <c r="A10" s="43" t="s">
        <v>84</v>
      </c>
      <c r="C10">
        <v>2</v>
      </c>
      <c r="F10">
        <v>2</v>
      </c>
    </row>
    <row r="11" spans="1:6" x14ac:dyDescent="0.3">
      <c r="A11" s="43" t="s">
        <v>93</v>
      </c>
      <c r="B11">
        <v>1</v>
      </c>
      <c r="C11">
        <v>7</v>
      </c>
      <c r="D11">
        <v>1</v>
      </c>
      <c r="F11">
        <v>9</v>
      </c>
    </row>
    <row r="12" spans="1:6" x14ac:dyDescent="0.3">
      <c r="A12" s="43" t="s">
        <v>122</v>
      </c>
      <c r="B12">
        <v>1</v>
      </c>
      <c r="E12">
        <v>1</v>
      </c>
      <c r="F12">
        <v>2</v>
      </c>
    </row>
    <row r="13" spans="1:6" x14ac:dyDescent="0.3">
      <c r="A13" s="43" t="s">
        <v>131</v>
      </c>
      <c r="B13">
        <v>11</v>
      </c>
      <c r="C13">
        <v>2</v>
      </c>
      <c r="E13">
        <v>4</v>
      </c>
      <c r="F13">
        <v>17</v>
      </c>
    </row>
    <row r="14" spans="1:6" x14ac:dyDescent="0.3">
      <c r="A14" s="43" t="s">
        <v>166</v>
      </c>
      <c r="B14">
        <v>6</v>
      </c>
      <c r="C14">
        <v>10</v>
      </c>
      <c r="E14">
        <v>44</v>
      </c>
      <c r="F14">
        <v>60</v>
      </c>
    </row>
    <row r="15" spans="1:6" x14ac:dyDescent="0.3">
      <c r="A15" s="43" t="s">
        <v>250</v>
      </c>
      <c r="C15">
        <v>1</v>
      </c>
      <c r="F15">
        <v>1</v>
      </c>
    </row>
    <row r="16" spans="1:6" x14ac:dyDescent="0.3">
      <c r="A16" s="43" t="s">
        <v>254</v>
      </c>
      <c r="C16">
        <v>5</v>
      </c>
      <c r="F16">
        <v>5</v>
      </c>
    </row>
    <row r="17" spans="1:6" x14ac:dyDescent="0.3">
      <c r="A17" s="43" t="s">
        <v>264</v>
      </c>
      <c r="C17">
        <v>21</v>
      </c>
      <c r="F17">
        <v>21</v>
      </c>
    </row>
    <row r="18" spans="1:6" x14ac:dyDescent="0.3">
      <c r="A18" s="43" t="s">
        <v>294</v>
      </c>
      <c r="B18">
        <v>1</v>
      </c>
      <c r="F18">
        <v>1</v>
      </c>
    </row>
    <row r="19" spans="1:6" x14ac:dyDescent="0.3">
      <c r="A19" s="43" t="s">
        <v>297</v>
      </c>
      <c r="C19">
        <v>4</v>
      </c>
      <c r="E19">
        <v>1</v>
      </c>
      <c r="F19">
        <v>5</v>
      </c>
    </row>
    <row r="20" spans="1:6" x14ac:dyDescent="0.3">
      <c r="A20" s="43" t="s">
        <v>309</v>
      </c>
      <c r="C20">
        <v>7</v>
      </c>
      <c r="E20">
        <v>3</v>
      </c>
      <c r="F20">
        <v>10</v>
      </c>
    </row>
    <row r="21" spans="1:6" x14ac:dyDescent="0.3">
      <c r="A21" s="43" t="s">
        <v>325</v>
      </c>
      <c r="E21">
        <v>1</v>
      </c>
      <c r="F21">
        <v>1</v>
      </c>
    </row>
    <row r="22" spans="1:6" x14ac:dyDescent="0.3">
      <c r="A22" s="43" t="s">
        <v>330</v>
      </c>
      <c r="C22">
        <v>7</v>
      </c>
      <c r="F22">
        <v>7</v>
      </c>
    </row>
    <row r="23" spans="1:6" x14ac:dyDescent="0.3">
      <c r="A23" s="43" t="s">
        <v>353</v>
      </c>
      <c r="C23">
        <v>3</v>
      </c>
      <c r="F23">
        <v>3</v>
      </c>
    </row>
    <row r="24" spans="1:6" x14ac:dyDescent="0.3">
      <c r="A24" s="43" t="s">
        <v>359</v>
      </c>
      <c r="B24">
        <v>1</v>
      </c>
      <c r="C24">
        <v>3</v>
      </c>
      <c r="F24">
        <v>4</v>
      </c>
    </row>
    <row r="25" spans="1:6" x14ac:dyDescent="0.3">
      <c r="A25" s="43" t="s">
        <v>369</v>
      </c>
      <c r="D25">
        <v>1</v>
      </c>
      <c r="F25">
        <v>1</v>
      </c>
    </row>
    <row r="26" spans="1:6" x14ac:dyDescent="0.3">
      <c r="A26" s="43" t="s">
        <v>432</v>
      </c>
      <c r="B26">
        <v>22</v>
      </c>
      <c r="C26">
        <v>82</v>
      </c>
      <c r="D26">
        <v>2</v>
      </c>
      <c r="E26">
        <v>54</v>
      </c>
      <c r="F26">
        <v>160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9B0ED-0B25-4AB4-950E-AB50BD95178D}">
  <dimension ref="A1:P25"/>
  <sheetViews>
    <sheetView showGridLines="0" zoomScaleNormal="100" workbookViewId="0">
      <selection activeCell="F37" sqref="F37"/>
    </sheetView>
  </sheetViews>
  <sheetFormatPr defaultRowHeight="14.4" x14ac:dyDescent="0.3"/>
  <cols>
    <col min="1" max="1" width="20" bestFit="1" customWidth="1"/>
    <col min="2" max="4" width="8.6640625" customWidth="1"/>
    <col min="5" max="5" width="10.33203125" customWidth="1"/>
    <col min="6" max="9" width="8.6640625" customWidth="1"/>
  </cols>
  <sheetData>
    <row r="1" spans="1:16" x14ac:dyDescent="0.3">
      <c r="A1" s="64" t="s">
        <v>441</v>
      </c>
      <c r="B1" s="173" t="s">
        <v>28</v>
      </c>
      <c r="C1" s="174"/>
      <c r="D1" s="177" t="s">
        <v>505</v>
      </c>
      <c r="E1" s="178" t="s">
        <v>65</v>
      </c>
      <c r="F1" s="175" t="s">
        <v>507</v>
      </c>
      <c r="G1" s="176"/>
      <c r="H1" s="179" t="s">
        <v>508</v>
      </c>
      <c r="I1" s="180" t="s">
        <v>432</v>
      </c>
    </row>
    <row r="2" spans="1:16" x14ac:dyDescent="0.3">
      <c r="A2" s="32"/>
      <c r="B2" s="49" t="s">
        <v>442</v>
      </c>
      <c r="C2" s="50" t="s">
        <v>443</v>
      </c>
      <c r="D2" s="49" t="s">
        <v>442</v>
      </c>
      <c r="E2" s="50" t="s">
        <v>443</v>
      </c>
      <c r="F2" s="1" t="s">
        <v>442</v>
      </c>
      <c r="G2" s="50" t="s">
        <v>443</v>
      </c>
      <c r="H2" s="1" t="s">
        <v>442</v>
      </c>
      <c r="I2" s="62" t="s">
        <v>443</v>
      </c>
    </row>
    <row r="3" spans="1:16" x14ac:dyDescent="0.3">
      <c r="A3" s="48" t="s">
        <v>68</v>
      </c>
      <c r="B3" s="112">
        <v>64.510270086000006</v>
      </c>
      <c r="C3" s="51">
        <v>22</v>
      </c>
      <c r="D3" s="112"/>
      <c r="E3" s="51"/>
      <c r="F3" s="112"/>
      <c r="G3" s="51"/>
      <c r="H3" s="112">
        <f t="shared" ref="H3:I6" si="0">B3+D3+F3</f>
        <v>64.510270086000006</v>
      </c>
      <c r="I3" s="63">
        <f t="shared" si="0"/>
        <v>22</v>
      </c>
      <c r="L3" s="43" t="s">
        <v>68</v>
      </c>
      <c r="M3">
        <v>64.510270086000006</v>
      </c>
      <c r="P3">
        <v>64.510270086000006</v>
      </c>
    </row>
    <row r="4" spans="1:16" x14ac:dyDescent="0.3">
      <c r="A4" s="43" t="s">
        <v>30</v>
      </c>
      <c r="B4" s="150">
        <v>717.55816190000007</v>
      </c>
      <c r="C4" s="151">
        <v>70</v>
      </c>
      <c r="D4" s="150">
        <v>9.4304627368421059</v>
      </c>
      <c r="E4" s="151">
        <v>1</v>
      </c>
      <c r="F4" s="150">
        <v>66.209424210526322</v>
      </c>
      <c r="G4" s="151">
        <v>11</v>
      </c>
      <c r="H4" s="150">
        <f t="shared" si="0"/>
        <v>793.19804884736845</v>
      </c>
      <c r="I4" s="152">
        <f t="shared" si="0"/>
        <v>82</v>
      </c>
      <c r="L4" s="43" t="s">
        <v>30</v>
      </c>
      <c r="M4">
        <v>717.56616190000011</v>
      </c>
      <c r="N4">
        <v>9.4304627368421059</v>
      </c>
      <c r="O4">
        <v>66.209424210526322</v>
      </c>
      <c r="P4">
        <v>793.20604884736849</v>
      </c>
    </row>
    <row r="5" spans="1:16" x14ac:dyDescent="0.3">
      <c r="A5" s="48" t="s">
        <v>99</v>
      </c>
      <c r="B5" s="153">
        <v>8.6400000000000005E-2</v>
      </c>
      <c r="C5" s="154">
        <v>2</v>
      </c>
      <c r="D5" s="153"/>
      <c r="E5" s="154"/>
      <c r="F5" s="153"/>
      <c r="G5" s="154"/>
      <c r="H5" s="153">
        <f t="shared" si="0"/>
        <v>8.6400000000000005E-2</v>
      </c>
      <c r="I5" s="155">
        <f t="shared" si="0"/>
        <v>2</v>
      </c>
      <c r="L5" s="43" t="s">
        <v>99</v>
      </c>
      <c r="M5">
        <v>8.6400000000000005E-2</v>
      </c>
      <c r="P5">
        <v>8.6400000000000005E-2</v>
      </c>
    </row>
    <row r="6" spans="1:16" x14ac:dyDescent="0.3">
      <c r="A6" s="43" t="s">
        <v>63</v>
      </c>
      <c r="B6" s="150">
        <v>175.48696894949998</v>
      </c>
      <c r="C6" s="151">
        <v>52</v>
      </c>
      <c r="D6" s="150">
        <v>0.69</v>
      </c>
      <c r="E6" s="151"/>
      <c r="F6" s="150">
        <v>18.997463349999997</v>
      </c>
      <c r="G6" s="151">
        <v>2</v>
      </c>
      <c r="H6" s="150">
        <f t="shared" si="0"/>
        <v>195.17443229949998</v>
      </c>
      <c r="I6" s="152">
        <f t="shared" si="0"/>
        <v>54</v>
      </c>
      <c r="L6" s="43" t="s">
        <v>63</v>
      </c>
      <c r="M6">
        <v>175.4797689495</v>
      </c>
      <c r="N6">
        <v>0.69</v>
      </c>
      <c r="O6">
        <v>18.997463349999997</v>
      </c>
      <c r="P6">
        <v>195.1672322995</v>
      </c>
    </row>
    <row r="7" spans="1:16" x14ac:dyDescent="0.3">
      <c r="A7" s="48" t="s">
        <v>482</v>
      </c>
      <c r="B7" s="153">
        <v>190.51579999999998</v>
      </c>
      <c r="C7" s="154"/>
      <c r="D7" s="153"/>
      <c r="E7" s="154"/>
      <c r="F7" s="153"/>
      <c r="G7" s="154"/>
      <c r="H7" s="153">
        <f>B7+D7+F7</f>
        <v>190.51579999999998</v>
      </c>
      <c r="I7" s="155"/>
      <c r="L7" s="43" t="s">
        <v>482</v>
      </c>
      <c r="M7">
        <v>190.51579999999998</v>
      </c>
      <c r="P7">
        <v>190.51579999999998</v>
      </c>
    </row>
    <row r="8" spans="1:16" x14ac:dyDescent="0.3">
      <c r="A8" s="87" t="s">
        <v>480</v>
      </c>
      <c r="B8" s="156">
        <f t="shared" ref="B8:I8" si="1">SUM(B3:B7)</f>
        <v>1148.1576009355001</v>
      </c>
      <c r="C8" s="157">
        <f t="shared" si="1"/>
        <v>146</v>
      </c>
      <c r="D8" s="156">
        <f t="shared" si="1"/>
        <v>10.120462736842105</v>
      </c>
      <c r="E8" s="157">
        <f t="shared" si="1"/>
        <v>1</v>
      </c>
      <c r="F8" s="156">
        <f t="shared" si="1"/>
        <v>85.206887560526326</v>
      </c>
      <c r="G8" s="157">
        <f t="shared" si="1"/>
        <v>13</v>
      </c>
      <c r="H8" s="156">
        <f t="shared" si="1"/>
        <v>1243.4849512328683</v>
      </c>
      <c r="I8" s="157">
        <f t="shared" si="1"/>
        <v>160</v>
      </c>
      <c r="L8" s="148" t="s">
        <v>432</v>
      </c>
      <c r="M8" s="149">
        <v>1148.1584009355001</v>
      </c>
      <c r="N8" s="149">
        <v>10.120462736842105</v>
      </c>
      <c r="O8" s="149">
        <v>85.206887560526326</v>
      </c>
      <c r="P8" s="149">
        <v>1243.4857512328683</v>
      </c>
    </row>
    <row r="9" spans="1:16" x14ac:dyDescent="0.3">
      <c r="A9" s="88"/>
      <c r="B9" s="158"/>
      <c r="C9" s="159"/>
      <c r="D9" s="158"/>
      <c r="E9" s="160"/>
      <c r="F9" s="158"/>
      <c r="G9" s="161"/>
      <c r="H9" s="158"/>
      <c r="I9" s="161"/>
    </row>
    <row r="10" spans="1:16" x14ac:dyDescent="0.3">
      <c r="A10" s="48" t="s">
        <v>68</v>
      </c>
      <c r="B10" s="153">
        <v>24.143599999999996</v>
      </c>
      <c r="C10" s="154">
        <v>5</v>
      </c>
      <c r="D10" s="153"/>
      <c r="E10" s="154"/>
      <c r="F10" s="153"/>
      <c r="G10" s="154"/>
      <c r="H10" s="153">
        <v>43.420792140000003</v>
      </c>
      <c r="I10" s="155">
        <f t="shared" ref="I10:I13" si="2">C10+E10+G10</f>
        <v>5</v>
      </c>
    </row>
    <row r="11" spans="1:16" x14ac:dyDescent="0.3">
      <c r="A11" s="43" t="s">
        <v>30</v>
      </c>
      <c r="B11" s="150">
        <v>44.121433649289102</v>
      </c>
      <c r="C11" s="151">
        <v>17</v>
      </c>
      <c r="D11" s="150"/>
      <c r="E11" s="151"/>
      <c r="F11" s="150">
        <v>0</v>
      </c>
      <c r="G11" s="151"/>
      <c r="H11" s="150"/>
      <c r="I11" s="152">
        <f t="shared" si="2"/>
        <v>17</v>
      </c>
    </row>
    <row r="12" spans="1:16" x14ac:dyDescent="0.3">
      <c r="A12" s="48" t="s">
        <v>99</v>
      </c>
      <c r="B12" s="153"/>
      <c r="C12" s="154"/>
      <c r="D12" s="153"/>
      <c r="E12" s="154"/>
      <c r="F12" s="153"/>
      <c r="G12" s="154"/>
      <c r="H12" s="153"/>
      <c r="I12" s="155">
        <f t="shared" si="2"/>
        <v>0</v>
      </c>
    </row>
    <row r="13" spans="1:16" x14ac:dyDescent="0.3">
      <c r="A13" s="43" t="s">
        <v>63</v>
      </c>
      <c r="B13" s="150">
        <v>27.904399999999999</v>
      </c>
      <c r="C13" s="151">
        <v>9</v>
      </c>
      <c r="D13" s="150">
        <v>5.8911999999999995</v>
      </c>
      <c r="E13" s="151"/>
      <c r="F13" s="150">
        <v>78.579499999999996</v>
      </c>
      <c r="G13" s="151">
        <v>5</v>
      </c>
      <c r="H13" s="150">
        <f t="shared" ref="H13:H15" si="3">B13+D13+F13</f>
        <v>112.3751</v>
      </c>
      <c r="I13" s="152">
        <f t="shared" si="2"/>
        <v>14</v>
      </c>
    </row>
    <row r="14" spans="1:16" x14ac:dyDescent="0.3">
      <c r="A14" s="48" t="s">
        <v>482</v>
      </c>
      <c r="B14" s="153">
        <v>327.92</v>
      </c>
      <c r="C14" s="154"/>
      <c r="D14" s="153"/>
      <c r="E14" s="154"/>
      <c r="F14" s="153"/>
      <c r="G14" s="154"/>
      <c r="H14" s="153"/>
      <c r="I14" s="155"/>
    </row>
    <row r="15" spans="1:16" x14ac:dyDescent="0.3">
      <c r="A15" s="87" t="s">
        <v>481</v>
      </c>
      <c r="B15" s="156">
        <f>SUM(B10:B14)</f>
        <v>424.08943364928911</v>
      </c>
      <c r="C15" s="157">
        <f t="shared" ref="C15:I15" si="4">SUM(C10:C14)</f>
        <v>31</v>
      </c>
      <c r="D15" s="156">
        <f t="shared" si="4"/>
        <v>5.8911999999999995</v>
      </c>
      <c r="E15" s="157"/>
      <c r="F15" s="156">
        <f t="shared" si="4"/>
        <v>78.579499999999996</v>
      </c>
      <c r="G15" s="157">
        <f t="shared" si="4"/>
        <v>5</v>
      </c>
      <c r="H15" s="156">
        <f t="shared" si="3"/>
        <v>508.56013364928913</v>
      </c>
      <c r="I15" s="157">
        <f t="shared" si="4"/>
        <v>36</v>
      </c>
    </row>
    <row r="16" spans="1:16" x14ac:dyDescent="0.3">
      <c r="A16" s="88"/>
      <c r="B16" s="162"/>
      <c r="C16" s="26"/>
      <c r="D16" s="162"/>
      <c r="E16" s="26"/>
      <c r="F16" s="162"/>
      <c r="G16" s="26"/>
      <c r="H16" s="162"/>
      <c r="I16" s="26"/>
    </row>
    <row r="17" spans="1:9" x14ac:dyDescent="0.3">
      <c r="A17" s="48" t="s">
        <v>68</v>
      </c>
      <c r="B17" s="153">
        <f>B3+B10</f>
        <v>88.653870085999998</v>
      </c>
      <c r="C17" s="154">
        <f t="shared" ref="C17:I17" si="5">C3+C10</f>
        <v>27</v>
      </c>
      <c r="D17" s="153"/>
      <c r="E17" s="154"/>
      <c r="F17" s="153"/>
      <c r="G17" s="154"/>
      <c r="H17" s="153">
        <f t="shared" si="5"/>
        <v>107.93106222600001</v>
      </c>
      <c r="I17" s="155">
        <f t="shared" si="5"/>
        <v>27</v>
      </c>
    </row>
    <row r="18" spans="1:9" x14ac:dyDescent="0.3">
      <c r="A18" s="43" t="s">
        <v>30</v>
      </c>
      <c r="B18" s="150">
        <f t="shared" ref="B18:I18" si="6">B4+B11</f>
        <v>761.67959554928916</v>
      </c>
      <c r="C18" s="151">
        <f t="shared" si="6"/>
        <v>87</v>
      </c>
      <c r="D18" s="150">
        <f t="shared" si="6"/>
        <v>9.4304627368421059</v>
      </c>
      <c r="E18" s="151">
        <f t="shared" si="6"/>
        <v>1</v>
      </c>
      <c r="F18" s="150">
        <f t="shared" si="6"/>
        <v>66.209424210526322</v>
      </c>
      <c r="G18" s="151">
        <f t="shared" si="6"/>
        <v>11</v>
      </c>
      <c r="H18" s="150">
        <f t="shared" si="6"/>
        <v>793.19804884736845</v>
      </c>
      <c r="I18" s="152">
        <f t="shared" si="6"/>
        <v>99</v>
      </c>
    </row>
    <row r="19" spans="1:9" x14ac:dyDescent="0.3">
      <c r="A19" s="48" t="s">
        <v>99</v>
      </c>
      <c r="B19" s="153">
        <f t="shared" ref="B19:I19" si="7">B5+B12</f>
        <v>8.6400000000000005E-2</v>
      </c>
      <c r="C19" s="154">
        <f t="shared" si="7"/>
        <v>2</v>
      </c>
      <c r="D19" s="153"/>
      <c r="E19" s="154"/>
      <c r="F19" s="153"/>
      <c r="G19" s="154"/>
      <c r="H19" s="153">
        <f t="shared" si="7"/>
        <v>8.6400000000000005E-2</v>
      </c>
      <c r="I19" s="155">
        <f t="shared" si="7"/>
        <v>2</v>
      </c>
    </row>
    <row r="20" spans="1:9" x14ac:dyDescent="0.3">
      <c r="A20" s="43" t="s">
        <v>63</v>
      </c>
      <c r="B20" s="150">
        <f t="shared" ref="B20:I20" si="8">B6+B13</f>
        <v>203.39136894949999</v>
      </c>
      <c r="C20" s="151">
        <f t="shared" si="8"/>
        <v>61</v>
      </c>
      <c r="D20" s="150">
        <f t="shared" si="8"/>
        <v>6.5811999999999991</v>
      </c>
      <c r="E20" s="151"/>
      <c r="F20" s="150">
        <f t="shared" si="8"/>
        <v>97.57696335</v>
      </c>
      <c r="G20" s="151">
        <f t="shared" si="8"/>
        <v>7</v>
      </c>
      <c r="H20" s="150">
        <f t="shared" si="8"/>
        <v>307.54953229950002</v>
      </c>
      <c r="I20" s="152">
        <f t="shared" si="8"/>
        <v>68</v>
      </c>
    </row>
    <row r="21" spans="1:9" x14ac:dyDescent="0.3">
      <c r="A21" s="48" t="s">
        <v>482</v>
      </c>
      <c r="B21" s="153">
        <f t="shared" ref="B21:I21" si="9">B7+B14</f>
        <v>518.43579999999997</v>
      </c>
      <c r="C21" s="154"/>
      <c r="D21" s="153"/>
      <c r="E21" s="154"/>
      <c r="F21" s="153"/>
      <c r="G21" s="154">
        <f t="shared" si="9"/>
        <v>0</v>
      </c>
      <c r="H21" s="153">
        <f t="shared" si="9"/>
        <v>190.51579999999998</v>
      </c>
      <c r="I21" s="155">
        <f t="shared" si="9"/>
        <v>0</v>
      </c>
    </row>
    <row r="22" spans="1:9" x14ac:dyDescent="0.3">
      <c r="A22" s="87" t="s">
        <v>438</v>
      </c>
      <c r="B22" s="156">
        <f t="shared" ref="B22:I22" si="10">B8+B15</f>
        <v>1572.2470345847892</v>
      </c>
      <c r="C22" s="157">
        <f t="shared" si="10"/>
        <v>177</v>
      </c>
      <c r="D22" s="156">
        <f t="shared" si="10"/>
        <v>16.011662736842105</v>
      </c>
      <c r="E22" s="157">
        <f t="shared" si="10"/>
        <v>1</v>
      </c>
      <c r="F22" s="156">
        <f t="shared" si="10"/>
        <v>163.78638756052632</v>
      </c>
      <c r="G22" s="157">
        <f t="shared" si="10"/>
        <v>18</v>
      </c>
      <c r="H22" s="156">
        <f t="shared" si="10"/>
        <v>1752.0450848821574</v>
      </c>
      <c r="I22" s="157">
        <f t="shared" si="10"/>
        <v>196</v>
      </c>
    </row>
    <row r="25" spans="1:9" x14ac:dyDescent="0.3">
      <c r="A25" t="s">
        <v>506</v>
      </c>
    </row>
  </sheetData>
  <mergeCells count="4">
    <mergeCell ref="B1:C1"/>
    <mergeCell ref="F1:G1"/>
    <mergeCell ref="D1:E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0B74-0430-455E-A10C-6D5BE9705452}">
  <dimension ref="A1:L32"/>
  <sheetViews>
    <sheetView showGridLines="0" workbookViewId="0">
      <selection activeCell="B35" sqref="B35"/>
    </sheetView>
  </sheetViews>
  <sheetFormatPr defaultRowHeight="14.4" x14ac:dyDescent="0.3"/>
  <cols>
    <col min="1" max="1" width="29.6640625" bestFit="1" customWidth="1"/>
    <col min="2" max="2" width="13.33203125" bestFit="1" customWidth="1"/>
    <col min="3" max="3" width="18.44140625" bestFit="1" customWidth="1"/>
    <col min="4" max="4" width="12.44140625" bestFit="1" customWidth="1"/>
    <col min="5" max="5" width="12" bestFit="1" customWidth="1"/>
    <col min="6" max="6" width="9.109375"/>
    <col min="7" max="7" width="24.109375" bestFit="1" customWidth="1"/>
    <col min="8" max="8" width="11.44140625" bestFit="1" customWidth="1"/>
    <col min="9" max="9" width="18.109375" bestFit="1" customWidth="1"/>
    <col min="10" max="10" width="8.44140625" bestFit="1" customWidth="1"/>
    <col min="11" max="11" width="9.109375"/>
  </cols>
  <sheetData>
    <row r="1" spans="1:12" s="47" customFormat="1" x14ac:dyDescent="0.3">
      <c r="A1" s="92" t="s">
        <v>491</v>
      </c>
      <c r="B1" s="93" t="s">
        <v>28</v>
      </c>
      <c r="C1" s="94" t="s">
        <v>65</v>
      </c>
      <c r="D1" s="95" t="s">
        <v>83</v>
      </c>
      <c r="E1" s="102" t="s">
        <v>436</v>
      </c>
      <c r="F1" s="100"/>
      <c r="G1" s="92" t="s">
        <v>489</v>
      </c>
      <c r="H1" s="93" t="s">
        <v>28</v>
      </c>
      <c r="I1" s="94" t="s">
        <v>65</v>
      </c>
      <c r="J1" s="95" t="s">
        <v>83</v>
      </c>
      <c r="K1" s="102" t="s">
        <v>436</v>
      </c>
      <c r="L1" s="100"/>
    </row>
    <row r="2" spans="1:12" x14ac:dyDescent="0.3">
      <c r="A2" s="90" t="s">
        <v>23</v>
      </c>
      <c r="B2" s="107">
        <v>95.188609999999997</v>
      </c>
      <c r="C2" s="107"/>
      <c r="D2" s="107"/>
      <c r="E2" s="108">
        <f t="shared" ref="E2:E20" si="0">SUM(B2:D2)</f>
        <v>95.188609999999997</v>
      </c>
      <c r="F2" s="101"/>
      <c r="G2" s="90" t="s">
        <v>23</v>
      </c>
      <c r="H2" s="89">
        <v>9</v>
      </c>
      <c r="I2" s="89"/>
      <c r="J2" s="89"/>
      <c r="K2" s="91">
        <f>SUM(H2:J2)</f>
        <v>9</v>
      </c>
    </row>
    <row r="3" spans="1:12" x14ac:dyDescent="0.3">
      <c r="A3" s="90" t="s">
        <v>71</v>
      </c>
      <c r="B3" s="107">
        <v>9.0013000000000005</v>
      </c>
      <c r="C3" s="107"/>
      <c r="D3" s="107"/>
      <c r="E3" s="108">
        <f t="shared" si="0"/>
        <v>9.0013000000000005</v>
      </c>
      <c r="F3" s="43"/>
      <c r="G3" s="90" t="s">
        <v>71</v>
      </c>
      <c r="H3" s="89">
        <v>1</v>
      </c>
      <c r="I3" s="89"/>
      <c r="J3" s="89"/>
      <c r="K3" s="91">
        <f t="shared" ref="K3:K20" si="1">SUM(H3:J3)</f>
        <v>1</v>
      </c>
    </row>
    <row r="4" spans="1:12" x14ac:dyDescent="0.3">
      <c r="A4" s="90" t="s">
        <v>77</v>
      </c>
      <c r="B4" s="107">
        <v>5.8</v>
      </c>
      <c r="C4" s="107"/>
      <c r="D4" s="107">
        <v>4.75</v>
      </c>
      <c r="E4" s="108">
        <f t="shared" si="0"/>
        <v>10.55</v>
      </c>
      <c r="F4" s="43"/>
      <c r="G4" s="90" t="s">
        <v>77</v>
      </c>
      <c r="H4" s="89">
        <v>1</v>
      </c>
      <c r="I4" s="89"/>
      <c r="J4" s="89"/>
      <c r="K4" s="91">
        <f t="shared" si="1"/>
        <v>1</v>
      </c>
    </row>
    <row r="5" spans="1:12" x14ac:dyDescent="0.3">
      <c r="A5" s="90" t="s">
        <v>84</v>
      </c>
      <c r="B5" s="107">
        <v>5.2164000000000001</v>
      </c>
      <c r="C5" s="107"/>
      <c r="D5" s="107">
        <v>0.28499999999999998</v>
      </c>
      <c r="E5" s="108">
        <f t="shared" si="0"/>
        <v>5.5014000000000003</v>
      </c>
      <c r="F5" s="43"/>
      <c r="G5" s="90" t="s">
        <v>84</v>
      </c>
      <c r="H5" s="89">
        <v>1</v>
      </c>
      <c r="I5" s="89"/>
      <c r="J5" s="89">
        <v>1</v>
      </c>
      <c r="K5" s="91">
        <f t="shared" si="1"/>
        <v>2</v>
      </c>
    </row>
    <row r="6" spans="1:12" x14ac:dyDescent="0.3">
      <c r="A6" s="163" t="s">
        <v>93</v>
      </c>
      <c r="B6" s="164">
        <v>43.13412000000001</v>
      </c>
      <c r="C6" s="164">
        <v>0.84286799999999995</v>
      </c>
      <c r="D6" s="164">
        <v>0.43223999999999996</v>
      </c>
      <c r="E6" s="165">
        <f t="shared" si="0"/>
        <v>44.409228000000013</v>
      </c>
      <c r="F6" s="43"/>
      <c r="G6" s="90" t="s">
        <v>93</v>
      </c>
      <c r="H6" s="89">
        <v>9</v>
      </c>
      <c r="I6" s="89"/>
      <c r="J6" s="89"/>
      <c r="K6" s="91">
        <f t="shared" si="1"/>
        <v>9</v>
      </c>
    </row>
    <row r="7" spans="1:12" x14ac:dyDescent="0.3">
      <c r="A7" s="163" t="s">
        <v>122</v>
      </c>
      <c r="B7" s="164">
        <v>10.46</v>
      </c>
      <c r="C7" s="164"/>
      <c r="D7" s="164"/>
      <c r="E7" s="165">
        <f t="shared" si="0"/>
        <v>10.46</v>
      </c>
      <c r="F7" s="43"/>
      <c r="G7" s="90" t="s">
        <v>122</v>
      </c>
      <c r="H7" s="89">
        <v>2</v>
      </c>
      <c r="I7" s="89"/>
      <c r="J7" s="89"/>
      <c r="K7" s="91">
        <f t="shared" si="1"/>
        <v>2</v>
      </c>
    </row>
    <row r="8" spans="1:12" x14ac:dyDescent="0.3">
      <c r="A8" s="163" t="s">
        <v>131</v>
      </c>
      <c r="B8" s="164">
        <v>132.30000000000001</v>
      </c>
      <c r="C8" s="164"/>
      <c r="D8" s="164">
        <v>4.0999999999999996</v>
      </c>
      <c r="E8" s="165">
        <f t="shared" si="0"/>
        <v>136.4</v>
      </c>
      <c r="F8" s="43"/>
      <c r="G8" s="90" t="s">
        <v>131</v>
      </c>
      <c r="H8" s="89">
        <v>16</v>
      </c>
      <c r="I8" s="89"/>
      <c r="J8" s="89">
        <v>1</v>
      </c>
      <c r="K8" s="91">
        <f t="shared" si="1"/>
        <v>17</v>
      </c>
    </row>
    <row r="9" spans="1:12" x14ac:dyDescent="0.3">
      <c r="A9" s="163" t="s">
        <v>166</v>
      </c>
      <c r="B9" s="164">
        <v>260.52673903550004</v>
      </c>
      <c r="C9" s="164"/>
      <c r="D9" s="164">
        <v>5.8974633499999998</v>
      </c>
      <c r="E9" s="165">
        <f t="shared" si="0"/>
        <v>266.42420238550005</v>
      </c>
      <c r="F9" s="43"/>
      <c r="G9" s="90" t="s">
        <v>166</v>
      </c>
      <c r="H9" s="89">
        <v>60</v>
      </c>
      <c r="I9" s="89"/>
      <c r="J9" s="89"/>
      <c r="K9" s="91">
        <f t="shared" si="1"/>
        <v>60</v>
      </c>
    </row>
    <row r="10" spans="1:12" x14ac:dyDescent="0.3">
      <c r="A10" s="163" t="s">
        <v>250</v>
      </c>
      <c r="B10" s="164"/>
      <c r="C10" s="164"/>
      <c r="D10" s="164">
        <v>3.8605</v>
      </c>
      <c r="E10" s="165">
        <f t="shared" si="0"/>
        <v>3.8605</v>
      </c>
      <c r="F10" s="43"/>
      <c r="G10" s="90" t="s">
        <v>250</v>
      </c>
      <c r="H10" s="89"/>
      <c r="I10" s="89"/>
      <c r="J10" s="89">
        <v>1</v>
      </c>
      <c r="K10" s="91">
        <f t="shared" si="1"/>
        <v>1</v>
      </c>
    </row>
    <row r="11" spans="1:12" x14ac:dyDescent="0.3">
      <c r="A11" s="163" t="s">
        <v>254</v>
      </c>
      <c r="B11" s="164">
        <v>69.632901899999993</v>
      </c>
      <c r="C11" s="164"/>
      <c r="D11" s="164"/>
      <c r="E11" s="165">
        <f t="shared" si="0"/>
        <v>69.632901899999993</v>
      </c>
      <c r="F11" s="43"/>
      <c r="G11" s="90" t="s">
        <v>254</v>
      </c>
      <c r="H11" s="89">
        <v>5</v>
      </c>
      <c r="I11" s="89"/>
      <c r="J11" s="89"/>
      <c r="K11" s="91">
        <f t="shared" si="1"/>
        <v>5</v>
      </c>
    </row>
    <row r="12" spans="1:12" x14ac:dyDescent="0.3">
      <c r="A12" s="163" t="s">
        <v>264</v>
      </c>
      <c r="B12" s="164">
        <v>195.36588</v>
      </c>
      <c r="C12" s="164">
        <v>8.5875947368421048</v>
      </c>
      <c r="D12" s="164">
        <v>40.747984210526319</v>
      </c>
      <c r="E12" s="165">
        <f t="shared" si="0"/>
        <v>244.70145894736842</v>
      </c>
      <c r="F12" s="43"/>
      <c r="G12" s="90" t="s">
        <v>264</v>
      </c>
      <c r="H12" s="89">
        <v>13</v>
      </c>
      <c r="I12" s="89">
        <v>1</v>
      </c>
      <c r="J12" s="89">
        <v>7</v>
      </c>
      <c r="K12" s="91">
        <f t="shared" si="1"/>
        <v>21</v>
      </c>
    </row>
    <row r="13" spans="1:12" x14ac:dyDescent="0.3">
      <c r="A13" s="163" t="s">
        <v>294</v>
      </c>
      <c r="B13" s="164">
        <v>24.2</v>
      </c>
      <c r="C13" s="164"/>
      <c r="D13" s="164"/>
      <c r="E13" s="165">
        <f t="shared" si="0"/>
        <v>24.2</v>
      </c>
      <c r="F13" s="43"/>
      <c r="G13" s="90" t="s">
        <v>294</v>
      </c>
      <c r="H13" s="89">
        <v>1</v>
      </c>
      <c r="I13" s="89"/>
      <c r="J13" s="89"/>
      <c r="K13" s="91">
        <f t="shared" si="1"/>
        <v>1</v>
      </c>
    </row>
    <row r="14" spans="1:12" x14ac:dyDescent="0.3">
      <c r="A14" s="163" t="s">
        <v>297</v>
      </c>
      <c r="B14" s="164">
        <v>144.55670000000001</v>
      </c>
      <c r="C14" s="164"/>
      <c r="D14" s="164"/>
      <c r="E14" s="165">
        <f t="shared" si="0"/>
        <v>144.55670000000001</v>
      </c>
      <c r="F14" s="43"/>
      <c r="G14" s="90" t="s">
        <v>297</v>
      </c>
      <c r="H14" s="89">
        <v>5</v>
      </c>
      <c r="I14" s="89"/>
      <c r="J14" s="89"/>
      <c r="K14" s="91">
        <f t="shared" si="1"/>
        <v>5</v>
      </c>
    </row>
    <row r="15" spans="1:12" x14ac:dyDescent="0.3">
      <c r="A15" s="163" t="s">
        <v>309</v>
      </c>
      <c r="B15" s="164">
        <v>38.432400000000001</v>
      </c>
      <c r="C15" s="164">
        <v>0.69</v>
      </c>
      <c r="D15" s="164">
        <v>9</v>
      </c>
      <c r="E15" s="165">
        <f t="shared" si="0"/>
        <v>48.122399999999999</v>
      </c>
      <c r="F15" s="43"/>
      <c r="G15" s="90" t="s">
        <v>309</v>
      </c>
      <c r="H15" s="89">
        <v>9</v>
      </c>
      <c r="I15" s="89"/>
      <c r="J15" s="89">
        <v>1</v>
      </c>
      <c r="K15" s="91">
        <f t="shared" si="1"/>
        <v>10</v>
      </c>
    </row>
    <row r="16" spans="1:12" x14ac:dyDescent="0.3">
      <c r="A16" s="163" t="s">
        <v>325</v>
      </c>
      <c r="B16" s="164">
        <v>3.57</v>
      </c>
      <c r="C16" s="164">
        <v>0</v>
      </c>
      <c r="D16" s="164"/>
      <c r="E16" s="165">
        <f t="shared" si="0"/>
        <v>3.57</v>
      </c>
      <c r="F16" s="43"/>
      <c r="G16" s="90" t="s">
        <v>325</v>
      </c>
      <c r="H16" s="89">
        <v>1</v>
      </c>
      <c r="I16" s="89"/>
      <c r="J16" s="89"/>
      <c r="K16" s="91">
        <f t="shared" si="1"/>
        <v>1</v>
      </c>
    </row>
    <row r="17" spans="1:11" x14ac:dyDescent="0.3">
      <c r="A17" s="163" t="s">
        <v>330</v>
      </c>
      <c r="B17" s="164">
        <v>32.990550000000006</v>
      </c>
      <c r="C17" s="164"/>
      <c r="D17" s="164">
        <v>12.528000000000002</v>
      </c>
      <c r="E17" s="165">
        <f t="shared" si="0"/>
        <v>45.518550000000005</v>
      </c>
      <c r="F17" s="43"/>
      <c r="G17" s="90" t="s">
        <v>330</v>
      </c>
      <c r="H17" s="89">
        <v>6</v>
      </c>
      <c r="I17" s="89"/>
      <c r="J17" s="89">
        <v>1</v>
      </c>
      <c r="K17" s="91">
        <f t="shared" si="1"/>
        <v>7</v>
      </c>
    </row>
    <row r="18" spans="1:11" x14ac:dyDescent="0.3">
      <c r="A18" s="163" t="s">
        <v>353</v>
      </c>
      <c r="B18" s="164">
        <v>43.447600000000001</v>
      </c>
      <c r="C18" s="164"/>
      <c r="D18" s="164">
        <v>3.6057000000000001</v>
      </c>
      <c r="E18" s="165">
        <f t="shared" si="0"/>
        <v>47.0533</v>
      </c>
      <c r="F18" s="43"/>
      <c r="G18" s="90" t="s">
        <v>353</v>
      </c>
      <c r="H18" s="89">
        <v>2</v>
      </c>
      <c r="I18" s="89"/>
      <c r="J18" s="89">
        <v>1</v>
      </c>
      <c r="K18" s="91">
        <f t="shared" si="1"/>
        <v>3</v>
      </c>
    </row>
    <row r="19" spans="1:11" x14ac:dyDescent="0.3">
      <c r="A19" s="163" t="s">
        <v>359</v>
      </c>
      <c r="B19" s="164">
        <v>34.247999999999998</v>
      </c>
      <c r="C19" s="164"/>
      <c r="D19" s="164"/>
      <c r="E19" s="165">
        <f t="shared" si="0"/>
        <v>34.247999999999998</v>
      </c>
      <c r="F19" s="43"/>
      <c r="G19" s="90" t="s">
        <v>359</v>
      </c>
      <c r="H19" s="89">
        <v>4</v>
      </c>
      <c r="I19" s="89"/>
      <c r="J19" s="89"/>
      <c r="K19" s="91">
        <f t="shared" si="1"/>
        <v>4</v>
      </c>
    </row>
    <row r="20" spans="1:11" x14ac:dyDescent="0.3">
      <c r="A20" s="163" t="s">
        <v>369</v>
      </c>
      <c r="B20" s="164">
        <v>8.6400000000000005E-2</v>
      </c>
      <c r="C20" s="164"/>
      <c r="D20" s="164"/>
      <c r="E20" s="165">
        <f t="shared" si="0"/>
        <v>8.6400000000000005E-2</v>
      </c>
      <c r="F20" s="47"/>
      <c r="G20" s="90" t="s">
        <v>369</v>
      </c>
      <c r="H20" s="89">
        <v>1</v>
      </c>
      <c r="I20" s="89"/>
      <c r="J20" s="89"/>
      <c r="K20" s="91">
        <f t="shared" si="1"/>
        <v>1</v>
      </c>
    </row>
    <row r="21" spans="1:11" x14ac:dyDescent="0.3">
      <c r="A21" s="166" t="s">
        <v>480</v>
      </c>
      <c r="B21" s="167">
        <f>SUM(B2:B20)</f>
        <v>1148.1576009355001</v>
      </c>
      <c r="C21" s="167">
        <f t="shared" ref="C21:E21" si="2">SUM(C2:C20)</f>
        <v>10.120462736842104</v>
      </c>
      <c r="D21" s="167">
        <f t="shared" si="2"/>
        <v>85.206887560526326</v>
      </c>
      <c r="E21" s="167">
        <f t="shared" si="2"/>
        <v>1243.4849512328685</v>
      </c>
      <c r="F21" s="47"/>
      <c r="G21" s="92" t="s">
        <v>480</v>
      </c>
      <c r="H21" s="109">
        <f>SUM(H2:H20)</f>
        <v>146</v>
      </c>
      <c r="I21" s="109">
        <f t="shared" ref="I21" si="3">SUM(I2:I20)</f>
        <v>1</v>
      </c>
      <c r="J21" s="109">
        <f t="shared" ref="J21" si="4">SUM(J2:J20)</f>
        <v>13</v>
      </c>
      <c r="K21" s="109">
        <f t="shared" ref="K21" si="5">SUM(K2:K20)</f>
        <v>160</v>
      </c>
    </row>
    <row r="22" spans="1:11" x14ac:dyDescent="0.3">
      <c r="A22" s="163" t="s">
        <v>58</v>
      </c>
      <c r="B22" s="164">
        <v>15.319599999999999</v>
      </c>
      <c r="C22" s="164">
        <v>5.5149999999999997</v>
      </c>
      <c r="D22" s="164"/>
      <c r="E22" s="165">
        <f t="shared" ref="E22:E26" si="6">SUM(B22:D22)</f>
        <v>20.834599999999998</v>
      </c>
      <c r="F22" s="47"/>
      <c r="G22" s="90" t="s">
        <v>58</v>
      </c>
      <c r="H22" s="89">
        <v>3</v>
      </c>
      <c r="I22" s="89"/>
      <c r="J22" s="89"/>
      <c r="K22" s="91">
        <f>SUM(H22:J22)</f>
        <v>3</v>
      </c>
    </row>
    <row r="23" spans="1:11" x14ac:dyDescent="0.3">
      <c r="A23" s="163" t="s">
        <v>341</v>
      </c>
      <c r="B23" s="164">
        <v>23.824799999999996</v>
      </c>
      <c r="C23" s="164"/>
      <c r="D23" s="164"/>
      <c r="E23" s="165">
        <f t="shared" si="6"/>
        <v>23.824799999999996</v>
      </c>
      <c r="F23" s="43"/>
      <c r="G23" s="90" t="s">
        <v>341</v>
      </c>
      <c r="H23" s="89">
        <v>3</v>
      </c>
      <c r="I23" s="89"/>
      <c r="J23" s="89"/>
      <c r="K23" s="91">
        <f t="shared" ref="K23:K26" si="7">SUM(H23:J23)</f>
        <v>3</v>
      </c>
    </row>
    <row r="24" spans="1:11" x14ac:dyDescent="0.3">
      <c r="A24" s="163" t="s">
        <v>349</v>
      </c>
      <c r="B24" s="164">
        <v>4.5315000000000003</v>
      </c>
      <c r="C24" s="164"/>
      <c r="D24" s="164"/>
      <c r="E24" s="165">
        <f t="shared" si="6"/>
        <v>4.5315000000000003</v>
      </c>
      <c r="F24" s="43"/>
      <c r="G24" s="90" t="s">
        <v>349</v>
      </c>
      <c r="H24" s="89">
        <v>1</v>
      </c>
      <c r="I24" s="89"/>
      <c r="J24" s="89"/>
      <c r="K24" s="91">
        <f t="shared" si="7"/>
        <v>1</v>
      </c>
    </row>
    <row r="25" spans="1:11" x14ac:dyDescent="0.3">
      <c r="A25" s="163" t="s">
        <v>373</v>
      </c>
      <c r="B25" s="164">
        <v>35.023933649289106</v>
      </c>
      <c r="C25" s="164"/>
      <c r="D25" s="164">
        <v>43.24</v>
      </c>
      <c r="E25" s="165">
        <f t="shared" si="6"/>
        <v>78.2639336492891</v>
      </c>
      <c r="F25" s="43"/>
      <c r="G25" s="90" t="s">
        <v>373</v>
      </c>
      <c r="H25" s="89">
        <v>3</v>
      </c>
      <c r="I25" s="89"/>
      <c r="J25" s="89">
        <v>1</v>
      </c>
      <c r="K25" s="91">
        <f t="shared" si="7"/>
        <v>4</v>
      </c>
    </row>
    <row r="26" spans="1:11" x14ac:dyDescent="0.3">
      <c r="A26" s="163" t="s">
        <v>381</v>
      </c>
      <c r="B26" s="164">
        <v>327.92</v>
      </c>
      <c r="C26" s="164"/>
      <c r="D26" s="164"/>
      <c r="E26" s="165">
        <f t="shared" si="6"/>
        <v>327.92</v>
      </c>
      <c r="F26" s="43"/>
      <c r="G26" s="90" t="s">
        <v>381</v>
      </c>
      <c r="H26" s="89">
        <v>13</v>
      </c>
      <c r="I26" s="89"/>
      <c r="J26" s="89"/>
      <c r="K26" s="91">
        <f t="shared" si="7"/>
        <v>13</v>
      </c>
    </row>
    <row r="27" spans="1:11" x14ac:dyDescent="0.3">
      <c r="A27" s="163" t="s">
        <v>396</v>
      </c>
      <c r="B27" s="164">
        <v>17.469600000000003</v>
      </c>
      <c r="C27" s="164">
        <v>0.37619999999999998</v>
      </c>
      <c r="D27" s="164">
        <v>35.339500000000001</v>
      </c>
      <c r="E27" s="165">
        <f>SUM(B27:D27)</f>
        <v>53.185300000000005</v>
      </c>
      <c r="F27" s="47"/>
      <c r="G27" s="90" t="s">
        <v>396</v>
      </c>
      <c r="H27" s="89">
        <v>8</v>
      </c>
      <c r="I27" s="89"/>
      <c r="J27" s="89">
        <v>4</v>
      </c>
      <c r="K27" s="91">
        <f>SUM(H27:J27)</f>
        <v>12</v>
      </c>
    </row>
    <row r="28" spans="1:11" x14ac:dyDescent="0.3">
      <c r="A28" s="166" t="s">
        <v>486</v>
      </c>
      <c r="B28" s="168">
        <f>SUM(B22:B27)</f>
        <v>424.08943364928916</v>
      </c>
      <c r="C28" s="168">
        <f t="shared" ref="C28:E28" si="8">SUM(C22:C27)</f>
        <v>5.8911999999999995</v>
      </c>
      <c r="D28" s="168">
        <f t="shared" si="8"/>
        <v>78.579499999999996</v>
      </c>
      <c r="E28" s="168">
        <f t="shared" si="8"/>
        <v>508.56013364928913</v>
      </c>
      <c r="G28" s="92" t="s">
        <v>486</v>
      </c>
      <c r="H28" s="96">
        <f>SUM(H22:H27)</f>
        <v>31</v>
      </c>
      <c r="I28" s="96">
        <f t="shared" ref="I28:K28" si="9">SUM(I22:I27)</f>
        <v>0</v>
      </c>
      <c r="J28" s="96">
        <f t="shared" si="9"/>
        <v>5</v>
      </c>
      <c r="K28" s="96">
        <f t="shared" si="9"/>
        <v>36</v>
      </c>
    </row>
    <row r="29" spans="1:11" x14ac:dyDescent="0.3">
      <c r="A29" s="166" t="s">
        <v>440</v>
      </c>
      <c r="B29" s="168">
        <f>B28+B21</f>
        <v>1572.2470345847892</v>
      </c>
      <c r="C29" s="168">
        <f t="shared" ref="C29:E29" si="10">C28+C21</f>
        <v>16.011662736842105</v>
      </c>
      <c r="D29" s="168">
        <f t="shared" si="10"/>
        <v>163.78638756052632</v>
      </c>
      <c r="E29" s="168">
        <f t="shared" si="10"/>
        <v>1752.0450848821577</v>
      </c>
      <c r="G29" s="92" t="s">
        <v>440</v>
      </c>
      <c r="H29" s="96">
        <f>H28+H21</f>
        <v>177</v>
      </c>
      <c r="I29" s="96">
        <f>I28+I21</f>
        <v>1</v>
      </c>
      <c r="J29" s="96">
        <f>J28+J21</f>
        <v>18</v>
      </c>
      <c r="K29" s="96">
        <f>K28+K21</f>
        <v>196</v>
      </c>
    </row>
    <row r="32" spans="1:11" x14ac:dyDescent="0.3">
      <c r="A32" s="4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BFF34-4B47-4BF6-9199-6962341991A0}">
  <dimension ref="A1:G32"/>
  <sheetViews>
    <sheetView showGridLines="0" workbookViewId="0">
      <selection activeCell="G30" sqref="B4:G30"/>
    </sheetView>
  </sheetViews>
  <sheetFormatPr defaultRowHeight="14.4" x14ac:dyDescent="0.3"/>
  <cols>
    <col min="1" max="1" width="46.33203125" bestFit="1" customWidth="1"/>
    <col min="2" max="2" width="12.44140625" bestFit="1" customWidth="1"/>
    <col min="3" max="3" width="14" bestFit="1" customWidth="1"/>
    <col min="4" max="4" width="12.44140625" bestFit="1" customWidth="1"/>
    <col min="5" max="5" width="14.44140625" bestFit="1" customWidth="1"/>
    <col min="6" max="6" width="19.44140625" bestFit="1" customWidth="1"/>
    <col min="7" max="7" width="12.5546875" bestFit="1" customWidth="1"/>
  </cols>
  <sheetData>
    <row r="1" spans="1:7" x14ac:dyDescent="0.3">
      <c r="A1" s="46" t="s">
        <v>488</v>
      </c>
      <c r="B1" s="41"/>
      <c r="E1" s="41"/>
      <c r="F1" s="41"/>
    </row>
    <row r="2" spans="1:7" x14ac:dyDescent="0.3">
      <c r="A2" s="97" t="s">
        <v>0</v>
      </c>
      <c r="B2" s="98" t="s">
        <v>68</v>
      </c>
      <c r="C2" s="98" t="s">
        <v>30</v>
      </c>
      <c r="D2" s="98" t="s">
        <v>99</v>
      </c>
      <c r="E2" s="98" t="s">
        <v>63</v>
      </c>
      <c r="F2" s="98" t="s">
        <v>482</v>
      </c>
      <c r="G2" s="102" t="s">
        <v>446</v>
      </c>
    </row>
    <row r="3" spans="1:7" x14ac:dyDescent="0.3">
      <c r="A3" s="90" t="s">
        <v>23</v>
      </c>
      <c r="B3" s="110"/>
      <c r="C3" s="110">
        <v>95.188609999999997</v>
      </c>
      <c r="D3" s="110"/>
      <c r="E3" s="110"/>
      <c r="F3" s="110"/>
      <c r="G3" s="111">
        <v>95.188609999999997</v>
      </c>
    </row>
    <row r="4" spans="1:7" x14ac:dyDescent="0.3">
      <c r="A4" s="90" t="s">
        <v>71</v>
      </c>
      <c r="B4" s="169">
        <v>9.0013000000000005</v>
      </c>
      <c r="C4" s="169"/>
      <c r="D4" s="169"/>
      <c r="E4" s="169"/>
      <c r="F4" s="169"/>
      <c r="G4" s="170">
        <v>9.0013000000000005</v>
      </c>
    </row>
    <row r="5" spans="1:7" x14ac:dyDescent="0.3">
      <c r="A5" s="90" t="s">
        <v>77</v>
      </c>
      <c r="B5" s="169"/>
      <c r="C5" s="169">
        <v>10.55</v>
      </c>
      <c r="D5" s="169"/>
      <c r="E5" s="169"/>
      <c r="F5" s="169"/>
      <c r="G5" s="170">
        <v>10.55</v>
      </c>
    </row>
    <row r="6" spans="1:7" x14ac:dyDescent="0.3">
      <c r="A6" s="90" t="s">
        <v>84</v>
      </c>
      <c r="B6" s="169"/>
      <c r="C6" s="169">
        <v>5.5014000000000003</v>
      </c>
      <c r="D6" s="169"/>
      <c r="E6" s="169"/>
      <c r="F6" s="169"/>
      <c r="G6" s="170">
        <v>5.5014000000000003</v>
      </c>
    </row>
    <row r="7" spans="1:7" x14ac:dyDescent="0.3">
      <c r="A7" s="90" t="s">
        <v>93</v>
      </c>
      <c r="B7" s="169"/>
      <c r="C7" s="169">
        <v>15.409227999999999</v>
      </c>
      <c r="D7" s="169"/>
      <c r="E7" s="169"/>
      <c r="F7" s="169">
        <v>29</v>
      </c>
      <c r="G7" s="170">
        <v>44.409227999999999</v>
      </c>
    </row>
    <row r="8" spans="1:7" x14ac:dyDescent="0.3">
      <c r="A8" s="90" t="s">
        <v>122</v>
      </c>
      <c r="B8" s="169"/>
      <c r="C8" s="169"/>
      <c r="D8" s="169"/>
      <c r="E8" s="169"/>
      <c r="F8" s="169">
        <v>10.46</v>
      </c>
      <c r="G8" s="170">
        <v>10.46</v>
      </c>
    </row>
    <row r="9" spans="1:7" x14ac:dyDescent="0.3">
      <c r="A9" s="90" t="s">
        <v>131</v>
      </c>
      <c r="B9" s="169">
        <v>26.9</v>
      </c>
      <c r="C9" s="169"/>
      <c r="D9" s="169"/>
      <c r="E9" s="169">
        <v>14.4</v>
      </c>
      <c r="F9" s="169">
        <v>95.1</v>
      </c>
      <c r="G9" s="170">
        <v>136.4</v>
      </c>
    </row>
    <row r="10" spans="1:7" x14ac:dyDescent="0.3">
      <c r="A10" s="90" t="s">
        <v>166</v>
      </c>
      <c r="B10" s="169">
        <v>4.4089700860000001</v>
      </c>
      <c r="C10" s="169">
        <v>86.490200000000002</v>
      </c>
      <c r="D10" s="169"/>
      <c r="E10" s="169">
        <v>153.81723229949998</v>
      </c>
      <c r="F10" s="169">
        <v>21.707799999999999</v>
      </c>
      <c r="G10" s="170">
        <v>266.4242023855</v>
      </c>
    </row>
    <row r="11" spans="1:7" x14ac:dyDescent="0.3">
      <c r="A11" s="90" t="s">
        <v>250</v>
      </c>
      <c r="B11" s="169"/>
      <c r="C11" s="169">
        <v>3.8605</v>
      </c>
      <c r="D11" s="169"/>
      <c r="E11" s="169"/>
      <c r="F11" s="169"/>
      <c r="G11" s="170">
        <v>3.8605</v>
      </c>
    </row>
    <row r="12" spans="1:7" x14ac:dyDescent="0.3">
      <c r="A12" s="90" t="s">
        <v>254</v>
      </c>
      <c r="B12" s="169"/>
      <c r="C12" s="169">
        <v>69.632901899999993</v>
      </c>
      <c r="D12" s="169"/>
      <c r="E12" s="169"/>
      <c r="F12" s="169"/>
      <c r="G12" s="170">
        <v>69.632901899999993</v>
      </c>
    </row>
    <row r="13" spans="1:7" x14ac:dyDescent="0.3">
      <c r="A13" s="90" t="s">
        <v>264</v>
      </c>
      <c r="B13" s="169"/>
      <c r="C13" s="169">
        <v>244.70145894736845</v>
      </c>
      <c r="D13" s="169"/>
      <c r="E13" s="169"/>
      <c r="F13" s="169"/>
      <c r="G13" s="170">
        <v>244.70145894736845</v>
      </c>
    </row>
    <row r="14" spans="1:7" x14ac:dyDescent="0.3">
      <c r="A14" s="90" t="s">
        <v>294</v>
      </c>
      <c r="B14" s="169">
        <v>24.2</v>
      </c>
      <c r="C14" s="169"/>
      <c r="D14" s="169"/>
      <c r="E14" s="169"/>
      <c r="F14" s="169"/>
      <c r="G14" s="170">
        <v>24.2</v>
      </c>
    </row>
    <row r="15" spans="1:7" x14ac:dyDescent="0.3">
      <c r="A15" s="90" t="s">
        <v>297</v>
      </c>
      <c r="B15" s="169"/>
      <c r="C15" s="169">
        <v>140.05670000000001</v>
      </c>
      <c r="D15" s="169"/>
      <c r="E15" s="169">
        <v>4.5</v>
      </c>
      <c r="F15" s="169"/>
      <c r="G15" s="170">
        <v>144.55670000000001</v>
      </c>
    </row>
    <row r="16" spans="1:7" x14ac:dyDescent="0.3">
      <c r="A16" s="90" t="s">
        <v>309</v>
      </c>
      <c r="B16" s="169"/>
      <c r="C16" s="169">
        <v>29.243199999999998</v>
      </c>
      <c r="D16" s="169"/>
      <c r="E16" s="169">
        <v>18.88</v>
      </c>
      <c r="F16" s="169"/>
      <c r="G16" s="170">
        <v>48.123199999999997</v>
      </c>
    </row>
    <row r="17" spans="1:7" x14ac:dyDescent="0.3">
      <c r="A17" s="90" t="s">
        <v>325</v>
      </c>
      <c r="B17" s="169"/>
      <c r="C17" s="169"/>
      <c r="D17" s="169"/>
      <c r="E17" s="169">
        <v>3.57</v>
      </c>
      <c r="F17" s="169"/>
      <c r="G17" s="170">
        <v>3.57</v>
      </c>
    </row>
    <row r="18" spans="1:7" x14ac:dyDescent="0.3">
      <c r="A18" s="90" t="s">
        <v>330</v>
      </c>
      <c r="B18" s="169"/>
      <c r="C18" s="169">
        <v>45.518550000000005</v>
      </c>
      <c r="D18" s="169"/>
      <c r="E18" s="169"/>
      <c r="F18" s="169"/>
      <c r="G18" s="170">
        <v>45.518550000000005</v>
      </c>
    </row>
    <row r="19" spans="1:7" x14ac:dyDescent="0.3">
      <c r="A19" s="90" t="s">
        <v>353</v>
      </c>
      <c r="B19" s="169"/>
      <c r="C19" s="169">
        <v>47.0533</v>
      </c>
      <c r="D19" s="169"/>
      <c r="E19" s="169"/>
      <c r="F19" s="169"/>
      <c r="G19" s="170">
        <v>47.0533</v>
      </c>
    </row>
    <row r="20" spans="1:7" x14ac:dyDescent="0.3">
      <c r="A20" s="90" t="s">
        <v>359</v>
      </c>
      <c r="B20" s="169"/>
      <c r="C20" s="169"/>
      <c r="D20" s="169"/>
      <c r="E20" s="169"/>
      <c r="F20" s="169">
        <v>34.247999999999998</v>
      </c>
      <c r="G20" s="170">
        <v>34.247999999999998</v>
      </c>
    </row>
    <row r="21" spans="1:7" x14ac:dyDescent="0.3">
      <c r="A21" s="90" t="s">
        <v>369</v>
      </c>
      <c r="B21" s="169"/>
      <c r="C21" s="169"/>
      <c r="D21" s="169">
        <v>8.6400000000000005E-2</v>
      </c>
      <c r="E21" s="169"/>
      <c r="F21" s="169"/>
      <c r="G21" s="170">
        <v>8.6400000000000005E-2</v>
      </c>
    </row>
    <row r="22" spans="1:7" x14ac:dyDescent="0.3">
      <c r="A22" s="99" t="s">
        <v>480</v>
      </c>
      <c r="B22" s="171">
        <f>SUM(B3:B21)</f>
        <v>64.510270086000006</v>
      </c>
      <c r="C22" s="171">
        <f>SUM(C3:C21)</f>
        <v>793.20604884736849</v>
      </c>
      <c r="D22" s="171">
        <f>SUM(D3:D21)</f>
        <v>8.6400000000000005E-2</v>
      </c>
      <c r="E22" s="171">
        <f>SUM(E3:E21)</f>
        <v>195.16723229949997</v>
      </c>
      <c r="F22" s="171">
        <f>SUM(F3:F21)</f>
        <v>190.51579999999998</v>
      </c>
      <c r="G22" s="171">
        <f t="shared" ref="G22" si="0">SUM(G3:G21)</f>
        <v>1243.4857512328683</v>
      </c>
    </row>
    <row r="23" spans="1:7" x14ac:dyDescent="0.3">
      <c r="A23" s="90" t="s">
        <v>58</v>
      </c>
      <c r="B23" s="172">
        <v>3.1865999999999999</v>
      </c>
      <c r="C23" s="172">
        <v>6.6180000000000003</v>
      </c>
      <c r="D23" s="172"/>
      <c r="E23" s="172">
        <v>11.03</v>
      </c>
      <c r="F23" s="172"/>
      <c r="G23" s="170">
        <f t="shared" ref="G23:G28" si="1">SUM(B23:F23)</f>
        <v>20.834600000000002</v>
      </c>
    </row>
    <row r="24" spans="1:7" x14ac:dyDescent="0.3">
      <c r="A24" s="90" t="s">
        <v>437</v>
      </c>
      <c r="B24" s="172">
        <v>20.956999999999997</v>
      </c>
      <c r="C24" s="172"/>
      <c r="D24" s="172"/>
      <c r="E24" s="172">
        <v>2.8677999999999999</v>
      </c>
      <c r="F24" s="172"/>
      <c r="G24" s="170">
        <f t="shared" si="1"/>
        <v>23.824799999999996</v>
      </c>
    </row>
    <row r="25" spans="1:7" x14ac:dyDescent="0.3">
      <c r="A25" s="90" t="s">
        <v>349</v>
      </c>
      <c r="B25" s="172"/>
      <c r="C25" s="172">
        <v>4.5315000000000003</v>
      </c>
      <c r="D25" s="172"/>
      <c r="E25" s="172"/>
      <c r="F25" s="172"/>
      <c r="G25" s="170">
        <f t="shared" si="1"/>
        <v>4.5315000000000003</v>
      </c>
    </row>
    <row r="26" spans="1:7" x14ac:dyDescent="0.3">
      <c r="A26" s="90" t="s">
        <v>373</v>
      </c>
      <c r="B26" s="172"/>
      <c r="C26" s="172">
        <v>28.753933649289102</v>
      </c>
      <c r="D26" s="172"/>
      <c r="E26" s="172">
        <v>49.510000000000005</v>
      </c>
      <c r="F26" s="172"/>
      <c r="G26" s="170">
        <f t="shared" si="1"/>
        <v>78.2639336492891</v>
      </c>
    </row>
    <row r="27" spans="1:7" x14ac:dyDescent="0.3">
      <c r="A27" s="90" t="s">
        <v>381</v>
      </c>
      <c r="B27" s="172"/>
      <c r="C27" s="172"/>
      <c r="D27" s="172"/>
      <c r="E27" s="172"/>
      <c r="F27" s="172">
        <v>327.92</v>
      </c>
      <c r="G27" s="170">
        <f t="shared" si="1"/>
        <v>327.92</v>
      </c>
    </row>
    <row r="28" spans="1:7" x14ac:dyDescent="0.3">
      <c r="A28" s="90" t="s">
        <v>396</v>
      </c>
      <c r="B28" s="172"/>
      <c r="C28" s="172">
        <v>4.218</v>
      </c>
      <c r="D28" s="172"/>
      <c r="E28" s="172">
        <v>48.967299999999994</v>
      </c>
      <c r="F28" s="172"/>
      <c r="G28" s="170">
        <f t="shared" si="1"/>
        <v>53.185299999999998</v>
      </c>
    </row>
    <row r="29" spans="1:7" x14ac:dyDescent="0.3">
      <c r="A29" s="99" t="s">
        <v>487</v>
      </c>
      <c r="B29" s="171">
        <f>SUM(B23:B28)</f>
        <v>24.143599999999996</v>
      </c>
      <c r="C29" s="171">
        <f t="shared" ref="C29:E29" si="2">SUM(C23:C28)</f>
        <v>44.121433649289102</v>
      </c>
      <c r="D29" s="171">
        <f t="shared" si="2"/>
        <v>0</v>
      </c>
      <c r="E29" s="171">
        <f t="shared" si="2"/>
        <v>112.3751</v>
      </c>
      <c r="F29" s="171">
        <f t="shared" ref="F29" si="3">SUM(F23:F28)</f>
        <v>327.92</v>
      </c>
      <c r="G29" s="171">
        <f t="shared" ref="G29" si="4">SUM(G23:G28)</f>
        <v>508.56013364928913</v>
      </c>
    </row>
    <row r="30" spans="1:7" x14ac:dyDescent="0.3">
      <c r="A30" s="99" t="s">
        <v>439</v>
      </c>
      <c r="B30" s="171">
        <f t="shared" ref="B30:G30" si="5">B29+B22</f>
        <v>88.653870085999998</v>
      </c>
      <c r="C30" s="171">
        <f t="shared" si="5"/>
        <v>837.32748249665758</v>
      </c>
      <c r="D30" s="171">
        <f t="shared" si="5"/>
        <v>8.6400000000000005E-2</v>
      </c>
      <c r="E30" s="171">
        <f t="shared" si="5"/>
        <v>307.5423322995</v>
      </c>
      <c r="F30" s="171">
        <f t="shared" si="5"/>
        <v>518.43579999999997</v>
      </c>
      <c r="G30" s="171">
        <f t="shared" si="5"/>
        <v>1752.0458848821575</v>
      </c>
    </row>
    <row r="32" spans="1:7" x14ac:dyDescent="0.3">
      <c r="A32" s="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C503F-EB36-4BA5-8632-B25921AAC282}">
  <dimension ref="A1:F30"/>
  <sheetViews>
    <sheetView showGridLines="0" workbookViewId="0">
      <selection activeCell="I27" sqref="I27"/>
    </sheetView>
  </sheetViews>
  <sheetFormatPr defaultColWidth="9.109375" defaultRowHeight="14.4" x14ac:dyDescent="0.3"/>
  <cols>
    <col min="1" max="1" width="46.33203125" bestFit="1" customWidth="1"/>
    <col min="2" max="2" width="12.44140625" bestFit="1" customWidth="1"/>
    <col min="3" max="3" width="14" bestFit="1" customWidth="1"/>
    <col min="4" max="4" width="12.44140625" bestFit="1" customWidth="1"/>
    <col min="5" max="5" width="14.44140625" bestFit="1" customWidth="1"/>
    <col min="6" max="6" width="12.5546875" bestFit="1" customWidth="1"/>
  </cols>
  <sheetData>
    <row r="1" spans="1:6" x14ac:dyDescent="0.3">
      <c r="A1" s="46" t="s">
        <v>490</v>
      </c>
      <c r="B1" s="41"/>
      <c r="E1" s="41"/>
    </row>
    <row r="2" spans="1:6" x14ac:dyDescent="0.3">
      <c r="A2" s="97" t="s">
        <v>0</v>
      </c>
      <c r="B2" s="98" t="s">
        <v>68</v>
      </c>
      <c r="C2" s="98" t="s">
        <v>30</v>
      </c>
      <c r="D2" s="98" t="s">
        <v>99</v>
      </c>
      <c r="E2" s="98" t="s">
        <v>63</v>
      </c>
      <c r="F2" s="102" t="s">
        <v>446</v>
      </c>
    </row>
    <row r="3" spans="1:6" x14ac:dyDescent="0.3">
      <c r="A3" s="90" t="s">
        <v>23</v>
      </c>
      <c r="B3" s="103"/>
      <c r="C3" s="103">
        <v>9</v>
      </c>
      <c r="D3" s="103"/>
      <c r="E3" s="103"/>
      <c r="F3" s="106">
        <f t="shared" ref="F3:F21" si="0">SUM(B3:E3)</f>
        <v>9</v>
      </c>
    </row>
    <row r="4" spans="1:6" x14ac:dyDescent="0.3">
      <c r="A4" s="90" t="s">
        <v>71</v>
      </c>
      <c r="B4" s="103">
        <v>1</v>
      </c>
      <c r="C4" s="103"/>
      <c r="D4" s="103"/>
      <c r="E4" s="103"/>
      <c r="F4" s="106">
        <f t="shared" si="0"/>
        <v>1</v>
      </c>
    </row>
    <row r="5" spans="1:6" x14ac:dyDescent="0.3">
      <c r="A5" s="90" t="s">
        <v>77</v>
      </c>
      <c r="B5" s="103"/>
      <c r="C5" s="103">
        <v>1</v>
      </c>
      <c r="D5" s="103"/>
      <c r="E5" s="103"/>
      <c r="F5" s="106">
        <f t="shared" si="0"/>
        <v>1</v>
      </c>
    </row>
    <row r="6" spans="1:6" x14ac:dyDescent="0.3">
      <c r="A6" s="90" t="s">
        <v>84</v>
      </c>
      <c r="B6" s="103"/>
      <c r="C6" s="103">
        <v>2</v>
      </c>
      <c r="D6" s="103"/>
      <c r="E6" s="103"/>
      <c r="F6" s="106">
        <f t="shared" si="0"/>
        <v>2</v>
      </c>
    </row>
    <row r="7" spans="1:6" x14ac:dyDescent="0.3">
      <c r="A7" s="90" t="s">
        <v>93</v>
      </c>
      <c r="B7" s="103">
        <v>1</v>
      </c>
      <c r="C7" s="103">
        <v>7</v>
      </c>
      <c r="D7" s="103">
        <v>1</v>
      </c>
      <c r="E7" s="103"/>
      <c r="F7" s="106">
        <f t="shared" si="0"/>
        <v>9</v>
      </c>
    </row>
    <row r="8" spans="1:6" x14ac:dyDescent="0.3">
      <c r="A8" s="90" t="s">
        <v>122</v>
      </c>
      <c r="B8" s="103">
        <v>1</v>
      </c>
      <c r="C8" s="103"/>
      <c r="D8" s="103"/>
      <c r="E8" s="103">
        <v>1</v>
      </c>
      <c r="F8" s="106">
        <f t="shared" si="0"/>
        <v>2</v>
      </c>
    </row>
    <row r="9" spans="1:6" x14ac:dyDescent="0.3">
      <c r="A9" s="90" t="s">
        <v>131</v>
      </c>
      <c r="B9" s="103">
        <v>11</v>
      </c>
      <c r="C9" s="103">
        <v>2</v>
      </c>
      <c r="D9" s="103"/>
      <c r="E9" s="103">
        <v>4</v>
      </c>
      <c r="F9" s="106">
        <f t="shared" si="0"/>
        <v>17</v>
      </c>
    </row>
    <row r="10" spans="1:6" x14ac:dyDescent="0.3">
      <c r="A10" s="90" t="s">
        <v>166</v>
      </c>
      <c r="B10" s="103">
        <v>6</v>
      </c>
      <c r="C10" s="103">
        <v>10</v>
      </c>
      <c r="D10" s="103"/>
      <c r="E10" s="103">
        <v>44</v>
      </c>
      <c r="F10" s="106">
        <f t="shared" si="0"/>
        <v>60</v>
      </c>
    </row>
    <row r="11" spans="1:6" x14ac:dyDescent="0.3">
      <c r="A11" s="90" t="s">
        <v>250</v>
      </c>
      <c r="B11" s="103"/>
      <c r="C11" s="103">
        <v>1</v>
      </c>
      <c r="D11" s="103"/>
      <c r="E11" s="103"/>
      <c r="F11" s="106">
        <f t="shared" si="0"/>
        <v>1</v>
      </c>
    </row>
    <row r="12" spans="1:6" x14ac:dyDescent="0.3">
      <c r="A12" s="90" t="s">
        <v>254</v>
      </c>
      <c r="B12" s="103"/>
      <c r="C12" s="103">
        <v>5</v>
      </c>
      <c r="D12" s="103"/>
      <c r="E12" s="103"/>
      <c r="F12" s="106">
        <f t="shared" si="0"/>
        <v>5</v>
      </c>
    </row>
    <row r="13" spans="1:6" x14ac:dyDescent="0.3">
      <c r="A13" s="90" t="s">
        <v>264</v>
      </c>
      <c r="B13" s="103"/>
      <c r="C13" s="103">
        <v>21</v>
      </c>
      <c r="D13" s="103"/>
      <c r="E13" s="103"/>
      <c r="F13" s="106">
        <f t="shared" si="0"/>
        <v>21</v>
      </c>
    </row>
    <row r="14" spans="1:6" x14ac:dyDescent="0.3">
      <c r="A14" s="90" t="s">
        <v>294</v>
      </c>
      <c r="B14" s="103">
        <v>1</v>
      </c>
      <c r="C14" s="103"/>
      <c r="D14" s="103"/>
      <c r="E14" s="103"/>
      <c r="F14" s="106">
        <f t="shared" si="0"/>
        <v>1</v>
      </c>
    </row>
    <row r="15" spans="1:6" x14ac:dyDescent="0.3">
      <c r="A15" s="90" t="s">
        <v>297</v>
      </c>
      <c r="B15" s="103"/>
      <c r="C15" s="103">
        <v>4</v>
      </c>
      <c r="D15" s="103"/>
      <c r="E15" s="103">
        <v>1</v>
      </c>
      <c r="F15" s="106">
        <f t="shared" si="0"/>
        <v>5</v>
      </c>
    </row>
    <row r="16" spans="1:6" x14ac:dyDescent="0.3">
      <c r="A16" s="90" t="s">
        <v>309</v>
      </c>
      <c r="B16" s="103"/>
      <c r="C16" s="103">
        <v>7</v>
      </c>
      <c r="D16" s="103"/>
      <c r="E16" s="103">
        <v>3</v>
      </c>
      <c r="F16" s="106">
        <f t="shared" si="0"/>
        <v>10</v>
      </c>
    </row>
    <row r="17" spans="1:6" x14ac:dyDescent="0.3">
      <c r="A17" s="90" t="s">
        <v>325</v>
      </c>
      <c r="B17" s="103"/>
      <c r="C17" s="103"/>
      <c r="D17" s="103"/>
      <c r="E17" s="103">
        <v>1</v>
      </c>
      <c r="F17" s="106">
        <f t="shared" si="0"/>
        <v>1</v>
      </c>
    </row>
    <row r="18" spans="1:6" x14ac:dyDescent="0.3">
      <c r="A18" s="90" t="s">
        <v>330</v>
      </c>
      <c r="B18" s="103"/>
      <c r="C18" s="103">
        <v>7</v>
      </c>
      <c r="D18" s="103"/>
      <c r="E18" s="103"/>
      <c r="F18" s="106">
        <f t="shared" si="0"/>
        <v>7</v>
      </c>
    </row>
    <row r="19" spans="1:6" x14ac:dyDescent="0.3">
      <c r="A19" s="90" t="s">
        <v>353</v>
      </c>
      <c r="B19" s="103"/>
      <c r="C19" s="103">
        <v>3</v>
      </c>
      <c r="D19" s="103"/>
      <c r="E19" s="103"/>
      <c r="F19" s="106">
        <f t="shared" si="0"/>
        <v>3</v>
      </c>
    </row>
    <row r="20" spans="1:6" x14ac:dyDescent="0.3">
      <c r="A20" s="90" t="s">
        <v>359</v>
      </c>
      <c r="B20" s="103">
        <v>1</v>
      </c>
      <c r="C20" s="103">
        <v>3</v>
      </c>
      <c r="D20" s="103"/>
      <c r="E20" s="103"/>
      <c r="F20" s="106">
        <f t="shared" si="0"/>
        <v>4</v>
      </c>
    </row>
    <row r="21" spans="1:6" x14ac:dyDescent="0.3">
      <c r="A21" s="90" t="s">
        <v>369</v>
      </c>
      <c r="B21" s="103"/>
      <c r="C21" s="103"/>
      <c r="D21" s="103">
        <v>1</v>
      </c>
      <c r="E21" s="103"/>
      <c r="F21" s="106">
        <f t="shared" si="0"/>
        <v>1</v>
      </c>
    </row>
    <row r="22" spans="1:6" x14ac:dyDescent="0.3">
      <c r="A22" s="99" t="s">
        <v>480</v>
      </c>
      <c r="B22" s="104">
        <f>SUM(B3:B21)</f>
        <v>22</v>
      </c>
      <c r="C22" s="104">
        <f t="shared" ref="C22:F22" si="1">SUM(C3:C21)</f>
        <v>82</v>
      </c>
      <c r="D22" s="104">
        <f t="shared" si="1"/>
        <v>2</v>
      </c>
      <c r="E22" s="104">
        <f t="shared" si="1"/>
        <v>54</v>
      </c>
      <c r="F22" s="104">
        <f t="shared" si="1"/>
        <v>160</v>
      </c>
    </row>
    <row r="23" spans="1:6" x14ac:dyDescent="0.3">
      <c r="A23" s="90" t="s">
        <v>396</v>
      </c>
      <c r="B23" s="103"/>
      <c r="C23" s="103">
        <v>2</v>
      </c>
      <c r="D23" s="103"/>
      <c r="E23" s="103">
        <v>10</v>
      </c>
      <c r="F23" s="106">
        <f t="shared" ref="F23:F28" si="2">SUM(B23:E23)</f>
        <v>12</v>
      </c>
    </row>
    <row r="24" spans="1:6" x14ac:dyDescent="0.3">
      <c r="A24" s="90" t="s">
        <v>58</v>
      </c>
      <c r="B24" s="105">
        <v>1</v>
      </c>
      <c r="C24" s="105">
        <v>1</v>
      </c>
      <c r="D24" s="105"/>
      <c r="E24" s="105">
        <v>1</v>
      </c>
      <c r="F24" s="106">
        <f t="shared" si="2"/>
        <v>3</v>
      </c>
    </row>
    <row r="25" spans="1:6" x14ac:dyDescent="0.3">
      <c r="A25" s="90" t="s">
        <v>437</v>
      </c>
      <c r="B25" s="105">
        <v>2</v>
      </c>
      <c r="C25" s="105"/>
      <c r="D25" s="105"/>
      <c r="E25" s="105">
        <v>1</v>
      </c>
      <c r="F25" s="106">
        <f t="shared" si="2"/>
        <v>3</v>
      </c>
    </row>
    <row r="26" spans="1:6" x14ac:dyDescent="0.3">
      <c r="A26" s="90" t="s">
        <v>349</v>
      </c>
      <c r="B26" s="105"/>
      <c r="C26" s="105">
        <v>1</v>
      </c>
      <c r="D26" s="105"/>
      <c r="E26" s="105"/>
      <c r="F26" s="106">
        <f t="shared" si="2"/>
        <v>1</v>
      </c>
    </row>
    <row r="27" spans="1:6" x14ac:dyDescent="0.3">
      <c r="A27" s="90" t="s">
        <v>373</v>
      </c>
      <c r="B27" s="105"/>
      <c r="C27" s="105">
        <v>2</v>
      </c>
      <c r="D27" s="105"/>
      <c r="E27" s="105">
        <v>2</v>
      </c>
      <c r="F27" s="106">
        <f t="shared" si="2"/>
        <v>4</v>
      </c>
    </row>
    <row r="28" spans="1:6" x14ac:dyDescent="0.3">
      <c r="A28" s="90" t="s">
        <v>381</v>
      </c>
      <c r="B28" s="105">
        <v>2</v>
      </c>
      <c r="C28" s="105">
        <v>11</v>
      </c>
      <c r="D28" s="105"/>
      <c r="E28" s="105"/>
      <c r="F28" s="106">
        <f t="shared" si="2"/>
        <v>13</v>
      </c>
    </row>
    <row r="29" spans="1:6" x14ac:dyDescent="0.3">
      <c r="A29" s="99" t="s">
        <v>487</v>
      </c>
      <c r="B29" s="104">
        <f>SUM(B23:B28)</f>
        <v>5</v>
      </c>
      <c r="C29" s="104">
        <f t="shared" ref="C29:F29" si="3">SUM(C23:C28)</f>
        <v>17</v>
      </c>
      <c r="D29" s="104">
        <f t="shared" si="3"/>
        <v>0</v>
      </c>
      <c r="E29" s="104">
        <f t="shared" si="3"/>
        <v>14</v>
      </c>
      <c r="F29" s="104">
        <f t="shared" si="3"/>
        <v>36</v>
      </c>
    </row>
    <row r="30" spans="1:6" x14ac:dyDescent="0.3">
      <c r="A30" s="99" t="s">
        <v>439</v>
      </c>
      <c r="B30" s="104">
        <f t="shared" ref="B30:F30" si="4">B29+B22</f>
        <v>27</v>
      </c>
      <c r="C30" s="104">
        <f t="shared" si="4"/>
        <v>99</v>
      </c>
      <c r="D30" s="104">
        <f t="shared" si="4"/>
        <v>2</v>
      </c>
      <c r="E30" s="104">
        <f t="shared" si="4"/>
        <v>68</v>
      </c>
      <c r="F30" s="104">
        <f t="shared" si="4"/>
        <v>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E91A-39DA-4C28-B54B-1B4B8323E579}">
  <dimension ref="A1:C13"/>
  <sheetViews>
    <sheetView workbookViewId="0">
      <selection activeCell="E18" sqref="E18"/>
    </sheetView>
  </sheetViews>
  <sheetFormatPr defaultColWidth="9.109375" defaultRowHeight="14.4" x14ac:dyDescent="0.3"/>
  <cols>
    <col min="1" max="1" width="9.109375" style="113"/>
    <col min="2" max="2" width="26.33203125" style="113" bestFit="1" customWidth="1"/>
    <col min="3" max="3" width="30.88671875" style="113" bestFit="1" customWidth="1"/>
    <col min="4" max="16384" width="9.109375" style="113"/>
  </cols>
  <sheetData>
    <row r="1" spans="1:3" x14ac:dyDescent="0.3">
      <c r="A1" s="113" t="s">
        <v>492</v>
      </c>
      <c r="B1" s="113" t="s">
        <v>493</v>
      </c>
      <c r="C1" s="113" t="s">
        <v>494</v>
      </c>
    </row>
    <row r="2" spans="1:3" x14ac:dyDescent="0.3">
      <c r="A2" s="113">
        <v>2011</v>
      </c>
      <c r="B2" s="114">
        <v>168105.81</v>
      </c>
      <c r="C2" s="114">
        <f>B2/1000</f>
        <v>168.10580999999999</v>
      </c>
    </row>
    <row r="3" spans="1:3" x14ac:dyDescent="0.3">
      <c r="A3" s="113">
        <v>2012</v>
      </c>
      <c r="B3" s="114">
        <v>317055.60999999987</v>
      </c>
      <c r="C3" s="114">
        <f>B3/1000</f>
        <v>317.05560999999989</v>
      </c>
    </row>
    <row r="4" spans="1:3" x14ac:dyDescent="0.3">
      <c r="A4" s="113">
        <v>2013</v>
      </c>
      <c r="B4" s="114">
        <v>516048.16999999993</v>
      </c>
      <c r="C4" s="114">
        <f t="shared" ref="C4:C13" si="0">B4/1000</f>
        <v>516.04816999999991</v>
      </c>
    </row>
    <row r="5" spans="1:3" x14ac:dyDescent="0.3">
      <c r="A5" s="113">
        <v>2014</v>
      </c>
      <c r="B5" s="114">
        <v>311922.48</v>
      </c>
      <c r="C5" s="114">
        <f t="shared" si="0"/>
        <v>311.92248000000001</v>
      </c>
    </row>
    <row r="6" spans="1:3" x14ac:dyDescent="0.3">
      <c r="A6" s="113">
        <v>2015</v>
      </c>
      <c r="B6" s="114">
        <v>619136.46</v>
      </c>
      <c r="C6" s="114">
        <f t="shared" si="0"/>
        <v>619.13645999999994</v>
      </c>
    </row>
    <row r="7" spans="1:3" x14ac:dyDescent="0.3">
      <c r="A7" s="113">
        <v>2016</v>
      </c>
      <c r="B7" s="114">
        <v>490460.9</v>
      </c>
      <c r="C7" s="114">
        <f t="shared" si="0"/>
        <v>490.46090000000004</v>
      </c>
    </row>
    <row r="8" spans="1:3" x14ac:dyDescent="0.3">
      <c r="A8" s="113">
        <v>2017</v>
      </c>
      <c r="B8" s="114">
        <v>700065.23999999964</v>
      </c>
      <c r="C8" s="114">
        <f t="shared" si="0"/>
        <v>700.06523999999968</v>
      </c>
    </row>
    <row r="9" spans="1:3" x14ac:dyDescent="0.3">
      <c r="A9" s="113">
        <v>2018</v>
      </c>
      <c r="B9" s="114">
        <v>713967.91999999993</v>
      </c>
      <c r="C9" s="114">
        <f t="shared" si="0"/>
        <v>713.96791999999994</v>
      </c>
    </row>
    <row r="10" spans="1:3" x14ac:dyDescent="0.3">
      <c r="A10" s="113">
        <v>2019</v>
      </c>
      <c r="B10" s="114">
        <v>439096.49000000011</v>
      </c>
      <c r="C10" s="114">
        <f t="shared" si="0"/>
        <v>439.09649000000013</v>
      </c>
    </row>
    <row r="11" spans="1:3" x14ac:dyDescent="0.3">
      <c r="A11" s="113">
        <v>2020</v>
      </c>
      <c r="B11" s="114">
        <v>470569.28</v>
      </c>
      <c r="C11" s="114">
        <f t="shared" si="0"/>
        <v>470.56928000000005</v>
      </c>
    </row>
    <row r="12" spans="1:3" x14ac:dyDescent="0.3">
      <c r="A12" s="113">
        <v>2021</v>
      </c>
      <c r="B12" s="114">
        <v>720149.53</v>
      </c>
      <c r="C12" s="114">
        <f t="shared" si="0"/>
        <v>720.14953000000003</v>
      </c>
    </row>
    <row r="13" spans="1:3" x14ac:dyDescent="0.3">
      <c r="A13" s="113" t="s">
        <v>432</v>
      </c>
      <c r="B13" s="114">
        <v>5466577.8899999997</v>
      </c>
      <c r="C13" s="114">
        <f t="shared" si="0"/>
        <v>5466.5778899999996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Storage DB </vt:lpstr>
      <vt:lpstr>pivot</vt:lpstr>
      <vt:lpstr>No and vol by type</vt:lpstr>
      <vt:lpstr>WGV and No by status</vt:lpstr>
      <vt:lpstr>WGV by type and TWh</vt:lpstr>
      <vt:lpstr>Per country by type and number</vt:lpstr>
      <vt:lpstr>Withdr Oct-March</vt:lpstr>
      <vt:lpstr>Withdrawal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Simion</dc:creator>
  <cp:lastModifiedBy>Anton Praetorius</cp:lastModifiedBy>
  <dcterms:created xsi:type="dcterms:W3CDTF">2018-10-24T06:50:07Z</dcterms:created>
  <dcterms:modified xsi:type="dcterms:W3CDTF">2023-04-13T22:36:54Z</dcterms:modified>
</cp:coreProperties>
</file>