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bath\Desktop\"/>
    </mc:Choice>
  </mc:AlternateContent>
  <bookViews>
    <workbookView xWindow="0" yWindow="600" windowWidth="15090" windowHeight="6735" firstSheet="2" activeTab="2"/>
  </bookViews>
  <sheets>
    <sheet name="Chart2" sheetId="7" state="hidden" r:id="rId1"/>
    <sheet name="Chart1" sheetId="6" state="hidden" r:id="rId2"/>
    <sheet name="Calculator" sheetId="1" r:id="rId3"/>
    <sheet name="Advanced Calculator" sheetId="8" r:id="rId4"/>
    <sheet name="Figures" sheetId="2" r:id="rId5"/>
    <sheet name="User Guide" sheetId="9" r:id="rId6"/>
    <sheet name="Calculation Record" sheetId="4" r:id="rId7"/>
    <sheet name="Material Properties" sheetId="3" r:id="rId8"/>
    <sheet name="Revision History" sheetId="5" r:id="rId9"/>
  </sheets>
  <definedNames>
    <definedName name="AxialForceMakeupTorque">Calculator!$F$124</definedName>
    <definedName name="BearingArea">Calculator!$K$124</definedName>
    <definedName name="BoxArea">Calculator!#REF!</definedName>
    <definedName name="BoxBearingStress">Calculator!$D$56</definedName>
    <definedName name="BoxMajorDia">Calculator!$C$104</definedName>
    <definedName name="BoxMajorDiaTol">Calculator!$D$104</definedName>
    <definedName name="BoxMat">Calculator!$E$23</definedName>
    <definedName name="BoxMatTemp">Calculator!$E$24</definedName>
    <definedName name="BoxMinorDia">Calculator!$C$106</definedName>
    <definedName name="BoxMinorDiaTol">Calculator!$D$106</definedName>
    <definedName name="BoxOD">Calculator!$D$38</definedName>
    <definedName name="BoxPitchDia">Calculator!$C$105</definedName>
    <definedName name="BoxPitchDiaTol">Calculator!$D$105</definedName>
    <definedName name="BoxPlanarStress">Calculator!$D$74</definedName>
    <definedName name="BoxPolarMoment">Calculator!$M$115</definedName>
    <definedName name="BoxRelief">Calculator!$D$39</definedName>
    <definedName name="BoxReliefTension">Calculator!$D$50</definedName>
    <definedName name="BoxSectionMod">Calculator!$D$69</definedName>
    <definedName name="BoxThreadsShear">Calculator!$D$51</definedName>
    <definedName name="BoxUltimate">Calculator!$E$26</definedName>
    <definedName name="BoxYield">Calculator!$E$25</definedName>
    <definedName name="BPAR">Calculator!#REF!</definedName>
    <definedName name="BSR">Calculator!$D$71</definedName>
    <definedName name="CalcFigs1">INDEX(Figures!$A$1:$A$7, MATCH(Calculator!$H$123,Figures!$B$1:$B$3,0))</definedName>
    <definedName name="CalcFigs2">INDEX(Figures!$A$4:$A$7, MATCH(Calculator!$I$123,Figures!$B$4:$B$7,0))</definedName>
    <definedName name="CBLength">Calculator!$D$32</definedName>
    <definedName name="ChartToggle">Calculator!$H$107</definedName>
    <definedName name="Class">Calculator!$D$16</definedName>
    <definedName name="DeratedPS">Calculator!$C$126</definedName>
    <definedName name="EngExternalorInternal">Calculator!$E$36</definedName>
    <definedName name="EngPinOrBox">Calculator!$E$28</definedName>
    <definedName name="FailureMode">Calculator!$F$122</definedName>
    <definedName name="InputTorque">'Advanced Calculator'!$E$26</definedName>
    <definedName name="InsideShoulder">Calculator!$D$43</definedName>
    <definedName name="IntOrExt">Calculator!$E$37</definedName>
    <definedName name="isBackAngle">Calculator!$C$19</definedName>
    <definedName name="isPitchSubtracted">Calculator!$D$33</definedName>
    <definedName name="MatPropToggle">Calculator!$H$21</definedName>
    <definedName name="MaxMakeupTorque">Calculator!#REF!</definedName>
    <definedName name="MinMakeupTorque">Calculator!#REF!</definedName>
    <definedName name="MinYieldLoad">Calculator!$C$127</definedName>
    <definedName name="NomThreadSize">Calculator!$D$14</definedName>
    <definedName name="NomThreadSz">Calculator!$D$14</definedName>
    <definedName name="OAL">Calculator!$D$30</definedName>
    <definedName name="OutputPS">Calculator!#REF!</definedName>
    <definedName name="OutsideShoulder">Calculator!$D$42</definedName>
    <definedName name="OverallLength">Calculator!$D$30</definedName>
    <definedName name="PHI">Calculator!$C$108</definedName>
    <definedName name="Pin">Figures!$A$2</definedName>
    <definedName name="PinArea">Calculator!#REF!</definedName>
    <definedName name="PinBearingStress">Calculator!$D$57</definedName>
    <definedName name="PinBox">Figures!$A$1</definedName>
    <definedName name="PinID">Calculator!$D$40</definedName>
    <definedName name="PinMajorDia">Calculator!$C$101</definedName>
    <definedName name="PinMajorDiaTol">Calculator!$D$101</definedName>
    <definedName name="PinMat">Calculator!$I$23</definedName>
    <definedName name="PinMatTemp">Calculator!$I$24</definedName>
    <definedName name="PinMinorDia">Calculator!$C$103</definedName>
    <definedName name="PinMinorDiaTol">Calculator!$D$103</definedName>
    <definedName name="PinOrBox">Calculator!$E$29</definedName>
    <definedName name="PinPitchDia">Calculator!$C$102</definedName>
    <definedName name="PinPitchDiaTol">Calculator!$D$102</definedName>
    <definedName name="PinPlanarStress">Calculator!$D$75</definedName>
    <definedName name="PinPolarMoment">Calculator!$M$116</definedName>
    <definedName name="PinRelief">Calculator!$D$41</definedName>
    <definedName name="PinReliefTension">Calculator!$D$53</definedName>
    <definedName name="PinSectionMod">Calculator!$D$70</definedName>
    <definedName name="PinThreadsShear">Calculator!$D$54</definedName>
    <definedName name="PinUltimate">Calculator!$I$26</definedName>
    <definedName name="PinYield">Calculator!$I$25</definedName>
    <definedName name="Pitch">Calculator!$C$107</definedName>
    <definedName name="PSMakeUp">Calculator!$E$79</definedName>
    <definedName name="RecMakeupTorque">Calculator!$G$105</definedName>
    <definedName name="RecMakeupTorqueState">Calculator!$E$78</definedName>
    <definedName name="RecMakeupTorqueStatement">Calculator!$E$78</definedName>
    <definedName name="ReliefLength">Calculator!$D$31</definedName>
    <definedName name="ShFriction">Calculator!$D$45</definedName>
    <definedName name="ShoulderSeperation">Calculator!$F$110</definedName>
    <definedName name="Slope">Calculator!$F$116</definedName>
    <definedName name="StRecMakeupTorque">Calculator!$E$78</definedName>
    <definedName name="ThdDimPinOrBox">Calculator!$H$12</definedName>
    <definedName name="ThdFriction">Calculator!$D$44</definedName>
    <definedName name="Theta">Calculator!$M$124</definedName>
    <definedName name="ThreadAllowance">Calculator!$C$100</definedName>
    <definedName name="ThreadEngagement">Calculator!$D$34</definedName>
    <definedName name="ThreadFailure">Calculator!$F$123</definedName>
    <definedName name="TorqueStatement">Calculator!$E$78</definedName>
    <definedName name="TPI">Calculator!$D$15</definedName>
  </definedNames>
  <calcPr calcId="152511"/>
</workbook>
</file>

<file path=xl/calcChain.xml><?xml version="1.0" encoding="utf-8"?>
<calcChain xmlns="http://schemas.openxmlformats.org/spreadsheetml/2006/main">
  <c r="D69" i="1" l="1"/>
  <c r="A1" i="8" l="1"/>
  <c r="E48" i="1"/>
  <c r="M124" i="1" l="1"/>
  <c r="K124" i="1" s="1"/>
  <c r="B51" i="8" l="1"/>
  <c r="B50" i="8"/>
  <c r="C105" i="1" l="1"/>
  <c r="C106" i="1"/>
  <c r="C100" i="1" l="1"/>
  <c r="C103" i="1" s="1"/>
  <c r="D41" i="1" s="1"/>
  <c r="M116" i="1" s="1"/>
  <c r="E26" i="1" l="1"/>
  <c r="A22" i="1"/>
  <c r="I26" i="1"/>
  <c r="I25" i="1"/>
  <c r="D57" i="1" s="1"/>
  <c r="E25" i="1"/>
  <c r="D56" i="1" s="1"/>
  <c r="A62" i="1" l="1"/>
  <c r="A61" i="1"/>
  <c r="A60" i="1"/>
  <c r="C101" i="1" l="1"/>
  <c r="D101" i="1"/>
  <c r="A16" i="1"/>
  <c r="I123" i="1" l="1"/>
  <c r="H123" i="1"/>
  <c r="H107" i="1" l="1"/>
  <c r="D64" i="1"/>
  <c r="D55" i="1"/>
  <c r="B119" i="1" s="1"/>
  <c r="D52" i="1"/>
  <c r="B116" i="1" s="1"/>
  <c r="I107" i="1" l="1"/>
  <c r="C108" i="1" l="1"/>
  <c r="C107" i="1" l="1"/>
  <c r="D103" i="1"/>
  <c r="D102" i="1"/>
  <c r="C102" i="1"/>
  <c r="C104" i="1"/>
  <c r="D39" i="1" s="1"/>
  <c r="M115" i="1" s="1"/>
  <c r="I19" i="1" l="1"/>
  <c r="D31" i="1"/>
  <c r="D32" i="1"/>
  <c r="D33" i="1"/>
  <c r="H18" i="1"/>
  <c r="H16" i="1"/>
  <c r="D66" i="1"/>
  <c r="M112" i="1"/>
  <c r="M111" i="1"/>
  <c r="D70" i="1"/>
  <c r="I16" i="1"/>
  <c r="I18" i="1"/>
  <c r="H14" i="1"/>
  <c r="I14" i="1"/>
  <c r="D104" i="1"/>
  <c r="D106" i="1"/>
  <c r="I17" i="1"/>
  <c r="I15" i="1"/>
  <c r="D105" i="1"/>
  <c r="D34" i="1" l="1"/>
  <c r="D54" i="1" s="1"/>
  <c r="D71" i="1"/>
  <c r="E28" i="8" s="1"/>
  <c r="D65" i="1"/>
  <c r="U24" i="3"/>
  <c r="R24" i="3"/>
  <c r="S24" i="3" s="1"/>
  <c r="O24" i="3"/>
  <c r="U23" i="3"/>
  <c r="R23" i="3"/>
  <c r="Q23" i="3" s="1"/>
  <c r="O23" i="3"/>
  <c r="U22" i="3"/>
  <c r="R22" i="3"/>
  <c r="Q22" i="3" s="1"/>
  <c r="O22" i="3"/>
  <c r="U21" i="3"/>
  <c r="R21" i="3"/>
  <c r="S21" i="3" s="1"/>
  <c r="O21" i="3"/>
  <c r="U20" i="3"/>
  <c r="R20" i="3"/>
  <c r="S20" i="3" s="1"/>
  <c r="O20" i="3"/>
  <c r="U19" i="3"/>
  <c r="R19" i="3"/>
  <c r="S19" i="3" s="1"/>
  <c r="O19" i="3"/>
  <c r="U18" i="3"/>
  <c r="R18" i="3"/>
  <c r="S18" i="3" s="1"/>
  <c r="O18" i="3"/>
  <c r="U17" i="3"/>
  <c r="R17" i="3"/>
  <c r="S17" i="3" s="1"/>
  <c r="O17" i="3"/>
  <c r="U16" i="3"/>
  <c r="R16" i="3"/>
  <c r="S16" i="3" s="1"/>
  <c r="O16" i="3"/>
  <c r="U15" i="3"/>
  <c r="R15" i="3"/>
  <c r="Q15" i="3" s="1"/>
  <c r="O15" i="3"/>
  <c r="U14" i="3"/>
  <c r="R14" i="3"/>
  <c r="S14" i="3" s="1"/>
  <c r="O14" i="3"/>
  <c r="U13" i="3"/>
  <c r="R13" i="3"/>
  <c r="S13" i="3" s="1"/>
  <c r="O13" i="3"/>
  <c r="U12" i="3"/>
  <c r="R12" i="3"/>
  <c r="S12" i="3" s="1"/>
  <c r="O12" i="3"/>
  <c r="U11" i="3"/>
  <c r="R11" i="3"/>
  <c r="S11" i="3" s="1"/>
  <c r="O11" i="3"/>
  <c r="U10" i="3"/>
  <c r="R10" i="3"/>
  <c r="S10" i="3" s="1"/>
  <c r="Q10" i="3"/>
  <c r="O10" i="3"/>
  <c r="U9" i="3"/>
  <c r="R9" i="3"/>
  <c r="S9" i="3" s="1"/>
  <c r="Q9" i="3"/>
  <c r="O9" i="3"/>
  <c r="U8" i="3"/>
  <c r="R8" i="3"/>
  <c r="S8" i="3" s="1"/>
  <c r="O8" i="3"/>
  <c r="U7" i="3"/>
  <c r="R7" i="3"/>
  <c r="Q7" i="3" s="1"/>
  <c r="O7" i="3"/>
  <c r="U6" i="3"/>
  <c r="R6" i="3"/>
  <c r="O6" i="3"/>
  <c r="D51" i="1" l="1"/>
  <c r="Q20" i="3"/>
  <c r="S22" i="3"/>
  <c r="Q12" i="3"/>
  <c r="Q17" i="3"/>
  <c r="Q18" i="3"/>
  <c r="D63" i="1"/>
  <c r="D53" i="1"/>
  <c r="D50" i="1"/>
  <c r="F114" i="1" s="1"/>
  <c r="Q8" i="3"/>
  <c r="Q14" i="3"/>
  <c r="Q16" i="3"/>
  <c r="Q24" i="3"/>
  <c r="S7" i="3"/>
  <c r="S15" i="3"/>
  <c r="S23" i="3"/>
  <c r="Q11" i="3"/>
  <c r="Q19" i="3"/>
  <c r="Q13" i="3"/>
  <c r="Q21" i="3"/>
  <c r="D62" i="1" l="1"/>
  <c r="F115" i="1"/>
  <c r="F111" i="1" s="1"/>
  <c r="D60" i="1"/>
  <c r="D61" i="1"/>
  <c r="C127" i="1"/>
  <c r="E79" i="1" s="1"/>
  <c r="B117" i="1"/>
  <c r="B118" i="1"/>
  <c r="B114" i="1"/>
  <c r="B115" i="1"/>
  <c r="F110" i="1" l="1"/>
  <c r="G118" i="1"/>
  <c r="G120" i="1"/>
  <c r="E30" i="8"/>
  <c r="E31" i="8"/>
  <c r="G109" i="1"/>
  <c r="G110" i="1"/>
  <c r="L121" i="1" s="1"/>
  <c r="G113" i="1"/>
  <c r="F123" i="1"/>
  <c r="F122" i="1"/>
  <c r="G79" i="1" s="1"/>
  <c r="E50" i="8" l="1"/>
  <c r="E51" i="8"/>
  <c r="E53" i="8"/>
  <c r="E52" i="8"/>
  <c r="G105" i="1"/>
  <c r="K121" i="1"/>
  <c r="E81" i="1"/>
  <c r="G27" i="8"/>
  <c r="D74" i="1" l="1"/>
  <c r="D75" i="1"/>
  <c r="E80" i="1"/>
  <c r="F118" i="1"/>
  <c r="F117" i="1"/>
  <c r="F120" i="1"/>
  <c r="F119" i="1"/>
  <c r="E78" i="1"/>
  <c r="F116" i="1"/>
  <c r="F51" i="8" l="1"/>
  <c r="F53" i="8"/>
  <c r="C126" i="1"/>
  <c r="C52" i="8" l="1"/>
  <c r="E27" i="8"/>
  <c r="C51" i="8"/>
  <c r="F112" i="1" l="1"/>
  <c r="F113" i="1"/>
  <c r="F124" i="1"/>
  <c r="E29" i="8" s="1"/>
</calcChain>
</file>

<file path=xl/sharedStrings.xml><?xml version="1.0" encoding="utf-8"?>
<sst xmlns="http://schemas.openxmlformats.org/spreadsheetml/2006/main" count="434" uniqueCount="252">
  <si>
    <t>Nominal Thread Size</t>
  </si>
  <si>
    <t>Threads Per Inch</t>
  </si>
  <si>
    <t>Property</t>
  </si>
  <si>
    <t>Units</t>
  </si>
  <si>
    <t>Value</t>
  </si>
  <si>
    <t>in.</t>
  </si>
  <si>
    <t>1/in.</t>
  </si>
  <si>
    <t>-</t>
  </si>
  <si>
    <t>Pin Material</t>
  </si>
  <si>
    <t>Material Spec.</t>
  </si>
  <si>
    <t>Yield Strength</t>
  </si>
  <si>
    <t>Ultimate Strength</t>
  </si>
  <si>
    <t>Operating Temperature</t>
  </si>
  <si>
    <t>psi</t>
  </si>
  <si>
    <t>Major Diameter</t>
  </si>
  <si>
    <t>Pitch Diameter</t>
  </si>
  <si>
    <t>Minor Diameter</t>
  </si>
  <si>
    <t>MATERIAL PROPERTIES</t>
  </si>
  <si>
    <t>THREAD SIZE</t>
  </si>
  <si>
    <t>THREAD DIMENSIONS</t>
  </si>
  <si>
    <t>°F</t>
  </si>
  <si>
    <t>TORQUE DIMENSIONS</t>
  </si>
  <si>
    <t>Thread Friction</t>
  </si>
  <si>
    <t>Shoulder Friction</t>
  </si>
  <si>
    <t>Minimum Tensile Properties</t>
  </si>
  <si>
    <t>Impact Properties</t>
  </si>
  <si>
    <t>Hardness</t>
  </si>
  <si>
    <t>Packers Spec#</t>
  </si>
  <si>
    <t>Steel Type</t>
  </si>
  <si>
    <t>Grade</t>
  </si>
  <si>
    <t>UTS</t>
  </si>
  <si>
    <t>YIELD</t>
  </si>
  <si>
    <t>EL</t>
  </si>
  <si>
    <t>R of A</t>
  </si>
  <si>
    <t>Charpy `V` Notch</t>
  </si>
  <si>
    <t>( Max )</t>
  </si>
  <si>
    <t>Youngs modulus</t>
  </si>
  <si>
    <t>Poisson's Ratio</t>
  </si>
  <si>
    <t>Room Temp</t>
  </si>
  <si>
    <t>ksi</t>
  </si>
  <si>
    <t>%</t>
  </si>
  <si>
    <t>Ft-Lbs</t>
  </si>
  <si>
    <t>Temp</t>
  </si>
  <si>
    <t>Rc</t>
  </si>
  <si>
    <t>ksi '@ R/T</t>
  </si>
  <si>
    <t>@ R/T</t>
  </si>
  <si>
    <t>Frank's orignal temp spreadsheet</t>
  </si>
  <si>
    <t>% Yeild Strength Retained At Temperature,  (Degrees F)</t>
  </si>
  <si>
    <t>Custom Material</t>
  </si>
  <si>
    <t>85 HRB</t>
  </si>
  <si>
    <t>NA</t>
  </si>
  <si>
    <t>MAT-10</t>
  </si>
  <si>
    <t>41XX-NACE 16-22 HRc</t>
  </si>
  <si>
    <t>4130 Q &amp; T (L80)</t>
  </si>
  <si>
    <t>-75F</t>
  </si>
  <si>
    <t>22 Max</t>
  </si>
  <si>
    <t>MAT-19</t>
  </si>
  <si>
    <t>41XX</t>
  </si>
  <si>
    <t>4140/4145 (P110)</t>
  </si>
  <si>
    <t>-50°F</t>
  </si>
  <si>
    <t>28-36</t>
  </si>
  <si>
    <t>41XX Alloy</t>
  </si>
  <si>
    <t>NR</t>
  </si>
  <si>
    <t>MAT-22/MAT-29</t>
  </si>
  <si>
    <t>10XX MILD STEEL</t>
  </si>
  <si>
    <t>1019 CF</t>
  </si>
  <si>
    <t>9CR-1MO</t>
  </si>
  <si>
    <t>MAT-24</t>
  </si>
  <si>
    <t>1026 CF</t>
  </si>
  <si>
    <t>78 HRB</t>
  </si>
  <si>
    <t>13CR</t>
  </si>
  <si>
    <t>MAT-27</t>
  </si>
  <si>
    <t>1018 HF</t>
  </si>
  <si>
    <t>76 HRB</t>
  </si>
  <si>
    <t>22CR</t>
  </si>
  <si>
    <t>MAT-33</t>
  </si>
  <si>
    <t>Cast Iron Bar</t>
  </si>
  <si>
    <t>Ductile Iron 65-45-12</t>
  </si>
  <si>
    <t>25CR</t>
  </si>
  <si>
    <t>MAT-34</t>
  </si>
  <si>
    <t>Ductile Iron 80-55-06</t>
  </si>
  <si>
    <t>90 HRB</t>
  </si>
  <si>
    <t>410 S.S</t>
  </si>
  <si>
    <t>MAT-44</t>
  </si>
  <si>
    <t>NACE</t>
  </si>
  <si>
    <t>Incoloy 925 - NACE</t>
  </si>
  <si>
    <t>26-38</t>
  </si>
  <si>
    <t>300 S.S.</t>
  </si>
  <si>
    <t>MAT-45</t>
  </si>
  <si>
    <t>Inconel 718 - NACE</t>
  </si>
  <si>
    <t>R/T</t>
  </si>
  <si>
    <t>32-40</t>
  </si>
  <si>
    <t>K-MONEL</t>
  </si>
  <si>
    <t>MAT-52</t>
  </si>
  <si>
    <t>8620 Annealed</t>
  </si>
  <si>
    <t>INCOLOY 925</t>
  </si>
  <si>
    <t>MAT-60</t>
  </si>
  <si>
    <t>Gray Iron</t>
  </si>
  <si>
    <t>N/A</t>
  </si>
  <si>
    <t>94 HRB</t>
  </si>
  <si>
    <t>INCONEL 718</t>
  </si>
  <si>
    <t>MAT-123</t>
  </si>
  <si>
    <t>C110 - NACE</t>
  </si>
  <si>
    <t>32°F</t>
  </si>
  <si>
    <t>30 Max</t>
  </si>
  <si>
    <t>MAT-132</t>
  </si>
  <si>
    <t>Super 13% Cr - NACE</t>
  </si>
  <si>
    <t>15°F</t>
  </si>
  <si>
    <t>26-32</t>
  </si>
  <si>
    <t>MAT-153</t>
  </si>
  <si>
    <t>4130Mod/4140/4145Mod</t>
  </si>
  <si>
    <t>30 min</t>
  </si>
  <si>
    <t>MAT-158</t>
  </si>
  <si>
    <t>43XX</t>
  </si>
  <si>
    <t>4330V</t>
  </si>
  <si>
    <t>34-40</t>
  </si>
  <si>
    <t>MAT-160</t>
  </si>
  <si>
    <t>L80 13% Cr - NACE</t>
  </si>
  <si>
    <t>MAT-161</t>
  </si>
  <si>
    <t>MAT-162</t>
  </si>
  <si>
    <t>THREAD ENGAGEMENT</t>
  </si>
  <si>
    <t>Total Thread Engagement</t>
  </si>
  <si>
    <r>
      <rPr>
        <sz val="10"/>
        <color theme="1"/>
        <rFont val="Calibri"/>
        <family val="2"/>
      </rPr>
      <t>°</t>
    </r>
    <r>
      <rPr>
        <sz val="10"/>
        <color theme="1"/>
        <rFont val="Calibri"/>
        <family val="2"/>
        <scheme val="minor"/>
      </rPr>
      <t>F</t>
    </r>
  </si>
  <si>
    <t>PinBox</t>
  </si>
  <si>
    <t>Pin</t>
  </si>
  <si>
    <t>Box</t>
  </si>
  <si>
    <t>ExtInt</t>
  </si>
  <si>
    <t>Ext</t>
  </si>
  <si>
    <t>Int</t>
  </si>
  <si>
    <t>INPUT</t>
  </si>
  <si>
    <t>Box Relief (In Tension)</t>
  </si>
  <si>
    <t>lbs.</t>
  </si>
  <si>
    <t>ft-lbs</t>
  </si>
  <si>
    <t>BENDING STRENGTH RATIO</t>
  </si>
  <si>
    <t>Box Section Modulus</t>
  </si>
  <si>
    <t>Pin Section Modulus</t>
  </si>
  <si>
    <t>in^3</t>
  </si>
  <si>
    <t>STUB ACME CALCULATOR</t>
  </si>
  <si>
    <t>PROJECT:</t>
  </si>
  <si>
    <t>REVIEWED BY:</t>
  </si>
  <si>
    <t>DATE:</t>
  </si>
  <si>
    <t>CALCULATIONS BY:</t>
  </si>
  <si>
    <t>Thread Allowance</t>
  </si>
  <si>
    <t>Pitch</t>
  </si>
  <si>
    <t>Major Dia. (Pin) | -Tol</t>
  </si>
  <si>
    <t>Pitch Dia. (Pin) | -Tol</t>
  </si>
  <si>
    <t>Minor Dia. (Pin) | -Tol</t>
  </si>
  <si>
    <t>Major Dia. (Box) | +Tol</t>
  </si>
  <si>
    <t>Pitch Dia. (Box) | +Tol</t>
  </si>
  <si>
    <t>Minor Dia. (Box) | +Tol</t>
  </si>
  <si>
    <t>Intermediate Values</t>
  </si>
  <si>
    <t>BSR</t>
  </si>
  <si>
    <t>Note</t>
  </si>
  <si>
    <t>Bending Strength Ratio</t>
  </si>
  <si>
    <t>Phi</t>
  </si>
  <si>
    <t>JOINT SUMMARY</t>
  </si>
  <si>
    <t>Torque Chart Data</t>
  </si>
  <si>
    <t>Load</t>
  </si>
  <si>
    <t>Torque</t>
  </si>
  <si>
    <t>Failure Mode:</t>
  </si>
  <si>
    <t>Fig1 Toggle</t>
  </si>
  <si>
    <t>Fig 2 Toggle</t>
  </si>
  <si>
    <t>①</t>
  </si>
  <si>
    <t>②</t>
  </si>
  <si>
    <t>③</t>
  </si>
  <si>
    <t>④</t>
  </si>
  <si>
    <t>⑤</t>
  </si>
  <si>
    <t>⑥</t>
  </si>
  <si>
    <t>Different Material</t>
  </si>
  <si>
    <t>Bearing Ratio</t>
  </si>
  <si>
    <t>Box Bearing Shoulder</t>
  </si>
  <si>
    <t>Pin Bearing Shoulder</t>
  </si>
  <si>
    <t>Max Thread Shear</t>
  </si>
  <si>
    <t>YIELD TORQUES</t>
  </si>
  <si>
    <t>YIELD LOADS</t>
  </si>
  <si>
    <t>Axial Force (Rec. Makeup Torque)</t>
  </si>
  <si>
    <t>Box Threads (Shear)</t>
  </si>
  <si>
    <t>Box Body (Hoop - Burst)</t>
  </si>
  <si>
    <t>Pin Relief (Tension)</t>
  </si>
  <si>
    <t>Pin Threads (Shear)</t>
  </si>
  <si>
    <t>Pin Body (Hoop - Collapse)</t>
  </si>
  <si>
    <t>Box Shoulder (Bearing)</t>
  </si>
  <si>
    <t>Pin Shoulder (Bearing)</t>
  </si>
  <si>
    <t>Box Relief (Tension)</t>
  </si>
  <si>
    <t>Overall Length (Min)</t>
  </si>
  <si>
    <t>Relief Length (Max)</t>
  </si>
  <si>
    <t>Counterbore Length (Max)</t>
  </si>
  <si>
    <t xml:space="preserve">Box OD (Min) </t>
  </si>
  <si>
    <t xml:space="preserve">Box Relief (Max) </t>
  </si>
  <si>
    <t xml:space="preserve">Pin ID (Max) </t>
  </si>
  <si>
    <t xml:space="preserve">Pin Relief (Min) </t>
  </si>
  <si>
    <t xml:space="preserve">Outside Shoulder (Min) </t>
  </si>
  <si>
    <t xml:space="preserve">Inside Shoulder (Max) </t>
  </si>
  <si>
    <t>Seperation Torque (T4)</t>
  </si>
  <si>
    <t>Ap</t>
  </si>
  <si>
    <t>Ab</t>
  </si>
  <si>
    <t>Relief Yielded</t>
  </si>
  <si>
    <t>Max PS</t>
  </si>
  <si>
    <t>Box Yield</t>
  </si>
  <si>
    <t>Pin Yield</t>
  </si>
  <si>
    <t>Slope</t>
  </si>
  <si>
    <t>Yes</t>
  </si>
  <si>
    <t>Makeup Torque (Point 1)</t>
  </si>
  <si>
    <t>Makeup Torque (Point 2)</t>
  </si>
  <si>
    <t>PART NUMBER / REV #:</t>
  </si>
  <si>
    <t>PERFORMANCE DATA</t>
  </si>
  <si>
    <t>THREAD PROFILE</t>
  </si>
  <si>
    <t>Machining Allowance</t>
  </si>
  <si>
    <t>CRITICAL OUTPUT</t>
  </si>
  <si>
    <t>Pull Strength</t>
  </si>
  <si>
    <t>Custom Torque</t>
  </si>
  <si>
    <t>HEADER CATEGORY</t>
  </si>
  <si>
    <t>TORQUE AT WHICH PULL STRENGTH WILL BEGIN TO DEGRADE</t>
  </si>
  <si>
    <t xml:space="preserve">OVERRIDE RECOMMENDED TORQUE WITH CUSTOM VALUE </t>
  </si>
  <si>
    <t>Recommended Makeup Torque</t>
  </si>
  <si>
    <t>DO NOT EXCEED 100%</t>
  </si>
  <si>
    <t>Min Yield Load</t>
  </si>
  <si>
    <t>Custom PS (derated)</t>
  </si>
  <si>
    <t>PP STANDARD</t>
  </si>
  <si>
    <t>PLANAR STRESS AT PERIPHERIES</t>
  </si>
  <si>
    <t>Box Shear Stress (Edge)</t>
  </si>
  <si>
    <t>Pin Shear Stress (Edge)</t>
  </si>
  <si>
    <t>Polar Moments of Interia</t>
  </si>
  <si>
    <t>Jbox</t>
  </si>
  <si>
    <t>Jpin</t>
  </si>
  <si>
    <t>SUPPLEMENTARY PERFORMANCE INFORMATION</t>
  </si>
  <si>
    <t>RECOMMENDED RANGE:
1.8 - 2.5 for OD &lt; 6"
2.25 - 2.75 for OD of 6" - 8"
2.5 - 3.2 for OD &gt; 8"</t>
  </si>
  <si>
    <t>5° SHOULDER BACK ANGLE</t>
  </si>
  <si>
    <t>Include Back Angle</t>
  </si>
  <si>
    <t>Shoulder Seperation Line</t>
  </si>
  <si>
    <t>Shoulder Seperation @ Makeup Torque</t>
  </si>
  <si>
    <t>Point of Pull Strength Degradation</t>
  </si>
  <si>
    <t>Bearing Area</t>
  </si>
  <si>
    <t>Theta</t>
  </si>
  <si>
    <t>STD. OVERRIDED</t>
  </si>
  <si>
    <t>GROUP CATEGORY</t>
  </si>
  <si>
    <t>Rec. Makeup Torque</t>
  </si>
  <si>
    <t>Custom Min. Makeup Torque</t>
  </si>
  <si>
    <t>Custom Max. Makeup Torque</t>
  </si>
  <si>
    <t>Min (Point 1)</t>
  </si>
  <si>
    <t>Min (Point 2)</t>
  </si>
  <si>
    <t>Max (Point 1)</t>
  </si>
  <si>
    <t>Max (Point 2)</t>
  </si>
  <si>
    <t>90% OF SHOULDER SEPERATION; ROUNDED TO THE NEAREST 250 FT-LBS WITH ± 7.5% TOLERANCE</t>
  </si>
  <si>
    <t>OF YIELD TORQUE</t>
  </si>
  <si>
    <t>Min. (Point 1)</t>
  </si>
  <si>
    <t>Max. (Point 2)</t>
  </si>
  <si>
    <t>SHOULDER WILL SEPARATE AT THIS APPLIED TENSILE LOAD</t>
  </si>
  <si>
    <t>Revision History</t>
  </si>
  <si>
    <t>Initial Release</t>
  </si>
  <si>
    <t>Externally Shouldered</t>
  </si>
  <si>
    <t>Select...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</si>
</sst>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"/>
    <numFmt numFmtId="166" formatCode="\+.0000"/>
    <numFmt numFmtId="167" formatCode="\-.0000"/>
    <numFmt numFmtId="168" formatCode="0.0%"/>
    <numFmt numFmtId="169" formatCode="00"/>
  </numFmts>
  <fonts count="1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10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theme="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indexed="65"/>
        <bgColor theme="1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10" borderId="0" applyNumberFormat="0" applyBorder="0" applyAlignment="0" applyProtection="0"/>
  </cellStyleXfs>
  <cellXfs count="30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3" fillId="0" borderId="0" xfId="2" applyNumberFormat="1" applyFont="1" applyAlignment="1">
      <alignment horizontal="centerContinuous" vertical="center"/>
    </xf>
    <xf numFmtId="0" fontId="3" fillId="0" borderId="0" xfId="2" applyNumberFormat="1" applyFont="1" applyAlignment="1">
      <alignment horizontal="center" vertical="center"/>
    </xf>
    <xf numFmtId="0" fontId="3" fillId="0" borderId="0" xfId="2" applyNumberFormat="1" applyFont="1" applyAlignment="1">
      <alignment horizontal="center"/>
    </xf>
    <xf numFmtId="0" fontId="0" fillId="0" borderId="0" xfId="0" applyNumberFormat="1" applyFill="1" applyAlignment="1">
      <alignment horizontal="left"/>
    </xf>
    <xf numFmtId="0" fontId="3" fillId="0" borderId="0" xfId="2" applyNumberFormat="1" applyFont="1"/>
    <xf numFmtId="0" fontId="3" fillId="0" borderId="0" xfId="2" applyNumberFormat="1" applyFont="1" applyAlignment="1">
      <alignment horizontal="left" vertical="center"/>
    </xf>
    <xf numFmtId="0" fontId="0" fillId="0" borderId="0" xfId="0" applyNumberFormat="1" applyFill="1" applyAlignment="1">
      <alignment horizontal="center"/>
    </xf>
    <xf numFmtId="0" fontId="3" fillId="0" borderId="0" xfId="2" applyNumberFormat="1" applyFont="1" applyFill="1" applyAlignment="1">
      <alignment horizontal="center"/>
    </xf>
    <xf numFmtId="0" fontId="3" fillId="0" borderId="0" xfId="2" applyFont="1"/>
    <xf numFmtId="0" fontId="3" fillId="0" borderId="0" xfId="2" applyFont="1" applyAlignment="1">
      <alignment horizontal="centerContinuous" vertical="center"/>
    </xf>
    <xf numFmtId="0" fontId="3" fillId="0" borderId="0" xfId="2" applyFont="1" applyAlignment="1">
      <alignment horizontal="center"/>
    </xf>
    <xf numFmtId="0" fontId="5" fillId="0" borderId="0" xfId="0" applyFont="1" applyFill="1" applyBorder="1"/>
    <xf numFmtId="0" fontId="0" fillId="0" borderId="0" xfId="0" applyAlignment="1">
      <alignment vertical="center" textRotation="90"/>
    </xf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2" xfId="0" applyBorder="1"/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0" xfId="0" applyFont="1" applyFill="1" applyBorder="1"/>
    <xf numFmtId="0" fontId="4" fillId="0" borderId="21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164" fontId="8" fillId="4" borderId="17" xfId="4" applyNumberFormat="1" applyBorder="1" applyAlignment="1">
      <alignment horizontal="center"/>
    </xf>
    <xf numFmtId="3" fontId="6" fillId="0" borderId="16" xfId="1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8" fillId="4" borderId="27" xfId="4" applyBorder="1" applyAlignment="1">
      <alignment horizontal="center"/>
    </xf>
    <xf numFmtId="3" fontId="6" fillId="0" borderId="7" xfId="1" applyNumberFormat="1" applyFont="1" applyFill="1" applyBorder="1" applyAlignment="1">
      <alignment horizontal="center"/>
    </xf>
    <xf numFmtId="166" fontId="5" fillId="0" borderId="32" xfId="0" applyNumberFormat="1" applyFont="1" applyFill="1" applyBorder="1" applyAlignment="1">
      <alignment horizontal="center" vertical="top"/>
    </xf>
    <xf numFmtId="167" fontId="5" fillId="0" borderId="33" xfId="0" applyNumberFormat="1" applyFont="1" applyFill="1" applyBorder="1" applyAlignment="1">
      <alignment horizontal="center" vertical="center"/>
    </xf>
    <xf numFmtId="166" fontId="5" fillId="0" borderId="32" xfId="0" applyNumberFormat="1" applyFont="1" applyFill="1" applyBorder="1" applyAlignment="1">
      <alignment horizontal="center"/>
    </xf>
    <xf numFmtId="167" fontId="5" fillId="0" borderId="33" xfId="0" applyNumberFormat="1" applyFont="1" applyFill="1" applyBorder="1" applyAlignment="1">
      <alignment horizontal="center"/>
    </xf>
    <xf numFmtId="0" fontId="5" fillId="0" borderId="2" xfId="0" applyFont="1" applyFill="1" applyBorder="1"/>
    <xf numFmtId="0" fontId="8" fillId="4" borderId="35" xfId="4" applyBorder="1" applyAlignment="1">
      <alignment horizontal="center"/>
    </xf>
    <xf numFmtId="3" fontId="6" fillId="0" borderId="33" xfId="1" applyNumberFormat="1" applyFont="1" applyFill="1" applyBorder="1" applyAlignment="1">
      <alignment horizontal="center"/>
    </xf>
    <xf numFmtId="3" fontId="6" fillId="0" borderId="36" xfId="1" applyNumberFormat="1" applyFont="1" applyFill="1" applyBorder="1" applyAlignment="1">
      <alignment horizontal="center"/>
    </xf>
    <xf numFmtId="0" fontId="0" fillId="0" borderId="1" xfId="0" applyBorder="1"/>
    <xf numFmtId="0" fontId="0" fillId="0" borderId="31" xfId="0" applyBorder="1" applyAlignment="1">
      <alignment horizontal="center"/>
    </xf>
    <xf numFmtId="164" fontId="8" fillId="4" borderId="38" xfId="4" applyNumberFormat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3" fontId="5" fillId="0" borderId="38" xfId="0" applyNumberFormat="1" applyFont="1" applyBorder="1" applyAlignment="1">
      <alignment horizontal="center"/>
    </xf>
    <xf numFmtId="3" fontId="5" fillId="0" borderId="38" xfId="0" applyNumberFormat="1" applyFont="1" applyFill="1" applyBorder="1" applyAlignment="1">
      <alignment horizontal="center"/>
    </xf>
    <xf numFmtId="164" fontId="8" fillId="4" borderId="24" xfId="4" applyNumberFormat="1" applyBorder="1" applyAlignment="1">
      <alignment horizontal="center"/>
    </xf>
    <xf numFmtId="0" fontId="8" fillId="4" borderId="27" xfId="4" applyNumberFormat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0" xfId="0" applyFont="1"/>
    <xf numFmtId="0" fontId="5" fillId="0" borderId="37" xfId="0" applyFont="1" applyBorder="1" applyAlignment="1">
      <alignment horizontal="center" vertical="center"/>
    </xf>
    <xf numFmtId="164" fontId="5" fillId="0" borderId="38" xfId="0" applyNumberFormat="1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3" fontId="5" fillId="0" borderId="37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" fontId="5" fillId="0" borderId="37" xfId="0" applyNumberFormat="1" applyFont="1" applyBorder="1" applyAlignment="1">
      <alignment horizontal="center"/>
    </xf>
    <xf numFmtId="1" fontId="5" fillId="0" borderId="39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5" fillId="0" borderId="14" xfId="0" applyNumberFormat="1" applyFont="1" applyBorder="1" applyAlignment="1">
      <alignment horizontal="center"/>
    </xf>
    <xf numFmtId="3" fontId="5" fillId="8" borderId="38" xfId="0" applyNumberFormat="1" applyFont="1" applyFill="1" applyBorder="1" applyAlignment="1">
      <alignment horizontal="center"/>
    </xf>
    <xf numFmtId="3" fontId="5" fillId="9" borderId="38" xfId="0" applyNumberFormat="1" applyFont="1" applyFill="1" applyBorder="1" applyAlignment="1">
      <alignment horizontal="center"/>
    </xf>
    <xf numFmtId="2" fontId="8" fillId="10" borderId="17" xfId="7" applyNumberFormat="1" applyBorder="1" applyAlignment="1">
      <alignment horizontal="center"/>
    </xf>
    <xf numFmtId="164" fontId="8" fillId="10" borderId="26" xfId="7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38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2" xfId="0" applyFont="1" applyBorder="1"/>
    <xf numFmtId="0" fontId="5" fillId="0" borderId="14" xfId="0" applyFont="1" applyBorder="1"/>
    <xf numFmtId="164" fontId="8" fillId="10" borderId="38" xfId="7" applyNumberFormat="1" applyBorder="1" applyAlignment="1">
      <alignment horizontal="center"/>
    </xf>
    <xf numFmtId="164" fontId="8" fillId="10" borderId="24" xfId="7" applyNumberForma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8" fillId="10" borderId="17" xfId="7" applyNumberFormat="1" applyBorder="1" applyAlignment="1">
      <alignment horizontal="center"/>
    </xf>
    <xf numFmtId="0" fontId="5" fillId="0" borderId="13" xfId="0" applyFont="1" applyBorder="1"/>
    <xf numFmtId="3" fontId="5" fillId="0" borderId="14" xfId="0" applyNumberFormat="1" applyFont="1" applyBorder="1"/>
    <xf numFmtId="0" fontId="2" fillId="0" borderId="0" xfId="2"/>
    <xf numFmtId="0" fontId="2" fillId="0" borderId="0" xfId="2" applyAlignment="1"/>
    <xf numFmtId="0" fontId="8" fillId="4" borderId="49" xfId="4" applyBorder="1" applyAlignment="1">
      <alignment horizontal="center"/>
    </xf>
    <xf numFmtId="0" fontId="8" fillId="10" borderId="53" xfId="7" applyBorder="1" applyAlignment="1">
      <alignment horizontal="center"/>
    </xf>
    <xf numFmtId="0" fontId="8" fillId="3" borderId="49" xfId="3" applyBorder="1" applyAlignment="1">
      <alignment horizontal="center"/>
    </xf>
    <xf numFmtId="0" fontId="8" fillId="6" borderId="49" xfId="6" applyBorder="1" applyAlignment="1">
      <alignment horizontal="center"/>
    </xf>
    <xf numFmtId="0" fontId="0" fillId="11" borderId="53" xfId="0" applyFill="1" applyBorder="1" applyAlignment="1">
      <alignment horizontal="center"/>
    </xf>
    <xf numFmtId="0" fontId="8" fillId="5" borderId="12" xfId="5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8" borderId="38" xfId="0" applyFont="1" applyFill="1" applyBorder="1" applyAlignment="1">
      <alignment horizontal="center"/>
    </xf>
    <xf numFmtId="0" fontId="5" fillId="9" borderId="38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3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3" fontId="5" fillId="0" borderId="24" xfId="0" applyNumberFormat="1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3" fontId="5" fillId="0" borderId="24" xfId="0" applyNumberFormat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57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61" xfId="0" applyFont="1" applyBorder="1" applyAlignment="1">
      <alignment horizontal="center"/>
    </xf>
    <xf numFmtId="2" fontId="5" fillId="0" borderId="6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40" xfId="0" applyFont="1" applyFill="1" applyBorder="1" applyAlignment="1">
      <alignment horizontal="center" vertical="center"/>
    </xf>
    <xf numFmtId="9" fontId="8" fillId="4" borderId="27" xfId="4" applyNumberFormat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0" borderId="3" xfId="0" applyBorder="1"/>
    <xf numFmtId="1" fontId="5" fillId="0" borderId="38" xfId="0" applyNumberFormat="1" applyFont="1" applyBorder="1" applyAlignment="1">
      <alignment horizontal="center"/>
    </xf>
    <xf numFmtId="1" fontId="5" fillId="0" borderId="24" xfId="0" applyNumberFormat="1" applyFont="1" applyBorder="1" applyAlignment="1">
      <alignment horizontal="center"/>
    </xf>
    <xf numFmtId="2" fontId="5" fillId="0" borderId="38" xfId="0" applyNumberFormat="1" applyFon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center" vertical="center"/>
    </xf>
    <xf numFmtId="0" fontId="15" fillId="7" borderId="36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7" borderId="10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3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3" fontId="12" fillId="7" borderId="10" xfId="0" applyNumberFormat="1" applyFont="1" applyFill="1" applyBorder="1" applyAlignment="1">
      <alignment horizontal="center" vertical="center"/>
    </xf>
    <xf numFmtId="3" fontId="12" fillId="7" borderId="17" xfId="0" applyNumberFormat="1" applyFont="1" applyFill="1" applyBorder="1" applyAlignment="1">
      <alignment horizontal="center" vertical="center"/>
    </xf>
    <xf numFmtId="3" fontId="5" fillId="0" borderId="48" xfId="0" applyNumberFormat="1" applyFont="1" applyBorder="1" applyAlignment="1">
      <alignment horizontal="center" vertical="center"/>
    </xf>
    <xf numFmtId="3" fontId="5" fillId="0" borderId="52" xfId="0" applyNumberFormat="1" applyFont="1" applyBorder="1" applyAlignment="1">
      <alignment horizontal="center" vertical="center"/>
    </xf>
    <xf numFmtId="0" fontId="5" fillId="7" borderId="31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8" fillId="6" borderId="49" xfId="6" applyBorder="1" applyAlignment="1">
      <alignment horizontal="center" vertical="center"/>
    </xf>
    <xf numFmtId="0" fontId="8" fillId="6" borderId="8" xfId="6" applyBorder="1" applyAlignment="1">
      <alignment horizontal="center" vertical="center"/>
    </xf>
    <xf numFmtId="0" fontId="8" fillId="6" borderId="28" xfId="6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4" borderId="15" xfId="4" applyBorder="1" applyAlignment="1">
      <alignment horizontal="center"/>
    </xf>
    <xf numFmtId="0" fontId="8" fillId="4" borderId="6" xfId="4" applyBorder="1" applyAlignment="1">
      <alignment horizontal="center"/>
    </xf>
    <xf numFmtId="0" fontId="8" fillId="4" borderId="30" xfId="4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10" fillId="0" borderId="12" xfId="0" applyFont="1" applyBorder="1" applyAlignment="1">
      <alignment horizontal="right"/>
    </xf>
    <xf numFmtId="0" fontId="10" fillId="0" borderId="23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0" fontId="8" fillId="3" borderId="49" xfId="3" applyBorder="1" applyAlignment="1">
      <alignment horizontal="center"/>
    </xf>
    <xf numFmtId="0" fontId="8" fillId="3" borderId="8" xfId="3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8" fillId="3" borderId="28" xfId="3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165" fontId="5" fillId="0" borderId="16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5" borderId="49" xfId="5" applyFont="1" applyBorder="1" applyAlignment="1">
      <alignment horizontal="center"/>
    </xf>
    <xf numFmtId="0" fontId="9" fillId="5" borderId="8" xfId="5" applyFont="1" applyBorder="1" applyAlignment="1">
      <alignment horizontal="center"/>
    </xf>
    <xf numFmtId="0" fontId="9" fillId="5" borderId="4" xfId="5" applyFont="1" applyBorder="1" applyAlignment="1">
      <alignment horizontal="center"/>
    </xf>
    <xf numFmtId="0" fontId="9" fillId="5" borderId="5" xfId="5" applyFont="1" applyBorder="1" applyAlignment="1">
      <alignment horizontal="center"/>
    </xf>
    <xf numFmtId="0" fontId="8" fillId="3" borderId="13" xfId="3" applyBorder="1" applyAlignment="1">
      <alignment horizontal="center"/>
    </xf>
    <xf numFmtId="0" fontId="8" fillId="3" borderId="3" xfId="3" applyBorder="1" applyAlignment="1">
      <alignment horizontal="center"/>
    </xf>
    <xf numFmtId="0" fontId="8" fillId="3" borderId="14" xfId="3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8" fillId="10" borderId="55" xfId="7" applyBorder="1" applyAlignment="1">
      <alignment horizontal="center"/>
    </xf>
    <xf numFmtId="0" fontId="8" fillId="10" borderId="59" xfId="7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5" fillId="8" borderId="37" xfId="0" applyFont="1" applyFill="1" applyBorder="1" applyAlignment="1">
      <alignment horizontal="center"/>
    </xf>
    <xf numFmtId="0" fontId="5" fillId="8" borderId="38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3" fontId="5" fillId="0" borderId="10" xfId="0" applyNumberFormat="1" applyFont="1" applyFill="1" applyBorder="1" applyAlignment="1">
      <alignment horizontal="center" vertical="center"/>
    </xf>
    <xf numFmtId="3" fontId="5" fillId="0" borderId="17" xfId="0" applyNumberFormat="1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4" fillId="0" borderId="3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54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9" borderId="37" xfId="0" applyFont="1" applyFill="1" applyBorder="1" applyAlignment="1">
      <alignment horizontal="center"/>
    </xf>
    <xf numFmtId="0" fontId="5" fillId="9" borderId="3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5" borderId="28" xfId="5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0" borderId="5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5" fillId="0" borderId="11" xfId="0" applyNumberFormat="1" applyFont="1" applyBorder="1" applyAlignment="1">
      <alignment horizontal="center" vertical="center"/>
    </xf>
    <xf numFmtId="168" fontId="5" fillId="0" borderId="18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17" xfId="0" applyNumberFormat="1" applyFont="1" applyBorder="1" applyAlignment="1">
      <alignment horizontal="center" vertical="center"/>
    </xf>
    <xf numFmtId="0" fontId="4" fillId="0" borderId="56" xfId="0" applyFont="1" applyFill="1" applyBorder="1" applyAlignment="1">
      <alignment horizontal="center"/>
    </xf>
    <xf numFmtId="0" fontId="4" fillId="0" borderId="57" xfId="0" applyFont="1" applyFill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1" fontId="0" fillId="0" borderId="40" xfId="0" applyNumberFormat="1" applyBorder="1" applyAlignment="1">
      <alignment horizontal="center"/>
    </xf>
    <xf numFmtId="1" fontId="0" fillId="0" borderId="48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1" xfId="0" applyBorder="1" applyAlignment="1">
      <alignment horizontal="center"/>
    </xf>
    <xf numFmtId="3" fontId="12" fillId="0" borderId="10" xfId="0" applyNumberFormat="1" applyFont="1" applyFill="1" applyBorder="1" applyAlignment="1">
      <alignment horizontal="center" vertical="center"/>
    </xf>
    <xf numFmtId="3" fontId="12" fillId="0" borderId="17" xfId="0" applyNumberFormat="1" applyFont="1" applyFill="1" applyBorder="1" applyAlignment="1">
      <alignment horizontal="center" vertical="center"/>
    </xf>
    <xf numFmtId="3" fontId="13" fillId="4" borderId="10" xfId="4" applyNumberFormat="1" applyFont="1" applyBorder="1" applyAlignment="1">
      <alignment horizontal="center" vertical="center"/>
    </xf>
    <xf numFmtId="3" fontId="13" fillId="4" borderId="17" xfId="4" applyNumberFormat="1" applyFont="1" applyBorder="1" applyAlignment="1">
      <alignment horizontal="center" vertical="center"/>
    </xf>
    <xf numFmtId="1" fontId="0" fillId="0" borderId="3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16" fillId="0" borderId="49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</cellXfs>
  <cellStyles count="8">
    <cellStyle name="Accent1" xfId="3" builtinId="29"/>
    <cellStyle name="Accent2" xfId="6" builtinId="33"/>
    <cellStyle name="Accent3" xfId="4" builtinId="37"/>
    <cellStyle name="Accent4" xfId="7" builtinId="41"/>
    <cellStyle name="Accent6" xfId="5" builtinId="49"/>
    <cellStyle name="Good" xfId="1" builtinId="26"/>
    <cellStyle name="Normal" xfId="0" builtinId="0"/>
    <cellStyle name="Normal_Pipe Ratings Data China" xfId="2"/>
  </cellStyles>
  <dxfs count="1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/>
        <u val="none"/>
      </font>
      <fill>
        <patternFill patternType="darkDown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346328"/>
        <c:axId val="257346720"/>
      </c:barChart>
      <c:catAx>
        <c:axId val="25734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7346720"/>
        <c:crosses val="autoZero"/>
        <c:auto val="1"/>
        <c:lblAlgn val="ctr"/>
        <c:lblOffset val="100"/>
        <c:noMultiLvlLbl val="0"/>
      </c:catAx>
      <c:valAx>
        <c:axId val="25734672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5734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347504"/>
        <c:axId val="257347896"/>
      </c:barChart>
      <c:catAx>
        <c:axId val="25734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57347896"/>
        <c:crosses val="autoZero"/>
        <c:auto val="1"/>
        <c:lblAlgn val="ctr"/>
        <c:lblOffset val="100"/>
        <c:noMultiLvlLbl val="0"/>
      </c:catAx>
      <c:valAx>
        <c:axId val="2573478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57347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40367222287825"/>
          <c:y val="5.1400554097404488E-2"/>
          <c:w val="0.83229036750397944"/>
          <c:h val="0.84698689100390601"/>
        </c:manualLayout>
      </c:layout>
      <c:scatterChart>
        <c:scatterStyle val="lineMarker"/>
        <c:varyColors val="0"/>
        <c:ser>
          <c:idx val="0"/>
          <c:order val="0"/>
          <c:tx>
            <c:v>Torque Profile</c:v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F0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Calculator!$F$109:$F$111</c:f>
              <c:numCache>
                <c:formatCode>#,##0</c:formatCode>
                <c:ptCount val="3"/>
                <c:pt idx="0" formatCode="General">
                  <c:v>0</c:v>
                </c:pt>
                <c:pt idx="1">
                  <c:v>6357.7995532504101</c:v>
                </c:pt>
                <c:pt idx="2">
                  <c:v>19504.06201792643</c:v>
                </c:pt>
              </c:numCache>
            </c:numRef>
          </c:xVal>
          <c:yVal>
            <c:numRef>
              <c:f>Calculator!$G$109:$G$111</c:f>
              <c:numCache>
                <c:formatCode>#,##0</c:formatCode>
                <c:ptCount val="3"/>
                <c:pt idx="0">
                  <c:v>488643.32133935753</c:v>
                </c:pt>
                <c:pt idx="1">
                  <c:v>488643.32133935753</c:v>
                </c:pt>
                <c:pt idx="2" formatCode="General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Makeup Torque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Calculator!$F$112:$F$113</c:f>
              <c:numCache>
                <c:formatCode>#,##0</c:formatCode>
                <c:ptCount val="2"/>
                <c:pt idx="0">
                  <c:v>5500</c:v>
                </c:pt>
                <c:pt idx="1">
                  <c:v>5500</c:v>
                </c:pt>
              </c:numCache>
            </c:numRef>
          </c:xVal>
          <c:yVal>
            <c:numRef>
              <c:f>Calculator!$G$112:$G$113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488643.32133935753</c:v>
                </c:pt>
              </c:numCache>
            </c:numRef>
          </c:yVal>
          <c:smooth val="0"/>
        </c:ser>
        <c:ser>
          <c:idx val="3"/>
          <c:order val="2"/>
          <c:tx>
            <c:v>Max</c:v>
          </c:tx>
          <c:spPr>
            <a:ln w="317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noFill/>
                <a:round/>
              </a:ln>
              <a:effectLst/>
            </c:spPr>
          </c:marker>
          <c:xVal>
            <c:numRef>
              <c:f>Calculator!$F$119:$F$120</c:f>
              <c:numCache>
                <c:formatCode>0</c:formatCode>
                <c:ptCount val="2"/>
                <c:pt idx="0">
                  <c:v>6000</c:v>
                </c:pt>
                <c:pt idx="1">
                  <c:v>6000</c:v>
                </c:pt>
              </c:numCache>
            </c:numRef>
          </c:xVal>
          <c:yVal>
            <c:numRef>
              <c:f>Calculator!$G$119:$G$120</c:f>
              <c:numCache>
                <c:formatCode>General</c:formatCode>
                <c:ptCount val="2"/>
                <c:pt idx="0">
                  <c:v>0</c:v>
                </c:pt>
                <c:pt idx="1">
                  <c:v>488643.32133935753</c:v>
                </c:pt>
              </c:numCache>
            </c:numRef>
          </c:yVal>
          <c:smooth val="1"/>
        </c:ser>
        <c:ser>
          <c:idx val="4"/>
          <c:order val="3"/>
          <c:tx>
            <c:v>Shoulder Seperation</c:v>
          </c:tx>
          <c:spPr>
            <a:ln w="2222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diamond"/>
            <c:size val="7"/>
            <c:spPr>
              <a:solidFill>
                <a:srgbClr val="00B0F0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Pt>
            <c:idx val="1"/>
            <c:marker>
              <c:symbol val="diamond"/>
              <c:size val="7"/>
              <c:spPr>
                <a:solidFill>
                  <a:srgbClr val="00B0F0"/>
                </a:solidFill>
                <a:ln w="9525">
                  <a:solidFill>
                    <a:schemeClr val="accent5"/>
                  </a:solidFill>
                  <a:round/>
                </a:ln>
                <a:effectLst/>
              </c:spPr>
            </c:marker>
            <c:bubble3D val="0"/>
          </c:dPt>
          <c:xVal>
            <c:numRef>
              <c:f>Calculator!$K$120:$K$121</c:f>
              <c:numCache>
                <c:formatCode>General</c:formatCode>
                <c:ptCount val="2"/>
                <c:pt idx="0">
                  <c:v>0</c:v>
                </c:pt>
                <c:pt idx="1">
                  <c:v>6357.7995532504101</c:v>
                </c:pt>
              </c:numCache>
            </c:numRef>
          </c:xVal>
          <c:yVal>
            <c:numRef>
              <c:f>Calculator!$L$120:$L$121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488643.32133935753</c:v>
                </c:pt>
              </c:numCache>
            </c:numRef>
          </c:yVal>
          <c:smooth val="0"/>
        </c:ser>
        <c:ser>
          <c:idx val="2"/>
          <c:order val="4"/>
          <c:tx>
            <c:v>Tolerance</c:v>
          </c:tx>
          <c:spPr>
            <a:ln w="31750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Calculator!$F$117:$F$118</c:f>
              <c:numCache>
                <c:formatCode>0</c:formatCode>
                <c:ptCount val="2"/>
                <c:pt idx="0">
                  <c:v>5000</c:v>
                </c:pt>
                <c:pt idx="1">
                  <c:v>5000</c:v>
                </c:pt>
              </c:numCache>
            </c:numRef>
          </c:xVal>
          <c:yVal>
            <c:numRef>
              <c:f>Calculator!$G$117:$G$118</c:f>
              <c:numCache>
                <c:formatCode>General</c:formatCode>
                <c:ptCount val="2"/>
                <c:pt idx="0">
                  <c:v>0</c:v>
                </c:pt>
                <c:pt idx="1">
                  <c:v>488643.32133935753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49464"/>
        <c:axId val="257349856"/>
      </c:scatterChart>
      <c:valAx>
        <c:axId val="257349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(ft-lbs)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49856"/>
        <c:crosses val="autoZero"/>
        <c:crossBetween val="midCat"/>
      </c:valAx>
      <c:valAx>
        <c:axId val="25734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Pull Strength (lbs)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4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40367222287825"/>
          <c:y val="5.1400554097404488E-2"/>
          <c:w val="0.83229036750397944"/>
          <c:h val="0.84698689100390601"/>
        </c:manualLayout>
      </c:layout>
      <c:scatterChart>
        <c:scatterStyle val="lineMarker"/>
        <c:varyColors val="0"/>
        <c:ser>
          <c:idx val="0"/>
          <c:order val="0"/>
          <c:tx>
            <c:v>Torque Profile</c:v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7"/>
            <c:spPr>
              <a:solidFill>
                <a:srgbClr val="00B0F0"/>
              </a:solidFill>
            </c:spPr>
          </c:marker>
          <c:xVal>
            <c:numRef>
              <c:f>Calculator!$F$109:$F$111</c:f>
              <c:numCache>
                <c:formatCode>#,##0</c:formatCode>
                <c:ptCount val="3"/>
                <c:pt idx="0" formatCode="General">
                  <c:v>0</c:v>
                </c:pt>
                <c:pt idx="1">
                  <c:v>6357.7995532504101</c:v>
                </c:pt>
                <c:pt idx="2">
                  <c:v>19504.06201792643</c:v>
                </c:pt>
              </c:numCache>
            </c:numRef>
          </c:xVal>
          <c:yVal>
            <c:numRef>
              <c:f>Calculator!$G$109:$G$111</c:f>
              <c:numCache>
                <c:formatCode>#,##0</c:formatCode>
                <c:ptCount val="3"/>
                <c:pt idx="0">
                  <c:v>488643.32133935753</c:v>
                </c:pt>
                <c:pt idx="1">
                  <c:v>488643.32133935753</c:v>
                </c:pt>
                <c:pt idx="2" formatCode="General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Custom Torque</c:v>
          </c:tx>
          <c:spPr>
            <a:ln cap="rnd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'Advanced Calculator'!$B$50:$B$51</c:f>
              <c:numCache>
                <c:formatCode>General</c:formatCode>
                <c:ptCount val="2"/>
                <c:pt idx="0">
                  <c:v>7585</c:v>
                </c:pt>
                <c:pt idx="1">
                  <c:v>7585</c:v>
                </c:pt>
              </c:numCache>
            </c:numRef>
          </c:xVal>
          <c:yVal>
            <c:numRef>
              <c:f>'Advanced Calculator'!$C$50:$C$51</c:f>
              <c:numCache>
                <c:formatCode>General</c:formatCode>
                <c:ptCount val="2"/>
                <c:pt idx="0">
                  <c:v>0</c:v>
                </c:pt>
                <c:pt idx="1">
                  <c:v>443028.58453791629</c:v>
                </c:pt>
              </c:numCache>
            </c:numRef>
          </c:yVal>
          <c:smooth val="0"/>
        </c:ser>
        <c:ser>
          <c:idx val="2"/>
          <c:order val="2"/>
          <c:tx>
            <c:v>Pull Strength</c:v>
          </c:tx>
          <c:marker>
            <c:symbol val="square"/>
            <c:size val="7"/>
          </c:marker>
          <c:xVal>
            <c:numRef>
              <c:f>('Advanced Calculator'!$B$52,'Advanced Calculator'!$B$51)</c:f>
              <c:numCache>
                <c:formatCode>General</c:formatCode>
                <c:ptCount val="2"/>
                <c:pt idx="0">
                  <c:v>0</c:v>
                </c:pt>
                <c:pt idx="1">
                  <c:v>7585</c:v>
                </c:pt>
              </c:numCache>
            </c:numRef>
          </c:xVal>
          <c:yVal>
            <c:numRef>
              <c:f>('Advanced Calculator'!$C$52,'Advanced Calculator'!$C$51)</c:f>
              <c:numCache>
                <c:formatCode>General</c:formatCode>
                <c:ptCount val="2"/>
                <c:pt idx="0">
                  <c:v>443028.58453791629</c:v>
                </c:pt>
                <c:pt idx="1">
                  <c:v>443028.58453791629</c:v>
                </c:pt>
              </c:numCache>
            </c:numRef>
          </c:yVal>
          <c:smooth val="0"/>
        </c:ser>
        <c:ser>
          <c:idx val="3"/>
          <c:order val="3"/>
          <c:tx>
            <c:v>Tolerance</c:v>
          </c:tx>
          <c:spPr>
            <a:ln>
              <a:solidFill>
                <a:srgbClr val="00B050"/>
              </a:solidFill>
              <a:prstDash val="lgDashDot"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'Advanced Calculator'!$E$50:$E$51</c:f>
              <c:numCache>
                <c:formatCode>0</c:formatCode>
                <c:ptCount val="2"/>
                <c:pt idx="0">
                  <c:v>6826.42170627425</c:v>
                </c:pt>
                <c:pt idx="1">
                  <c:v>6826.42170627425</c:v>
                </c:pt>
              </c:numCache>
            </c:numRef>
          </c:xVal>
          <c:yVal>
            <c:numRef>
              <c:f>'Advanced Calculator'!$F$50:$F$51</c:f>
              <c:numCache>
                <c:formatCode>General</c:formatCode>
                <c:ptCount val="2"/>
                <c:pt idx="0">
                  <c:v>0</c:v>
                </c:pt>
                <c:pt idx="1">
                  <c:v>471224.75192298822</c:v>
                </c:pt>
              </c:numCache>
            </c:numRef>
          </c:yVal>
          <c:smooth val="0"/>
        </c:ser>
        <c:ser>
          <c:idx val="4"/>
          <c:order val="4"/>
          <c:tx>
            <c:v>Max</c:v>
          </c:tx>
          <c:spPr>
            <a:ln>
              <a:solidFill>
                <a:srgbClr val="00B050"/>
              </a:solidFill>
              <a:prstDash val="lgDashDot"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'Advanced Calculator'!$E$52:$E$53</c:f>
              <c:numCache>
                <c:formatCode>0</c:formatCode>
                <c:ptCount val="2"/>
                <c:pt idx="0">
                  <c:v>8776.8279080668945</c:v>
                </c:pt>
                <c:pt idx="1">
                  <c:v>8776.8279080668945</c:v>
                </c:pt>
              </c:numCache>
            </c:numRef>
          </c:xVal>
          <c:yVal>
            <c:numRef>
              <c:f>'Advanced Calculator'!$F$52:$F$53</c:f>
              <c:numCache>
                <c:formatCode>General</c:formatCode>
                <c:ptCount val="2"/>
                <c:pt idx="0">
                  <c:v>0</c:v>
                </c:pt>
                <c:pt idx="1">
                  <c:v>398728.63624252845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80984"/>
        <c:axId val="258881376"/>
      </c:scatterChart>
      <c:valAx>
        <c:axId val="258880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Torque (ft-lbs)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881376"/>
        <c:crosses val="autoZero"/>
        <c:crossBetween val="midCat"/>
      </c:valAx>
      <c:valAx>
        <c:axId val="258881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Pull Strength (lbs)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58880984"/>
        <c:crosses val="autoZero"/>
        <c:crossBetween val="midCat"/>
      </c:valAx>
    </c:plotArea>
    <c:legend>
      <c:legendPos val="t"/>
      <c:legendEntry>
        <c:idx val="4"/>
        <c:delete val="1"/>
      </c:legendEntry>
      <c:layout/>
      <c:overlay val="1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eg"/><Relationship Id="rId6" Type="http://schemas.openxmlformats.org/officeDocument/2006/relationships/image" Target="../media/image10.jpg"/><Relationship Id="rId5" Type="http://schemas.openxmlformats.org/officeDocument/2006/relationships/image" Target="../media/image9.jpg"/><Relationship Id="rId4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832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606137</xdr:colOff>
          <xdr:row>28</xdr:row>
          <xdr:rowOff>51957</xdr:rowOff>
        </xdr:from>
        <xdr:to>
          <xdr:col>9</xdr:col>
          <xdr:colOff>121228</xdr:colOff>
          <xdr:row>34</xdr:row>
          <xdr:rowOff>128157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CalcFigs1" spid="_x0000_s118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42114" y="4294912"/>
              <a:ext cx="5934075" cy="12477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675410</xdr:colOff>
          <xdr:row>36</xdr:row>
          <xdr:rowOff>69273</xdr:rowOff>
        </xdr:from>
        <xdr:to>
          <xdr:col>9</xdr:col>
          <xdr:colOff>190501</xdr:colOff>
          <xdr:row>46</xdr:row>
          <xdr:rowOff>31173</xdr:rowOff>
        </xdr:to>
        <xdr:pic>
          <xdr:nvPicPr>
            <xdr:cNvPr id="13" name="Picture 12"/>
            <xdr:cNvPicPr>
              <a:picLocks noChangeAspect="1" noChangeArrowheads="1"/>
              <a:extLst>
                <a:ext uri="{84589F7E-364E-4C9E-8A38-B11213B215E9}">
                  <a14:cameraTool cellRange="CalcFigs2" spid="_x0000_s1180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409210" y="7403523"/>
              <a:ext cx="5934941" cy="18764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4</xdr:col>
      <xdr:colOff>47625</xdr:colOff>
      <xdr:row>48</xdr:row>
      <xdr:rowOff>119061</xdr:rowOff>
    </xdr:from>
    <xdr:to>
      <xdr:col>8</xdr:col>
      <xdr:colOff>1458915</xdr:colOff>
      <xdr:row>74</xdr:row>
      <xdr:rowOff>134937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28575</xdr:rowOff>
    </xdr:from>
    <xdr:to>
      <xdr:col>8</xdr:col>
      <xdr:colOff>744540</xdr:colOff>
      <xdr:row>22</xdr:row>
      <xdr:rowOff>149226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142875</xdr:rowOff>
    </xdr:from>
    <xdr:to>
      <xdr:col>0</xdr:col>
      <xdr:colOff>4682115</xdr:colOff>
      <xdr:row>0</xdr:row>
      <xdr:rowOff>1009650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142875"/>
          <a:ext cx="4139190" cy="866775"/>
        </a:xfrm>
        <a:prstGeom prst="rect">
          <a:avLst/>
        </a:prstGeom>
      </xdr:spPr>
    </xdr:pic>
    <xdr:clientData/>
  </xdr:twoCellAnchor>
  <xdr:twoCellAnchor editAs="oneCell">
    <xdr:from>
      <xdr:col>0</xdr:col>
      <xdr:colOff>8226</xdr:colOff>
      <xdr:row>1</xdr:row>
      <xdr:rowOff>28576</xdr:rowOff>
    </xdr:from>
    <xdr:to>
      <xdr:col>0</xdr:col>
      <xdr:colOff>5316249</xdr:colOff>
      <xdr:row>1</xdr:row>
      <xdr:rowOff>1139298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6" y="1276351"/>
          <a:ext cx="5308023" cy="1110722"/>
        </a:xfrm>
        <a:prstGeom prst="rect">
          <a:avLst/>
        </a:prstGeom>
      </xdr:spPr>
    </xdr:pic>
    <xdr:clientData/>
  </xdr:twoCellAnchor>
  <xdr:twoCellAnchor editAs="oneCell">
    <xdr:from>
      <xdr:col>0</xdr:col>
      <xdr:colOff>36154</xdr:colOff>
      <xdr:row>2</xdr:row>
      <xdr:rowOff>66675</xdr:rowOff>
    </xdr:from>
    <xdr:to>
      <xdr:col>0</xdr:col>
      <xdr:colOff>5240698</xdr:colOff>
      <xdr:row>2</xdr:row>
      <xdr:rowOff>1159232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54" y="2562225"/>
          <a:ext cx="5204544" cy="1092557"/>
        </a:xfrm>
        <a:prstGeom prst="rect">
          <a:avLst/>
        </a:prstGeom>
      </xdr:spPr>
    </xdr:pic>
    <xdr:clientData/>
  </xdr:twoCellAnchor>
  <xdr:twoCellAnchor editAs="oneCell">
    <xdr:from>
      <xdr:col>0</xdr:col>
      <xdr:colOff>57151</xdr:colOff>
      <xdr:row>4</xdr:row>
      <xdr:rowOff>57151</xdr:rowOff>
    </xdr:from>
    <xdr:to>
      <xdr:col>0</xdr:col>
      <xdr:colOff>4895851</xdr:colOff>
      <xdr:row>4</xdr:row>
      <xdr:rowOff>1579554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3990976"/>
          <a:ext cx="4838700" cy="1522403"/>
        </a:xfrm>
        <a:prstGeom prst="rect">
          <a:avLst/>
        </a:prstGeom>
      </xdr:spPr>
    </xdr:pic>
    <xdr:clientData/>
  </xdr:twoCellAnchor>
  <xdr:twoCellAnchor editAs="oneCell">
    <xdr:from>
      <xdr:col>0</xdr:col>
      <xdr:colOff>27986</xdr:colOff>
      <xdr:row>5</xdr:row>
      <xdr:rowOff>29416</xdr:rowOff>
    </xdr:from>
    <xdr:to>
      <xdr:col>0</xdr:col>
      <xdr:colOff>5119997</xdr:colOff>
      <xdr:row>5</xdr:row>
      <xdr:rowOff>1633632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86" y="5839666"/>
          <a:ext cx="5092011" cy="16042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67192</xdr:rowOff>
    </xdr:from>
    <xdr:to>
      <xdr:col>0</xdr:col>
      <xdr:colOff>4848225</xdr:colOff>
      <xdr:row>6</xdr:row>
      <xdr:rowOff>1589191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753867"/>
          <a:ext cx="4848225" cy="15219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456229</xdr:colOff>
      <xdr:row>39</xdr:row>
      <xdr:rowOff>65739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1429" cy="74952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63954</xdr:rowOff>
    </xdr:from>
    <xdr:to>
      <xdr:col>12</xdr:col>
      <xdr:colOff>456229</xdr:colOff>
      <xdr:row>70</xdr:row>
      <xdr:rowOff>25121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93454"/>
          <a:ext cx="7804086" cy="5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40822</xdr:rowOff>
    </xdr:from>
    <xdr:to>
      <xdr:col>12</xdr:col>
      <xdr:colOff>463742</xdr:colOff>
      <xdr:row>111</xdr:row>
      <xdr:rowOff>34400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375822"/>
          <a:ext cx="7811599" cy="78040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38100</xdr:rowOff>
    </xdr:from>
    <xdr:to>
      <xdr:col>12</xdr:col>
      <xdr:colOff>456229</xdr:colOff>
      <xdr:row>150</xdr:row>
      <xdr:rowOff>37172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183600"/>
          <a:ext cx="7771429" cy="74285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533401</xdr:colOff>
      <xdr:row>0</xdr:row>
      <xdr:rowOff>85726</xdr:rowOff>
    </xdr:from>
    <xdr:to>
      <xdr:col>20</xdr:col>
      <xdr:colOff>209550</xdr:colOff>
      <xdr:row>8</xdr:row>
      <xdr:rowOff>9525</xdr:rowOff>
    </xdr:to>
    <xdr:sp macro="" textlink="">
      <xdr:nvSpPr>
        <xdr:cNvPr id="2" name="TextBox 1"/>
        <xdr:cNvSpPr txBox="1"/>
      </xdr:nvSpPr>
      <xdr:spPr>
        <a:xfrm>
          <a:off x="9677401" y="85726"/>
          <a:ext cx="2724149" cy="14477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GENERAL REFERENCES</a:t>
          </a:r>
        </a:p>
        <a:p>
          <a:endParaRPr lang="en-US" sz="1400" b="1" baseline="0"/>
        </a:p>
        <a:p>
          <a:r>
            <a:rPr lang="en-US" sz="1100" baseline="0"/>
            <a:t>API Recommended Practice 7G-Addendum 1</a:t>
          </a:r>
        </a:p>
        <a:p>
          <a:r>
            <a:rPr lang="en-US" sz="1100" baseline="0"/>
            <a:t>29th Machinery's Handbook</a:t>
          </a:r>
        </a:p>
        <a:p>
          <a:r>
            <a:rPr lang="en-US" sz="1100" baseline="0"/>
            <a:t>API 6A/16A/17D</a:t>
          </a:r>
        </a:p>
        <a:p>
          <a:endParaRPr lang="en-US" sz="1100" baseline="0"/>
        </a:p>
        <a:p>
          <a:r>
            <a:rPr lang="en-US" sz="1100" u="sng" baseline="0"/>
            <a:t>See EM-428 for additional information.</a:t>
          </a:r>
          <a:endParaRPr lang="en-US" sz="1100" u="sng"/>
        </a:p>
      </xdr:txBody>
    </xdr:sp>
    <xdr:clientData/>
  </xdr:twoCellAnchor>
  <xdr:twoCellAnchor>
    <xdr:from>
      <xdr:col>0</xdr:col>
      <xdr:colOff>85725</xdr:colOff>
      <xdr:row>0</xdr:row>
      <xdr:rowOff>76196</xdr:rowOff>
    </xdr:from>
    <xdr:to>
      <xdr:col>15</xdr:col>
      <xdr:colOff>438150</xdr:colOff>
      <xdr:row>186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5725" y="76196"/>
              <a:ext cx="9496425" cy="3548062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THREAD DIMENSIONS</a:t>
              </a:r>
              <a:r>
                <a:rPr lang="en-US" sz="14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(NOMINAL)</a:t>
              </a:r>
              <a:endParaRPr 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𝝓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𝜙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𝐹𝑙𝑎𝑛𝑘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𝐴𝑛𝑔𝑙𝑒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Pitch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1922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𝑃𝑖𝑡𝑐h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𝑇𝑃𝐼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Thread Allowance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1924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𝐴𝑙𝑙𝑜𝑤𝑎𝑛𝑐𝑒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0.01     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𝑇𝑃𝐼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&gt;10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0.02     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𝑇𝑃𝐼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≤10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Major Diameter (Pin)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1924 Equation No. 1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𝑀𝑎𝑗𝑜𝑟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𝐷𝑖𝑎𝑚𝑒𝑡𝑒𝑟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𝑁𝑜𝑚𝑖𝑛𝑎𝑙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𝑆𝑖𝑧𝑒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Pitch Diameter (Pin)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1924 Equation No. 3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𝑃𝑖𝑡𝑐h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𝐷𝑖𝑎𝑚𝑒𝑡𝑒𝑟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𝑁𝑜𝑚𝑖𝑛𝑎𝑙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𝑆𝑖𝑧𝑒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−0.3∗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𝑃𝑖𝑡𝑐h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− 0.008∗ 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𝑁𝑜𝑚𝑖𝑛𝑎𝑙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𝑇h𝑟𝑒𝑎𝑑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𝑆𝑖𝑧𝑒</m:t>
                        </m:r>
                      </m:e>
                    </m:rad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Minor Diameter (Pin)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5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𝑀𝑖𝑛𝑜𝑟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𝐷𝑖𝑎𝑚𝑒𝑡𝑒𝑟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𝑁𝑜𝑚𝑖𝑛𝑎𝑙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𝑆𝑖𝑧𝑒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−0.6∗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𝑃𝑖𝑡𝑐h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𝐴𝑙𝑙𝑜𝑤𝑎𝑛𝑐𝑒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1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</a:t>
              </a:r>
              <a:r>
                <a:rPr lang="en-US" sz="1100" b="1" i="1" u="non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PRE-EXISTING SA CALCULATORS</a:t>
              </a:r>
              <a:endParaRPr lang="en-US" sz="1100" b="1" i="1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en-US" sz="1100" b="1" i="1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Major Diameter (Box)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7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𝑀𝑎𝑗𝑜𝑟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𝐷𝑖𝑎𝑚𝑒𝑡𝑒𝑟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𝑁𝑜𝑚𝑖𝑛𝑎𝑙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𝑆𝑖𝑧𝑒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𝐴𝑙𝑙𝑜𝑤𝑎𝑛𝑐𝑒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Pitch Diameter (Box)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9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𝑃𝑖𝑡𝑐h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𝐷𝑖𝑎𝑚𝑒𝑡𝑒𝑟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𝑁𝑜𝑚𝑖𝑛𝑎𝑙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𝑆𝑖𝑧𝑒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−0.3∗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𝑃𝑖𝑡𝑐h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1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 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PRE-EXISTING SA CALCULATORS</a:t>
              </a:r>
            </a:p>
            <a:p>
              <a:pPr algn="ctr"/>
              <a:endParaRPr lang="en-US" sz="1100" b="1" i="1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Minor Diameter (Box)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11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𝑀𝑖𝑛𝑜𝑟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𝐷𝑖𝑎𝑚𝑒𝑡𝑒𝑟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𝑁𝑜𝑚𝑖𝑛𝑎𝑙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𝑆𝑖𝑧𝑒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−0.6∗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𝑃𝑖𝑡𝑐h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0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 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PRE-EXISTING SA CALCULATORS</a:t>
              </a:r>
            </a:p>
            <a:p>
              <a:pPr algn="ctr"/>
              <a:endParaRPr lang="en-US" sz="1100" b="1" i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THREAD DIMENSIONS (TOLERANCES)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Major Diameter (Pin)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1924 Equation No. 2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𝑀𝑎𝑗𝑜𝑟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𝐷𝑖𝑎𝑚𝑒𝑡𝑒𝑟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− 0.5 ∗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𝑃𝑖𝑡𝑐h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 .0000</m:t>
                        </m:r>
                      </m:sup>
                    </m:sSubSup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Pitch Diameter (Pin)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1924 Equation No. 4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𝑃𝑖𝑡𝑐h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𝐷𝑖𝑎𝑚𝑒𝑡𝑒𝑟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− 0.006∗ </m:t>
                        </m:r>
                        <m:rad>
                          <m:radPr>
                            <m:degHide m:val="on"/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𝑁𝑜𝑚𝑖𝑛𝑎𝑙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𝑇h𝑟𝑒𝑎𝑑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𝑆𝑖𝑧𝑒</m:t>
                            </m:r>
                          </m:e>
                        </m:rad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0.03</m:t>
                        </m:r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∗ 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𝑃𝑖𝑡𝑐h</m:t>
                            </m:r>
                          </m:e>
                        </m:rad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 .000</m:t>
                        </m:r>
                      </m:sup>
                    </m:sSubSup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Minor Diameter (Pin)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6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𝑀𝑖𝑛𝑜𝑟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𝐷𝑖𝑎𝑚𝑒𝑡𝑒𝑟</m:t>
                        </m:r>
                      </m:e>
                      <m:sub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−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0.006∗ </m:t>
                        </m:r>
                        <m:rad>
                          <m:radPr>
                            <m:degHide m:val="on"/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𝑁𝑜𝑚𝑖𝑛𝑎𝑙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𝑇h𝑟𝑒𝑎𝑑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𝑆𝑖𝑧𝑒</m:t>
                            </m:r>
                          </m:e>
                        </m:rad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0.03</m:t>
                        </m:r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∗ 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𝑃𝑖𝑡𝑐h</m:t>
                            </m:r>
                          </m:e>
                        </m:rad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 .0000</m:t>
                        </m:r>
                      </m:sup>
                    </m:sSubSup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1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 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PRE-EXISTING SA CALCULATORS</a:t>
              </a:r>
            </a:p>
            <a:p>
              <a:pPr algn="ctr"/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Major Diameter (Box)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8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𝑀𝑎𝑗𝑜𝑟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𝐷𝑖𝑎𝑚𝑒𝑡𝑒𝑟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 .0000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0.006∗ </m:t>
                        </m:r>
                        <m:rad>
                          <m:radPr>
                            <m:degHide m:val="on"/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𝑁𝑜𝑚𝑖𝑛𝑎𝑙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𝑇h𝑟𝑒𝑎𝑑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𝑆𝑖𝑧𝑒</m:t>
                            </m:r>
                          </m:e>
                        </m:rad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0.03</m:t>
                        </m:r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∗ 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𝑃𝑖𝑡𝑐h</m:t>
                            </m:r>
                          </m:e>
                        </m:rad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  </m:t>
                        </m:r>
                      </m:sup>
                    </m:sSubSup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1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 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PRE-EXISTING SA CALCULATORS</a:t>
              </a:r>
            </a:p>
            <a:p>
              <a:pPr algn="ctr"/>
              <a:endParaRPr lang="en-US" sz="1100" b="1" i="1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Pitch Diameter (Box)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10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𝑃𝑖𝑡𝑐h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𝐷𝑖𝑎𝑚𝑒𝑡𝑒𝑟</m:t>
                        </m:r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 .0000</m:t>
                        </m:r>
                      </m:sub>
                      <m:sup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0.006∗ </m:t>
                        </m:r>
                        <m:rad>
                          <m:radPr>
                            <m:degHide m:val="on"/>
                            <m:ctrlPr>
                              <a:rPr lang="en-US" sz="1100" b="1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𝑁𝑜𝑚𝑖𝑛𝑎𝑙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𝑇h𝑟𝑒𝑎𝑑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𝑆𝑖𝑧𝑒</m:t>
                            </m:r>
                          </m:e>
                        </m:rad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0.03</m:t>
                        </m:r>
                        <m:r>
                          <a:rPr lang="en-US" sz="1100" b="1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∗ 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𝑃𝑖𝑡𝑐h</m:t>
                            </m:r>
                          </m:e>
                        </m:rad>
                      </m:sup>
                    </m:sSubSup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1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 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PRE-EXISTING SA CALCULATORS</a:t>
              </a:r>
            </a:p>
            <a:p>
              <a:pPr algn="ctr"/>
              <a:endParaRPr lang="en-US" sz="1100" b="1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Minor Diameter (Box)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12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𝑀𝑖𝑛𝑜𝑟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𝐷𝑖𝑎𝑚𝑒𝑡𝑒𝑟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 .0000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+ 0.05 ∗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𝑃𝑖𝑡𝑐h</m:t>
                        </m:r>
                      </m:sup>
                    </m:sSubSup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YIELD LOADS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Relief (In Tension) 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Derived equation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𝐵𝑜𝑥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𝑅𝑒𝑙𝑖𝑒𝑓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𝐼𝑛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𝑇𝑒𝑛𝑠𝑖𝑜𝑛</m:t>
                        </m:r>
                      </m:e>
                    </m:d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𝐵𝑜𝑥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𝑌𝑖𝑒𝑙𝑑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𝜋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𝐵𝑜𝑥𝑂𝐷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𝐵𝑜𝑥𝑅𝑒𝑙𝑖𝑒𝑓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Threads (Shear)-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EC-011 Rev.01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𝐵𝑜𝑥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𝑆h𝑒𝑎𝑟</m:t>
                        </m:r>
                      </m:e>
                    </m:d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=0.577∗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𝐵𝑜𝑥𝑌𝑖𝑒𝑙𝑑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𝜋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𝑇𝑃𝐼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𝐸𝑛𝑔𝑎𝑔𝑒𝑚𝑒𝑛𝑡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𝑁𝑜𝑚𝑖𝑛𝑎𝑙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𝑇h𝑟𝑒𝑎𝑑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𝑆𝑖𝑧𝑒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𝐵𝑜𝑥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𝑀𝑖𝑛𝑜𝑟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𝐷𝑖𝑎𝑚𝑒𝑡𝑒𝑟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𝑇𝑜𝑙𝑒𝑟𝑎𝑛𝑐𝑒</m:t>
                        </m:r>
                      </m:e>
                    </m:d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∗(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2∗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𝑇𝑃𝐼</m:t>
                        </m:r>
                      </m:den>
                    </m:f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𝑁𝑜𝑚𝑖𝑛𝑎𝑙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𝑇h𝑟𝑒𝑎𝑑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𝑆𝑖𝑧𝑒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𝐵𝑜𝑥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𝑀𝑖𝑛𝑜𝑟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𝐷𝑖𝑎𝑚𝑡𝑒𝑟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𝑇𝑜𝑙𝑒𝑟𝑎𝑛𝑐𝑒</m:t>
                            </m:r>
                          </m:e>
                        </m:d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𝐵𝑜𝑥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𝑃𝑖𝑡𝑐h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𝐷𝑖𝑎𝑚𝑒𝑡𝑒𝑟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𝐵𝑜𝑥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𝑃𝑖𝑡𝑐h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𝐷𝑖𝑎𝑚𝑒𝑡𝑒𝑟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𝑇𝑜𝑙𝑒𝑟𝑎𝑛𝑐𝑒</m:t>
                            </m:r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func>
                      <m:func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tan</m:t>
                        </m:r>
                      </m:fName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𝜙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Relief (Tension)  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Derived equation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𝑃𝑖𝑛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𝑅𝑒𝑙𝑖𝑒𝑓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𝑇𝑒𝑛𝑠𝑖𝑜𝑛</m:t>
                        </m:r>
                      </m:e>
                    </m:d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𝑃𝑖𝑛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𝑌𝑖𝑒𝑙𝑑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𝜋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den>
                    </m:f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𝑃𝑖𝑛𝑅𝑒𝑙𝑖𝑒𝑓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𝑃𝑖𝑛𝐼𝐷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Threads (Shear) 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EC-011 Rev.01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𝑃𝑖𝑛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𝑆h𝑒𝑎𝑟</m:t>
                        </m:r>
                      </m:e>
                    </m:d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0.577∗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𝐵𝑜𝑥𝑌𝑖𝑒𝑙𝑑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𝜋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𝑇𝑃𝐼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𝐸𝑛𝑔𝑎𝑔𝑒𝑚𝑒𝑛𝑡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𝐵𝑜𝑥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𝑀𝑖𝑛𝑜𝑟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𝐷𝑖𝑎𝑚𝑒𝑡𝑒𝑟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𝐵𝑜𝑥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𝑀𝑖𝑛𝑜𝑟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𝐷𝑖𝑎𝑚𝑒𝑡𝑒𝑟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𝑇𝑜𝑙𝑒𝑟𝑎𝑛𝑐𝑒</m:t>
                        </m:r>
                      </m:e>
                    </m:d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∗(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2∗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𝑇𝑃𝐼</m:t>
                        </m:r>
                      </m:den>
                    </m:f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𝑃𝑖𝑛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𝑃𝑖𝑡𝑐h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𝐷𝑖𝑎𝑚𝑡𝑒𝑟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𝑃𝑖𝑛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𝑃𝑖𝑡𝑐h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𝐷𝑖𝑎𝑚𝑡𝑒𝑟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𝑇𝑜𝑙𝑒𝑟𝑎𝑛𝑐𝑒</m:t>
                            </m:r>
                          </m:e>
                        </m:d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𝐵𝑜𝑥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𝑀𝑖𝑛𝑜𝑟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𝐷𝑖𝑎𝑚𝑒𝑡𝑒𝑟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𝐵𝑜𝑥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𝑀𝑖𝑛𝑜𝑟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𝐷𝑖𝑎𝑚𝑒𝑡𝑒𝑟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𝑇𝑜𝑙𝑒𝑟𝑎𝑛𝑐𝑒</m:t>
                            </m:r>
                          </m:e>
                        </m:d>
                      </m:e>
                    </m:d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func>
                      <m:func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tan</m:t>
                        </m:r>
                      </m:fName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𝜙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Bearing Area 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Derived equation)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𝐵𝑒𝑎𝑟𝑖𝑛𝑔𝐴𝑟𝑒𝑎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𝑂𝑢𝑡𝑠𝑖𝑑𝑒𝑆h𝑜𝑢𝑙𝑑𝑒𝑟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𝐼𝑛𝑠𝑖𝑑𝑒𝑆h𝑜𝑢𝑙𝑑𝑒𝑟</m:t>
                                    </m:r>
                                  </m:num>
                                  <m:den>
                                    <m:func>
                                      <m:funcPr>
                                        <m:ctrlP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cos</m:t>
                                        </m:r>
                                      </m:fName>
                                      <m:e>
                                        <m:d>
                                          <m:dPr>
                                            <m:ctrlP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/>
                                                <a:ea typeface="Cambria Math"/>
                                                <a:cs typeface="+mn-cs"/>
                                              </a:rPr>
                                              <m:t>𝝦</m:t>
                                            </m:r>
                                          </m:e>
                                        </m:d>
                                      </m:e>
                                    </m:func>
                                  </m:den>
                                </m:f>
                              </m:e>
                            </m:d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∗(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𝐼𝑛𝑠𝑖𝑑𝑒𝑆h𝑜𝑢𝑙𝑑𝑒𝑟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+ 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𝑂𝑢𝑡𝑠𝑖𝑑𝑒𝑆h𝑜𝑢𝑙𝑑𝑒𝑟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𝐼𝑛𝑠𝑖𝑑𝑒𝑆h𝑜𝑢𝑙𝑑𝑒𝑟</m:t>
                                    </m:r>
                                  </m:num>
                                  <m:den>
                                    <m:func>
                                      <m:funcPr>
                                        <m:ctrlPr>
                                          <a:rPr lang="en-US" sz="1100" b="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uncPr>
                                      <m:fName>
                                        <m:r>
                                          <m:rPr>
                                            <m:sty m:val="p"/>
                                          </m:rPr>
                                          <a:rPr lang="en-US" sz="1100" b="0" i="0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cos</m:t>
                                        </m:r>
                                      </m:fName>
                                      <m:e>
                                        <m:d>
                                          <m:dPr>
                                            <m:ctrlP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dk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  <m:t>𝝦</m:t>
                                            </m:r>
                                          </m:e>
                                        </m:d>
                                      </m:e>
                                    </m:func>
                                  </m:den>
                                </m:f>
                              </m:e>
                            </m:d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∗2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𝝅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    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𝑖𝑠𝐵𝑎𝑐𝑘𝐴𝑛𝑔𝑙𝑒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="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𝑌𝑒𝑠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Cambria Math"/>
                                <a:cs typeface="+mn-cs"/>
                              </a:rPr>
                              <m:t>" </m:t>
                            </m:r>
                          </m:e>
                          <m:e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Cambria Math"/>
                                    <a:cs typeface="+mn-cs"/>
                                  </a:rPr>
                                  <m:t>𝝅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∗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𝑂𝑢𝑡𝑠𝑖𝑑𝑒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𝑆h𝑜𝑢𝑙𝑑𝑒𝑟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− 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𝐼𝑛𝑠𝑖𝑑𝑒𝑆h𝑜𝑢𝑙𝑑𝑒𝑟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                                                                                                                      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𝑖𝑠𝐵𝑎𝑐𝑘𝐴𝑛𝑔𝑙𝑒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="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𝑁𝑜</m:t>
                            </m:r>
                            <m:r>
                              <a:rPr lang="en-U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"</m:t>
                            </m:r>
                          </m:e>
                        </m:eqArr>
                      </m:e>
                    </m:d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Bearing Shoulder 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Derived equation)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𝐵𝑜𝑥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𝐵𝑒𝑎𝑟𝑖𝑛𝑔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𝑆h𝑜𝑢𝑙𝑑𝑒𝑟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𝐵𝑜𝑥𝑌𝑖𝑒𝑙𝑑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𝐵𝑒𝑎𝑟𝑖𝑛𝑔𝐴𝑟𝑒𝑎</m:t>
                    </m:r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Bearing Shoulder- 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Derived equation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𝑃𝑖𝑛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𝐵𝑒𝑎𝑟𝑖𝑛𝑔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𝑆h𝑜𝑢𝑙𝑑𝑒𝑟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𝑃𝑖𝑛𝑌𝑖𝑒𝑙𝑑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𝐵𝑒𝑎𝑟𝑖𝑛𝑔𝐴𝑟𝑒𝑎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YIELD TORQUES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Yield Torque (</a:t>
              </a:r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Ref: </a:t>
              </a:r>
              <a:r>
                <a:rPr lang="en-US" sz="1100" b="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ACME/STUB ACME Thread Strength Calculation -Wihaga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𝑌𝑖𝑒𝑙𝑑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𝑇𝑜𝑟𝑞𝑢𝑒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𝐴𝑥𝑖𝑎𝑙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𝐹𝑜𝑟𝑐𝑒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∗(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𝑃𝑖𝑡𝑐h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𝜋</m:t>
                                </m:r>
                              </m:den>
                            </m:f>
                          </m:e>
                        </m:d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𝑃𝑖𝑡𝑐h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𝐷𝑖𝑎𝑚𝑒𝑡𝑒𝑟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∗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𝐹𝑟𝑖𝑐𝑡𝑖𝑜𝑛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𝐹𝑎𝑐𝑡𝑜𝑟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2∗</m:t>
                                </m:r>
                                <m:func>
                                  <m:funcPr>
                                    <m:ctrlPr>
                                      <a:rPr lang="en-US" sz="110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r>
                                      <m:rPr>
                                        <m:sty m:val="p"/>
                                      </m:rPr>
                                      <a:rPr lang="en-US" sz="1100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  <m:t>cos</m:t>
                                    </m:r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dk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  <m:t>𝜙</m:t>
                                        </m:r>
                                      </m:e>
                                    </m:d>
                                  </m:e>
                                </m:func>
                              </m:den>
                            </m:f>
                          </m:e>
                        </m:d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𝑀𝑖𝑑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𝑃𝑜𝑖𝑛𝑡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𝑅𝑎𝑑𝑖𝑢𝑠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𝐹𝑟𝑖𝑐𝑡𝑖𝑜𝑛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𝐹𝑎𝑐𝑡𝑜𝑟</m:t>
                            </m:r>
                          </m:e>
                        </m:d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) 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12</m:t>
                        </m:r>
                      </m:den>
                    </m:f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BENDING STRENGTH RATIO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Section Modulus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API Recommended Practice 7G – Addendum 1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𝐵𝑜𝑥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𝑆𝑒𝑐𝑡𝑖𝑜𝑛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𝑀𝑜𝑑𝑢𝑙𝑢𝑠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𝜋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32</m:t>
                        </m:r>
                      </m:den>
                    </m:f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𝐵𝑜𝑥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𝑂𝐷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𝐵𝑜𝑥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𝑅𝑒𝑙𝑖𝑒𝑓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𝐵𝑜𝑥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𝑂𝐷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Section Modulus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API Recommended Practice 7G – Addendum 1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𝑃𝑖𝑛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𝑆𝑒𝑐𝑡𝑖𝑜𝑛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𝑀𝑜𝑑𝑢𝑙𝑢𝑠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𝜋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32</m:t>
                        </m:r>
                      </m:den>
                    </m:f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𝑃𝑖𝑛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𝑅𝑒𝑙𝑖𝑒𝑓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𝑃𝑖𝑛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𝐼𝐷</m:t>
                            </m:r>
                          </m:e>
                          <m:sup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</m:sSup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𝐵𝑜𝑥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𝑂𝐷</m:t>
                        </m:r>
                      </m:den>
                    </m:f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Bending Strength Ratio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API Recommended Practice 7G – Addendum 1, Eqn A.27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𝐵𝑆𝑅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𝐵𝑜𝑥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𝑆𝑒𝑐𝑡𝑖𝑜𝑛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𝑀𝑜𝑑𝑢𝑙𝑢𝑠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𝑃𝑖𝑛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𝑆𝑒𝑐𝑡𝑖𝑜𝑛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𝑀𝑜𝑑𝑢𝑙𝑢𝑠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PLANAR STRESS AT PERIPHERIES</a:t>
              </a:r>
            </a:p>
            <a:p>
              <a:endParaRPr lang="en-US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Shear Stress (Edge) </a:t>
              </a:r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Mechanics</a:t>
              </a:r>
              <a:r>
                <a:rPr lang="en-US" sz="1100" b="0" i="1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Materials 4E - Pg. 140, EQN .3.9</a:t>
              </a:r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𝑚𝑎𝑥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𝐽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𝑏𝑜𝑥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𝑚𝑎𝑥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𝐵𝑜𝑥𝑂𝐷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𝐽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𝑏𝑜𝑥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𝝅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∗(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𝐵𝑜𝑥𝑂𝐷</m:t>
                        </m:r>
                      </m:e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𝐵𝑜𝑥𝑅𝑒𝑙𝑖𝑒𝑓</m:t>
                        </m:r>
                      </m:e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Shear Stress (Edge)</a:t>
              </a:r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Mechanics</a:t>
              </a:r>
              <a:r>
                <a:rPr lang="en-US" sz="1100" b="0" i="1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Materials 4E - Pg. 140, EQN .3.9</a:t>
              </a:r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𝜏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𝑚𝑎𝑥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𝑇</m:t>
                        </m:r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𝐽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𝑝𝑖𝑛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𝑚𝑎𝑥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𝑃𝑖𝑛𝑂𝐷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𝐽</m:t>
                        </m:r>
                      </m:e>
                      <m:sub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𝑝𝑖𝑛</m:t>
                        </m:r>
                      </m:sub>
                    </m:sSub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𝝅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Cambria Math"/>
                        <a:cs typeface="+mn-cs"/>
                      </a:rPr>
                      <m:t> 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𝑃𝑖𝑛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𝑅𝑒𝑙𝑖𝑒𝑓</m:t>
                        </m:r>
                      </m:e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 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𝑃𝑖𝑛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𝐼𝐷</m:t>
                        </m:r>
                      </m:e>
                      <m:sup>
                        <m: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DE-RATED PULL STRENGTH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De-rated Pull Strength –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API Recommended Practice 7G – Addendum 1 &amp; Equation of a Line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𝑃𝑆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𝑁𝑜𝑚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. 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𝑃𝑆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,  &amp;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𝐼𝑛𝑝𝑢𝑡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𝑇𝑜𝑟𝑞𝑢𝑒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≤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𝑆h𝑜𝑢𝑙𝑑𝑒𝑟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𝑆𝑒𝑝𝑒𝑟𝑎𝑡𝑖𝑜𝑛</m:t>
                            </m:r>
                          </m:e>
                          <m:e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𝑁𝑜𝑚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. 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𝑃𝑆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𝐼𝑛𝑝𝑢𝑡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𝑇𝑜𝑟𝑞𝑢𝑒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𝑆h𝑜𝑢𝑙𝑑𝑒𝑟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𝑆𝑒𝑝𝑒𝑟𝑎𝑡𝑖𝑜𝑛</m:t>
                                </m:r>
                              </m:e>
                            </m:d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𝑆𝑙𝑜𝑝𝑒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,  &amp;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𝐼𝑛𝑝𝑢𝑡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𝑇𝑜𝑟𝑞𝑢𝑒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&gt;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𝑆h𝑜𝑢𝑙𝑑𝑒𝑟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𝑆𝑒𝑝𝑒𝑟𝑎𝑡𝑖𝑜𝑛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BEARING RATIO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Bearing Ratio 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Derived equation)</a:t>
              </a:r>
              <a:endParaRPr lang="en-US" sz="1100" b="1" u="sng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𝐵𝑒𝑎𝑟𝑖𝑛𝑔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𝑅𝑎𝑡𝑖𝑜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𝐴𝑥𝑖𝑎𝑙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𝐹𝑜𝑟𝑐𝑒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𝑃𝑖𝑛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𝐵𝑒𝑎𝑟𝑖𝑛𝑔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𝐹𝑜𝑟𝑐𝑒</m:t>
                                </m:r>
                              </m:den>
                            </m:f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, 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𝐸𝑥𝑡𝑒𝑟𝑛𝑎𝑙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𝑆h𝑜𝑢𝑙𝑑𝑒𝑟</m:t>
                            </m:r>
                          </m:e>
                          <m:e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𝐴𝑥𝑖𝑎𝑙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𝐹𝑜𝑟𝑐𝑒</m:t>
                                </m:r>
                              </m:num>
                              <m:den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𝐵𝑜𝑥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𝐵𝑒𝑎𝑟𝑖𝑛𝑔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n-US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𝐹𝑜𝑟𝑐𝑒</m:t>
                                </m:r>
                              </m:den>
                            </m:f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, 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𝐼𝑛𝑡𝑒𝑟𝑛𝑎𝑙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𝑆h𝑜𝑢𝑙𝑑𝑒𝑟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PACKERS PLUS STANDARDS</a:t>
              </a:r>
            </a:p>
            <a:p>
              <a:endParaRPr 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Relief Length 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𝑅𝑒𝑙𝑖𝑒𝑓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  2 ∗ 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𝑃𝑖𝑡𝑐h</m:t>
                    </m:r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Counterbore Length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𝐶𝑜𝑢𝑛𝑡𝑒𝑟𝑏𝑜𝑟𝑒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=2 ∗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𝑃𝑖𝑡𝑐h</m:t>
                    </m:r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Maching Allowance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𝑀𝑎𝑐h𝑖𝑛𝑖𝑛𝑔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𝐴𝑙𝑙𝑜𝑤𝑎𝑛𝑐𝑒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=2 ∗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𝑃𝑖𝑡𝑐h</m:t>
                    </m:r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Relief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𝐵𝑜𝑥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𝑅𝑒𝑙𝑖𝑒𝑓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𝑀𝑎𝑗𝑜𝑟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𝐷𝑖𝑎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 + .040</m:t>
                    </m:r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Relief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𝑃𝑖𝑛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𝑅𝑒𝑙𝑖𝑒𝑓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𝑀𝑖𝑛𝑜𝑟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𝐷𝑖𝑎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. − .040 </m:t>
                    </m:r>
                  </m:oMath>
                </m:oMathPara>
              </a14:m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05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Thread Engagement</a:t>
              </a:r>
            </a:p>
            <a:p>
              <a:endParaRPr lang="en-US" sz="105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𝑇h𝑟𝑒𝑎𝑑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𝐸𝑛𝑔𝑎𝑔𝑒𝑚𝑒𝑛𝑡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𝑂𝑣𝑒𝑟𝑎𝑙𝑙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𝑅𝑒𝑙𝑖𝑒𝑓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𝐶𝑜𝑢𝑛𝑡𝑒𝑟𝑏𝑜𝑟𝑒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−2∗</m:t>
                    </m:r>
                    <m:r>
                      <a:rPr lang="en-US" sz="1100" i="1">
                        <a:solidFill>
                          <a:schemeClr val="dk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𝑃𝑖𝑡𝑐h</m:t>
                    </m:r>
                  </m:oMath>
                </m:oMathPara>
              </a14:m>
              <a:endParaRPr lang="en-US" sz="1050">
                <a:effectLst/>
              </a:endParaRPr>
            </a:p>
            <a:p>
              <a:endParaRPr lang="en-US" sz="105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725" y="76196"/>
              <a:ext cx="9496425" cy="3548062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THREAD DIMENSIONS</a:t>
              </a:r>
              <a:r>
                <a:rPr lang="en-US" sz="14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(NOMINAL)</a:t>
              </a:r>
              <a:endParaRPr 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𝝓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𝜙=(𝐹𝑙𝑎𝑛𝑘 𝐴𝑛𝑔𝑙𝑒)/2  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Pitch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1922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𝑃𝑖𝑡𝑐ℎ=1/𝑇𝑃𝐼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Thread Allowance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1924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𝑇ℎ𝑟𝑒𝑎𝑑 𝐴𝑙𝑙𝑜𝑤𝑎𝑛𝑐𝑒={█( 0.01      𝑇𝑃𝐼&gt;10@ 0.02      𝑇𝑃𝐼≤10)┤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Major Diameter (Pin)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1924 Equation No. 1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𝑀𝑎𝑗𝑜𝑟 𝐷𝑖𝑎𝑚𝑒𝑡𝑒𝑟=𝑁𝑜𝑚𝑖𝑛𝑎𝑙 𝑇ℎ𝑟𝑒𝑎𝑑 𝑆𝑖𝑧𝑒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Pitch Diameter (Pin)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1924 Equation No. 3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𝑃𝑖𝑡𝑐ℎ 𝐷𝑖𝑎𝑚𝑒𝑡𝑒𝑟=𝑁𝑜𝑚𝑖𝑛𝑎𝑙 𝑇ℎ𝑟𝑒𝑎𝑑 𝑆𝑖𝑧𝑒−0.3∗𝑃𝑖𝑡𝑐ℎ− 0.008∗ √(𝑁𝑜𝑚𝑖𝑛𝑎𝑙 𝑇ℎ𝑟𝑒𝑎𝑑 𝑆𝑖𝑧𝑒)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Minor Diameter (Pin)</a:t>
              </a:r>
              <a:r>
                <a:rPr 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5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𝑀𝑖𝑛𝑜𝑟 𝐷𝑖𝑎𝑚𝑒𝑡𝑒𝑟=𝑁𝑜𝑚𝑖𝑛𝑎𝑙 𝑇ℎ𝑟𝑒𝑎𝑑 𝑆𝑖𝑧𝑒−0.6∗𝑃𝑖𝑡𝑐ℎ−𝑇ℎ𝑟𝑒𝑎𝑑 𝐴𝑙𝑙𝑜𝑤𝑎𝑛𝑐𝑒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1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</a:t>
              </a:r>
              <a:r>
                <a:rPr lang="en-US" sz="1100" b="1" i="1" u="non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PRE-EXISTING SA CALCULATORS</a:t>
              </a:r>
              <a:endParaRPr lang="en-US" sz="1100" b="1" i="1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en-US" sz="1100" b="1" i="1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Major Diameter (Box)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7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𝑀𝑎𝑗𝑜𝑟 𝐷𝑖𝑎𝑚𝑒𝑡𝑒𝑟=𝑁𝑜𝑚𝑖𝑛𝑎𝑙 𝑇ℎ𝑟𝑒𝑎𝑑 𝑆𝑖𝑧𝑒+𝑇ℎ𝑟𝑒𝑎𝑑 𝐴𝑙𝑙𝑜𝑤𝑎𝑛𝑐𝑒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Pitch Diameter (Box)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9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𝑃𝑖𝑡𝑐ℎ 𝐷𝑖𝑎𝑚𝑒𝑡𝑒𝑟=𝑁𝑜𝑚𝑖𝑛𝑎𝑙 𝑇ℎ𝑟𝑒𝑎𝑑 𝑆𝑖𝑧𝑒−0.3∗𝑃𝑖𝑡𝑐ℎ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1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 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PRE-EXISTING SA CALCULATORS</a:t>
              </a:r>
            </a:p>
            <a:p>
              <a:pPr algn="ctr"/>
              <a:endParaRPr lang="en-US" sz="1100" b="1" i="1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Minor Diameter (Box)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11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𝑀𝑖𝑛𝑜𝑟 𝐷𝑖𝑎𝑚𝑒𝑡𝑒𝑟=𝑁𝑜𝑚𝑖𝑛𝑎𝑙 𝑇ℎ𝑟𝑒𝑎𝑑 𝑆𝑖𝑧𝑒−0.6∗𝑃𝑖𝑡𝑐ℎ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0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 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PRE-EXISTING SA CALCULATORS</a:t>
              </a:r>
            </a:p>
            <a:p>
              <a:pPr algn="ctr"/>
              <a:endParaRPr lang="en-US" sz="1100" b="1" i="0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THREAD DIMENSIONS (TOLERANCES)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Major Diameter (Pin)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1924 Equation No. 2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𝑀𝑎𝑗𝑜𝑟 𝐷𝑖𝑎𝑚𝑒𝑡𝑒𝑟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− 0.5 ∗ 𝑃𝑖𝑡𝑐ℎ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)^(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+ .0000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Pitch Diameter (Pin)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</a:t>
              </a:r>
              <a:r>
                <a:rPr lang="en-US" sz="1100" i="1" u="sng" baseline="300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Edition, Pg. 1924 Equation No. 4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𝑃𝑖𝑡𝑐ℎ 𝐷𝑖𝑎𝑚𝑒𝑡𝑒𝑟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〗_(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− 0.006∗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√(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𝑁𝑜𝑚𝑖𝑛𝑎𝑙 𝑇ℎ𝑟𝑒𝑎𝑑 𝑆𝑖𝑧𝑒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)+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0.03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∗ √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𝑃𝑖𝑡𝑐ℎ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)^(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+ .000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Minor Diameter (Pin)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6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𝑀𝑖𝑛𝑜𝑟 𝐷𝑖𝑎𝑚𝑒𝑡𝑒𝑟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〗_( −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0.006∗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√(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𝑁𝑜𝑚𝑖𝑛𝑎𝑙 𝑇ℎ𝑟𝑒𝑎𝑑 𝑆𝑖𝑧𝑒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)+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0.03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∗ √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𝑃𝑖𝑡𝑐ℎ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)^(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+ .0000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1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 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PRE-EXISTING SA CALCULATORS</a:t>
              </a:r>
            </a:p>
            <a:p>
              <a:pPr algn="ctr"/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Major Diameter (Box)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8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𝑀𝑎𝑗𝑜𝑟 𝐷𝑖𝑎𝑚𝑒𝑡𝑒𝑟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〗_(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− .0000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)^(+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0.006∗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√(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𝑁𝑜𝑚𝑖𝑛𝑎𝑙 𝑇ℎ𝑟𝑒𝑎𝑑 𝑆𝑖𝑧𝑒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)+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0.03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∗ √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𝑃𝑖𝑡𝑐ℎ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   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1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 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PRE-EXISTING SA CALCULATORS</a:t>
              </a:r>
            </a:p>
            <a:p>
              <a:pPr algn="ctr"/>
              <a:endParaRPr lang="en-US" sz="1100" b="1" i="1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Pitch Diameter (Box)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10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𝑃𝑖𝑡𝑐ℎ 𝐷𝑖𝑎𝑚𝑒𝑡𝑒𝑟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〗_(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− .0000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)^(+ 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0.006∗ 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√(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𝑁𝑜𝑚𝑖𝑛𝑎𝑙 𝑇ℎ𝑟𝑒𝑎𝑑 𝑆𝑖𝑧𝑒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)+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0.03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∗ √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𝑃𝑖𝑡𝑐ℎ</a:t>
              </a:r>
              <a:r>
                <a:rPr lang="en-US" sz="1100" b="1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1" i="1" u="non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THIS EQN DIFFERS FROM THE FORM GIVEN IN THE REFERENCE MATERIAL BUT MATCHES </a:t>
              </a:r>
              <a:r>
                <a:rPr lang="en-US" sz="1100" b="1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PRE-EXISTING SA CALCULATORS</a:t>
              </a:r>
            </a:p>
            <a:p>
              <a:pPr algn="ctr"/>
              <a:endParaRPr lang="en-US" sz="1100" b="1" u="non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Minor Diameter (Box)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Machinery’s Handbook 29th Edition, Pg. 1924 Equation No. 12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〖𝑀𝑖𝑛𝑜𝑟 𝐷𝑖𝑎𝑚𝑒𝑡𝑒𝑟 〗_(− .0000)^(+ 0.05 ∗ 𝑃𝑖𝑡𝑐ℎ)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YIELD LOADS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Relief (In Tension) 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Derived equation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𝐵𝑜𝑥 𝑅𝑒𝑙𝑖𝑒𝑓 (𝐼𝑛 𝑇𝑒𝑛𝑠𝑖𝑜𝑛)=𝐵𝑜𝑥 𝑌𝑖𝑒𝑙𝑑∗  𝜋/4∗(〖𝐵𝑜𝑥𝑂𝐷〗^2−〖𝐵𝑜𝑥𝑅𝑒𝑙𝑖𝑒𝑓〗^2 )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Threads (Shear)-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EC-011 Rev.01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𝐵𝑜𝑥 𝑇ℎ𝑟𝑒𝑎𝑑𝑠 (𝑆ℎ𝑒𝑎𝑟)=0.577∗𝐵𝑜𝑥𝑌𝑖𝑒𝑙𝑑∗ 𝜋∗𝑇𝑃𝐼∗𝑇ℎ𝑟𝑒𝑎𝑑 𝐸𝑛𝑔𝑎𝑔𝑒𝑚𝑒𝑛𝑡∗(𝑁𝑜𝑚𝑖𝑛𝑎𝑙 𝑇ℎ𝑟𝑒𝑎𝑑 𝑆𝑖𝑧𝑒−𝐵𝑜𝑥 𝑀𝑖𝑛𝑜𝑟 𝐷𝑖𝑎𝑚𝑒𝑡𝑒𝑟 𝑇𝑜𝑙𝑒𝑟𝑎𝑛𝑐𝑒)∗(  1/(2∗𝑇𝑃𝐼)+((𝑁𝑜𝑚𝑖𝑛𝑎𝑙 𝑇ℎ𝑟𝑒𝑎𝑑 𝑆𝑖𝑧𝑒−𝐵𝑜𝑥 𝑀𝑖𝑛𝑜𝑟 𝐷𝑖𝑎𝑚𝑡𝑒𝑟 𝑇𝑜𝑙𝑒𝑟𝑎𝑛𝑐𝑒)−(𝐵𝑜𝑥 𝑃𝑖𝑡𝑐ℎ 𝐷𝑖𝑎𝑚𝑒𝑡𝑒𝑟+𝐵𝑜𝑥 𝑃𝑖𝑡𝑐ℎ 𝐷𝑖𝑎𝑚𝑒𝑡𝑒𝑟 𝑇𝑜𝑙𝑒𝑟𝑎𝑛𝑐𝑒))∗tan⁡〖(𝜙)〗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Relief (Tension)  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Derived equation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𝑃𝑖𝑛 𝑅𝑒𝑙𝑖𝑒𝑓 (𝑇𝑒𝑛𝑠𝑖𝑜𝑛)= 𝑃𝑖𝑛 𝑌𝑖𝑒𝑙𝑑∗  𝜋/4∗(〖𝑃𝑖𝑛𝑅𝑒𝑙𝑖𝑒𝑓〗^2−〖𝑃𝑖𝑛𝐼𝐷〗^2 )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Threads (Shear) 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EC-011 Rev.01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𝑃𝑖𝑛 𝑇ℎ𝑟𝑒𝑎𝑑𝑠 (𝑆ℎ𝑒𝑎𝑟)= 0.577∗𝐵𝑜𝑥𝑌𝑖𝑒𝑙𝑑∗ 𝜋∗𝑇𝑃𝐼∗𝑇ℎ𝑟𝑒𝑎𝑑 𝐸𝑛𝑔𝑎𝑔𝑒𝑚𝑒𝑛𝑡∗(𝐵𝑜𝑥 𝑀𝑖𝑛𝑜𝑟 𝐷𝑖𝑎𝑚𝑒𝑡𝑒𝑟−𝐵𝑜𝑥 𝑀𝑖𝑛𝑜𝑟 𝐷𝑖𝑎𝑚𝑒𝑡𝑒𝑟 𝑇𝑜𝑙𝑒𝑟𝑎𝑛𝑐𝑒)∗(  1/(2∗𝑇𝑃𝐼)+((𝑃𝑖𝑛 𝑃𝑖𝑡𝑐ℎ 𝐷𝑖𝑎𝑚𝑡𝑒𝑟−𝑃𝑖𝑛 𝑃𝑖𝑡𝑐ℎ 𝐷𝑖𝑎𝑚𝑡𝑒𝑟 𝑇𝑜𝑙𝑒𝑟𝑎𝑛𝑐𝑒)−(𝐵𝑜𝑥 𝑀𝑖𝑛𝑜𝑟 𝐷𝑖𝑎𝑚𝑒𝑡𝑒𝑟+𝐵𝑜𝑥 𝑀𝑖𝑛𝑜𝑟 𝐷𝑖𝑎𝑚𝑒𝑡𝑒𝑟 𝑇𝑜𝑙𝑒𝑟𝑎𝑛𝑐𝑒))∗tan⁡〖(𝜙)〗  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Bearing Area 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Derived equation)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𝐵𝑒𝑎𝑟𝑖𝑛𝑔𝐴𝑟𝑒𝑎= {█(((𝑂𝑢𝑡𝑠𝑖𝑑𝑒𝑆ℎ𝑜𝑢𝑙𝑑𝑒𝑟 −𝐼𝑛𝑠𝑖𝑑𝑒𝑆ℎ𝑜𝑢𝑙𝑑𝑒𝑟)/cos⁡(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Cambria Math"/>
                  <a:cs typeface="+mn-cs"/>
                </a:rPr>
                <a:t>𝝦) )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∗(𝐼𝑛𝑠𝑖𝑑𝑒𝑆ℎ𝑜𝑢𝑙𝑑𝑒𝑟+ ((𝑂𝑢𝑡𝑠𝑖𝑑𝑒𝑆ℎ𝑜𝑢𝑙𝑑𝑒𝑟 −𝐼𝑛𝑠𝑖𝑑𝑒𝑆ℎ𝑜𝑢𝑙𝑑𝑒𝑟)/cos⁡(𝝦) )  ∗2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Cambria Math"/>
                  <a:cs typeface="+mn-cs"/>
                </a:rPr>
                <a:t>𝝅    𝑖𝑠𝐵𝑎𝑐𝑘𝐴𝑛𝑔𝑙𝑒="𝑌𝑒𝑠" @𝝅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/4  ∗(〖𝑂𝑢𝑡𝑠𝑖𝑑𝑒 𝑆ℎ𝑜𝑢𝑙𝑑𝑒𝑟〗^2  − 〖𝐼𝑛𝑠𝑖𝑑𝑒𝑆ℎ𝑜𝑢𝑙𝑑𝑒𝑟〗^2 )                                                                                                                        𝑖𝑠𝐵𝑎𝑐𝑘𝐴𝑛𝑔𝑙𝑒="𝑁𝑜")┤  </a:t>
              </a:r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Bearing Shoulder 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Derived equation)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𝐵𝑜𝑥 𝐵𝑒𝑎𝑟𝑖𝑛𝑔 𝑆ℎ𝑜𝑢𝑙𝑑𝑒𝑟=𝐵𝑜𝑥𝑌𝑖𝑒𝑙𝑑∗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𝐵𝑒𝑎𝑟𝑖𝑛𝑔𝐴𝑟𝑒𝑎</a:t>
              </a:r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Bearing Shoulder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Derived equation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𝑃𝑖𝑛 𝐵𝑒𝑎𝑟𝑖𝑛𝑔 𝑆ℎ𝑜𝑢𝑙𝑑𝑒𝑟=𝑃𝑖𝑛𝑌𝑖𝑒𝑙𝑑∗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𝐵𝑒𝑎𝑟𝑖𝑛𝑔𝐴𝑟𝑒𝑎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 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YIELD TORQUES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Yield Torque (</a:t>
              </a:r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Ref: </a:t>
              </a:r>
              <a:r>
                <a:rPr lang="en-US" sz="1100" b="0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ACME/STUB ACME Thread Strength Calculation -Wihaga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𝑌𝑖𝑒𝑙𝑑 𝑇𝑜𝑟𝑞𝑢𝑒=(𝐴𝑥𝑖𝑎𝑙 𝐹𝑜𝑟𝑐𝑒∗((𝑃𝑖𝑡𝑐ℎ/2𝜋)+((𝑃𝑖𝑡𝑐ℎ 𝐷𝑖𝑎𝑚𝑒𝑡𝑒𝑟∗𝐹𝑟𝑖𝑐𝑡𝑖𝑜𝑛 𝐹𝑎𝑐𝑡𝑜𝑟)/(2∗cos⁡(𝜙) ))+(𝑀𝑖𝑑 𝑃𝑜𝑖𝑛𝑡 𝑅𝑎𝑑𝑖𝑢𝑠∗𝐹𝑟𝑖𝑐𝑡𝑖𝑜𝑛 𝐹𝑎𝑐𝑡𝑜𝑟))  )/12  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BENDING STRENGTH RATIO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Section Modulus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API Recommended Practice 7G – Addendum 1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𝐵𝑜𝑥 𝑆𝑒𝑐𝑡𝑖𝑜𝑛 𝑀𝑜𝑑𝑢𝑙𝑢𝑠=  𝜋/32∗(〖𝐵𝑜𝑥 𝑂𝐷〗^4−〖𝐵𝑜𝑥 𝑅𝑒𝑙𝑖𝑒𝑓〗^4)/(𝐵𝑜𝑥 𝑂𝐷)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Section Modulus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API Recommended Practice 7G – Addendum 1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𝑃𝑖𝑛 𝑆𝑒𝑐𝑡𝑖𝑜𝑛 𝑀𝑜𝑑𝑢𝑙𝑢𝑠=  𝜋/32∗(〖𝑃𝑖𝑛 𝑅𝑒𝑙𝑖𝑒𝑓〗^4−〖𝑃𝑖𝑛 𝐼𝐷〗^4)/(𝐵𝑜𝑥 𝑂𝐷)  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Bending Strength Ratio -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API Recommended Practice 7G – Addendum 1, Eqn A.27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𝐵𝑆𝑅=  (𝐵𝑜𝑥 𝑆𝑒𝑐𝑡𝑖𝑜𝑛 𝑀𝑜𝑑𝑢𝑙𝑢𝑠)/(𝑃𝑖𝑛 𝑆𝑒𝑐𝑡𝑖𝑜𝑛 𝑀𝑜𝑑𝑢𝑙𝑢𝑠)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PLANAR STRESS AT PERIPHERIES</a:t>
              </a:r>
            </a:p>
            <a:p>
              <a:endParaRPr lang="en-US" sz="14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Shear Stress (Edge) </a:t>
              </a:r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Mechanics</a:t>
              </a:r>
              <a:r>
                <a:rPr lang="en-US" sz="1100" b="0" i="1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Materials 4E - Pg. 140, EQN .3.9</a:t>
              </a:r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𝜏_𝑚𝑎𝑥=  (𝑇𝑐_𝑚𝑎𝑥)/𝐽_𝑏𝑜𝑥 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𝑐_𝑚𝑎𝑥=  𝐵𝑜𝑥𝑂𝐷/2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𝐽_𝑏𝑜𝑥=  1/2∗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𝝅∗(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〖𝐵𝑜𝑥𝑂𝐷〗^4− 〖𝐵𝑜𝑥𝑅𝑒𝑙𝑖𝑒𝑓〗^4)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Shear Stress (Edge)</a:t>
              </a:r>
              <a:r>
                <a:rPr lang="en-US" sz="1100" b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Mechanics</a:t>
              </a:r>
              <a:r>
                <a:rPr lang="en-US" sz="1100" b="0" i="1" u="sng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of Materials 4E - Pg. 140, EQN .3.9</a:t>
              </a:r>
              <a:r>
                <a:rPr lang="en-US" sz="1100" b="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>
                <a:effectLst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𝜏_𝑚𝑎𝑥=  (𝑇𝑐_𝑚𝑎𝑥)/𝐽_𝑝𝑖𝑛 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𝑐_𝑚𝑎𝑥=  𝑃𝑖𝑛𝑂𝐷/2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𝐽_𝑝𝑖𝑛=  1/2∗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Cambria Math"/>
                  <a:cs typeface="+mn-cs"/>
                </a:rPr>
                <a:t>𝝅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Cambria Math"/>
                  <a:cs typeface="+mn-cs"/>
                </a:rPr>
                <a:t> ∗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(〖𝑃𝑖𝑛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𝑅𝑒𝑙𝑖𝑒𝑓〗^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4− 〖𝑃𝑖𝑛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𝐼𝐷〗^</a:t>
              </a: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4)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DE-RATED PULL STRENGTH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De-rated Pull Strength –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API Recommended Practice 7G – Addendum 1 &amp; Equation of a Line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𝑃𝑆={█(𝑁𝑜𝑚.  𝑃𝑆,  &amp;𝐼𝑛𝑝𝑢𝑡 𝑇𝑜𝑟𝑞𝑢𝑒≤𝑆ℎ𝑜𝑢𝑙𝑑𝑒𝑟 𝑆𝑒𝑝𝑒𝑟𝑎𝑡𝑖𝑜𝑛@𝑁𝑜𝑚.  𝑃𝑆−(𝐼𝑛𝑝𝑢𝑡 𝑇𝑜𝑟𝑞𝑢𝑒−𝑆ℎ𝑜𝑢𝑙𝑑𝑒𝑟 𝑆𝑒𝑝𝑒𝑟𝑎𝑡𝑖𝑜𝑛)∗𝑆𝑙𝑜𝑝𝑒,  &amp;𝐼𝑛𝑝𝑢𝑡 𝑇𝑜𝑟𝑞𝑢𝑒&gt;𝑆ℎ𝑜𝑢𝑙𝑑𝑒𝑟 𝑆𝑒𝑝𝑒𝑟𝑎𝑡𝑖𝑜𝑛)┤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BEARING RATIO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Bearing Ratio </a:t>
              </a:r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:r>
                <a:rPr lang="en-US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(Ref: </a:t>
              </a:r>
              <a:r>
                <a:rPr lang="en-US" sz="1100" b="0" i="1" u="sng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Derived equation)</a:t>
              </a:r>
              <a:endParaRPr lang="en-US" sz="1100" b="1" u="sng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𝐵𝑒𝑎𝑟𝑖𝑛𝑔 𝑅𝑎𝑡𝑖𝑜={█((𝐴𝑥𝑖𝑎𝑙 𝐹𝑜𝑟𝑐𝑒)/(𝑃𝑖𝑛 𝐵𝑒𝑎𝑟𝑖𝑛𝑔 𝐹𝑜𝑟𝑐𝑒),  𝐸𝑥𝑡𝑒𝑟𝑛𝑎𝑙 𝑆ℎ𝑜𝑢𝑙𝑑𝑒𝑟@(𝐴𝑥𝑖𝑎𝑙 𝐹𝑜𝑟𝑐𝑒)/(𝐵𝑜𝑥 𝐵𝑒𝑎𝑟𝑖𝑛𝑔 𝐹𝑜𝑟𝑐𝑒),  𝐼𝑛𝑡𝑒𝑟𝑛𝑎𝑙 𝑆ℎ𝑜𝑢𝑙𝑑𝑒𝑟)┤</a:t>
              </a:r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4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PACKERS PLUS STANDARDS</a:t>
              </a:r>
            </a:p>
            <a:p>
              <a:endParaRPr lang="en-US" sz="14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Relief Length </a:t>
              </a:r>
            </a:p>
            <a:p>
              <a:endParaRPr lang="en-US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𝑅𝑒𝑙𝑖𝑒𝑓 𝐿𝑒𝑛𝑔𝑡ℎ=  2 ∗  𝑃𝑖𝑡𝑐ℎ</a:t>
              </a:r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Counterbore Length</a:t>
              </a:r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𝐶𝑜𝑢𝑛𝑡𝑒𝑟𝑏𝑜𝑟𝑒 𝐿𝑒𝑛𝑔𝑡ℎ=2 ∗ 𝑃𝑖𝑡𝑐ℎ</a:t>
              </a:r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Maching Allowance</a:t>
              </a:r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𝑀𝑎𝑐ℎ𝑖𝑛𝑖𝑛𝑔 𝐴𝑙𝑙𝑜𝑤𝑎𝑛𝑐𝑒=2 ∗𝑃𝑖𝑡𝑐ℎ</a:t>
              </a:r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Box Relief</a:t>
              </a:r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𝐵𝑜𝑥 𝑅𝑒𝑙𝑖𝑒𝑓=𝑀𝑎𝑗𝑜𝑟 𝐷𝑖𝑎. + .040</a:t>
              </a:r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Pin Relief</a:t>
              </a:r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𝑃𝑖𝑛 𝑅𝑒𝑙𝑖𝑒𝑓=𝑀𝑖𝑛𝑜𝑟 𝐷𝑖𝑎. − .040 </a:t>
              </a:r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05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Thread Engagement</a:t>
              </a:r>
            </a:p>
            <a:p>
              <a:endParaRPr lang="en-US" sz="105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𝑇ℎ𝑟𝑒𝑎𝑑 𝐸𝑛𝑔𝑎𝑔𝑒𝑚𝑒𝑛𝑡=𝑂𝑣𝑒𝑟𝑎𝑙𝑙 𝐿𝑒𝑛𝑔𝑡ℎ−𝑅𝑒𝑙𝑖𝑒𝑓 𝐿𝑒𝑛𝑔𝑡ℎ−𝐶𝑜𝑢𝑛𝑡𝑒𝑟𝑏𝑜𝑟𝑒 𝐿𝑒𝑛𝑔𝑡ℎ−2∗𝑃𝑖𝑡𝑐ℎ</a:t>
              </a:r>
              <a:endParaRPr lang="en-US" sz="1050">
                <a:effectLst/>
              </a:endParaRPr>
            </a:p>
            <a:p>
              <a:endParaRPr lang="en-US" sz="105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C00000"/>
    <pageSetUpPr fitToPage="1"/>
  </sheetPr>
  <dimension ref="A1:M129"/>
  <sheetViews>
    <sheetView showGridLines="0" tabSelected="1" topLeftCell="A19" zoomScaleNormal="100" workbookViewId="0">
      <selection activeCell="F87" sqref="F87"/>
    </sheetView>
  </sheetViews>
  <sheetFormatPr defaultRowHeight="15" x14ac:dyDescent="0.25"/>
  <cols>
    <col min="1" max="1" width="3.7109375" customWidth="1"/>
    <col min="2" max="2" width="20.85546875" customWidth="1"/>
    <col min="3" max="3" width="20" customWidth="1"/>
    <col min="4" max="4" width="11.42578125" customWidth="1"/>
    <col min="5" max="5" width="22.5703125" customWidth="1"/>
    <col min="6" max="6" width="20.85546875" customWidth="1"/>
    <col min="7" max="7" width="21.140625" customWidth="1"/>
    <col min="9" max="9" width="22.5703125" customWidth="1"/>
    <col min="10" max="10" width="9.140625" customWidth="1"/>
    <col min="12" max="12" width="10.28515625" customWidth="1"/>
    <col min="13" max="13" width="10.140625" customWidth="1"/>
  </cols>
  <sheetData>
    <row r="1" spans="1:13" ht="15" customHeight="1" x14ac:dyDescent="0.25">
      <c r="D1" s="208" t="s">
        <v>137</v>
      </c>
      <c r="E1" s="208"/>
      <c r="F1" s="208"/>
      <c r="G1" s="208"/>
      <c r="H1" s="208"/>
      <c r="I1" s="101"/>
    </row>
    <row r="2" spans="1:13" ht="15" customHeight="1" x14ac:dyDescent="0.25">
      <c r="D2" s="208"/>
      <c r="E2" s="208"/>
      <c r="F2" s="208"/>
      <c r="G2" s="208"/>
      <c r="H2" s="208"/>
      <c r="I2" s="101"/>
    </row>
    <row r="3" spans="1:13" ht="15" customHeight="1" thickBot="1" x14ac:dyDescent="0.3">
      <c r="D3" s="17"/>
      <c r="E3" s="17"/>
      <c r="F3" s="17"/>
      <c r="G3" s="17"/>
      <c r="H3" s="17"/>
      <c r="I3" s="17"/>
    </row>
    <row r="4" spans="1:13" ht="15" customHeight="1" thickBot="1" x14ac:dyDescent="0.3">
      <c r="D4" s="17"/>
      <c r="E4" s="100" t="s">
        <v>211</v>
      </c>
      <c r="F4" s="95" t="s">
        <v>129</v>
      </c>
      <c r="G4" s="96" t="s">
        <v>218</v>
      </c>
      <c r="H4" s="93"/>
      <c r="I4" s="17"/>
    </row>
    <row r="5" spans="1:13" ht="15.75" customHeight="1" thickBot="1" x14ac:dyDescent="0.3">
      <c r="E5" s="97" t="s">
        <v>235</v>
      </c>
      <c r="F5" s="98" t="s">
        <v>208</v>
      </c>
      <c r="G5" s="99" t="s">
        <v>234</v>
      </c>
      <c r="H5" s="93"/>
    </row>
    <row r="6" spans="1:13" ht="15.75" thickBot="1" x14ac:dyDescent="0.3">
      <c r="A6" s="202" t="s">
        <v>138</v>
      </c>
      <c r="B6" s="203"/>
      <c r="C6" s="170"/>
      <c r="D6" s="170"/>
      <c r="E6" s="170"/>
      <c r="F6" s="170"/>
      <c r="G6" s="170"/>
      <c r="H6" s="170"/>
      <c r="I6" s="171"/>
    </row>
    <row r="7" spans="1:13" ht="15.75" thickBot="1" x14ac:dyDescent="0.3">
      <c r="A7" s="204" t="s">
        <v>204</v>
      </c>
      <c r="B7" s="205"/>
      <c r="C7" s="170"/>
      <c r="D7" s="170"/>
      <c r="E7" s="170"/>
      <c r="F7" s="170"/>
      <c r="G7" s="170"/>
      <c r="H7" s="170"/>
      <c r="I7" s="171"/>
    </row>
    <row r="8" spans="1:13" ht="16.5" thickBot="1" x14ac:dyDescent="0.3">
      <c r="A8" s="204" t="s">
        <v>141</v>
      </c>
      <c r="B8" s="205"/>
      <c r="C8" s="170"/>
      <c r="D8" s="170"/>
      <c r="E8" s="170"/>
      <c r="F8" s="170"/>
      <c r="G8" s="170"/>
      <c r="H8" s="170"/>
      <c r="I8" s="171"/>
      <c r="K8" s="93"/>
      <c r="L8" s="93"/>
      <c r="M8" s="93"/>
    </row>
    <row r="9" spans="1:13" ht="16.5" thickBot="1" x14ac:dyDescent="0.3">
      <c r="A9" s="204" t="s">
        <v>139</v>
      </c>
      <c r="B9" s="205"/>
      <c r="C9" s="170"/>
      <c r="D9" s="170"/>
      <c r="E9" s="170"/>
      <c r="F9" s="170"/>
      <c r="G9" s="170"/>
      <c r="H9" s="170"/>
      <c r="I9" s="171"/>
      <c r="K9" s="93"/>
      <c r="L9" s="93"/>
      <c r="M9" s="93"/>
    </row>
    <row r="10" spans="1:13" ht="16.5" thickBot="1" x14ac:dyDescent="0.3">
      <c r="A10" s="204" t="s">
        <v>140</v>
      </c>
      <c r="B10" s="205"/>
      <c r="C10" s="219"/>
      <c r="D10" s="219"/>
      <c r="E10" s="219"/>
      <c r="F10" s="219"/>
      <c r="G10" s="219"/>
      <c r="H10" s="219"/>
      <c r="I10" s="220"/>
      <c r="K10" s="93"/>
      <c r="L10" s="93"/>
      <c r="M10" s="93"/>
    </row>
    <row r="11" spans="1:13" ht="16.5" thickBot="1" x14ac:dyDescent="0.3">
      <c r="A11" s="221" t="s">
        <v>206</v>
      </c>
      <c r="B11" s="222"/>
      <c r="C11" s="222"/>
      <c r="D11" s="222"/>
      <c r="E11" s="222"/>
      <c r="F11" s="222"/>
      <c r="G11" s="222"/>
      <c r="H11" s="223"/>
      <c r="I11" s="224"/>
      <c r="K11" s="94"/>
      <c r="L11" s="94"/>
      <c r="M11" s="93"/>
    </row>
    <row r="12" spans="1:13" ht="17.25" thickTop="1" thickBot="1" x14ac:dyDescent="0.3">
      <c r="A12" s="225" t="s">
        <v>18</v>
      </c>
      <c r="B12" s="226"/>
      <c r="C12" s="226"/>
      <c r="D12" s="227"/>
      <c r="E12" s="18"/>
      <c r="F12" s="225" t="s">
        <v>19</v>
      </c>
      <c r="G12" s="226"/>
      <c r="H12" s="190" t="s">
        <v>124</v>
      </c>
      <c r="I12" s="192"/>
      <c r="K12" s="94"/>
      <c r="L12" s="94"/>
      <c r="M12" s="93"/>
    </row>
    <row r="13" spans="1:13" ht="15.75" x14ac:dyDescent="0.25">
      <c r="A13" s="193" t="s">
        <v>2</v>
      </c>
      <c r="B13" s="194"/>
      <c r="C13" s="104" t="s">
        <v>3</v>
      </c>
      <c r="D13" s="27" t="s">
        <v>4</v>
      </c>
      <c r="E13" s="14"/>
      <c r="F13" s="23" t="s">
        <v>2</v>
      </c>
      <c r="G13" s="104" t="s">
        <v>3</v>
      </c>
      <c r="H13" s="194" t="s">
        <v>4</v>
      </c>
      <c r="I13" s="210"/>
      <c r="K13" s="94"/>
      <c r="L13" s="94"/>
      <c r="M13" s="93"/>
    </row>
    <row r="14" spans="1:13" ht="16.5" thickBot="1" x14ac:dyDescent="0.3">
      <c r="A14" s="215" t="s">
        <v>0</v>
      </c>
      <c r="B14" s="216"/>
      <c r="C14" s="106" t="s">
        <v>5</v>
      </c>
      <c r="D14" s="45">
        <v>5.45</v>
      </c>
      <c r="E14" s="14"/>
      <c r="F14" s="209" t="s">
        <v>14</v>
      </c>
      <c r="G14" s="209" t="s">
        <v>5</v>
      </c>
      <c r="H14" s="218">
        <f>IF(ThdDimPinOrBox="Pin", NomThreadSize, IF(ThdDimPinOrBox="Box", NomThreadSize + ThreadAllowance, "-"))</f>
        <v>5.45</v>
      </c>
      <c r="I14" s="30">
        <f>IF(ThdDimPinOrBox="Pin", 0, IF(ThdDimPinOrBox="Box", 0.006 * SQRT(NomThreadSize) + 0.03 * SQRT(Pitch), "-"))</f>
        <v>0</v>
      </c>
      <c r="K14" s="94"/>
      <c r="L14" s="94"/>
      <c r="M14" s="93"/>
    </row>
    <row r="15" spans="1:13" ht="17.25" thickTop="1" thickBot="1" x14ac:dyDescent="0.3">
      <c r="A15" s="215" t="s">
        <v>1</v>
      </c>
      <c r="B15" s="216"/>
      <c r="C15" s="41" t="s">
        <v>6</v>
      </c>
      <c r="D15" s="46">
        <v>10</v>
      </c>
      <c r="E15" s="14"/>
      <c r="F15" s="209"/>
      <c r="G15" s="209"/>
      <c r="H15" s="218"/>
      <c r="I15" s="31">
        <f>IF(ThdDimPinOrBox="Pin", 0.05*(Pitch), IF(ThdDimPinOrBox="Box", 0, "-"))</f>
        <v>5.000000000000001E-3</v>
      </c>
      <c r="K15" s="94"/>
      <c r="L15" s="94"/>
      <c r="M15" s="93"/>
    </row>
    <row r="16" spans="1:13" ht="16.5" thickTop="1" x14ac:dyDescent="0.25">
      <c r="A16" s="212" t="str">
        <f>CONCATENATE("Thread Form: ",TEXT(NomThreadSize,"#.000"), " - ", TPI, " ", "29° STUB ACME - 2G")</f>
        <v>Thread Form: 5.450 - 10 29° STUB ACME - 2G</v>
      </c>
      <c r="B16" s="213"/>
      <c r="C16" s="213"/>
      <c r="D16" s="214"/>
      <c r="E16" s="14"/>
      <c r="F16" s="209" t="s">
        <v>15</v>
      </c>
      <c r="G16" s="209" t="s">
        <v>5</v>
      </c>
      <c r="H16" s="218">
        <f>IF(ThdDimPinOrBox="Pin",NomThreadSize-0.3*(Pitch)-0.008*SQRT(NomThreadSize), IF(ThdDimPinOrBox="Box", NomThreadSize-0.3*(Pitch), "-"))</f>
        <v>5.4013238119521141</v>
      </c>
      <c r="I16" s="32">
        <f>IF(ThdDimPinOrBox="Pin", 0, IF(ThdDimPinOrBox="Box", 0.006 * SQRT(NomThreadSize) + 0.03 * SQRT(Pitch), "-"))</f>
        <v>0</v>
      </c>
      <c r="K16" s="94"/>
      <c r="L16" s="94"/>
      <c r="M16" s="93"/>
    </row>
    <row r="17" spans="1:13" ht="16.5" thickBot="1" x14ac:dyDescent="0.3">
      <c r="A17" s="188"/>
      <c r="B17" s="189"/>
      <c r="C17" s="14"/>
      <c r="D17" s="14"/>
      <c r="E17" s="22"/>
      <c r="F17" s="209"/>
      <c r="G17" s="209"/>
      <c r="H17" s="218"/>
      <c r="I17" s="33">
        <f>IF(ThdDimPinOrBox="Pin", 0.006*SQRT(NomThreadSize)+0.03*SQRT(Pitch), IF(ThdDimPinOrBox="Box", 0, "-"))</f>
        <v>2.3493974016419641E-2</v>
      </c>
      <c r="K17" s="93"/>
      <c r="L17" s="93"/>
      <c r="M17" s="93"/>
    </row>
    <row r="18" spans="1:13" ht="16.5" thickBot="1" x14ac:dyDescent="0.3">
      <c r="A18" s="206" t="s">
        <v>227</v>
      </c>
      <c r="B18" s="207"/>
      <c r="C18" s="207"/>
      <c r="D18" s="211"/>
      <c r="E18" s="14"/>
      <c r="F18" s="209" t="s">
        <v>16</v>
      </c>
      <c r="G18" s="209" t="s">
        <v>5</v>
      </c>
      <c r="H18" s="218">
        <f>IF(ThdDimPinOrBox="Pin",NomThreadSize-(0.6 * Pitch) -ThreadAllowance,IF(ThdDimPinOrBox="Box", NomThreadSize - 0.6 * (Pitch),"-"))</f>
        <v>5.370000000000001</v>
      </c>
      <c r="I18" s="32">
        <f>IF(ThdDimPinOrBox="Pin", 0, IF(ThdDimPinOrBox="Box", 0.05 * (Pitch), "-"))</f>
        <v>0</v>
      </c>
      <c r="K18" s="93"/>
      <c r="L18" s="93"/>
      <c r="M18" s="93"/>
    </row>
    <row r="19" spans="1:13" ht="15.75" thickBot="1" x14ac:dyDescent="0.3">
      <c r="A19" s="217" t="s">
        <v>228</v>
      </c>
      <c r="B19" s="200"/>
      <c r="C19" s="229" t="s">
        <v>201</v>
      </c>
      <c r="D19" s="230"/>
      <c r="E19" s="14"/>
      <c r="F19" s="209"/>
      <c r="G19" s="209"/>
      <c r="H19" s="218"/>
      <c r="I19" s="33">
        <f>IF(ThdDimPinOrBox="Pin", 0.006*SQRT(NomThreadSize)+0.03*SQRT(Pitch), IF(ThdDimPinOrBox="Box", 0, "-"))</f>
        <v>2.3493974016419641E-2</v>
      </c>
    </row>
    <row r="20" spans="1:13" ht="16.5" thickTop="1" thickBot="1" x14ac:dyDescent="0.3">
      <c r="A20" s="188"/>
      <c r="B20" s="189"/>
      <c r="C20" s="14"/>
      <c r="D20" s="14"/>
      <c r="E20" s="14"/>
      <c r="F20" s="14"/>
      <c r="G20" s="14"/>
      <c r="H20" s="14"/>
      <c r="I20" s="34"/>
    </row>
    <row r="21" spans="1:13" ht="16.5" thickTop="1" thickBot="1" x14ac:dyDescent="0.3">
      <c r="A21" s="206" t="s">
        <v>17</v>
      </c>
      <c r="B21" s="207"/>
      <c r="C21" s="207"/>
      <c r="D21" s="207"/>
      <c r="E21" s="207"/>
      <c r="F21" s="207"/>
      <c r="G21" s="207"/>
      <c r="H21" s="190" t="s">
        <v>168</v>
      </c>
      <c r="I21" s="192"/>
    </row>
    <row r="22" spans="1:13" ht="15.75" thickBot="1" x14ac:dyDescent="0.3">
      <c r="A22" s="231" t="str">
        <f>IF(MatPropToggle &lt;&gt; "Same Material", "Box Material", "Pin/Box Material")</f>
        <v>Box Material</v>
      </c>
      <c r="B22" s="196"/>
      <c r="C22" s="104" t="s">
        <v>2</v>
      </c>
      <c r="D22" s="104" t="s">
        <v>3</v>
      </c>
      <c r="E22" s="104" t="s">
        <v>4</v>
      </c>
      <c r="F22" s="195" t="s">
        <v>8</v>
      </c>
      <c r="G22" s="104" t="s">
        <v>2</v>
      </c>
      <c r="H22" s="104" t="s">
        <v>3</v>
      </c>
      <c r="I22" s="112" t="s">
        <v>4</v>
      </c>
      <c r="J22" s="16"/>
    </row>
    <row r="23" spans="1:13" ht="16.5" thickTop="1" thickBot="1" x14ac:dyDescent="0.3">
      <c r="A23" s="231"/>
      <c r="B23" s="196"/>
      <c r="C23" s="41" t="s">
        <v>9</v>
      </c>
      <c r="D23" s="41" t="s">
        <v>7</v>
      </c>
      <c r="E23" s="28" t="s">
        <v>56</v>
      </c>
      <c r="F23" s="196"/>
      <c r="G23" s="106" t="s">
        <v>9</v>
      </c>
      <c r="H23" s="41" t="s">
        <v>7</v>
      </c>
      <c r="I23" s="35" t="s">
        <v>56</v>
      </c>
    </row>
    <row r="24" spans="1:13" ht="16.5" thickTop="1" thickBot="1" x14ac:dyDescent="0.3">
      <c r="A24" s="231"/>
      <c r="B24" s="196"/>
      <c r="C24" s="41" t="s">
        <v>12</v>
      </c>
      <c r="D24" s="41" t="s">
        <v>122</v>
      </c>
      <c r="E24" s="28" t="s">
        <v>38</v>
      </c>
      <c r="F24" s="196"/>
      <c r="G24" s="106" t="s">
        <v>12</v>
      </c>
      <c r="H24" s="41" t="s">
        <v>20</v>
      </c>
      <c r="I24" s="35" t="s">
        <v>38</v>
      </c>
    </row>
    <row r="25" spans="1:13" ht="15.75" thickTop="1" x14ac:dyDescent="0.25">
      <c r="A25" s="231"/>
      <c r="B25" s="196"/>
      <c r="C25" s="41" t="s">
        <v>10</v>
      </c>
      <c r="D25" s="106" t="s">
        <v>13</v>
      </c>
      <c r="E25" s="29">
        <f>VLOOKUP(Calculator!E23,'Material Properties'!A2:V24,5,FALSE) * 1000</f>
        <v>110000</v>
      </c>
      <c r="F25" s="195"/>
      <c r="G25" s="106" t="s">
        <v>10</v>
      </c>
      <c r="H25" s="106" t="s">
        <v>13</v>
      </c>
      <c r="I25" s="36">
        <f>IF(MatPropToggle &lt;&gt; "Same Material", VLOOKUP(Calculator!I23,'Material Properties'!A2:V24,5,FALSE) * 1000, BoxYield)</f>
        <v>110000</v>
      </c>
    </row>
    <row r="26" spans="1:13" x14ac:dyDescent="0.25">
      <c r="A26" s="232"/>
      <c r="B26" s="233"/>
      <c r="C26" s="41" t="s">
        <v>11</v>
      </c>
      <c r="D26" s="106" t="s">
        <v>13</v>
      </c>
      <c r="E26" s="26">
        <f>VLOOKUP(Calculator!E23,'Material Properties'!A2:V24,4,FALSE) * 1000</f>
        <v>125000</v>
      </c>
      <c r="F26" s="197"/>
      <c r="G26" s="106" t="s">
        <v>11</v>
      </c>
      <c r="H26" s="106" t="s">
        <v>13</v>
      </c>
      <c r="I26" s="37">
        <f>IF(MatPropToggle &lt;&gt; "Same Material", VLOOKUP(Calculator!I23,'Material Properties'!A2:V24,4,FALSE) * 1000, BoxUltimate)</f>
        <v>125000</v>
      </c>
    </row>
    <row r="27" spans="1:13" ht="15.75" thickBot="1" x14ac:dyDescent="0.3">
      <c r="A27" s="38"/>
      <c r="B27" s="18"/>
      <c r="C27" s="18"/>
      <c r="D27" s="18"/>
      <c r="E27" s="18"/>
      <c r="F27" s="18"/>
      <c r="G27" s="18"/>
      <c r="H27" s="18"/>
      <c r="I27" s="19"/>
    </row>
    <row r="28" spans="1:13" ht="16.5" thickTop="1" thickBot="1" x14ac:dyDescent="0.3">
      <c r="A28" s="206" t="s">
        <v>120</v>
      </c>
      <c r="B28" s="207"/>
      <c r="C28" s="207"/>
      <c r="D28" s="207"/>
      <c r="E28" s="190" t="s">
        <v>251</v>
      </c>
      <c r="F28" s="191"/>
      <c r="G28" s="191"/>
      <c r="H28" s="191"/>
      <c r="I28" s="192"/>
    </row>
    <row r="29" spans="1:13" x14ac:dyDescent="0.25">
      <c r="A29" s="193" t="s">
        <v>2</v>
      </c>
      <c r="B29" s="194"/>
      <c r="C29" s="104" t="s">
        <v>3</v>
      </c>
      <c r="D29" s="27" t="s">
        <v>4</v>
      </c>
      <c r="E29" s="198"/>
      <c r="F29" s="198"/>
      <c r="G29" s="198"/>
      <c r="H29" s="198"/>
      <c r="I29" s="199"/>
    </row>
    <row r="30" spans="1:13" x14ac:dyDescent="0.25">
      <c r="A30" s="39" t="s">
        <v>162</v>
      </c>
      <c r="B30" s="102" t="s">
        <v>184</v>
      </c>
      <c r="C30" s="106" t="s">
        <v>5</v>
      </c>
      <c r="D30" s="40">
        <v>2</v>
      </c>
      <c r="E30" s="198"/>
      <c r="F30" s="198"/>
      <c r="G30" s="198"/>
      <c r="H30" s="198"/>
      <c r="I30" s="199"/>
    </row>
    <row r="31" spans="1:13" x14ac:dyDescent="0.25">
      <c r="A31" s="39" t="s">
        <v>163</v>
      </c>
      <c r="B31" s="102" t="s">
        <v>185</v>
      </c>
      <c r="C31" s="106" t="s">
        <v>5</v>
      </c>
      <c r="D31" s="85">
        <f xml:space="preserve"> 2 * Pitch +0.015</f>
        <v>0.21500000000000002</v>
      </c>
      <c r="E31" s="198"/>
      <c r="F31" s="198"/>
      <c r="G31" s="198"/>
      <c r="H31" s="198"/>
      <c r="I31" s="199"/>
    </row>
    <row r="32" spans="1:13" ht="16.5" customHeight="1" x14ac:dyDescent="0.25">
      <c r="A32" s="39" t="s">
        <v>164</v>
      </c>
      <c r="B32" s="102" t="s">
        <v>186</v>
      </c>
      <c r="C32" s="106" t="s">
        <v>5</v>
      </c>
      <c r="D32" s="86">
        <f xml:space="preserve"> 2 * Pitch +0.015</f>
        <v>0.21500000000000002</v>
      </c>
      <c r="E32" s="198"/>
      <c r="F32" s="198"/>
      <c r="G32" s="198"/>
      <c r="H32" s="198"/>
      <c r="I32" s="199"/>
    </row>
    <row r="33" spans="1:9" ht="15.75" customHeight="1" x14ac:dyDescent="0.25">
      <c r="A33" s="215" t="s">
        <v>207</v>
      </c>
      <c r="B33" s="216"/>
      <c r="C33" s="41" t="s">
        <v>5</v>
      </c>
      <c r="D33" s="85">
        <f xml:space="preserve"> 2 * Pitch</f>
        <v>0.2</v>
      </c>
      <c r="E33" s="198"/>
      <c r="F33" s="198"/>
      <c r="G33" s="198"/>
      <c r="H33" s="198"/>
      <c r="I33" s="199"/>
    </row>
    <row r="34" spans="1:9" x14ac:dyDescent="0.25">
      <c r="A34" s="215" t="s">
        <v>121</v>
      </c>
      <c r="B34" s="216"/>
      <c r="C34" s="106" t="s">
        <v>5</v>
      </c>
      <c r="D34" s="78">
        <f>OAL-ReliefLength-CBLength-2*(1/TPI)</f>
        <v>1.3699999999999999</v>
      </c>
      <c r="E34" s="200"/>
      <c r="F34" s="200"/>
      <c r="G34" s="200"/>
      <c r="H34" s="200"/>
      <c r="I34" s="201"/>
    </row>
    <row r="35" spans="1:9" ht="15.75" thickBot="1" x14ac:dyDescent="0.3">
      <c r="A35" s="188"/>
      <c r="B35" s="189"/>
      <c r="C35" s="14"/>
      <c r="D35" s="14"/>
      <c r="E35" s="14"/>
      <c r="F35" s="14"/>
      <c r="G35" s="14"/>
      <c r="H35" s="14"/>
      <c r="I35" s="34"/>
    </row>
    <row r="36" spans="1:9" ht="16.5" thickTop="1" thickBot="1" x14ac:dyDescent="0.3">
      <c r="A36" s="206" t="s">
        <v>21</v>
      </c>
      <c r="B36" s="207"/>
      <c r="C36" s="207"/>
      <c r="D36" s="207"/>
      <c r="E36" s="190" t="s">
        <v>250</v>
      </c>
      <c r="F36" s="191"/>
      <c r="G36" s="191"/>
      <c r="H36" s="191"/>
      <c r="I36" s="192"/>
    </row>
    <row r="37" spans="1:9" x14ac:dyDescent="0.25">
      <c r="A37" s="193" t="s">
        <v>2</v>
      </c>
      <c r="B37" s="194"/>
      <c r="C37" s="104" t="s">
        <v>3</v>
      </c>
      <c r="D37" s="27" t="s">
        <v>4</v>
      </c>
      <c r="E37" s="198"/>
      <c r="F37" s="198"/>
      <c r="G37" s="198"/>
      <c r="H37" s="198"/>
      <c r="I37" s="199"/>
    </row>
    <row r="38" spans="1:9" x14ac:dyDescent="0.25">
      <c r="A38" s="39" t="s">
        <v>162</v>
      </c>
      <c r="B38" s="42" t="s">
        <v>187</v>
      </c>
      <c r="C38" s="106" t="s">
        <v>5</v>
      </c>
      <c r="D38" s="25">
        <v>6.4850000000000003</v>
      </c>
      <c r="E38" s="198"/>
      <c r="F38" s="198"/>
      <c r="G38" s="198"/>
      <c r="H38" s="198"/>
      <c r="I38" s="199"/>
    </row>
    <row r="39" spans="1:9" x14ac:dyDescent="0.25">
      <c r="A39" s="39" t="s">
        <v>163</v>
      </c>
      <c r="B39" s="42" t="s">
        <v>188</v>
      </c>
      <c r="C39" s="106" t="s">
        <v>5</v>
      </c>
      <c r="D39" s="90">
        <f>BoxMajorDia + 0.04</f>
        <v>5.51</v>
      </c>
      <c r="E39" s="198"/>
      <c r="F39" s="198"/>
      <c r="G39" s="198"/>
      <c r="H39" s="198"/>
      <c r="I39" s="199"/>
    </row>
    <row r="40" spans="1:9" x14ac:dyDescent="0.25">
      <c r="A40" s="39" t="s">
        <v>164</v>
      </c>
      <c r="B40" s="42" t="s">
        <v>189</v>
      </c>
      <c r="C40" s="106" t="s">
        <v>5</v>
      </c>
      <c r="D40" s="25">
        <v>4.7699999999999996</v>
      </c>
      <c r="E40" s="198"/>
      <c r="F40" s="198"/>
      <c r="G40" s="198"/>
      <c r="H40" s="198"/>
      <c r="I40" s="199"/>
    </row>
    <row r="41" spans="1:9" x14ac:dyDescent="0.25">
      <c r="A41" s="39" t="s">
        <v>165</v>
      </c>
      <c r="B41" s="42" t="s">
        <v>190</v>
      </c>
      <c r="C41" s="106" t="s">
        <v>5</v>
      </c>
      <c r="D41" s="90">
        <f>PinMinorDia - 0.04</f>
        <v>5.330000000000001</v>
      </c>
      <c r="E41" s="198"/>
      <c r="F41" s="198"/>
      <c r="G41" s="198"/>
      <c r="H41" s="198"/>
      <c r="I41" s="199"/>
    </row>
    <row r="42" spans="1:9" x14ac:dyDescent="0.25">
      <c r="A42" s="39" t="s">
        <v>166</v>
      </c>
      <c r="B42" s="42" t="s">
        <v>191</v>
      </c>
      <c r="C42" s="106" t="s">
        <v>5</v>
      </c>
      <c r="D42" s="25">
        <v>5.33</v>
      </c>
      <c r="E42" s="198"/>
      <c r="F42" s="198"/>
      <c r="G42" s="198"/>
      <c r="H42" s="198"/>
      <c r="I42" s="199"/>
    </row>
    <row r="43" spans="1:9" x14ac:dyDescent="0.25">
      <c r="A43" s="39" t="s">
        <v>167</v>
      </c>
      <c r="B43" s="42" t="s">
        <v>192</v>
      </c>
      <c r="C43" s="106" t="s">
        <v>5</v>
      </c>
      <c r="D43" s="25">
        <v>4.78</v>
      </c>
      <c r="E43" s="198"/>
      <c r="F43" s="198"/>
      <c r="G43" s="198"/>
      <c r="H43" s="198"/>
      <c r="I43" s="199"/>
    </row>
    <row r="44" spans="1:9" x14ac:dyDescent="0.25">
      <c r="A44" s="215" t="s">
        <v>22</v>
      </c>
      <c r="B44" s="216"/>
      <c r="C44" s="106" t="s">
        <v>7</v>
      </c>
      <c r="D44" s="77">
        <v>0.08</v>
      </c>
      <c r="E44" s="198"/>
      <c r="F44" s="198"/>
      <c r="G44" s="198"/>
      <c r="H44" s="198"/>
      <c r="I44" s="199"/>
    </row>
    <row r="45" spans="1:9" x14ac:dyDescent="0.25">
      <c r="A45" s="215" t="s">
        <v>23</v>
      </c>
      <c r="B45" s="216"/>
      <c r="C45" s="106" t="s">
        <v>7</v>
      </c>
      <c r="D45" s="77">
        <v>0.08</v>
      </c>
      <c r="E45" s="200"/>
      <c r="F45" s="200"/>
      <c r="G45" s="200"/>
      <c r="H45" s="200"/>
      <c r="I45" s="201"/>
    </row>
    <row r="46" spans="1:9" ht="15.75" thickBot="1" x14ac:dyDescent="0.3">
      <c r="A46" s="188"/>
      <c r="B46" s="189"/>
      <c r="C46" s="18"/>
      <c r="D46" s="18"/>
      <c r="E46" s="18"/>
      <c r="F46" s="18"/>
      <c r="G46" s="18"/>
      <c r="H46" s="18"/>
      <c r="I46" s="19"/>
    </row>
    <row r="47" spans="1:9" ht="15.75" thickBot="1" x14ac:dyDescent="0.3">
      <c r="A47" s="221" t="s">
        <v>205</v>
      </c>
      <c r="B47" s="222"/>
      <c r="C47" s="222"/>
      <c r="D47" s="222"/>
      <c r="E47" s="222"/>
      <c r="F47" s="222"/>
      <c r="G47" s="222"/>
      <c r="H47" s="222"/>
      <c r="I47" s="261"/>
    </row>
    <row r="48" spans="1:9" ht="15.75" thickBot="1" x14ac:dyDescent="0.3">
      <c r="A48" s="206" t="s">
        <v>174</v>
      </c>
      <c r="B48" s="207"/>
      <c r="C48" s="207"/>
      <c r="D48" s="211"/>
      <c r="E48" s="253" t="str">
        <f>IF(EngExternalorInternal = "Externally Shouldered", "EXTERNALLY SHOULDERED - TORQUE VS PULL STRENGTH", IF( EngExternalorInternal = "Internally Shouldered", "INTERNALLY SHOULDERED - TORQUE VS PULL STRENGTH", "-"))</f>
        <v>EXTERNALLY SHOULDERED - TORQUE VS PULL STRENGTH</v>
      </c>
      <c r="F48" s="253"/>
      <c r="G48" s="253"/>
      <c r="H48" s="253"/>
      <c r="I48" s="254"/>
    </row>
    <row r="49" spans="1:9" x14ac:dyDescent="0.25">
      <c r="A49" s="193" t="s">
        <v>2</v>
      </c>
      <c r="B49" s="194"/>
      <c r="C49" s="104" t="s">
        <v>3</v>
      </c>
      <c r="D49" s="24" t="s">
        <v>4</v>
      </c>
      <c r="E49" s="259"/>
      <c r="F49" s="259"/>
      <c r="G49" s="259"/>
      <c r="H49" s="259"/>
      <c r="I49" s="260"/>
    </row>
    <row r="50" spans="1:9" x14ac:dyDescent="0.25">
      <c r="A50" s="228" t="s">
        <v>130</v>
      </c>
      <c r="B50" s="175"/>
      <c r="C50" s="103" t="s">
        <v>131</v>
      </c>
      <c r="D50" s="43">
        <f>IF(EngExternalorInternal = "Select…", "-", BoxYield * (PI()/4) * (BoxOD^2 - BoxRelief^2))</f>
        <v>1010386.2665273948</v>
      </c>
      <c r="E50" s="259"/>
      <c r="F50" s="259"/>
      <c r="G50" s="259"/>
      <c r="H50" s="259"/>
      <c r="I50" s="260"/>
    </row>
    <row r="51" spans="1:9" x14ac:dyDescent="0.25">
      <c r="A51" s="228" t="s">
        <v>176</v>
      </c>
      <c r="B51" s="175"/>
      <c r="C51" s="103" t="s">
        <v>131</v>
      </c>
      <c r="D51" s="43">
        <f xml:space="preserve"> IF(EngExternalorInternal = "Select…", "-", 0.577 * BoxYield * PI() * TPI * ThreadEngagement * (NomThreadSize - BoxMinorDiaTol) * ((1/(2 * TPI)) + (((NomThreadSize - BoxMinorDiaTol) - (BoxPitchDia + BoxPitchDiaTol)) * TAN(PHI))))</f>
        <v>749508.80689268606</v>
      </c>
      <c r="E51" s="259"/>
      <c r="F51" s="259"/>
      <c r="G51" s="259"/>
      <c r="H51" s="259"/>
      <c r="I51" s="260"/>
    </row>
    <row r="52" spans="1:9" x14ac:dyDescent="0.25">
      <c r="A52" s="257" t="s">
        <v>177</v>
      </c>
      <c r="B52" s="258"/>
      <c r="C52" s="108" t="s">
        <v>131</v>
      </c>
      <c r="D52" s="76" t="str">
        <f>IF(EngExternalorInternal = "Select…", "-", "TBI")</f>
        <v>TBI</v>
      </c>
      <c r="E52" s="259"/>
      <c r="F52" s="259"/>
      <c r="G52" s="259"/>
      <c r="H52" s="259"/>
      <c r="I52" s="260"/>
    </row>
    <row r="53" spans="1:9" x14ac:dyDescent="0.25">
      <c r="A53" s="228" t="s">
        <v>178</v>
      </c>
      <c r="B53" s="175"/>
      <c r="C53" s="103" t="s">
        <v>131</v>
      </c>
      <c r="D53" s="43">
        <f>IF(EngExternalorInternal = "Select…", "-", PinYield * (PI()/4) * (PinRelief^2 - PinID^2))</f>
        <v>488643.32133935753</v>
      </c>
      <c r="E53" s="259"/>
      <c r="F53" s="259"/>
      <c r="G53" s="259"/>
      <c r="H53" s="259"/>
      <c r="I53" s="260"/>
    </row>
    <row r="54" spans="1:9" x14ac:dyDescent="0.25">
      <c r="A54" s="228" t="s">
        <v>179</v>
      </c>
      <c r="B54" s="175"/>
      <c r="C54" s="103" t="s">
        <v>131</v>
      </c>
      <c r="D54" s="43">
        <f xml:space="preserve"> IF(EngExternalorInternal = "Select…", "-", 0.577 * PinYield * PI() * TPI * ThreadEngagement * (BoxMinorDia + BoxMinorDiaTol) * ((1/(2 * TPI)) + (((PinPitchDia - PinPitchDiaTol) - (BoxMinorDia + BoxMinorDiaTol)) * TAN(PHI))))</f>
        <v>671443.2013242197</v>
      </c>
      <c r="E54" s="259"/>
      <c r="F54" s="259"/>
      <c r="G54" s="259"/>
      <c r="H54" s="259"/>
      <c r="I54" s="260"/>
    </row>
    <row r="55" spans="1:9" x14ac:dyDescent="0.25">
      <c r="A55" s="234" t="s">
        <v>180</v>
      </c>
      <c r="B55" s="235"/>
      <c r="C55" s="107" t="s">
        <v>131</v>
      </c>
      <c r="D55" s="75" t="str">
        <f>IF(EngExternalorInternal="Select…","-","TBI")</f>
        <v>TBI</v>
      </c>
      <c r="E55" s="259"/>
      <c r="F55" s="259"/>
      <c r="G55" s="259"/>
      <c r="H55" s="259"/>
      <c r="I55" s="260"/>
    </row>
    <row r="56" spans="1:9" x14ac:dyDescent="0.25">
      <c r="A56" s="228" t="s">
        <v>170</v>
      </c>
      <c r="B56" s="175"/>
      <c r="C56" s="103" t="s">
        <v>131</v>
      </c>
      <c r="D56" s="43" t="str">
        <f xml:space="preserve"> IF(EngExternalorInternal &lt;&gt; "Internally Shouldered", "-", BoxYield * BearingArea)</f>
        <v>-</v>
      </c>
      <c r="E56" s="259"/>
      <c r="F56" s="259"/>
      <c r="G56" s="259"/>
      <c r="H56" s="259"/>
      <c r="I56" s="260"/>
    </row>
    <row r="57" spans="1:9" ht="15.75" thickBot="1" x14ac:dyDescent="0.3">
      <c r="A57" s="249" t="s">
        <v>171</v>
      </c>
      <c r="B57" s="250"/>
      <c r="C57" s="118" t="s">
        <v>131</v>
      </c>
      <c r="D57" s="119">
        <f xml:space="preserve"> IF( EngExternalorInternal &lt;&gt; "Externally Shouldered", "-", PinYield * BearingArea)</f>
        <v>508656.67266089242</v>
      </c>
      <c r="E57" s="259"/>
      <c r="F57" s="259"/>
      <c r="G57" s="259"/>
      <c r="H57" s="259"/>
      <c r="I57" s="260"/>
    </row>
    <row r="58" spans="1:9" ht="15.75" thickBot="1" x14ac:dyDescent="0.3">
      <c r="A58" s="206" t="s">
        <v>173</v>
      </c>
      <c r="B58" s="207"/>
      <c r="C58" s="207"/>
      <c r="D58" s="211"/>
      <c r="E58" s="259"/>
      <c r="F58" s="259"/>
      <c r="G58" s="259"/>
      <c r="H58" s="259"/>
      <c r="I58" s="260"/>
    </row>
    <row r="59" spans="1:9" x14ac:dyDescent="0.25">
      <c r="A59" s="245" t="s">
        <v>2</v>
      </c>
      <c r="B59" s="246"/>
      <c r="C59" s="113" t="s">
        <v>3</v>
      </c>
      <c r="D59" s="120" t="s">
        <v>4</v>
      </c>
      <c r="E59" s="259"/>
      <c r="F59" s="259"/>
      <c r="G59" s="259"/>
      <c r="H59" s="259"/>
      <c r="I59" s="260"/>
    </row>
    <row r="60" spans="1:9" x14ac:dyDescent="0.25">
      <c r="A60" s="215" t="str">
        <f xml:space="preserve"> IF(EngExternalorInternal = "Externally Shouldered", "Box Threads (Shear)", "Box Relief (Tension)")</f>
        <v>Box Threads (Shear)</v>
      </c>
      <c r="B60" s="216"/>
      <c r="C60" s="106" t="s">
        <v>132</v>
      </c>
      <c r="D60" s="44">
        <f xml:space="preserve"> IF(EngExternalorInternal = "Externally Shouldered",BoxThreadsShear * ((Pitch/(2*PI())) + ( (PinPitchDia * ThdFriction)/(2 * COS(PHI)) ) + ( (0.25 * (BoxOD + BoxRelief)) * ThdFriction)) * (1/12), IF(EngExternalorInternal = "Internally Shouldered",BoxReliefTension *( (Pitch/(2*PI())) + ( (PinPitchDia * ThdFriction)/(2 * COS(PHI)) ) + ( (0.25 * (PinID + PinRelief)) * ThdFriction)) * (1/12), "-"))</f>
        <v>29916.435187425035</v>
      </c>
      <c r="E60" s="259"/>
      <c r="F60" s="259"/>
      <c r="G60" s="259"/>
      <c r="H60" s="259"/>
      <c r="I60" s="260"/>
    </row>
    <row r="61" spans="1:9" x14ac:dyDescent="0.25">
      <c r="A61" s="215" t="str">
        <f>IF(EngExternalorInternal = "Externally Shouldered", "Box Body (Hoop - Burst)", "Box Threads (In Shear)")</f>
        <v>Box Body (Hoop - Burst)</v>
      </c>
      <c r="B61" s="216"/>
      <c r="C61" s="106" t="s">
        <v>132</v>
      </c>
      <c r="D61" s="44" t="str">
        <f>IF(EngExternalorInternal = "Externally Shouldered", "TBI", IF(EngExternalorInternal = "Internally Shouldered", BoxThreadsShear * ((Pitch/(2*PI())) + ( (PinPitchDia * ThdFriction)/(2 * COS(PHI)) ) + ( (0.25 * (PinID + PinRelief)) * ThdFriction)) * (1/12), "-"))</f>
        <v>TBI</v>
      </c>
      <c r="E61" s="259"/>
      <c r="F61" s="259"/>
      <c r="G61" s="259"/>
      <c r="H61" s="259"/>
      <c r="I61" s="260"/>
    </row>
    <row r="62" spans="1:9" x14ac:dyDescent="0.25">
      <c r="A62" s="215" t="str">
        <f>IF(EngExternalorInternal = "Externally Shouldered", "Pin Relief (Tension)", "Box Body (Hoop - Burst)")</f>
        <v>Pin Relief (Tension)</v>
      </c>
      <c r="B62" s="216"/>
      <c r="C62" s="106" t="s">
        <v>132</v>
      </c>
      <c r="D62" s="44">
        <f xml:space="preserve"> IF(EngExternalorInternal = "Externally Shouldered",PinReliefTension * ((Pitch/(2*PI())) + ( (PinPitchDia * ThdFriction)/(2 * COS(PHI)) ) + ( (0.25 * (BoxOD + BoxRelief)) * ThdFriction)) * (1/12), IF(EngExternalorInternal = "Internally Shouldered", "TBI", "-"))</f>
        <v>19504.06201792643</v>
      </c>
      <c r="E62" s="259"/>
      <c r="F62" s="259"/>
      <c r="G62" s="259"/>
      <c r="H62" s="259"/>
      <c r="I62" s="260"/>
    </row>
    <row r="63" spans="1:9" x14ac:dyDescent="0.25">
      <c r="A63" s="215" t="s">
        <v>179</v>
      </c>
      <c r="B63" s="216"/>
      <c r="C63" s="106" t="s">
        <v>132</v>
      </c>
      <c r="D63" s="44">
        <f xml:space="preserve"> IF(EngExternalorInternal &lt;&gt; "Select…",PinThreadsShear * ((Pitch/(2*PI())) + ( (PinPitchDia * ThdFriction)/(2 * COS(PHI)) ) + ( (0.25 * (BoxOD + BoxRelief)) * ThdFriction)) * (1/12), "-")</f>
        <v>26800.46829300201</v>
      </c>
      <c r="E63" s="259"/>
      <c r="F63" s="259"/>
      <c r="G63" s="259"/>
      <c r="H63" s="259"/>
      <c r="I63" s="260"/>
    </row>
    <row r="64" spans="1:9" x14ac:dyDescent="0.25">
      <c r="A64" s="215" t="s">
        <v>180</v>
      </c>
      <c r="B64" s="216"/>
      <c r="C64" s="106" t="s">
        <v>132</v>
      </c>
      <c r="D64" s="44" t="str">
        <f>IF(EngExternalorInternal = "Select…", "-", "TBI")</f>
        <v>TBI</v>
      </c>
      <c r="E64" s="259"/>
      <c r="F64" s="259"/>
      <c r="G64" s="259"/>
      <c r="H64" s="259"/>
      <c r="I64" s="260"/>
    </row>
    <row r="65" spans="1:9" x14ac:dyDescent="0.25">
      <c r="A65" s="215" t="s">
        <v>181</v>
      </c>
      <c r="B65" s="216"/>
      <c r="C65" s="106" t="s">
        <v>132</v>
      </c>
      <c r="D65" s="44" t="str">
        <f xml:space="preserve"> IF(EngExternalorInternal &lt;&gt; "Internally Shouldered", "-",BoxBearingStress * ((Pitch/(2*PI())) + ( (PinPitchDia * ThdFriction)/(2 * COS(PHI)) ) + ( (0.25 * (BoxOD + BoxRelief)) * ThdFriction)) * (1/12))</f>
        <v>-</v>
      </c>
      <c r="E65" s="259"/>
      <c r="F65" s="259"/>
      <c r="G65" s="259"/>
      <c r="H65" s="259"/>
      <c r="I65" s="260"/>
    </row>
    <row r="66" spans="1:9" ht="15.75" thickBot="1" x14ac:dyDescent="0.3">
      <c r="A66" s="243" t="s">
        <v>182</v>
      </c>
      <c r="B66" s="244"/>
      <c r="C66" s="121" t="s">
        <v>132</v>
      </c>
      <c r="D66" s="122">
        <f xml:space="preserve"> IF(EngExternalorInternal &lt;&gt; "Externally Shouldered", "-",PinBearingStress * ((Pitch/(2*PI())) + ( (PinPitchDia * ThdFriction)/(2 * COS(PHI)) ) + ( (0.25 * (BoxOD + BoxRelief)) * ThdFriction)) * (1/12))</f>
        <v>20302.889359497069</v>
      </c>
      <c r="E66" s="259"/>
      <c r="F66" s="259"/>
      <c r="G66" s="259"/>
      <c r="H66" s="259"/>
      <c r="I66" s="260"/>
    </row>
    <row r="67" spans="1:9" ht="15.75" thickBot="1" x14ac:dyDescent="0.3">
      <c r="A67" s="206" t="s">
        <v>133</v>
      </c>
      <c r="B67" s="207"/>
      <c r="C67" s="207"/>
      <c r="D67" s="211"/>
      <c r="E67" s="259"/>
      <c r="F67" s="259"/>
      <c r="G67" s="259"/>
      <c r="H67" s="259"/>
      <c r="I67" s="260"/>
    </row>
    <row r="68" spans="1:9" x14ac:dyDescent="0.25">
      <c r="A68" s="245" t="s">
        <v>2</v>
      </c>
      <c r="B68" s="246"/>
      <c r="C68" s="113" t="s">
        <v>3</v>
      </c>
      <c r="D68" s="123" t="s">
        <v>4</v>
      </c>
      <c r="E68" s="259"/>
      <c r="F68" s="259"/>
      <c r="G68" s="259"/>
      <c r="H68" s="259"/>
      <c r="I68" s="260"/>
    </row>
    <row r="69" spans="1:9" x14ac:dyDescent="0.25">
      <c r="A69" s="215" t="s">
        <v>134</v>
      </c>
      <c r="B69" s="216"/>
      <c r="C69" s="103" t="s">
        <v>136</v>
      </c>
      <c r="D69" s="143">
        <f>IF(EngExternalorInternal = "Select…", "-", (PI()/32) * (BoxOD^4 - BoxRelief^4)/BoxOD)</f>
        <v>12.821099366741066</v>
      </c>
      <c r="E69" s="259"/>
      <c r="F69" s="259"/>
      <c r="G69" s="259"/>
      <c r="H69" s="259"/>
      <c r="I69" s="260"/>
    </row>
    <row r="70" spans="1:9" x14ac:dyDescent="0.25">
      <c r="A70" s="215" t="s">
        <v>135</v>
      </c>
      <c r="B70" s="216"/>
      <c r="C70" s="103" t="s">
        <v>136</v>
      </c>
      <c r="D70" s="143">
        <f xml:space="preserve"> IF(EngExternalorInternal = "Select…", "-", (PI()/32) * (PinRelief^4 - PinID^4)/PinRelief)</f>
        <v>5.3300085019827614</v>
      </c>
      <c r="E70" s="18"/>
      <c r="F70" s="18"/>
      <c r="G70" s="18"/>
      <c r="H70" s="18"/>
      <c r="I70" s="19"/>
    </row>
    <row r="71" spans="1:9" ht="15.75" thickBot="1" x14ac:dyDescent="0.3">
      <c r="A71" s="249" t="s">
        <v>151</v>
      </c>
      <c r="B71" s="250"/>
      <c r="C71" s="118" t="s">
        <v>7</v>
      </c>
      <c r="D71" s="144">
        <f>IF(EngExternalorInternal = "Select…", "-", BoxSectionMod/PinSectionMod)</f>
        <v>2.4054557064912037</v>
      </c>
      <c r="E71" s="18"/>
      <c r="F71" s="18"/>
      <c r="G71" s="18"/>
      <c r="H71" s="18"/>
      <c r="I71" s="19"/>
    </row>
    <row r="72" spans="1:9" ht="15" customHeight="1" thickBot="1" x14ac:dyDescent="0.3">
      <c r="A72" s="206" t="s">
        <v>219</v>
      </c>
      <c r="B72" s="207"/>
      <c r="C72" s="207"/>
      <c r="D72" s="211"/>
      <c r="E72" s="18"/>
      <c r="F72" s="18"/>
      <c r="G72" s="18"/>
      <c r="H72" s="18"/>
      <c r="I72" s="19"/>
    </row>
    <row r="73" spans="1:9" ht="15" customHeight="1" x14ac:dyDescent="0.25">
      <c r="A73" s="247" t="s">
        <v>2</v>
      </c>
      <c r="B73" s="248"/>
      <c r="C73" s="104" t="s">
        <v>3</v>
      </c>
      <c r="D73" s="24" t="s">
        <v>4</v>
      </c>
      <c r="E73" s="18"/>
      <c r="F73" s="18"/>
      <c r="G73" s="18"/>
      <c r="H73" s="18"/>
      <c r="I73" s="19"/>
    </row>
    <row r="74" spans="1:9" ht="15" customHeight="1" x14ac:dyDescent="0.25">
      <c r="A74" s="228" t="s">
        <v>220</v>
      </c>
      <c r="B74" s="175"/>
      <c r="C74" s="106" t="s">
        <v>13</v>
      </c>
      <c r="D74" s="141">
        <f xml:space="preserve"> IF(EngExternalorInternal = "Select…", "-",(RecMakeupTorque * (BoxOD/2) * 12)/(BoxPolarMoment))</f>
        <v>160.86764020800635</v>
      </c>
      <c r="E74" s="18"/>
      <c r="F74" s="18"/>
      <c r="G74" s="18"/>
      <c r="H74" s="18"/>
      <c r="I74" s="19"/>
    </row>
    <row r="75" spans="1:9" ht="15" customHeight="1" thickBot="1" x14ac:dyDescent="0.3">
      <c r="A75" s="249" t="s">
        <v>221</v>
      </c>
      <c r="B75" s="250"/>
      <c r="C75" s="121" t="s">
        <v>13</v>
      </c>
      <c r="D75" s="142">
        <f xml:space="preserve"> IF(EngExternalorInternal = "Select…", "-",(RecMakeupTorque * (PinRelief/2) * 12)/(PinPolarMoment))</f>
        <v>386.95998312812276</v>
      </c>
      <c r="E75" s="18"/>
      <c r="F75" s="18"/>
      <c r="G75" s="18"/>
      <c r="H75" s="18"/>
      <c r="I75" s="19"/>
    </row>
    <row r="76" spans="1:9" ht="15" customHeight="1" thickBot="1" x14ac:dyDescent="0.3">
      <c r="A76" s="183" t="s">
        <v>155</v>
      </c>
      <c r="B76" s="184"/>
      <c r="C76" s="184"/>
      <c r="D76" s="184"/>
      <c r="E76" s="184"/>
      <c r="F76" s="184"/>
      <c r="G76" s="184"/>
      <c r="H76" s="184"/>
      <c r="I76" s="185"/>
    </row>
    <row r="77" spans="1:9" x14ac:dyDescent="0.25">
      <c r="A77" s="193" t="s">
        <v>2</v>
      </c>
      <c r="B77" s="194"/>
      <c r="C77" s="194"/>
      <c r="D77" s="104" t="s">
        <v>3</v>
      </c>
      <c r="E77" s="186" t="s">
        <v>4</v>
      </c>
      <c r="F77" s="186"/>
      <c r="G77" s="186" t="s">
        <v>152</v>
      </c>
      <c r="H77" s="186"/>
      <c r="I77" s="187"/>
    </row>
    <row r="78" spans="1:9" ht="24.95" customHeight="1" x14ac:dyDescent="0.25">
      <c r="A78" s="159" t="s">
        <v>214</v>
      </c>
      <c r="B78" s="160"/>
      <c r="C78" s="161"/>
      <c r="D78" s="81" t="s">
        <v>132</v>
      </c>
      <c r="E78" s="155" t="str">
        <f>IF(EngExternalorInternal="Select…","-",CONCATENATE(FLOOR(ShoulderSeperation*0.9,250)," ± ", CEILING(0.075 * RecMakeupTorque, 250)))</f>
        <v>5500 ± 500</v>
      </c>
      <c r="F78" s="156"/>
      <c r="G78" s="150" t="s">
        <v>243</v>
      </c>
      <c r="H78" s="151"/>
      <c r="I78" s="152"/>
    </row>
    <row r="79" spans="1:9" ht="24.95" customHeight="1" x14ac:dyDescent="0.25">
      <c r="A79" s="159" t="s">
        <v>209</v>
      </c>
      <c r="B79" s="160"/>
      <c r="C79" s="161"/>
      <c r="D79" s="81" t="s">
        <v>131</v>
      </c>
      <c r="E79" s="155">
        <f>IF(EngExternalorInternal = "Select…", "-",MinYieldLoad)</f>
        <v>488643.32133935753</v>
      </c>
      <c r="F79" s="156"/>
      <c r="G79" s="145" t="str">
        <f>IF(EngExternalorInternal = "Select…", "",CONCATENATE("FAILURE IN: ", FailureMode))</f>
        <v>FAILURE IN: Pin Relief (Tension)</v>
      </c>
      <c r="H79" s="146"/>
      <c r="I79" s="147"/>
    </row>
    <row r="80" spans="1:9" ht="16.5" customHeight="1" x14ac:dyDescent="0.25">
      <c r="A80" s="236" t="s">
        <v>230</v>
      </c>
      <c r="B80" s="237"/>
      <c r="C80" s="238"/>
      <c r="D80" s="111" t="s">
        <v>131</v>
      </c>
      <c r="E80" s="241">
        <f>IF(EngExternalorInternal = "Select…", "-",(PSMakeUp/ShoulderSeperation) * RecMakeupTorque)</f>
        <v>422715.16188214347</v>
      </c>
      <c r="F80" s="242"/>
      <c r="G80" s="239" t="s">
        <v>247</v>
      </c>
      <c r="H80" s="237"/>
      <c r="I80" s="240"/>
    </row>
    <row r="81" spans="1:9" ht="15" customHeight="1" thickBot="1" x14ac:dyDescent="0.3">
      <c r="A81" s="162" t="s">
        <v>231</v>
      </c>
      <c r="B81" s="163"/>
      <c r="C81" s="164"/>
      <c r="D81" s="82" t="s">
        <v>132</v>
      </c>
      <c r="E81" s="157">
        <f>IF(EngExternalorInternal = "Select…", "-", ShoulderSeperation)</f>
        <v>6357.7995532504101</v>
      </c>
      <c r="F81" s="158"/>
      <c r="G81" s="255" t="s">
        <v>212</v>
      </c>
      <c r="H81" s="163"/>
      <c r="I81" s="256"/>
    </row>
    <row r="98" spans="2:13" hidden="1" x14ac:dyDescent="0.25"/>
    <row r="99" spans="2:13" hidden="1" x14ac:dyDescent="0.25">
      <c r="B99" s="165" t="s">
        <v>150</v>
      </c>
      <c r="C99" s="166"/>
      <c r="D99" s="167"/>
      <c r="E99" s="51"/>
      <c r="F99" s="51"/>
      <c r="G99" s="51"/>
      <c r="H99" s="51"/>
      <c r="I99" s="51"/>
    </row>
    <row r="100" spans="2:13" hidden="1" x14ac:dyDescent="0.25">
      <c r="B100" s="52" t="s">
        <v>142</v>
      </c>
      <c r="C100" s="53">
        <f>IF( TPI &lt;= 10, 0.02, 0.01)</f>
        <v>0.02</v>
      </c>
      <c r="D100" s="54"/>
      <c r="E100" s="51"/>
      <c r="F100" s="51"/>
      <c r="G100" s="51"/>
      <c r="H100" s="51"/>
      <c r="I100" s="51"/>
    </row>
    <row r="101" spans="2:13" ht="13.5" hidden="1" customHeight="1" x14ac:dyDescent="0.25">
      <c r="B101" s="52" t="s">
        <v>144</v>
      </c>
      <c r="C101" s="53">
        <f>NomThreadSize</f>
        <v>5.45</v>
      </c>
      <c r="D101" s="54">
        <f>0.5*(1/TPI)</f>
        <v>0.05</v>
      </c>
      <c r="E101" s="51"/>
      <c r="F101" s="51"/>
      <c r="G101" s="51"/>
      <c r="H101" s="51"/>
      <c r="I101" s="51"/>
      <c r="J101" s="51"/>
      <c r="K101" s="51"/>
      <c r="L101" s="51"/>
      <c r="M101" s="51"/>
    </row>
    <row r="102" spans="2:13" ht="15" hidden="1" customHeight="1" x14ac:dyDescent="0.25">
      <c r="B102" s="52" t="s">
        <v>145</v>
      </c>
      <c r="C102" s="53">
        <f>NomThreadSize-0.3*(1/TPI)-0.008*SQRT(NomThreadSize)</f>
        <v>5.4013238119521141</v>
      </c>
      <c r="D102" s="54">
        <f>0.006*SQRT(NomThreadSize)+0.03*SQRT(1/TPI)</f>
        <v>2.3493974016419641E-2</v>
      </c>
      <c r="E102" s="51"/>
      <c r="F102" s="51"/>
      <c r="G102" s="51"/>
      <c r="H102" s="51"/>
      <c r="I102" s="51"/>
      <c r="J102" s="51"/>
      <c r="K102" s="51"/>
      <c r="L102" s="51"/>
      <c r="M102" s="51"/>
    </row>
    <row r="103" spans="2:13" ht="15" hidden="1" customHeight="1" x14ac:dyDescent="0.25">
      <c r="B103" s="52" t="s">
        <v>146</v>
      </c>
      <c r="C103" s="53">
        <f>NomThreadSize-0.6*(1/TPI)-ThreadAllowance</f>
        <v>5.370000000000001</v>
      </c>
      <c r="D103" s="54">
        <f>0.006*SQRT(NomThreadSize)+0.03*SQRT(1/TPI)</f>
        <v>2.3493974016419641E-2</v>
      </c>
      <c r="E103" s="51"/>
      <c r="F103" s="51"/>
      <c r="G103" s="51"/>
      <c r="H103" s="51"/>
      <c r="I103" s="51"/>
      <c r="J103" s="51"/>
      <c r="K103" s="51"/>
      <c r="L103" s="51"/>
      <c r="M103" s="51"/>
    </row>
    <row r="104" spans="2:13" ht="15.75" hidden="1" thickBot="1" x14ac:dyDescent="0.3">
      <c r="B104" s="52" t="s">
        <v>147</v>
      </c>
      <c r="C104" s="53">
        <f>NomThreadSize + ThreadAllowance</f>
        <v>5.47</v>
      </c>
      <c r="D104" s="54">
        <f>0.006 * SQRT(NomThreadSize) + 0.03 * SQRT(Pitch)</f>
        <v>2.3493974016419641E-2</v>
      </c>
      <c r="E104" s="51"/>
      <c r="F104" s="51"/>
      <c r="G104" s="51"/>
      <c r="H104" s="51"/>
      <c r="I104" s="51"/>
      <c r="J104" s="51"/>
      <c r="K104" s="51"/>
      <c r="L104" s="51"/>
      <c r="M104" s="51"/>
    </row>
    <row r="105" spans="2:13" ht="15.75" hidden="1" thickBot="1" x14ac:dyDescent="0.3">
      <c r="B105" s="52" t="s">
        <v>148</v>
      </c>
      <c r="C105" s="53">
        <f>NomThreadSize - 0.3 * (1/TPI)</f>
        <v>5.42</v>
      </c>
      <c r="D105" s="54">
        <f>0.006 * SQRT(NomThreadSize) + 0.03 * SQRT(Pitch)</f>
        <v>2.3493974016419641E-2</v>
      </c>
      <c r="E105" s="51"/>
      <c r="F105" s="114" t="s">
        <v>236</v>
      </c>
      <c r="G105" s="115">
        <f xml:space="preserve"> FLOOR(ShoulderSeperation * 0.9, 250)</f>
        <v>5500</v>
      </c>
      <c r="H105" s="51"/>
      <c r="I105" s="51"/>
      <c r="J105" s="51"/>
      <c r="K105" s="51"/>
      <c r="L105" s="51"/>
      <c r="M105" s="51"/>
    </row>
    <row r="106" spans="2:13" ht="15.75" hidden="1" thickBot="1" x14ac:dyDescent="0.3">
      <c r="B106" s="52" t="s">
        <v>149</v>
      </c>
      <c r="C106" s="53">
        <f>NomThreadSize - 0.6 * (1/TPI)</f>
        <v>5.3900000000000006</v>
      </c>
      <c r="D106" s="54">
        <f>0.05 * (Pitch)</f>
        <v>5.000000000000001E-3</v>
      </c>
      <c r="E106" s="51"/>
      <c r="F106" s="51"/>
      <c r="G106" s="51"/>
      <c r="H106" s="51"/>
      <c r="I106" s="51"/>
      <c r="J106" s="51"/>
      <c r="K106" s="51"/>
      <c r="L106" s="51"/>
      <c r="M106" s="51"/>
    </row>
    <row r="107" spans="2:13" hidden="1" x14ac:dyDescent="0.25">
      <c r="B107" s="52" t="s">
        <v>143</v>
      </c>
      <c r="C107" s="53">
        <f>1/TPI</f>
        <v>0.1</v>
      </c>
      <c r="D107" s="54"/>
      <c r="E107" s="51"/>
      <c r="F107" s="168" t="s">
        <v>156</v>
      </c>
      <c r="G107" s="169"/>
      <c r="H107" s="21">
        <f>IF(EngExternalorInternal = "Externally Shouldered", 0, 1)</f>
        <v>0</v>
      </c>
      <c r="I107" s="61" t="str">
        <f>IF(ChartToggle, "Internal", "External")</f>
        <v>External</v>
      </c>
      <c r="J107" s="51"/>
      <c r="K107" s="51"/>
      <c r="L107" s="51"/>
      <c r="M107" s="51"/>
    </row>
    <row r="108" spans="2:13" ht="15.75" hidden="1" thickBot="1" x14ac:dyDescent="0.3">
      <c r="B108" s="55" t="s">
        <v>154</v>
      </c>
      <c r="C108" s="56">
        <f>14.5 * PI()/180</f>
        <v>0.2530727415391778</v>
      </c>
      <c r="D108" s="50"/>
      <c r="E108" s="51"/>
      <c r="F108" s="62" t="s">
        <v>158</v>
      </c>
      <c r="G108" s="63" t="s">
        <v>157</v>
      </c>
      <c r="H108" s="63"/>
      <c r="I108" s="64"/>
      <c r="J108" s="51"/>
      <c r="K108" s="51"/>
      <c r="L108" s="51"/>
      <c r="M108" s="51"/>
    </row>
    <row r="109" spans="2:13" hidden="1" x14ac:dyDescent="0.25">
      <c r="B109" s="51"/>
      <c r="C109" s="51"/>
      <c r="D109" s="51"/>
      <c r="E109" s="51"/>
      <c r="F109" s="47">
        <v>0</v>
      </c>
      <c r="G109" s="43">
        <f>MinYieldLoad</f>
        <v>488643.32133935753</v>
      </c>
      <c r="H109" s="153" t="s">
        <v>197</v>
      </c>
      <c r="I109" s="154"/>
      <c r="J109" s="51"/>
      <c r="K109" s="51"/>
      <c r="L109" s="51"/>
      <c r="M109" s="51"/>
    </row>
    <row r="110" spans="2:13" ht="15.75" hidden="1" thickBot="1" x14ac:dyDescent="0.3">
      <c r="B110" s="51"/>
      <c r="C110" s="51"/>
      <c r="D110" s="51"/>
      <c r="E110" s="51"/>
      <c r="F110" s="65">
        <f>MIN(F114:F115) * (M111/(M111+M112))</f>
        <v>6357.7995532504101</v>
      </c>
      <c r="G110" s="43">
        <f>MinYieldLoad</f>
        <v>488643.32133935753</v>
      </c>
      <c r="H110" s="153" t="s">
        <v>193</v>
      </c>
      <c r="I110" s="154"/>
      <c r="J110" s="51"/>
      <c r="K110" s="51"/>
      <c r="L110" s="51"/>
      <c r="M110" s="51"/>
    </row>
    <row r="111" spans="2:13" hidden="1" x14ac:dyDescent="0.25">
      <c r="B111" s="51"/>
      <c r="C111" s="51"/>
      <c r="D111" s="51"/>
      <c r="E111" s="51"/>
      <c r="F111" s="65">
        <f>MIN(F114:F115)</f>
        <v>19504.06201792643</v>
      </c>
      <c r="G111" s="48">
        <v>0</v>
      </c>
      <c r="H111" s="153" t="s">
        <v>196</v>
      </c>
      <c r="I111" s="154"/>
      <c r="J111" s="51"/>
      <c r="K111" s="51"/>
      <c r="L111" s="57" t="s">
        <v>194</v>
      </c>
      <c r="M111" s="61">
        <f xml:space="preserve"> (PI()/4) * (PinRelief^2 - PinID^2)</f>
        <v>4.4422120121759781</v>
      </c>
    </row>
    <row r="112" spans="2:13" ht="15.75" hidden="1" thickBot="1" x14ac:dyDescent="0.3">
      <c r="B112" s="51"/>
      <c r="C112" s="51"/>
      <c r="D112" s="51"/>
      <c r="E112" s="51"/>
      <c r="F112" s="65">
        <f>RecMakeupTorque</f>
        <v>5500</v>
      </c>
      <c r="G112" s="48">
        <v>0</v>
      </c>
      <c r="H112" s="251" t="s">
        <v>202</v>
      </c>
      <c r="I112" s="252"/>
      <c r="J112" s="51"/>
      <c r="K112" s="51"/>
      <c r="L112" s="66" t="s">
        <v>195</v>
      </c>
      <c r="M112" s="67">
        <f xml:space="preserve"> (PI()/4) * (BoxOD^2 - BoxRelief^2)</f>
        <v>9.1853296957035884</v>
      </c>
    </row>
    <row r="113" spans="2:13" ht="15.75" hidden="1" thickBot="1" x14ac:dyDescent="0.3">
      <c r="B113" s="51"/>
      <c r="C113" s="51"/>
      <c r="D113" s="51"/>
      <c r="E113" s="51"/>
      <c r="F113" s="65">
        <f>RecMakeupTorque</f>
        <v>5500</v>
      </c>
      <c r="G113" s="43">
        <f>MinYieldLoad</f>
        <v>488643.32133935753</v>
      </c>
      <c r="H113" s="251" t="s">
        <v>203</v>
      </c>
      <c r="I113" s="252"/>
      <c r="J113" s="51"/>
      <c r="K113" s="51"/>
      <c r="L113" s="51"/>
      <c r="M113" s="51"/>
    </row>
    <row r="114" spans="2:13" hidden="1" x14ac:dyDescent="0.25">
      <c r="B114" s="57">
        <f>BoxReliefTension</f>
        <v>1010386.2665273948</v>
      </c>
      <c r="C114" s="179" t="s">
        <v>183</v>
      </c>
      <c r="D114" s="149"/>
      <c r="E114" s="51"/>
      <c r="F114" s="68">
        <f>BoxReliefTension * ((Pitch/(2*PI())) + ( (PinPitchDia * ThdFriction)/(2 * COS(PHI)) ) + ( (0.25 * (PinID + PinRelief)) * ThdFriction)) * (1/12)</f>
        <v>37138.149673929831</v>
      </c>
      <c r="G114" s="48" t="s">
        <v>198</v>
      </c>
      <c r="H114" s="153"/>
      <c r="I114" s="154"/>
      <c r="J114" s="51"/>
      <c r="K114" s="51"/>
      <c r="L114" s="148" t="s">
        <v>222</v>
      </c>
      <c r="M114" s="149"/>
    </row>
    <row r="115" spans="2:13" hidden="1" x14ac:dyDescent="0.25">
      <c r="B115" s="58">
        <f>BoxThreadsShear</f>
        <v>749508.80689268606</v>
      </c>
      <c r="C115" s="177" t="s">
        <v>176</v>
      </c>
      <c r="D115" s="178"/>
      <c r="E115" s="51"/>
      <c r="F115" s="65">
        <f>PinReliefTension * ((Pitch/(2*PI())) + ( (PinPitchDia * ThdFriction)/(2 * COS(PHI)) ) + ( (0.25 * (BoxOD + BoxRelief)) * ThdFriction)) * (1/12)</f>
        <v>19504.06201792643</v>
      </c>
      <c r="G115" s="103" t="s">
        <v>199</v>
      </c>
      <c r="H115" s="175"/>
      <c r="I115" s="176"/>
      <c r="J115" s="51"/>
      <c r="K115" s="51"/>
      <c r="L115" s="79" t="s">
        <v>223</v>
      </c>
      <c r="M115" s="83">
        <f xml:space="preserve"> (1/2) * PI() * (BoxOD^4 - BoxRelief^4)</f>
        <v>1330.3172702930531</v>
      </c>
    </row>
    <row r="116" spans="2:13" ht="15.75" hidden="1" thickBot="1" x14ac:dyDescent="0.3">
      <c r="B116" s="59" t="str">
        <f>D52</f>
        <v>TBI</v>
      </c>
      <c r="C116" s="177" t="s">
        <v>177</v>
      </c>
      <c r="D116" s="178"/>
      <c r="E116" s="51"/>
      <c r="F116" s="68">
        <f xml:space="preserve"> G109/(F111 - ShoulderSeperation)</f>
        <v>37.169752441223586</v>
      </c>
      <c r="G116" s="103" t="s">
        <v>200</v>
      </c>
      <c r="H116" s="175"/>
      <c r="I116" s="176"/>
      <c r="J116" s="51"/>
      <c r="K116" s="51"/>
      <c r="L116" s="80" t="s">
        <v>224</v>
      </c>
      <c r="M116" s="84">
        <f xml:space="preserve"> (1/2) * PI() * (PinRelief^4 - PinID^4)</f>
        <v>454.54312504908995</v>
      </c>
    </row>
    <row r="117" spans="2:13" hidden="1" x14ac:dyDescent="0.25">
      <c r="B117" s="58">
        <f>PinReliefTension</f>
        <v>488643.32133935753</v>
      </c>
      <c r="C117" s="177" t="s">
        <v>178</v>
      </c>
      <c r="D117" s="178"/>
      <c r="E117" s="51"/>
      <c r="F117" s="68">
        <f>RecMakeupTorque - CEILING(RecMakeupTorque * 0.075, 250)</f>
        <v>5000</v>
      </c>
      <c r="G117" s="103">
        <v>0</v>
      </c>
      <c r="H117" s="175" t="s">
        <v>239</v>
      </c>
      <c r="I117" s="176"/>
      <c r="J117" s="51"/>
      <c r="K117" s="51"/>
      <c r="L117" s="51"/>
      <c r="M117" s="51"/>
    </row>
    <row r="118" spans="2:13" ht="15.75" hidden="1" thickBot="1" x14ac:dyDescent="0.3">
      <c r="B118" s="58">
        <f>PinThreadsShear</f>
        <v>671443.2013242197</v>
      </c>
      <c r="C118" s="177" t="s">
        <v>179</v>
      </c>
      <c r="D118" s="178"/>
      <c r="E118" s="51"/>
      <c r="F118" s="68">
        <f>RecMakeupTorque - CEILING(RecMakeupTorque * 0.075, 250)</f>
        <v>5000</v>
      </c>
      <c r="G118" s="103">
        <f>PSMakeUp</f>
        <v>488643.32133935753</v>
      </c>
      <c r="H118" s="175" t="s">
        <v>240</v>
      </c>
      <c r="I118" s="176"/>
      <c r="J118" s="51"/>
      <c r="K118" s="51"/>
      <c r="L118" s="51"/>
      <c r="M118" s="51"/>
    </row>
    <row r="119" spans="2:13" ht="15.75" hidden="1" thickBot="1" x14ac:dyDescent="0.3">
      <c r="B119" s="60" t="str">
        <f>D55</f>
        <v>TBI</v>
      </c>
      <c r="C119" s="173" t="s">
        <v>180</v>
      </c>
      <c r="D119" s="174"/>
      <c r="E119" s="51"/>
      <c r="F119" s="68">
        <f>RecMakeupTorque + CEILING(RecMakeupTorque * 0.075, 250)</f>
        <v>6000</v>
      </c>
      <c r="G119" s="103">
        <v>0</v>
      </c>
      <c r="H119" s="175" t="s">
        <v>241</v>
      </c>
      <c r="I119" s="176"/>
      <c r="J119" s="51"/>
      <c r="K119" s="148" t="s">
        <v>229</v>
      </c>
      <c r="L119" s="149"/>
      <c r="M119" s="51"/>
    </row>
    <row r="120" spans="2:13" ht="15.75" hidden="1" thickBot="1" x14ac:dyDescent="0.3">
      <c r="B120" s="51"/>
      <c r="C120" s="51"/>
      <c r="D120" s="51"/>
      <c r="E120" s="51"/>
      <c r="F120" s="69">
        <f>RecMakeupTorque + CEILING(RecMakeupTorque * 0.075, 250)</f>
        <v>6000</v>
      </c>
      <c r="G120" s="49">
        <f>PSMakeUp</f>
        <v>488643.32133935753</v>
      </c>
      <c r="H120" s="181" t="s">
        <v>242</v>
      </c>
      <c r="I120" s="182"/>
      <c r="J120" s="51"/>
      <c r="K120" s="89">
        <v>0</v>
      </c>
      <c r="L120" s="88">
        <v>0</v>
      </c>
      <c r="M120" s="51"/>
    </row>
    <row r="121" spans="2:13" ht="15.75" hidden="1" thickBot="1" x14ac:dyDescent="0.3">
      <c r="B121" s="51"/>
      <c r="C121" s="51"/>
      <c r="D121" s="51"/>
      <c r="E121" s="51"/>
      <c r="F121" s="51"/>
      <c r="G121" s="51"/>
      <c r="H121" s="51"/>
      <c r="I121" s="51"/>
      <c r="J121" s="51"/>
      <c r="K121" s="91">
        <f>ShoulderSeperation</f>
        <v>6357.7995532504101</v>
      </c>
      <c r="L121" s="92">
        <f>G110</f>
        <v>488643.32133935753</v>
      </c>
      <c r="M121" s="51"/>
    </row>
    <row r="122" spans="2:13" ht="15.75" hidden="1" thickBot="1" x14ac:dyDescent="0.3">
      <c r="B122" s="51"/>
      <c r="C122" s="51"/>
      <c r="D122" s="148" t="s">
        <v>159</v>
      </c>
      <c r="E122" s="179"/>
      <c r="F122" s="125" t="str">
        <f>VLOOKUP(MIN(B114:B119), B114:C119, 2, FALSE)</f>
        <v>Pin Relief (Tension)</v>
      </c>
      <c r="G122" s="51"/>
      <c r="H122" s="57" t="s">
        <v>160</v>
      </c>
      <c r="I122" s="61" t="s">
        <v>161</v>
      </c>
      <c r="J122" s="51"/>
      <c r="K122" s="51"/>
      <c r="L122" s="51"/>
      <c r="M122" s="51"/>
    </row>
    <row r="123" spans="2:13" ht="15.75" hidden="1" thickBot="1" x14ac:dyDescent="0.3">
      <c r="B123" s="51"/>
      <c r="C123" s="51"/>
      <c r="D123" s="180" t="s">
        <v>172</v>
      </c>
      <c r="E123" s="177"/>
      <c r="F123" s="126" t="str">
        <f>VLOOKUP(MIN(B118,B115), B114:C119, 2, FALSE)</f>
        <v>Pin Threads (Shear)</v>
      </c>
      <c r="G123" s="51"/>
      <c r="H123" s="66" t="str">
        <f>IF(EngPinOrBox = "Select...", "PinBox", IF(EngPinOrBox = "Pin", "Pin", "Box"))</f>
        <v>PinBox</v>
      </c>
      <c r="I123" s="67" t="str">
        <f>IF(EngExternalorInternal = "Select…", "ExtInt", IF(EngExternalorInternal = "Externally Shouldered", "Ext", "Int"))</f>
        <v>Ext</v>
      </c>
      <c r="J123" s="51"/>
      <c r="K123" s="148" t="s">
        <v>232</v>
      </c>
      <c r="L123" s="179"/>
      <c r="M123" s="87" t="s">
        <v>233</v>
      </c>
    </row>
    <row r="124" spans="2:13" ht="15.75" hidden="1" thickBot="1" x14ac:dyDescent="0.3">
      <c r="B124" s="51"/>
      <c r="C124" s="51"/>
      <c r="D124" s="172" t="s">
        <v>175</v>
      </c>
      <c r="E124" s="173"/>
      <c r="F124" s="127">
        <f>IF(EngExternalorInternal = "Externally Shouldered", ( RecMakeupTorque * 12 )/( (Pitch/(2*PI()) ) + ( (PinPitchDia * ThdFriction)/(2 * COS(PHI)) ) + ( (0.25 * (BoxOD + BoxRelief)) * ThdFriction) + ( 3 * ShFriction * (OutsideShoulder + InsideShoulder))), ( RecMakeupTorque * 12 )/( (Pitch/(2*PI()) ) + ( (PinPitchDia * ThdFriction)/(2 * COS(PHI)) ) + ( (0.25 * (PinID + PinRelief)) * ThdFriction) + ( 3 * ShFriction * (OutsideShoulder + InsideShoulder))))</f>
        <v>22716.503849916153</v>
      </c>
      <c r="G124" s="51"/>
      <c r="H124" s="51"/>
      <c r="I124" s="51"/>
      <c r="J124" s="51"/>
      <c r="K124" s="172">
        <f>IF(isBackAngle = "Yes", ((OutsideShoulder-InsideShoulder)/COS(Theta)) * (InsideShoulder + ((OutsideShoulder-InsideShoulder)/COS(Theta)))*PI()/2,(PI()/4) * (OutsideShoulder^2 - InsideShoulder^2))</f>
        <v>4.6241515696444768</v>
      </c>
      <c r="L124" s="173"/>
      <c r="M124" s="84">
        <f>COS(85* (PI()/180))</f>
        <v>8.7155742747658138E-2</v>
      </c>
    </row>
    <row r="125" spans="2:13" ht="15.75" hidden="1" thickBot="1" x14ac:dyDescent="0.3">
      <c r="B125" s="51"/>
      <c r="C125" s="51"/>
      <c r="D125" s="51"/>
      <c r="E125" s="21"/>
      <c r="F125" s="70"/>
      <c r="G125" s="51"/>
      <c r="H125" s="51"/>
      <c r="I125" s="51"/>
      <c r="J125" s="51"/>
      <c r="K125" s="51"/>
      <c r="L125" s="51"/>
      <c r="M125" s="51"/>
    </row>
    <row r="126" spans="2:13" hidden="1" x14ac:dyDescent="0.25">
      <c r="B126" s="71" t="s">
        <v>217</v>
      </c>
      <c r="C126" s="73">
        <f>IF( OR(InputTorque = "", EngExternalorInternal = "Select..."), "-", IF(InputTorque &lt;= ShoulderSeperation, MinYieldLoad, MinYieldLoad - (InputTorque - ShoulderSeperation) * Slope ))</f>
        <v>443028.58453791629</v>
      </c>
      <c r="D126" s="51"/>
      <c r="E126" s="20"/>
      <c r="F126" s="20"/>
      <c r="G126" s="51"/>
      <c r="H126" s="51"/>
      <c r="I126" s="51"/>
      <c r="J126" s="51"/>
      <c r="K126" s="51"/>
      <c r="L126" s="51"/>
      <c r="M126" s="51"/>
    </row>
    <row r="127" spans="2:13" ht="15.75" hidden="1" thickBot="1" x14ac:dyDescent="0.3">
      <c r="B127" s="72" t="s">
        <v>216</v>
      </c>
      <c r="C127" s="74">
        <f>MIN(D50:D55)</f>
        <v>488643.32133935753</v>
      </c>
      <c r="D127" s="51"/>
      <c r="E127" s="20"/>
      <c r="F127" s="20"/>
      <c r="G127" s="51"/>
      <c r="H127" s="51"/>
      <c r="I127" s="51"/>
      <c r="J127" s="51"/>
      <c r="K127" s="51"/>
      <c r="L127" s="51"/>
      <c r="M127" s="51"/>
    </row>
    <row r="128" spans="2:13" hidden="1" x14ac:dyDescent="0.25">
      <c r="J128" s="51"/>
      <c r="K128" s="51"/>
      <c r="L128" s="51"/>
      <c r="M128" s="51"/>
    </row>
    <row r="129" spans="10:13" x14ac:dyDescent="0.25">
      <c r="J129" s="51"/>
      <c r="K129" s="51"/>
      <c r="L129" s="51"/>
      <c r="M129" s="51"/>
    </row>
  </sheetData>
  <mergeCells count="126">
    <mergeCell ref="A47:I47"/>
    <mergeCell ref="A48:D48"/>
    <mergeCell ref="A56:B56"/>
    <mergeCell ref="A57:B57"/>
    <mergeCell ref="C114:D114"/>
    <mergeCell ref="C115:D115"/>
    <mergeCell ref="C116:D116"/>
    <mergeCell ref="H112:I112"/>
    <mergeCell ref="E48:I48"/>
    <mergeCell ref="G81:I81"/>
    <mergeCell ref="A52:B52"/>
    <mergeCell ref="E49:I69"/>
    <mergeCell ref="A61:B61"/>
    <mergeCell ref="A62:B62"/>
    <mergeCell ref="A60:B60"/>
    <mergeCell ref="A72:D72"/>
    <mergeCell ref="A70:B70"/>
    <mergeCell ref="A50:B50"/>
    <mergeCell ref="A51:B51"/>
    <mergeCell ref="A59:B59"/>
    <mergeCell ref="A73:B73"/>
    <mergeCell ref="A74:B74"/>
    <mergeCell ref="A75:B75"/>
    <mergeCell ref="A77:C77"/>
    <mergeCell ref="E77:F77"/>
    <mergeCell ref="H113:I113"/>
    <mergeCell ref="K123:L123"/>
    <mergeCell ref="K124:L124"/>
    <mergeCell ref="A71:B71"/>
    <mergeCell ref="K119:L119"/>
    <mergeCell ref="A80:C80"/>
    <mergeCell ref="G80:I80"/>
    <mergeCell ref="E80:F80"/>
    <mergeCell ref="A63:B63"/>
    <mergeCell ref="A64:B64"/>
    <mergeCell ref="A65:B65"/>
    <mergeCell ref="A66:B66"/>
    <mergeCell ref="A67:D67"/>
    <mergeCell ref="A68:B68"/>
    <mergeCell ref="A69:B69"/>
    <mergeCell ref="C10:I10"/>
    <mergeCell ref="A11:I11"/>
    <mergeCell ref="A12:D12"/>
    <mergeCell ref="H14:H15"/>
    <mergeCell ref="G14:G15"/>
    <mergeCell ref="F12:G12"/>
    <mergeCell ref="A53:B53"/>
    <mergeCell ref="A54:B54"/>
    <mergeCell ref="A58:D58"/>
    <mergeCell ref="A28:D28"/>
    <mergeCell ref="C19:D19"/>
    <mergeCell ref="A37:B37"/>
    <mergeCell ref="A46:B46"/>
    <mergeCell ref="A45:B45"/>
    <mergeCell ref="A44:B44"/>
    <mergeCell ref="A34:B34"/>
    <mergeCell ref="A35:B35"/>
    <mergeCell ref="A36:D36"/>
    <mergeCell ref="A33:B33"/>
    <mergeCell ref="A22:B26"/>
    <mergeCell ref="A49:B49"/>
    <mergeCell ref="A55:B55"/>
    <mergeCell ref="E36:I36"/>
    <mergeCell ref="E37:I45"/>
    <mergeCell ref="A6:B6"/>
    <mergeCell ref="A7:B7"/>
    <mergeCell ref="A8:B8"/>
    <mergeCell ref="A9:B9"/>
    <mergeCell ref="A10:B10"/>
    <mergeCell ref="H21:I21"/>
    <mergeCell ref="A21:G21"/>
    <mergeCell ref="D1:H2"/>
    <mergeCell ref="A13:B13"/>
    <mergeCell ref="F16:F17"/>
    <mergeCell ref="F18:F19"/>
    <mergeCell ref="G16:G17"/>
    <mergeCell ref="G18:G19"/>
    <mergeCell ref="H13:I13"/>
    <mergeCell ref="H12:I12"/>
    <mergeCell ref="F14:F15"/>
    <mergeCell ref="A18:D18"/>
    <mergeCell ref="A17:B17"/>
    <mergeCell ref="A16:D16"/>
    <mergeCell ref="A14:B14"/>
    <mergeCell ref="A19:B19"/>
    <mergeCell ref="H16:H17"/>
    <mergeCell ref="A15:B15"/>
    <mergeCell ref="H18:H19"/>
    <mergeCell ref="C6:I6"/>
    <mergeCell ref="C7:I7"/>
    <mergeCell ref="C8:I8"/>
    <mergeCell ref="C9:I9"/>
    <mergeCell ref="D124:E124"/>
    <mergeCell ref="C119:D119"/>
    <mergeCell ref="H116:I116"/>
    <mergeCell ref="H115:I115"/>
    <mergeCell ref="H114:I114"/>
    <mergeCell ref="H117:I117"/>
    <mergeCell ref="C117:D117"/>
    <mergeCell ref="C118:D118"/>
    <mergeCell ref="D122:E122"/>
    <mergeCell ref="D123:E123"/>
    <mergeCell ref="H118:I118"/>
    <mergeCell ref="H119:I119"/>
    <mergeCell ref="H120:I120"/>
    <mergeCell ref="A76:I76"/>
    <mergeCell ref="G77:I77"/>
    <mergeCell ref="A20:B20"/>
    <mergeCell ref="E28:I28"/>
    <mergeCell ref="A29:B29"/>
    <mergeCell ref="F22:F26"/>
    <mergeCell ref="E29:I34"/>
    <mergeCell ref="G79:I79"/>
    <mergeCell ref="L114:M114"/>
    <mergeCell ref="G78:I78"/>
    <mergeCell ref="H111:I111"/>
    <mergeCell ref="H110:I110"/>
    <mergeCell ref="H109:I109"/>
    <mergeCell ref="E79:F79"/>
    <mergeCell ref="E81:F81"/>
    <mergeCell ref="A78:C78"/>
    <mergeCell ref="A79:C79"/>
    <mergeCell ref="A81:C81"/>
    <mergeCell ref="E78:F78"/>
    <mergeCell ref="B99:D99"/>
    <mergeCell ref="F107:G107"/>
  </mergeCells>
  <conditionalFormatting sqref="F22:I26">
    <cfRule type="expression" dxfId="16" priority="34">
      <formula>IF($H$21 = "Same Material", 1, 0)</formula>
    </cfRule>
  </conditionalFormatting>
  <conditionalFormatting sqref="C19:D19">
    <cfRule type="expression" dxfId="15" priority="9">
      <formula>IF(isBackAngle="No",TRUE,FALSE)</formula>
    </cfRule>
  </conditionalFormatting>
  <conditionalFormatting sqref="D31">
    <cfRule type="expression" dxfId="14" priority="8">
      <formula>IF(ReliefLength&lt;&gt;2*Pitch+0.015,TRUE,FALSE)</formula>
    </cfRule>
  </conditionalFormatting>
  <conditionalFormatting sqref="D32">
    <cfRule type="expression" dxfId="13" priority="7">
      <formula>IF(CBLength&lt;&gt;2*Pitch+0.015,TRUE,FALSE)</formula>
    </cfRule>
  </conditionalFormatting>
  <conditionalFormatting sqref="D33">
    <cfRule type="expression" dxfId="12" priority="6">
      <formula>IF(isPitchSubtracted&lt;&gt;2*Pitch,TRUE,FALSE)</formula>
    </cfRule>
  </conditionalFormatting>
  <conditionalFormatting sqref="D34">
    <cfRule type="expression" dxfId="11" priority="5">
      <formula>IF(ThreadEngagement&lt;&gt;OAL-ReliefLength-CBLength-2*(1/TPI),TRUE,FALSE)</formula>
    </cfRule>
  </conditionalFormatting>
  <conditionalFormatting sqref="D39">
    <cfRule type="expression" dxfId="10" priority="4">
      <formula>IF(BoxRelief&lt;&gt;BoxMajorDia+0.04,TRUE,FALSE)</formula>
    </cfRule>
  </conditionalFormatting>
  <conditionalFormatting sqref="D41">
    <cfRule type="expression" dxfId="9" priority="3">
      <formula>IF(PinRelief&lt;&gt;PinMinorDia-0.04,TRUE,FALSE)</formula>
    </cfRule>
  </conditionalFormatting>
  <conditionalFormatting sqref="D44">
    <cfRule type="expression" dxfId="8" priority="2">
      <formula>IF(ThdFriction&lt;&gt;0.08,TRUE,FALSE)</formula>
    </cfRule>
  </conditionalFormatting>
  <conditionalFormatting sqref="D45">
    <cfRule type="expression" dxfId="7" priority="1">
      <formula>IF(ShFriction&lt;&gt;0.08,TRUE,FALSE)</formula>
    </cfRule>
  </conditionalFormatting>
  <dataValidations count="16">
    <dataValidation type="list" allowBlank="1" showInputMessage="1" showErrorMessage="1" sqref="E28">
      <formula1>"Select..., Pin, Box"</formula1>
    </dataValidation>
    <dataValidation type="list" allowBlank="1" showInputMessage="1" showErrorMessage="1" sqref="H12:I12">
      <formula1>"Select...,Pin, Box"</formula1>
    </dataValidation>
    <dataValidation allowBlank="1" showInputMessage="1" showErrorMessage="1" promptTitle="Machining Allowance" prompt="Reduces the effective thread engagement due to malformed/non-fully formed threads encountered during machining." sqref="D33"/>
    <dataValidation type="list" allowBlank="1" showInputMessage="1" showErrorMessage="1" sqref="E36">
      <formula1>"Select…, Externally Shouldered, Internally Shouldered"</formula1>
    </dataValidation>
    <dataValidation type="list" allowBlank="1" showInputMessage="1" showErrorMessage="1" sqref="D15">
      <formula1>"16,14,12,10,9,8,7,6,5,4,3.5,3,2.5,2,1.5,1"</formula1>
    </dataValidation>
    <dataValidation type="list" allowBlank="1" showInputMessage="1" showErrorMessage="1" sqref="H21:I21">
      <formula1>"Different Material, Same Material"</formula1>
    </dataValidation>
    <dataValidation allowBlank="1" showInputMessage="1" showErrorMessage="1" promptTitle="Thread Friction" prompt="Per API 7G - 2010, a coefficent of friction of 0.08 is recommended for thread lubricants containing between 40% - 60% by weight of zinc." sqref="D44"/>
    <dataValidation allowBlank="1" showInputMessage="1" showErrorMessage="1" promptTitle="Shoulder Friction" prompt="Per API 7G - 2010, a coefficent of friction of 0.08 is recommended for thread lubricants containing between 40% - 60% by weight of zinc." sqref="D45"/>
    <dataValidation allowBlank="1" showInputMessage="1" showErrorMessage="1" promptTitle="BSR" prompt="The Bending Strength Ratio (BSR) is a measure of relative stiffness; a high value can cause accelerated Pin failure whereas a low value can accelerate Box failure." sqref="D71"/>
    <dataValidation allowBlank="1" showInputMessage="1" showErrorMessage="1" promptTitle="Box Relief (In Tension)" prompt="The amount of force required to yield the box relief." sqref="D50"/>
    <dataValidation allowBlank="1" showInputMessage="1" showErrorMessage="1" promptTitle="Box Threads (Shear)" prompt="The amount of force required to shear the threads present in the box." sqref="D51"/>
    <dataValidation allowBlank="1" showInputMessage="1" showErrorMessage="1" promptTitle="Pin Relief (Tension)" prompt="The amount of force required to yield the pin relief." sqref="D53"/>
    <dataValidation allowBlank="1" showInputMessage="1" showErrorMessage="1" promptTitle="Pin Threads (Shear)" prompt="The amount of force required to shear the threads present in the pin." sqref="D54"/>
    <dataValidation allowBlank="1" showInputMessage="1" showErrorMessage="1" promptTitle="Box Bearing Shoulder" prompt="The amount of force required to yield the bearing/pressure face of the box." sqref="D56"/>
    <dataValidation allowBlank="1" showInputMessage="1" showErrorMessage="1" promptTitle="Pin Bearing Shoulder" prompt="The amount of force required to yield the bearing/pressure face of the pin." sqref="D57"/>
    <dataValidation type="list" allowBlank="1" showInputMessage="1" showErrorMessage="1" sqref="C19:D19">
      <formula1>"Yes,No"</formula1>
    </dataValidation>
  </dataValidations>
  <pageMargins left="0.7" right="0.7" top="0.75" bottom="0.75" header="0.3" footer="0.3"/>
  <pageSetup scale="55" orientation="portrait" r:id="rId1"/>
  <ignoredErrors>
    <ignoredError sqref="I18 I15" formula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'Material Properties'!$A$6:$A$50</xm:f>
          </x14:formula1>
          <xm:sqref>E23 I23</xm:sqref>
        </x14:dataValidation>
        <x14:dataValidation type="list" allowBlank="1" showInputMessage="1" showErrorMessage="1">
          <x14:formula1>
            <xm:f>'Material Properties'!$M$3:$V$3</xm:f>
          </x14:formula1>
          <xm:sqref>E24 I24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I55"/>
  <sheetViews>
    <sheetView showGridLines="0" showRowColHeaders="0" workbookViewId="0">
      <selection activeCell="K14" sqref="K14"/>
    </sheetView>
  </sheetViews>
  <sheetFormatPr defaultRowHeight="15" x14ac:dyDescent="0.25"/>
  <cols>
    <col min="7" max="7" width="16" customWidth="1"/>
    <col min="8" max="8" width="16.5703125" customWidth="1"/>
    <col min="9" max="9" width="14.7109375" customWidth="1"/>
  </cols>
  <sheetData>
    <row r="1" spans="1:9" x14ac:dyDescent="0.25">
      <c r="A1" s="266" t="str">
        <f>IF(EngExternalorInternal = "Externally Shouldered", "EXTERNALLY SHOULDERED - TORQUE VS PULL STRENGTH", IF( EngExternalorInternal = "Internally Shouldered", "INTERNALLY SHOULDERED - TORQUE VS PULL STRENGTH", "-"))</f>
        <v>EXTERNALLY SHOULDERED - TORQUE VS PULL STRENGTH</v>
      </c>
      <c r="B1" s="267"/>
      <c r="C1" s="267"/>
      <c r="D1" s="267"/>
      <c r="E1" s="267"/>
      <c r="F1" s="267"/>
      <c r="G1" s="267"/>
      <c r="H1" s="267"/>
      <c r="I1" s="268"/>
    </row>
    <row r="2" spans="1:9" x14ac:dyDescent="0.25">
      <c r="A2" s="188"/>
      <c r="B2" s="189"/>
      <c r="C2" s="189"/>
      <c r="D2" s="189"/>
      <c r="E2" s="189"/>
      <c r="F2" s="189"/>
      <c r="G2" s="189"/>
      <c r="H2" s="189"/>
      <c r="I2" s="262"/>
    </row>
    <row r="3" spans="1:9" x14ac:dyDescent="0.25">
      <c r="A3" s="188"/>
      <c r="B3" s="189"/>
      <c r="C3" s="189"/>
      <c r="D3" s="189"/>
      <c r="E3" s="189"/>
      <c r="F3" s="189"/>
      <c r="G3" s="189"/>
      <c r="H3" s="189"/>
      <c r="I3" s="262"/>
    </row>
    <row r="4" spans="1:9" x14ac:dyDescent="0.25">
      <c r="A4" s="188"/>
      <c r="B4" s="189"/>
      <c r="C4" s="189"/>
      <c r="D4" s="189"/>
      <c r="E4" s="189"/>
      <c r="F4" s="189"/>
      <c r="G4" s="189"/>
      <c r="H4" s="189"/>
      <c r="I4" s="262"/>
    </row>
    <row r="5" spans="1:9" x14ac:dyDescent="0.25">
      <c r="A5" s="188"/>
      <c r="B5" s="189"/>
      <c r="C5" s="189"/>
      <c r="D5" s="189"/>
      <c r="E5" s="189"/>
      <c r="F5" s="189"/>
      <c r="G5" s="189"/>
      <c r="H5" s="189"/>
      <c r="I5" s="262"/>
    </row>
    <row r="6" spans="1:9" x14ac:dyDescent="0.25">
      <c r="A6" s="188"/>
      <c r="B6" s="189"/>
      <c r="C6" s="189"/>
      <c r="D6" s="189"/>
      <c r="E6" s="189"/>
      <c r="F6" s="189"/>
      <c r="G6" s="189"/>
      <c r="H6" s="189"/>
      <c r="I6" s="262"/>
    </row>
    <row r="7" spans="1:9" x14ac:dyDescent="0.25">
      <c r="A7" s="188"/>
      <c r="B7" s="189"/>
      <c r="C7" s="189"/>
      <c r="D7" s="189"/>
      <c r="E7" s="189"/>
      <c r="F7" s="189"/>
      <c r="G7" s="189"/>
      <c r="H7" s="189"/>
      <c r="I7" s="262"/>
    </row>
    <row r="8" spans="1:9" x14ac:dyDescent="0.25">
      <c r="A8" s="188"/>
      <c r="B8" s="189"/>
      <c r="C8" s="189"/>
      <c r="D8" s="189"/>
      <c r="E8" s="189"/>
      <c r="F8" s="189"/>
      <c r="G8" s="189"/>
      <c r="H8" s="189"/>
      <c r="I8" s="262"/>
    </row>
    <row r="9" spans="1:9" x14ac:dyDescent="0.25">
      <c r="A9" s="188"/>
      <c r="B9" s="189"/>
      <c r="C9" s="189"/>
      <c r="D9" s="189"/>
      <c r="E9" s="189"/>
      <c r="F9" s="189"/>
      <c r="G9" s="189"/>
      <c r="H9" s="189"/>
      <c r="I9" s="262"/>
    </row>
    <row r="10" spans="1:9" x14ac:dyDescent="0.25">
      <c r="A10" s="188"/>
      <c r="B10" s="189"/>
      <c r="C10" s="189"/>
      <c r="D10" s="189"/>
      <c r="E10" s="189"/>
      <c r="F10" s="189"/>
      <c r="G10" s="189"/>
      <c r="H10" s="189"/>
      <c r="I10" s="262"/>
    </row>
    <row r="11" spans="1:9" x14ac:dyDescent="0.25">
      <c r="A11" s="188"/>
      <c r="B11" s="189"/>
      <c r="C11" s="189"/>
      <c r="D11" s="189"/>
      <c r="E11" s="189"/>
      <c r="F11" s="189"/>
      <c r="G11" s="189"/>
      <c r="H11" s="189"/>
      <c r="I11" s="262"/>
    </row>
    <row r="12" spans="1:9" x14ac:dyDescent="0.25">
      <c r="A12" s="188"/>
      <c r="B12" s="189"/>
      <c r="C12" s="189"/>
      <c r="D12" s="189"/>
      <c r="E12" s="189"/>
      <c r="F12" s="189"/>
      <c r="G12" s="189"/>
      <c r="H12" s="189"/>
      <c r="I12" s="262"/>
    </row>
    <row r="13" spans="1:9" x14ac:dyDescent="0.25">
      <c r="A13" s="188"/>
      <c r="B13" s="189"/>
      <c r="C13" s="189"/>
      <c r="D13" s="189"/>
      <c r="E13" s="189"/>
      <c r="F13" s="189"/>
      <c r="G13" s="189"/>
      <c r="H13" s="189"/>
      <c r="I13" s="262"/>
    </row>
    <row r="14" spans="1:9" x14ac:dyDescent="0.25">
      <c r="A14" s="188"/>
      <c r="B14" s="189"/>
      <c r="C14" s="189"/>
      <c r="D14" s="189"/>
      <c r="E14" s="189"/>
      <c r="F14" s="189"/>
      <c r="G14" s="189"/>
      <c r="H14" s="189"/>
      <c r="I14" s="262"/>
    </row>
    <row r="15" spans="1:9" x14ac:dyDescent="0.25">
      <c r="A15" s="188"/>
      <c r="B15" s="189"/>
      <c r="C15" s="189"/>
      <c r="D15" s="189"/>
      <c r="E15" s="189"/>
      <c r="F15" s="189"/>
      <c r="G15" s="189"/>
      <c r="H15" s="189"/>
      <c r="I15" s="262"/>
    </row>
    <row r="16" spans="1:9" x14ac:dyDescent="0.25">
      <c r="A16" s="188"/>
      <c r="B16" s="189"/>
      <c r="C16" s="189"/>
      <c r="D16" s="189"/>
      <c r="E16" s="189"/>
      <c r="F16" s="189"/>
      <c r="G16" s="189"/>
      <c r="H16" s="189"/>
      <c r="I16" s="262"/>
    </row>
    <row r="17" spans="1:9" x14ac:dyDescent="0.25">
      <c r="A17" s="188"/>
      <c r="B17" s="189"/>
      <c r="C17" s="189"/>
      <c r="D17" s="189"/>
      <c r="E17" s="189"/>
      <c r="F17" s="189"/>
      <c r="G17" s="189"/>
      <c r="H17" s="189"/>
      <c r="I17" s="262"/>
    </row>
    <row r="18" spans="1:9" x14ac:dyDescent="0.25">
      <c r="A18" s="188"/>
      <c r="B18" s="189"/>
      <c r="C18" s="189"/>
      <c r="D18" s="189"/>
      <c r="E18" s="189"/>
      <c r="F18" s="189"/>
      <c r="G18" s="189"/>
      <c r="H18" s="189"/>
      <c r="I18" s="262"/>
    </row>
    <row r="19" spans="1:9" x14ac:dyDescent="0.25">
      <c r="A19" s="188"/>
      <c r="B19" s="189"/>
      <c r="C19" s="189"/>
      <c r="D19" s="189"/>
      <c r="E19" s="189"/>
      <c r="F19" s="189"/>
      <c r="G19" s="189"/>
      <c r="H19" s="189"/>
      <c r="I19" s="262"/>
    </row>
    <row r="20" spans="1:9" x14ac:dyDescent="0.25">
      <c r="A20" s="188"/>
      <c r="B20" s="189"/>
      <c r="C20" s="189"/>
      <c r="D20" s="189"/>
      <c r="E20" s="189"/>
      <c r="F20" s="189"/>
      <c r="G20" s="189"/>
      <c r="H20" s="189"/>
      <c r="I20" s="262"/>
    </row>
    <row r="21" spans="1:9" x14ac:dyDescent="0.25">
      <c r="A21" s="188"/>
      <c r="B21" s="189"/>
      <c r="C21" s="189"/>
      <c r="D21" s="189"/>
      <c r="E21" s="189"/>
      <c r="F21" s="189"/>
      <c r="G21" s="189"/>
      <c r="H21" s="189"/>
      <c r="I21" s="262"/>
    </row>
    <row r="22" spans="1:9" x14ac:dyDescent="0.25">
      <c r="A22" s="188"/>
      <c r="B22" s="189"/>
      <c r="C22" s="189"/>
      <c r="D22" s="189"/>
      <c r="E22" s="189"/>
      <c r="F22" s="189"/>
      <c r="G22" s="189"/>
      <c r="H22" s="189"/>
      <c r="I22" s="262"/>
    </row>
    <row r="23" spans="1:9" ht="15.75" thickBot="1" x14ac:dyDescent="0.3">
      <c r="A23" s="263"/>
      <c r="B23" s="264"/>
      <c r="C23" s="264"/>
      <c r="D23" s="264"/>
      <c r="E23" s="264"/>
      <c r="F23" s="264"/>
      <c r="G23" s="264"/>
      <c r="H23" s="264"/>
      <c r="I23" s="265"/>
    </row>
    <row r="24" spans="1:9" ht="15.75" thickBot="1" x14ac:dyDescent="0.3">
      <c r="A24" s="206" t="s">
        <v>225</v>
      </c>
      <c r="B24" s="207"/>
      <c r="C24" s="207"/>
      <c r="D24" s="207"/>
      <c r="E24" s="207"/>
      <c r="F24" s="207"/>
      <c r="G24" s="207"/>
      <c r="H24" s="207"/>
      <c r="I24" s="211"/>
    </row>
    <row r="25" spans="1:9" x14ac:dyDescent="0.25">
      <c r="A25" s="286" t="s">
        <v>2</v>
      </c>
      <c r="B25" s="287"/>
      <c r="C25" s="287"/>
      <c r="D25" s="124" t="s">
        <v>3</v>
      </c>
      <c r="E25" s="288" t="s">
        <v>4</v>
      </c>
      <c r="F25" s="288"/>
      <c r="G25" s="288" t="s">
        <v>152</v>
      </c>
      <c r="H25" s="288"/>
      <c r="I25" s="289"/>
    </row>
    <row r="26" spans="1:9" ht="23.25" x14ac:dyDescent="0.25">
      <c r="A26" s="236" t="s">
        <v>210</v>
      </c>
      <c r="B26" s="237"/>
      <c r="C26" s="238"/>
      <c r="D26" s="111" t="s">
        <v>132</v>
      </c>
      <c r="E26" s="298">
        <v>7585</v>
      </c>
      <c r="F26" s="299"/>
      <c r="G26" s="239" t="s">
        <v>213</v>
      </c>
      <c r="H26" s="237"/>
      <c r="I26" s="240"/>
    </row>
    <row r="27" spans="1:9" ht="23.25" x14ac:dyDescent="0.25">
      <c r="A27" s="236" t="s">
        <v>209</v>
      </c>
      <c r="B27" s="237"/>
      <c r="C27" s="238"/>
      <c r="D27" s="111" t="s">
        <v>131</v>
      </c>
      <c r="E27" s="296">
        <f>IF(InputTorque = "", "-", DeratedPS)</f>
        <v>443028.58453791629</v>
      </c>
      <c r="F27" s="297"/>
      <c r="G27" s="274" t="str">
        <f>CONCATENATE("FAILURE IN: ", FailureMode)</f>
        <v>FAILURE IN: Pin Relief (Tension)</v>
      </c>
      <c r="H27" s="275"/>
      <c r="I27" s="276"/>
    </row>
    <row r="28" spans="1:9" ht="50.25" customHeight="1" x14ac:dyDescent="0.25">
      <c r="A28" s="236" t="s">
        <v>153</v>
      </c>
      <c r="B28" s="237"/>
      <c r="C28" s="238"/>
      <c r="D28" s="111" t="s">
        <v>136</v>
      </c>
      <c r="E28" s="284">
        <f>BSR</f>
        <v>2.4054557064912037</v>
      </c>
      <c r="F28" s="285"/>
      <c r="G28" s="271" t="s">
        <v>226</v>
      </c>
      <c r="H28" s="272"/>
      <c r="I28" s="273"/>
    </row>
    <row r="29" spans="1:9" ht="15.75" thickBot="1" x14ac:dyDescent="0.3">
      <c r="A29" s="277" t="s">
        <v>169</v>
      </c>
      <c r="B29" s="278"/>
      <c r="C29" s="279"/>
      <c r="D29" s="117" t="s">
        <v>7</v>
      </c>
      <c r="E29" s="280">
        <f>IF(EngExternalorInternal = "Externally Shouldered", AxialForceMakeupTorque/PinBearingStress, IF( EngExternalorInternal = "Internally Shouldered", AxialForceMakeupTorque/BoxBearingStress, "-"))</f>
        <v>4.4659797208756229E-2</v>
      </c>
      <c r="F29" s="281"/>
      <c r="G29" s="282" t="s">
        <v>215</v>
      </c>
      <c r="H29" s="278"/>
      <c r="I29" s="283"/>
    </row>
    <row r="30" spans="1:9" ht="16.5" thickTop="1" thickBot="1" x14ac:dyDescent="0.3">
      <c r="A30" s="228" t="s">
        <v>237</v>
      </c>
      <c r="B30" s="175"/>
      <c r="C30" s="175"/>
      <c r="D30" s="111" t="s">
        <v>132</v>
      </c>
      <c r="E30" s="300">
        <f>Calculator!F111 * 'Advanced Calculator'!G30</f>
        <v>6826.42170627425</v>
      </c>
      <c r="F30" s="301"/>
      <c r="G30" s="131">
        <v>0.35</v>
      </c>
      <c r="H30" s="292" t="s">
        <v>244</v>
      </c>
      <c r="I30" s="293"/>
    </row>
    <row r="31" spans="1:9" ht="16.5" thickTop="1" thickBot="1" x14ac:dyDescent="0.3">
      <c r="A31" s="269" t="s">
        <v>238</v>
      </c>
      <c r="B31" s="270"/>
      <c r="C31" s="270"/>
      <c r="D31" s="130" t="s">
        <v>132</v>
      </c>
      <c r="E31" s="290">
        <f>Calculator!F111 * 'Advanced Calculator'!G31</f>
        <v>8776.8279080668945</v>
      </c>
      <c r="F31" s="291"/>
      <c r="G31" s="131">
        <v>0.45</v>
      </c>
      <c r="H31" s="294" t="s">
        <v>244</v>
      </c>
      <c r="I31" s="295"/>
    </row>
    <row r="50" spans="2:7" hidden="1" x14ac:dyDescent="0.25">
      <c r="B50" s="132">
        <f>InputTorque</f>
        <v>7585</v>
      </c>
      <c r="C50" s="133">
        <v>0</v>
      </c>
      <c r="E50" s="136">
        <f>E30</f>
        <v>6826.42170627425</v>
      </c>
      <c r="F50" s="109">
        <v>0</v>
      </c>
      <c r="G50" s="110" t="s">
        <v>245</v>
      </c>
    </row>
    <row r="51" spans="2:7" hidden="1" x14ac:dyDescent="0.25">
      <c r="B51" s="38">
        <f>InputTorque</f>
        <v>7585</v>
      </c>
      <c r="C51" s="19">
        <f>DeratedPS</f>
        <v>443028.58453791629</v>
      </c>
      <c r="E51" s="137">
        <f>E30</f>
        <v>6826.42170627425</v>
      </c>
      <c r="F51" s="105">
        <f>IF( E30 &lt;= ShoulderSeperation, PSMakeUp, MinYieldLoad-(E30-ShoulderSeperation) * Slope)</f>
        <v>471224.75192298822</v>
      </c>
      <c r="G51" s="128" t="s">
        <v>245</v>
      </c>
    </row>
    <row r="52" spans="2:7" ht="15.75" hidden="1" thickBot="1" x14ac:dyDescent="0.3">
      <c r="B52" s="134">
        <v>0</v>
      </c>
      <c r="C52" s="135">
        <f>DeratedPS</f>
        <v>443028.58453791629</v>
      </c>
      <c r="E52" s="137">
        <f>E31</f>
        <v>8776.8279080668945</v>
      </c>
      <c r="F52" s="105">
        <v>0</v>
      </c>
      <c r="G52" s="128" t="s">
        <v>246</v>
      </c>
    </row>
    <row r="53" spans="2:7" ht="15.75" hidden="1" thickBot="1" x14ac:dyDescent="0.3">
      <c r="E53" s="138">
        <f>E31</f>
        <v>8776.8279080668945</v>
      </c>
      <c r="F53" s="116">
        <f>IF( E31 &lt;= ShoulderSeperation, PSMakeUp, MinYieldLoad-(E31-ShoulderSeperation) * Slope)</f>
        <v>398728.63624252845</v>
      </c>
      <c r="G53" s="129" t="s">
        <v>246</v>
      </c>
    </row>
    <row r="55" spans="2:7" hidden="1" x14ac:dyDescent="0.25"/>
  </sheetData>
  <mergeCells count="24">
    <mergeCell ref="E31:F31"/>
    <mergeCell ref="H30:I30"/>
    <mergeCell ref="H31:I31"/>
    <mergeCell ref="A27:C27"/>
    <mergeCell ref="A26:C26"/>
    <mergeCell ref="E27:F27"/>
    <mergeCell ref="E26:F26"/>
    <mergeCell ref="E30:F30"/>
    <mergeCell ref="A2:I23"/>
    <mergeCell ref="A1:I1"/>
    <mergeCell ref="A30:C30"/>
    <mergeCell ref="A31:C31"/>
    <mergeCell ref="G28:I28"/>
    <mergeCell ref="G27:I27"/>
    <mergeCell ref="G26:I26"/>
    <mergeCell ref="A29:C29"/>
    <mergeCell ref="E29:F29"/>
    <mergeCell ref="G29:I29"/>
    <mergeCell ref="A28:C28"/>
    <mergeCell ref="E28:F28"/>
    <mergeCell ref="A24:I24"/>
    <mergeCell ref="A25:C25"/>
    <mergeCell ref="E25:F25"/>
    <mergeCell ref="G25:I25"/>
  </mergeCells>
  <conditionalFormatting sqref="E29">
    <cfRule type="colorScale" priority="8">
      <colorScale>
        <cfvo type="num" val="0"/>
        <cfvo type="percent" val="0.5"/>
        <cfvo type="num" val="1"/>
        <color rgb="FFF8696B"/>
        <color rgb="FFFFEB84"/>
        <color rgb="FF63BE7B"/>
      </colorScale>
    </cfRule>
  </conditionalFormatting>
  <conditionalFormatting sqref="E28">
    <cfRule type="expression" dxfId="6" priority="1">
      <formula>IF($E$84="-", TRUE, FALSE)</formula>
    </cfRule>
    <cfRule type="expression" dxfId="5" priority="2">
      <formula>IF(AND(OR(BoxOD &gt; 2.5, BoxOD &lt; 3.2), BSR &lt; 8), TRUE, FALSE)</formula>
    </cfRule>
    <cfRule type="expression" dxfId="4" priority="3">
      <formula>IF(AND(AND(BoxOD &gt; 2.5, BoxOD &lt; 3.2), BSR &gt; 8), TRUE, FALSE)</formula>
    </cfRule>
    <cfRule type="expression" dxfId="3" priority="4">
      <formula>IF(AND(AND(BoxOD &gt;= 6, BoxOD &lt; 8), OR(BSR &lt; 2.25, BSR &gt; 2.75)), TRUE, FALSE)</formula>
    </cfRule>
    <cfRule type="expression" dxfId="2" priority="5">
      <formula>IF(AND(BoxOD&lt;6,OR(BSR&lt;1.8,BSR&gt;2.5)),TRUE,FALSE)</formula>
    </cfRule>
    <cfRule type="expression" dxfId="1" priority="6">
      <formula>IF(AND(AND(BoxOD &gt;= 6, BoxOD &lt; 8), AND(BSR &gt;= 2.25, BSR &lt;= 2.75)), TRUE, FALSE)</formula>
    </cfRule>
    <cfRule type="expression" dxfId="0" priority="7">
      <formula>IF(AND(BoxOD&lt;6,AND(BSR&gt;1.8,BSR&lt;2.5)),TRUE,FALSE)</formula>
    </cfRule>
  </conditionalFormatting>
  <dataValidations count="3">
    <dataValidation allowBlank="1" showInputMessage="1" showErrorMessage="1" promptTitle="Bearing Ratio" prompt="The Bearing Ratio provides the user an assurance that neither shoulder of a connection will yield." sqref="E29"/>
    <dataValidation allowBlank="1" showErrorMessage="1" promptTitle="BSR" prompt="Recommended Range:_x000a_1.8 - 2.5 for OD &lt; 6&quot;_x000a_2.25 - 2.75 for OD of 6&quot; - 8&quot;_x000a_2.5 - 3.2 for OD &gt; 8&quot;" sqref="E28:F28"/>
    <dataValidation type="list" allowBlank="1" showInputMessage="1" showErrorMessage="1" sqref="G30 G31">
      <formula1>"5%,10%,15%,20%,25%,30%,35%,40%,45%,50%,55%,60%,65%,70%,75%,80%,85%,90%,95%,100%"</formula1>
    </dataValidation>
  </dataValidations>
  <pageMargins left="0.7" right="0.7" top="0.75" bottom="0.75" header="0.3" footer="0.3"/>
  <pageSetup scale="8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B1:B7"/>
  <sheetViews>
    <sheetView showGridLines="0" showRowColHeaders="0" workbookViewId="0">
      <selection activeCell="F3" sqref="F3"/>
    </sheetView>
  </sheetViews>
  <sheetFormatPr defaultRowHeight="15" x14ac:dyDescent="0.25"/>
  <cols>
    <col min="1" max="1" width="89" customWidth="1"/>
    <col min="2" max="2" width="4" customWidth="1"/>
  </cols>
  <sheetData>
    <row r="1" spans="2:2" ht="98.25" customHeight="1" x14ac:dyDescent="0.25">
      <c r="B1" s="15" t="s">
        <v>123</v>
      </c>
    </row>
    <row r="2" spans="2:2" ht="98.25" customHeight="1" x14ac:dyDescent="0.25">
      <c r="B2" s="15" t="s">
        <v>124</v>
      </c>
    </row>
    <row r="3" spans="2:2" ht="98.25" customHeight="1" x14ac:dyDescent="0.25">
      <c r="B3" s="15" t="s">
        <v>125</v>
      </c>
    </row>
    <row r="5" spans="2:2" ht="147.75" customHeight="1" x14ac:dyDescent="0.25">
      <c r="B5" s="15" t="s">
        <v>126</v>
      </c>
    </row>
    <row r="6" spans="2:2" ht="147.75" customHeight="1" x14ac:dyDescent="0.25">
      <c r="B6" s="15" t="s">
        <v>127</v>
      </c>
    </row>
    <row r="7" spans="2:2" ht="147.75" customHeight="1" x14ac:dyDescent="0.25">
      <c r="B7" s="15" t="s">
        <v>128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opLeftCell="A172" zoomScaleNormal="100" workbookViewId="0">
      <selection activeCell="P14" sqref="P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showGridLines="0" topLeftCell="A52" workbookViewId="0">
      <selection activeCell="T106" sqref="T10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AD24"/>
  <sheetViews>
    <sheetView showGridLines="0" showRowColHeaders="0" workbookViewId="0">
      <selection activeCell="J30" sqref="J30"/>
    </sheetView>
  </sheetViews>
  <sheetFormatPr defaultRowHeight="15" x14ac:dyDescent="0.25"/>
  <cols>
    <col min="12" max="12" width="9.28515625" customWidth="1"/>
  </cols>
  <sheetData>
    <row r="1" spans="1:30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2" t="s">
        <v>24</v>
      </c>
      <c r="E2" s="2"/>
      <c r="F2" s="2"/>
      <c r="G2" s="2"/>
      <c r="H2" s="2" t="s">
        <v>25</v>
      </c>
      <c r="I2" s="2"/>
      <c r="J2" s="2" t="s">
        <v>26</v>
      </c>
      <c r="K2" s="2"/>
      <c r="L2" s="2"/>
      <c r="M2" s="1"/>
      <c r="N2" s="1"/>
      <c r="O2" s="1"/>
      <c r="P2" s="1"/>
      <c r="Q2" s="1"/>
      <c r="R2" s="1"/>
      <c r="S2" s="1"/>
      <c r="T2" s="3"/>
      <c r="U2" s="3"/>
      <c r="V2" s="4"/>
      <c r="W2" s="4"/>
      <c r="X2" s="4"/>
      <c r="Y2" s="2"/>
      <c r="Z2" s="1"/>
      <c r="AA2" s="1"/>
      <c r="AB2" s="1"/>
      <c r="AC2" s="1"/>
      <c r="AD2" s="1"/>
    </row>
    <row r="3" spans="1:30" x14ac:dyDescent="0.25">
      <c r="A3" s="1" t="s">
        <v>27</v>
      </c>
      <c r="B3" s="1" t="s">
        <v>28</v>
      </c>
      <c r="C3" s="1" t="s">
        <v>29</v>
      </c>
      <c r="D3" s="2" t="s">
        <v>30</v>
      </c>
      <c r="E3" s="2" t="s">
        <v>31</v>
      </c>
      <c r="F3" s="2" t="s">
        <v>32</v>
      </c>
      <c r="G3" s="2" t="s">
        <v>33</v>
      </c>
      <c r="H3" s="2" t="s">
        <v>34</v>
      </c>
      <c r="I3" s="2"/>
      <c r="J3" s="2" t="s">
        <v>35</v>
      </c>
      <c r="K3" s="2" t="s">
        <v>36</v>
      </c>
      <c r="L3" s="2" t="s">
        <v>37</v>
      </c>
      <c r="M3" s="1" t="s">
        <v>38</v>
      </c>
      <c r="N3" s="5">
        <v>300</v>
      </c>
      <c r="O3" s="5">
        <v>350</v>
      </c>
      <c r="P3" s="5">
        <v>400</v>
      </c>
      <c r="Q3" s="5">
        <v>450</v>
      </c>
      <c r="R3" s="5">
        <v>500</v>
      </c>
      <c r="S3" s="5">
        <v>550</v>
      </c>
      <c r="T3" s="5">
        <v>600</v>
      </c>
      <c r="U3" s="5">
        <v>650</v>
      </c>
      <c r="V3" s="5">
        <v>800</v>
      </c>
      <c r="W3" s="4"/>
      <c r="X3" s="4"/>
      <c r="Y3" s="2"/>
      <c r="Z3" s="1"/>
      <c r="AA3" s="1"/>
      <c r="AB3" s="1"/>
      <c r="AC3" s="1"/>
      <c r="AD3" s="1"/>
    </row>
    <row r="4" spans="1:30" x14ac:dyDescent="0.25">
      <c r="A4" s="1"/>
      <c r="B4" s="1"/>
      <c r="C4" s="1"/>
      <c r="D4" s="2" t="s">
        <v>39</v>
      </c>
      <c r="E4" s="2" t="s">
        <v>39</v>
      </c>
      <c r="F4" s="2" t="s">
        <v>40</v>
      </c>
      <c r="G4" s="2" t="s">
        <v>40</v>
      </c>
      <c r="H4" s="2" t="s">
        <v>41</v>
      </c>
      <c r="I4" s="2" t="s">
        <v>42</v>
      </c>
      <c r="J4" s="2" t="s">
        <v>43</v>
      </c>
      <c r="K4" s="2" t="s">
        <v>44</v>
      </c>
      <c r="L4" s="2" t="s">
        <v>45</v>
      </c>
      <c r="M4" s="6"/>
      <c r="N4" s="5"/>
      <c r="O4" s="5"/>
      <c r="P4" s="1"/>
      <c r="Q4" s="1"/>
      <c r="R4" s="1"/>
      <c r="S4" s="1"/>
      <c r="T4" s="1"/>
      <c r="U4" s="1"/>
      <c r="V4" s="1"/>
      <c r="W4" s="1"/>
      <c r="X4" s="1"/>
      <c r="Y4" s="1" t="s">
        <v>46</v>
      </c>
      <c r="Z4" s="1"/>
      <c r="AA4" s="1"/>
      <c r="AB4" s="1"/>
      <c r="AC4" s="1"/>
      <c r="AD4" s="1"/>
    </row>
    <row r="5" spans="1:30" x14ac:dyDescent="0.25">
      <c r="A5" s="1"/>
      <c r="B5" s="1"/>
      <c r="C5" s="1"/>
      <c r="D5" s="2"/>
      <c r="E5" s="2"/>
      <c r="F5" s="2"/>
      <c r="G5" s="2"/>
      <c r="H5" s="2"/>
      <c r="I5" s="2"/>
      <c r="J5" s="2"/>
      <c r="K5" s="2"/>
      <c r="L5" s="2"/>
      <c r="M5" s="1"/>
      <c r="N5" s="5"/>
      <c r="O5" s="5"/>
      <c r="P5" s="1"/>
      <c r="Q5" s="1"/>
      <c r="R5" s="1"/>
      <c r="S5" s="1"/>
      <c r="T5" s="7"/>
      <c r="U5" s="7"/>
      <c r="V5" s="5"/>
      <c r="W5" s="5"/>
      <c r="X5" s="5"/>
      <c r="Y5" s="8" t="s">
        <v>47</v>
      </c>
      <c r="Z5" s="1"/>
      <c r="AA5" s="1"/>
      <c r="AB5" s="1"/>
      <c r="AC5" s="1"/>
      <c r="AD5" s="1"/>
    </row>
    <row r="6" spans="1:30" x14ac:dyDescent="0.25">
      <c r="A6" s="1" t="s">
        <v>48</v>
      </c>
      <c r="B6" s="1"/>
      <c r="C6" s="1"/>
      <c r="D6" s="2">
        <v>75</v>
      </c>
      <c r="E6" s="2">
        <v>60</v>
      </c>
      <c r="F6" s="2">
        <v>20</v>
      </c>
      <c r="G6" s="2">
        <v>50</v>
      </c>
      <c r="H6" s="2"/>
      <c r="I6" s="2"/>
      <c r="J6" s="2" t="s">
        <v>49</v>
      </c>
      <c r="K6" s="2">
        <v>29700</v>
      </c>
      <c r="L6" s="2">
        <v>0.28999999999999998</v>
      </c>
      <c r="M6" s="9">
        <v>100</v>
      </c>
      <c r="N6" s="10" t="s">
        <v>50</v>
      </c>
      <c r="O6" s="10" t="e">
        <f t="shared" ref="O6:O24" si="0">N6+(P6-N6)/2</f>
        <v>#VALUE!</v>
      </c>
      <c r="P6" s="10" t="s">
        <v>50</v>
      </c>
      <c r="Q6" s="1"/>
      <c r="R6" s="10" t="e">
        <f t="shared" ref="R6:R24" si="1">P6+(T6-P6)/2</f>
        <v>#VALUE!</v>
      </c>
      <c r="S6" s="10"/>
      <c r="T6" s="10" t="s">
        <v>50</v>
      </c>
      <c r="U6" s="10" t="e">
        <f t="shared" ref="U6:U24" si="2">T6+(V6-T6)/2</f>
        <v>#VALUE!</v>
      </c>
      <c r="V6" s="10" t="s">
        <v>50</v>
      </c>
      <c r="W6" s="1"/>
      <c r="X6" s="1"/>
      <c r="Y6" s="11"/>
      <c r="Z6" s="12"/>
      <c r="AA6" s="12"/>
      <c r="AB6" s="12"/>
      <c r="AC6" s="12"/>
      <c r="AD6" s="12"/>
    </row>
    <row r="7" spans="1:30" x14ac:dyDescent="0.25">
      <c r="A7" s="1" t="s">
        <v>51</v>
      </c>
      <c r="B7" s="1" t="s">
        <v>52</v>
      </c>
      <c r="C7" s="1" t="s">
        <v>53</v>
      </c>
      <c r="D7" s="2">
        <v>105</v>
      </c>
      <c r="E7" s="2">
        <v>80</v>
      </c>
      <c r="F7" s="2">
        <v>25</v>
      </c>
      <c r="G7" s="2">
        <v>64</v>
      </c>
      <c r="H7" s="2">
        <v>38</v>
      </c>
      <c r="I7" s="2" t="s">
        <v>54</v>
      </c>
      <c r="J7" s="2" t="s">
        <v>55</v>
      </c>
      <c r="K7" s="2">
        <v>29700</v>
      </c>
      <c r="L7" s="2">
        <v>0.28999999999999998</v>
      </c>
      <c r="M7" s="9">
        <v>100</v>
      </c>
      <c r="N7" s="10">
        <v>92</v>
      </c>
      <c r="O7" s="10">
        <f t="shared" si="0"/>
        <v>89.5</v>
      </c>
      <c r="P7" s="10">
        <v>87</v>
      </c>
      <c r="Q7" s="1">
        <f>P7-(P7-R7)/2</f>
        <v>85</v>
      </c>
      <c r="R7" s="10">
        <f t="shared" si="1"/>
        <v>83</v>
      </c>
      <c r="S7" s="10">
        <f>T7+(R7-T7)/2</f>
        <v>81</v>
      </c>
      <c r="T7" s="10">
        <v>79</v>
      </c>
      <c r="U7" s="10" t="e">
        <f t="shared" si="2"/>
        <v>#VALUE!</v>
      </c>
      <c r="V7" s="10" t="s">
        <v>50</v>
      </c>
      <c r="W7" s="1"/>
      <c r="X7" s="1"/>
      <c r="Y7" s="11"/>
      <c r="Z7" s="12"/>
      <c r="AA7" s="12"/>
      <c r="AB7" s="12"/>
      <c r="AC7" s="12"/>
      <c r="AD7" s="12"/>
    </row>
    <row r="8" spans="1:30" x14ac:dyDescent="0.25">
      <c r="A8" s="1" t="s">
        <v>56</v>
      </c>
      <c r="B8" s="1" t="s">
        <v>57</v>
      </c>
      <c r="C8" s="1" t="s">
        <v>58</v>
      </c>
      <c r="D8" s="2">
        <v>125</v>
      </c>
      <c r="E8" s="2">
        <v>110</v>
      </c>
      <c r="F8" s="2">
        <v>13</v>
      </c>
      <c r="G8" s="2"/>
      <c r="H8" s="2">
        <v>30</v>
      </c>
      <c r="I8" s="2" t="s">
        <v>59</v>
      </c>
      <c r="J8" s="2" t="s">
        <v>60</v>
      </c>
      <c r="K8" s="2">
        <v>29700</v>
      </c>
      <c r="L8" s="2">
        <v>0.28999999999999998</v>
      </c>
      <c r="M8" s="9">
        <v>100</v>
      </c>
      <c r="N8" s="10">
        <v>92</v>
      </c>
      <c r="O8" s="10">
        <f t="shared" si="0"/>
        <v>89.5</v>
      </c>
      <c r="P8" s="10">
        <v>87</v>
      </c>
      <c r="Q8" s="1">
        <f t="shared" ref="Q8:Q24" si="3">P8-(P8-R8)/2</f>
        <v>85</v>
      </c>
      <c r="R8" s="10">
        <f t="shared" si="1"/>
        <v>83</v>
      </c>
      <c r="S8" s="10">
        <f t="shared" ref="S8:S24" si="4">T8+(R8-T8)/2</f>
        <v>81</v>
      </c>
      <c r="T8" s="10">
        <v>79</v>
      </c>
      <c r="U8" s="10" t="e">
        <f t="shared" si="2"/>
        <v>#VALUE!</v>
      </c>
      <c r="V8" s="10" t="s">
        <v>50</v>
      </c>
      <c r="W8" s="1"/>
      <c r="X8" s="1"/>
      <c r="Y8" s="13" t="s">
        <v>61</v>
      </c>
      <c r="Z8" s="13">
        <v>95</v>
      </c>
      <c r="AA8" s="13">
        <v>92</v>
      </c>
      <c r="AB8" s="13">
        <v>87</v>
      </c>
      <c r="AC8" s="13">
        <v>79</v>
      </c>
      <c r="AD8" s="13" t="s">
        <v>62</v>
      </c>
    </row>
    <row r="9" spans="1:30" x14ac:dyDescent="0.25">
      <c r="A9" s="1" t="s">
        <v>63</v>
      </c>
      <c r="B9" s="1" t="s">
        <v>64</v>
      </c>
      <c r="C9" s="1" t="s">
        <v>65</v>
      </c>
      <c r="D9" s="2">
        <v>75</v>
      </c>
      <c r="E9" s="2">
        <v>60</v>
      </c>
      <c r="F9" s="2">
        <v>20</v>
      </c>
      <c r="G9" s="2">
        <v>50</v>
      </c>
      <c r="H9" s="2"/>
      <c r="I9" s="2"/>
      <c r="J9" s="2" t="s">
        <v>49</v>
      </c>
      <c r="K9" s="2">
        <v>29700</v>
      </c>
      <c r="L9" s="2">
        <v>0.28999999999999998</v>
      </c>
      <c r="M9" s="9">
        <v>100</v>
      </c>
      <c r="N9" s="10" t="s">
        <v>50</v>
      </c>
      <c r="O9" s="10" t="e">
        <f t="shared" si="0"/>
        <v>#VALUE!</v>
      </c>
      <c r="P9" s="10" t="s">
        <v>50</v>
      </c>
      <c r="Q9" s="1" t="e">
        <f t="shared" si="3"/>
        <v>#VALUE!</v>
      </c>
      <c r="R9" s="10" t="e">
        <f t="shared" si="1"/>
        <v>#VALUE!</v>
      </c>
      <c r="S9" s="10" t="e">
        <f t="shared" si="4"/>
        <v>#VALUE!</v>
      </c>
      <c r="T9" s="10" t="s">
        <v>50</v>
      </c>
      <c r="U9" s="10" t="e">
        <f t="shared" si="2"/>
        <v>#VALUE!</v>
      </c>
      <c r="V9" s="10" t="s">
        <v>50</v>
      </c>
      <c r="W9" s="1"/>
      <c r="X9" s="1"/>
      <c r="Y9" s="13" t="s">
        <v>66</v>
      </c>
      <c r="Z9" s="13">
        <v>97</v>
      </c>
      <c r="AA9" s="13">
        <v>94</v>
      </c>
      <c r="AB9" s="13">
        <v>92</v>
      </c>
      <c r="AC9" s="13">
        <v>86</v>
      </c>
      <c r="AD9" s="13">
        <v>80</v>
      </c>
    </row>
    <row r="10" spans="1:30" x14ac:dyDescent="0.25">
      <c r="A10" s="1" t="s">
        <v>67</v>
      </c>
      <c r="B10" s="1" t="s">
        <v>64</v>
      </c>
      <c r="C10" s="1" t="s">
        <v>68</v>
      </c>
      <c r="D10" s="2">
        <v>70</v>
      </c>
      <c r="E10" s="2">
        <v>60</v>
      </c>
      <c r="F10" s="2">
        <v>15</v>
      </c>
      <c r="G10" s="2">
        <v>40</v>
      </c>
      <c r="H10" s="2"/>
      <c r="I10" s="2"/>
      <c r="J10" s="2" t="s">
        <v>69</v>
      </c>
      <c r="K10" s="2">
        <v>29700</v>
      </c>
      <c r="L10" s="2">
        <v>0.28999999999999998</v>
      </c>
      <c r="M10" s="9">
        <v>100</v>
      </c>
      <c r="N10" s="10" t="s">
        <v>50</v>
      </c>
      <c r="O10" s="10" t="e">
        <f t="shared" si="0"/>
        <v>#VALUE!</v>
      </c>
      <c r="P10" s="10" t="s">
        <v>50</v>
      </c>
      <c r="Q10" s="1" t="e">
        <f t="shared" si="3"/>
        <v>#VALUE!</v>
      </c>
      <c r="R10" s="10" t="e">
        <f t="shared" si="1"/>
        <v>#VALUE!</v>
      </c>
      <c r="S10" s="10" t="e">
        <f t="shared" si="4"/>
        <v>#VALUE!</v>
      </c>
      <c r="T10" s="10" t="s">
        <v>50</v>
      </c>
      <c r="U10" s="10" t="e">
        <f t="shared" si="2"/>
        <v>#VALUE!</v>
      </c>
      <c r="V10" s="10" t="s">
        <v>50</v>
      </c>
      <c r="W10" s="1"/>
      <c r="X10" s="1"/>
      <c r="Y10" s="13" t="s">
        <v>70</v>
      </c>
      <c r="Z10" s="13">
        <v>93</v>
      </c>
      <c r="AA10" s="13">
        <v>89</v>
      </c>
      <c r="AB10" s="13">
        <v>86</v>
      </c>
      <c r="AC10" s="13">
        <v>82</v>
      </c>
      <c r="AD10" s="13">
        <v>74</v>
      </c>
    </row>
    <row r="11" spans="1:30" x14ac:dyDescent="0.25">
      <c r="A11" s="1" t="s">
        <v>71</v>
      </c>
      <c r="B11" s="1" t="s">
        <v>64</v>
      </c>
      <c r="C11" s="1" t="s">
        <v>72</v>
      </c>
      <c r="D11" s="2">
        <v>67</v>
      </c>
      <c r="E11" s="2">
        <v>45</v>
      </c>
      <c r="F11" s="2">
        <v>36</v>
      </c>
      <c r="G11" s="2">
        <v>58</v>
      </c>
      <c r="H11" s="2"/>
      <c r="I11" s="2"/>
      <c r="J11" s="2" t="s">
        <v>73</v>
      </c>
      <c r="K11" s="2">
        <v>29700</v>
      </c>
      <c r="L11" s="2">
        <v>0.28999999999999998</v>
      </c>
      <c r="M11" s="9">
        <v>100</v>
      </c>
      <c r="N11" s="10" t="s">
        <v>50</v>
      </c>
      <c r="O11" s="10" t="e">
        <f t="shared" si="0"/>
        <v>#VALUE!</v>
      </c>
      <c r="P11" s="10" t="s">
        <v>50</v>
      </c>
      <c r="Q11" s="1" t="e">
        <f t="shared" si="3"/>
        <v>#VALUE!</v>
      </c>
      <c r="R11" s="10" t="e">
        <f t="shared" si="1"/>
        <v>#VALUE!</v>
      </c>
      <c r="S11" s="10" t="e">
        <f t="shared" si="4"/>
        <v>#VALUE!</v>
      </c>
      <c r="T11" s="10" t="s">
        <v>50</v>
      </c>
      <c r="U11" s="10" t="e">
        <f t="shared" si="2"/>
        <v>#VALUE!</v>
      </c>
      <c r="V11" s="10" t="s">
        <v>50</v>
      </c>
      <c r="W11" s="1"/>
      <c r="X11" s="1"/>
      <c r="Y11" s="13" t="s">
        <v>74</v>
      </c>
      <c r="Z11" s="13">
        <v>90</v>
      </c>
      <c r="AA11" s="13">
        <v>85</v>
      </c>
      <c r="AB11" s="13">
        <v>81</v>
      </c>
      <c r="AC11" s="13" t="s">
        <v>62</v>
      </c>
      <c r="AD11" s="13" t="s">
        <v>62</v>
      </c>
    </row>
    <row r="12" spans="1:30" x14ac:dyDescent="0.25">
      <c r="A12" s="1" t="s">
        <v>75</v>
      </c>
      <c r="B12" s="1" t="s">
        <v>76</v>
      </c>
      <c r="C12" s="1" t="s">
        <v>77</v>
      </c>
      <c r="D12" s="2">
        <v>65</v>
      </c>
      <c r="E12" s="2">
        <v>45</v>
      </c>
      <c r="F12" s="2">
        <v>12</v>
      </c>
      <c r="G12" s="2"/>
      <c r="H12" s="2"/>
      <c r="I12" s="2"/>
      <c r="J12" s="2" t="s">
        <v>49</v>
      </c>
      <c r="K12" s="2">
        <v>23000</v>
      </c>
      <c r="L12" s="2">
        <v>0.27500000000000002</v>
      </c>
      <c r="M12" s="9">
        <v>100</v>
      </c>
      <c r="N12" s="10" t="s">
        <v>50</v>
      </c>
      <c r="O12" s="10" t="e">
        <f t="shared" si="0"/>
        <v>#VALUE!</v>
      </c>
      <c r="P12" s="10" t="s">
        <v>50</v>
      </c>
      <c r="Q12" s="1" t="e">
        <f t="shared" si="3"/>
        <v>#VALUE!</v>
      </c>
      <c r="R12" s="10" t="e">
        <f t="shared" si="1"/>
        <v>#VALUE!</v>
      </c>
      <c r="S12" s="10" t="e">
        <f t="shared" si="4"/>
        <v>#VALUE!</v>
      </c>
      <c r="T12" s="10" t="s">
        <v>50</v>
      </c>
      <c r="U12" s="10" t="e">
        <f t="shared" si="2"/>
        <v>#VALUE!</v>
      </c>
      <c r="V12" s="10" t="s">
        <v>50</v>
      </c>
      <c r="W12" s="1"/>
      <c r="X12" s="1"/>
      <c r="Y12" s="13" t="s">
        <v>78</v>
      </c>
      <c r="Z12" s="13">
        <v>80</v>
      </c>
      <c r="AA12" s="13">
        <v>75</v>
      </c>
      <c r="AB12" s="13">
        <v>71</v>
      </c>
      <c r="AC12" s="13" t="s">
        <v>62</v>
      </c>
      <c r="AD12" s="13" t="s">
        <v>62</v>
      </c>
    </row>
    <row r="13" spans="1:30" x14ac:dyDescent="0.25">
      <c r="A13" s="1" t="s">
        <v>79</v>
      </c>
      <c r="B13" s="1" t="s">
        <v>76</v>
      </c>
      <c r="C13" s="1" t="s">
        <v>80</v>
      </c>
      <c r="D13" s="2">
        <v>80</v>
      </c>
      <c r="E13" s="2">
        <v>55</v>
      </c>
      <c r="F13" s="2">
        <v>6</v>
      </c>
      <c r="G13" s="2"/>
      <c r="H13" s="2"/>
      <c r="I13" s="2"/>
      <c r="J13" s="2" t="s">
        <v>81</v>
      </c>
      <c r="K13" s="2">
        <v>25000</v>
      </c>
      <c r="L13" s="2">
        <v>0.27500000000000002</v>
      </c>
      <c r="M13" s="9">
        <v>100</v>
      </c>
      <c r="N13" s="10" t="s">
        <v>50</v>
      </c>
      <c r="O13" s="10" t="e">
        <f t="shared" si="0"/>
        <v>#VALUE!</v>
      </c>
      <c r="P13" s="10" t="s">
        <v>50</v>
      </c>
      <c r="Q13" s="1" t="e">
        <f t="shared" si="3"/>
        <v>#VALUE!</v>
      </c>
      <c r="R13" s="10" t="e">
        <f t="shared" si="1"/>
        <v>#VALUE!</v>
      </c>
      <c r="S13" s="10" t="e">
        <f t="shared" si="4"/>
        <v>#VALUE!</v>
      </c>
      <c r="T13" s="10" t="s">
        <v>50</v>
      </c>
      <c r="U13" s="10" t="e">
        <f t="shared" si="2"/>
        <v>#VALUE!</v>
      </c>
      <c r="V13" s="10" t="s">
        <v>50</v>
      </c>
      <c r="W13" s="1"/>
      <c r="X13" s="1"/>
      <c r="Y13" s="13" t="s">
        <v>82</v>
      </c>
      <c r="Z13" s="13">
        <v>97</v>
      </c>
      <c r="AA13" s="13">
        <v>94</v>
      </c>
      <c r="AB13" s="13">
        <v>92</v>
      </c>
      <c r="AC13" s="13">
        <v>84</v>
      </c>
      <c r="AD13" s="13">
        <v>76</v>
      </c>
    </row>
    <row r="14" spans="1:30" x14ac:dyDescent="0.25">
      <c r="A14" s="1" t="s">
        <v>83</v>
      </c>
      <c r="B14" s="1" t="s">
        <v>84</v>
      </c>
      <c r="C14" s="1" t="s">
        <v>85</v>
      </c>
      <c r="D14" s="2">
        <v>140</v>
      </c>
      <c r="E14" s="2">
        <v>110</v>
      </c>
      <c r="F14" s="2">
        <v>18</v>
      </c>
      <c r="G14" s="2">
        <v>20</v>
      </c>
      <c r="H14" s="2"/>
      <c r="I14" s="2"/>
      <c r="J14" s="2" t="s">
        <v>86</v>
      </c>
      <c r="K14" s="2">
        <v>28900</v>
      </c>
      <c r="L14" s="2">
        <v>0.29299999999999998</v>
      </c>
      <c r="M14" s="9">
        <v>100</v>
      </c>
      <c r="N14" s="10">
        <v>93</v>
      </c>
      <c r="O14" s="10">
        <f t="shared" si="0"/>
        <v>93</v>
      </c>
      <c r="P14" s="10">
        <v>93</v>
      </c>
      <c r="Q14" s="1">
        <f t="shared" si="3"/>
        <v>92</v>
      </c>
      <c r="R14" s="10">
        <f t="shared" si="1"/>
        <v>91</v>
      </c>
      <c r="S14" s="10">
        <f t="shared" si="4"/>
        <v>90</v>
      </c>
      <c r="T14" s="10">
        <v>89</v>
      </c>
      <c r="U14" s="10">
        <f t="shared" si="2"/>
        <v>89</v>
      </c>
      <c r="V14" s="10">
        <v>89</v>
      </c>
      <c r="W14" s="1"/>
      <c r="X14" s="1"/>
      <c r="Y14" s="13" t="s">
        <v>87</v>
      </c>
      <c r="Z14" s="13">
        <v>75</v>
      </c>
      <c r="AA14" s="13">
        <v>68</v>
      </c>
      <c r="AB14" s="13">
        <v>62</v>
      </c>
      <c r="AC14" s="13">
        <v>55</v>
      </c>
      <c r="AD14" s="13">
        <v>50</v>
      </c>
    </row>
    <row r="15" spans="1:30" x14ac:dyDescent="0.25">
      <c r="A15" s="1" t="s">
        <v>88</v>
      </c>
      <c r="B15" s="1" t="s">
        <v>84</v>
      </c>
      <c r="C15" s="1" t="s">
        <v>89</v>
      </c>
      <c r="D15" s="2">
        <v>150</v>
      </c>
      <c r="E15" s="2">
        <v>120</v>
      </c>
      <c r="F15" s="2">
        <v>20</v>
      </c>
      <c r="G15" s="2">
        <v>25</v>
      </c>
      <c r="H15" s="2">
        <v>40</v>
      </c>
      <c r="I15" s="2" t="s">
        <v>90</v>
      </c>
      <c r="J15" s="2" t="s">
        <v>91</v>
      </c>
      <c r="K15" s="2">
        <v>29600</v>
      </c>
      <c r="L15" s="2">
        <v>0.28999999999999998</v>
      </c>
      <c r="M15" s="2">
        <v>100</v>
      </c>
      <c r="N15" s="5">
        <v>97</v>
      </c>
      <c r="O15" s="10">
        <f t="shared" si="0"/>
        <v>96.5</v>
      </c>
      <c r="P15" s="5">
        <v>96</v>
      </c>
      <c r="Q15" s="1">
        <f t="shared" si="3"/>
        <v>95.5</v>
      </c>
      <c r="R15" s="10">
        <f t="shared" si="1"/>
        <v>95</v>
      </c>
      <c r="S15" s="10">
        <f t="shared" si="4"/>
        <v>94.5</v>
      </c>
      <c r="T15" s="5">
        <v>94</v>
      </c>
      <c r="U15" s="10">
        <f t="shared" si="2"/>
        <v>93</v>
      </c>
      <c r="V15" s="5">
        <v>92</v>
      </c>
      <c r="W15" s="1"/>
      <c r="X15" s="1"/>
      <c r="Y15" s="13" t="s">
        <v>92</v>
      </c>
      <c r="Z15" s="13">
        <v>97</v>
      </c>
      <c r="AA15" s="13">
        <v>96</v>
      </c>
      <c r="AB15" s="13">
        <v>95</v>
      </c>
      <c r="AC15" s="13">
        <v>95</v>
      </c>
      <c r="AD15" s="13">
        <v>91</v>
      </c>
    </row>
    <row r="16" spans="1:30" x14ac:dyDescent="0.25">
      <c r="A16" s="1" t="s">
        <v>93</v>
      </c>
      <c r="B16" s="1">
        <v>8620</v>
      </c>
      <c r="C16" s="1" t="s">
        <v>94</v>
      </c>
      <c r="D16" s="2">
        <v>78</v>
      </c>
      <c r="E16" s="2">
        <v>56</v>
      </c>
      <c r="F16" s="2">
        <v>31</v>
      </c>
      <c r="G16" s="2">
        <v>61</v>
      </c>
      <c r="H16" s="2"/>
      <c r="I16" s="2"/>
      <c r="J16" s="2">
        <v>58</v>
      </c>
      <c r="K16" s="2">
        <v>29700</v>
      </c>
      <c r="L16" s="2">
        <v>0.28999999999999998</v>
      </c>
      <c r="M16" s="9">
        <v>100</v>
      </c>
      <c r="N16" s="10" t="s">
        <v>50</v>
      </c>
      <c r="O16" s="10" t="e">
        <f t="shared" si="0"/>
        <v>#VALUE!</v>
      </c>
      <c r="P16" s="10" t="s">
        <v>50</v>
      </c>
      <c r="Q16" s="1" t="e">
        <f t="shared" si="3"/>
        <v>#VALUE!</v>
      </c>
      <c r="R16" s="10" t="e">
        <f t="shared" si="1"/>
        <v>#VALUE!</v>
      </c>
      <c r="S16" s="10" t="e">
        <f t="shared" si="4"/>
        <v>#VALUE!</v>
      </c>
      <c r="T16" s="10" t="s">
        <v>50</v>
      </c>
      <c r="U16" s="10" t="e">
        <f t="shared" si="2"/>
        <v>#VALUE!</v>
      </c>
      <c r="V16" s="10" t="s">
        <v>50</v>
      </c>
      <c r="W16" s="1"/>
      <c r="X16" s="1"/>
      <c r="Y16" s="13" t="s">
        <v>95</v>
      </c>
      <c r="Z16" s="13">
        <v>96</v>
      </c>
      <c r="AA16" s="13">
        <v>93</v>
      </c>
      <c r="AB16" s="13">
        <v>93</v>
      </c>
      <c r="AC16" s="13">
        <v>89</v>
      </c>
      <c r="AD16" s="13">
        <v>89</v>
      </c>
    </row>
    <row r="17" spans="1:30" x14ac:dyDescent="0.25">
      <c r="A17" s="1" t="s">
        <v>96</v>
      </c>
      <c r="B17" s="1" t="s">
        <v>76</v>
      </c>
      <c r="C17" s="1" t="s">
        <v>97</v>
      </c>
      <c r="D17" s="2">
        <v>30</v>
      </c>
      <c r="E17" s="2" t="s">
        <v>98</v>
      </c>
      <c r="F17" s="2" t="s">
        <v>98</v>
      </c>
      <c r="G17" s="2" t="s">
        <v>98</v>
      </c>
      <c r="H17" s="2" t="s">
        <v>98</v>
      </c>
      <c r="I17" s="2" t="s">
        <v>98</v>
      </c>
      <c r="J17" s="2" t="s">
        <v>99</v>
      </c>
      <c r="K17" s="2">
        <v>20000</v>
      </c>
      <c r="L17" s="2">
        <v>0.27500000000000002</v>
      </c>
      <c r="M17" s="9">
        <v>100</v>
      </c>
      <c r="N17" s="10" t="s">
        <v>50</v>
      </c>
      <c r="O17" s="10" t="e">
        <f t="shared" si="0"/>
        <v>#VALUE!</v>
      </c>
      <c r="P17" s="10" t="s">
        <v>50</v>
      </c>
      <c r="Q17" s="1" t="e">
        <f t="shared" si="3"/>
        <v>#VALUE!</v>
      </c>
      <c r="R17" s="10" t="e">
        <f t="shared" si="1"/>
        <v>#VALUE!</v>
      </c>
      <c r="S17" s="10" t="e">
        <f t="shared" si="4"/>
        <v>#VALUE!</v>
      </c>
      <c r="T17" s="10" t="s">
        <v>50</v>
      </c>
      <c r="U17" s="10" t="e">
        <f t="shared" si="2"/>
        <v>#VALUE!</v>
      </c>
      <c r="V17" s="10" t="s">
        <v>50</v>
      </c>
      <c r="W17" s="1"/>
      <c r="X17" s="1"/>
      <c r="Y17" s="13" t="s">
        <v>100</v>
      </c>
      <c r="Z17" s="13">
        <v>98</v>
      </c>
      <c r="AA17" s="13">
        <v>97</v>
      </c>
      <c r="AB17" s="13">
        <v>96</v>
      </c>
      <c r="AC17" s="13">
        <v>94</v>
      </c>
      <c r="AD17" s="13">
        <v>92</v>
      </c>
    </row>
    <row r="18" spans="1:30" x14ac:dyDescent="0.25">
      <c r="A18" s="1" t="s">
        <v>101</v>
      </c>
      <c r="B18" s="1" t="s">
        <v>84</v>
      </c>
      <c r="C18" s="1" t="s">
        <v>102</v>
      </c>
      <c r="D18" s="2">
        <v>120</v>
      </c>
      <c r="E18" s="2">
        <v>110</v>
      </c>
      <c r="F18" s="2">
        <v>16</v>
      </c>
      <c r="G18" s="2">
        <v>30</v>
      </c>
      <c r="H18" s="2">
        <v>15</v>
      </c>
      <c r="I18" s="2" t="s">
        <v>103</v>
      </c>
      <c r="J18" s="2" t="s">
        <v>104</v>
      </c>
      <c r="K18" s="2">
        <v>30600</v>
      </c>
      <c r="L18" s="2">
        <v>0.3</v>
      </c>
      <c r="M18" s="9">
        <v>100</v>
      </c>
      <c r="N18" s="10" t="s">
        <v>50</v>
      </c>
      <c r="O18" s="10" t="e">
        <f t="shared" si="0"/>
        <v>#VALUE!</v>
      </c>
      <c r="P18" s="10" t="s">
        <v>50</v>
      </c>
      <c r="Q18" s="1" t="e">
        <f t="shared" si="3"/>
        <v>#VALUE!</v>
      </c>
      <c r="R18" s="10" t="e">
        <f t="shared" si="1"/>
        <v>#VALUE!</v>
      </c>
      <c r="S18" s="10" t="e">
        <f t="shared" si="4"/>
        <v>#VALUE!</v>
      </c>
      <c r="T18" s="10" t="s">
        <v>50</v>
      </c>
      <c r="U18" s="10" t="e">
        <f t="shared" si="2"/>
        <v>#VALUE!</v>
      </c>
      <c r="V18" s="10" t="s">
        <v>50</v>
      </c>
      <c r="W18" s="1"/>
      <c r="X18" s="1"/>
      <c r="Y18" s="13">
        <v>6061</v>
      </c>
      <c r="Z18" s="13"/>
      <c r="AA18" s="13">
        <v>86</v>
      </c>
      <c r="AB18" s="13">
        <v>55</v>
      </c>
      <c r="AC18" s="13"/>
      <c r="AD18" s="13"/>
    </row>
    <row r="19" spans="1:30" x14ac:dyDescent="0.25">
      <c r="A19" s="1" t="s">
        <v>105</v>
      </c>
      <c r="B19" s="1" t="s">
        <v>84</v>
      </c>
      <c r="C19" s="1" t="s">
        <v>106</v>
      </c>
      <c r="D19" s="2">
        <v>125</v>
      </c>
      <c r="E19" s="2">
        <v>110</v>
      </c>
      <c r="F19" s="2">
        <v>17</v>
      </c>
      <c r="G19" s="2">
        <v>40</v>
      </c>
      <c r="H19" s="2">
        <v>40</v>
      </c>
      <c r="I19" s="2" t="s">
        <v>107</v>
      </c>
      <c r="J19" s="2" t="s">
        <v>108</v>
      </c>
      <c r="K19" s="2">
        <v>29200</v>
      </c>
      <c r="L19" s="2">
        <v>0.27</v>
      </c>
      <c r="M19" s="9">
        <v>100</v>
      </c>
      <c r="N19" s="10">
        <v>89</v>
      </c>
      <c r="O19" s="10">
        <f t="shared" si="0"/>
        <v>87.5</v>
      </c>
      <c r="P19" s="10">
        <v>86</v>
      </c>
      <c r="Q19" s="1">
        <f t="shared" si="3"/>
        <v>85</v>
      </c>
      <c r="R19" s="10">
        <f t="shared" si="1"/>
        <v>84</v>
      </c>
      <c r="S19" s="10">
        <f t="shared" si="4"/>
        <v>83</v>
      </c>
      <c r="T19" s="10">
        <v>82</v>
      </c>
      <c r="U19" s="10">
        <f t="shared" si="2"/>
        <v>78</v>
      </c>
      <c r="V19" s="10">
        <v>74</v>
      </c>
      <c r="W19" s="1"/>
      <c r="X19" s="1"/>
      <c r="Y19" s="13">
        <v>2024</v>
      </c>
      <c r="Z19" s="13"/>
      <c r="AA19" s="13">
        <v>97</v>
      </c>
      <c r="AB19" s="13">
        <v>66</v>
      </c>
      <c r="AC19" s="13"/>
      <c r="AD19" s="13"/>
    </row>
    <row r="20" spans="1:30" x14ac:dyDescent="0.25">
      <c r="A20" s="1" t="s">
        <v>109</v>
      </c>
      <c r="B20" s="1" t="s">
        <v>57</v>
      </c>
      <c r="C20" s="1" t="s">
        <v>110</v>
      </c>
      <c r="D20" s="2">
        <v>135</v>
      </c>
      <c r="E20" s="2">
        <v>120</v>
      </c>
      <c r="F20" s="2">
        <v>13</v>
      </c>
      <c r="G20" s="2"/>
      <c r="H20" s="2">
        <v>40</v>
      </c>
      <c r="I20" s="2" t="s">
        <v>103</v>
      </c>
      <c r="J20" s="2" t="s">
        <v>111</v>
      </c>
      <c r="K20" s="2">
        <v>29700</v>
      </c>
      <c r="L20" s="2">
        <v>0.28999999999999998</v>
      </c>
      <c r="M20" s="9">
        <v>100</v>
      </c>
      <c r="N20" s="10">
        <v>92</v>
      </c>
      <c r="O20" s="10">
        <f t="shared" si="0"/>
        <v>89.5</v>
      </c>
      <c r="P20" s="10">
        <v>87</v>
      </c>
      <c r="Q20" s="1">
        <f t="shared" si="3"/>
        <v>85</v>
      </c>
      <c r="R20" s="10">
        <f t="shared" si="1"/>
        <v>83</v>
      </c>
      <c r="S20" s="10">
        <f t="shared" si="4"/>
        <v>81</v>
      </c>
      <c r="T20" s="10">
        <v>79</v>
      </c>
      <c r="U20" s="10" t="e">
        <f t="shared" si="2"/>
        <v>#VALUE!</v>
      </c>
      <c r="V20" s="10" t="s">
        <v>50</v>
      </c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 t="s">
        <v>112</v>
      </c>
      <c r="B21" s="1" t="s">
        <v>113</v>
      </c>
      <c r="C21" s="1" t="s">
        <v>114</v>
      </c>
      <c r="D21" s="2">
        <v>160</v>
      </c>
      <c r="E21" s="2">
        <v>150</v>
      </c>
      <c r="F21" s="2">
        <v>14</v>
      </c>
      <c r="G21" s="2">
        <v>45</v>
      </c>
      <c r="H21" s="2">
        <v>40</v>
      </c>
      <c r="I21" s="2" t="s">
        <v>90</v>
      </c>
      <c r="J21" s="2" t="s">
        <v>115</v>
      </c>
      <c r="K21" s="2">
        <v>29700</v>
      </c>
      <c r="L21" s="2">
        <v>0.28999999999999998</v>
      </c>
      <c r="M21" s="9">
        <v>100</v>
      </c>
      <c r="N21" s="10" t="s">
        <v>50</v>
      </c>
      <c r="O21" s="10" t="e">
        <f t="shared" si="0"/>
        <v>#VALUE!</v>
      </c>
      <c r="P21" s="10" t="s">
        <v>50</v>
      </c>
      <c r="Q21" s="1" t="e">
        <f t="shared" si="3"/>
        <v>#VALUE!</v>
      </c>
      <c r="R21" s="10" t="e">
        <f t="shared" si="1"/>
        <v>#VALUE!</v>
      </c>
      <c r="S21" s="10" t="e">
        <f t="shared" si="4"/>
        <v>#VALUE!</v>
      </c>
      <c r="T21" s="10" t="s">
        <v>50</v>
      </c>
      <c r="U21" s="10" t="e">
        <f t="shared" si="2"/>
        <v>#VALUE!</v>
      </c>
      <c r="V21" s="10" t="s">
        <v>50</v>
      </c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 t="s">
        <v>116</v>
      </c>
      <c r="B22" s="1" t="s">
        <v>84</v>
      </c>
      <c r="C22" s="1" t="s">
        <v>117</v>
      </c>
      <c r="D22" s="2">
        <v>95</v>
      </c>
      <c r="E22" s="2">
        <v>80</v>
      </c>
      <c r="F22" s="2">
        <v>17</v>
      </c>
      <c r="G22" s="2"/>
      <c r="H22" s="2">
        <v>20</v>
      </c>
      <c r="I22" s="2" t="s">
        <v>90</v>
      </c>
      <c r="J22" s="2" t="s">
        <v>55</v>
      </c>
      <c r="K22" s="2">
        <v>30600</v>
      </c>
      <c r="L22" s="2">
        <v>0.3</v>
      </c>
      <c r="M22" s="9">
        <v>100</v>
      </c>
      <c r="N22" s="10">
        <v>92</v>
      </c>
      <c r="O22" s="10">
        <f t="shared" si="0"/>
        <v>89.5</v>
      </c>
      <c r="P22" s="10">
        <v>87</v>
      </c>
      <c r="Q22" s="1">
        <f t="shared" si="3"/>
        <v>85</v>
      </c>
      <c r="R22" s="10">
        <f t="shared" si="1"/>
        <v>83</v>
      </c>
      <c r="S22" s="10">
        <f t="shared" si="4"/>
        <v>81</v>
      </c>
      <c r="T22" s="10">
        <v>79</v>
      </c>
      <c r="U22" s="10" t="e">
        <f t="shared" si="2"/>
        <v>#VALUE!</v>
      </c>
      <c r="V22" s="10" t="s">
        <v>62</v>
      </c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 t="s">
        <v>118</v>
      </c>
      <c r="B23" s="1" t="s">
        <v>57</v>
      </c>
      <c r="C23" s="1" t="s">
        <v>110</v>
      </c>
      <c r="D23" s="2">
        <v>140</v>
      </c>
      <c r="E23" s="2">
        <v>125</v>
      </c>
      <c r="F23" s="2">
        <v>13</v>
      </c>
      <c r="G23" s="2"/>
      <c r="H23" s="2">
        <v>40</v>
      </c>
      <c r="I23" s="2" t="s">
        <v>103</v>
      </c>
      <c r="J23" s="2" t="s">
        <v>111</v>
      </c>
      <c r="K23" s="2">
        <v>29700</v>
      </c>
      <c r="L23" s="2">
        <v>0.28999999999999998</v>
      </c>
      <c r="M23" s="9">
        <v>100</v>
      </c>
      <c r="N23" s="10">
        <v>92</v>
      </c>
      <c r="O23" s="10">
        <f t="shared" si="0"/>
        <v>89.5</v>
      </c>
      <c r="P23" s="10">
        <v>87</v>
      </c>
      <c r="Q23" s="1">
        <f t="shared" si="3"/>
        <v>85</v>
      </c>
      <c r="R23" s="10">
        <f t="shared" si="1"/>
        <v>83</v>
      </c>
      <c r="S23" s="10">
        <f t="shared" si="4"/>
        <v>81</v>
      </c>
      <c r="T23" s="10">
        <v>79</v>
      </c>
      <c r="U23" s="10" t="e">
        <f t="shared" si="2"/>
        <v>#VALUE!</v>
      </c>
      <c r="V23" s="10" t="s">
        <v>50</v>
      </c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 t="s">
        <v>119</v>
      </c>
      <c r="B24" s="1" t="s">
        <v>57</v>
      </c>
      <c r="C24" s="1" t="s">
        <v>110</v>
      </c>
      <c r="D24" s="2">
        <v>145</v>
      </c>
      <c r="E24" s="2">
        <v>130</v>
      </c>
      <c r="F24" s="2">
        <v>13</v>
      </c>
      <c r="G24" s="2"/>
      <c r="H24" s="2">
        <v>40</v>
      </c>
      <c r="I24" s="2" t="s">
        <v>103</v>
      </c>
      <c r="J24" s="2" t="s">
        <v>111</v>
      </c>
      <c r="K24" s="2">
        <v>29700</v>
      </c>
      <c r="L24" s="2">
        <v>0.28999999999999998</v>
      </c>
      <c r="M24" s="9">
        <v>100</v>
      </c>
      <c r="N24" s="10">
        <v>92</v>
      </c>
      <c r="O24" s="10">
        <f t="shared" si="0"/>
        <v>89.5</v>
      </c>
      <c r="P24" s="10">
        <v>87</v>
      </c>
      <c r="Q24" s="1">
        <f t="shared" si="3"/>
        <v>85</v>
      </c>
      <c r="R24" s="10">
        <f t="shared" si="1"/>
        <v>83</v>
      </c>
      <c r="S24" s="10">
        <f t="shared" si="4"/>
        <v>81</v>
      </c>
      <c r="T24" s="10">
        <v>79</v>
      </c>
      <c r="U24" s="10" t="e">
        <f t="shared" si="2"/>
        <v>#VALUE!</v>
      </c>
      <c r="V24" s="10" t="s">
        <v>50</v>
      </c>
      <c r="W24" s="1"/>
      <c r="X24" s="1"/>
      <c r="Y24" s="1"/>
      <c r="Z24" s="1"/>
      <c r="AA24" s="1"/>
      <c r="AB24" s="1"/>
      <c r="AC24" s="1"/>
      <c r="AD2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L4"/>
  <sheetViews>
    <sheetView showGridLines="0" showRowColHeaders="0" workbookViewId="0">
      <selection activeCell="E10" sqref="E10"/>
    </sheetView>
  </sheetViews>
  <sheetFormatPr defaultRowHeight="15" x14ac:dyDescent="0.25"/>
  <cols>
    <col min="1" max="1" width="2.85546875" customWidth="1"/>
    <col min="3" max="3" width="9.85546875" bestFit="1" customWidth="1"/>
  </cols>
  <sheetData>
    <row r="1" spans="2:12" ht="15.75" thickBot="1" x14ac:dyDescent="0.3"/>
    <row r="2" spans="2:12" ht="15.75" thickBot="1" x14ac:dyDescent="0.3">
      <c r="B2" s="302" t="s">
        <v>248</v>
      </c>
      <c r="C2" s="303"/>
      <c r="D2" s="303"/>
      <c r="E2" s="303"/>
      <c r="F2" s="303"/>
      <c r="G2" s="303"/>
      <c r="H2" s="303"/>
      <c r="I2" s="303"/>
      <c r="J2" s="303"/>
      <c r="K2" s="303"/>
      <c r="L2" s="304"/>
    </row>
    <row r="3" spans="2:12" x14ac:dyDescent="0.25">
      <c r="B3" s="139">
        <v>0</v>
      </c>
      <c r="C3" s="305">
        <v>42370</v>
      </c>
      <c r="D3" s="305"/>
      <c r="E3" s="307" t="s">
        <v>249</v>
      </c>
      <c r="F3" s="307"/>
      <c r="G3" s="307"/>
      <c r="H3" s="307"/>
      <c r="I3" s="307"/>
      <c r="J3" s="307"/>
      <c r="K3" s="307"/>
      <c r="L3" s="308"/>
    </row>
    <row r="4" spans="2:12" ht="15.75" thickBot="1" x14ac:dyDescent="0.3">
      <c r="B4" s="134"/>
      <c r="C4" s="306"/>
      <c r="D4" s="306"/>
      <c r="E4" s="140"/>
      <c r="F4" s="140"/>
      <c r="G4" s="140"/>
      <c r="H4" s="140"/>
      <c r="I4" s="140"/>
      <c r="J4" s="140"/>
      <c r="K4" s="140"/>
      <c r="L4" s="135"/>
    </row>
  </sheetData>
  <mergeCells count="4">
    <mergeCell ref="B2:L2"/>
    <mergeCell ref="C3:D3"/>
    <mergeCell ref="C4:D4"/>
    <mergeCell ref="E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80</vt:i4>
      </vt:variant>
    </vt:vector>
  </HeadingPairs>
  <TitlesOfParts>
    <vt:vector size="89" baseType="lpstr">
      <vt:lpstr>Calculator</vt:lpstr>
      <vt:lpstr>Advanced Calculator</vt:lpstr>
      <vt:lpstr>Figures</vt:lpstr>
      <vt:lpstr>User Guide</vt:lpstr>
      <vt:lpstr>Calculation Record</vt:lpstr>
      <vt:lpstr>Material Properties</vt:lpstr>
      <vt:lpstr>Revision History</vt:lpstr>
      <vt:lpstr>Chart2</vt:lpstr>
      <vt:lpstr>Chart1</vt:lpstr>
      <vt:lpstr>AxialForceMakeupTorque</vt:lpstr>
      <vt:lpstr>BearingArea</vt:lpstr>
      <vt:lpstr>BoxBearingStress</vt:lpstr>
      <vt:lpstr>BoxMajorDia</vt:lpstr>
      <vt:lpstr>BoxMajorDiaTol</vt:lpstr>
      <vt:lpstr>BoxMat</vt:lpstr>
      <vt:lpstr>BoxMatTemp</vt:lpstr>
      <vt:lpstr>BoxMinorDia</vt:lpstr>
      <vt:lpstr>BoxMinorDiaTol</vt:lpstr>
      <vt:lpstr>BoxOD</vt:lpstr>
      <vt:lpstr>BoxPitchDia</vt:lpstr>
      <vt:lpstr>BoxPitchDiaTol</vt:lpstr>
      <vt:lpstr>BoxPlanarStress</vt:lpstr>
      <vt:lpstr>BoxPolarMoment</vt:lpstr>
      <vt:lpstr>BoxRelief</vt:lpstr>
      <vt:lpstr>BoxReliefTension</vt:lpstr>
      <vt:lpstr>BoxSectionMod</vt:lpstr>
      <vt:lpstr>BoxThreadsShear</vt:lpstr>
      <vt:lpstr>BoxUltimate</vt:lpstr>
      <vt:lpstr>BoxYield</vt:lpstr>
      <vt:lpstr>BSR</vt:lpstr>
      <vt:lpstr>CBLength</vt:lpstr>
      <vt:lpstr>ChartToggle</vt:lpstr>
      <vt:lpstr>Class</vt:lpstr>
      <vt:lpstr>DeratedPS</vt:lpstr>
      <vt:lpstr>EngExternalorInternal</vt:lpstr>
      <vt:lpstr>EngPinOrBox</vt:lpstr>
      <vt:lpstr>FailureMode</vt:lpstr>
      <vt:lpstr>InputTorque</vt:lpstr>
      <vt:lpstr>InsideShoulder</vt:lpstr>
      <vt:lpstr>IntOrExt</vt:lpstr>
      <vt:lpstr>isBackAngle</vt:lpstr>
      <vt:lpstr>isPitchSubtracted</vt:lpstr>
      <vt:lpstr>MatPropToggle</vt:lpstr>
      <vt:lpstr>MinYieldLoad</vt:lpstr>
      <vt:lpstr>NomThreadSize</vt:lpstr>
      <vt:lpstr>NomThreadSz</vt:lpstr>
      <vt:lpstr>OAL</vt:lpstr>
      <vt:lpstr>OutsideShoulder</vt:lpstr>
      <vt:lpstr>OverallLength</vt:lpstr>
      <vt:lpstr>PHI</vt:lpstr>
      <vt:lpstr>Pin</vt:lpstr>
      <vt:lpstr>PinBearingStress</vt:lpstr>
      <vt:lpstr>PinBox</vt:lpstr>
      <vt:lpstr>PinID</vt:lpstr>
      <vt:lpstr>PinMajorDia</vt:lpstr>
      <vt:lpstr>PinMajorDiaTol</vt:lpstr>
      <vt:lpstr>PinMat</vt:lpstr>
      <vt:lpstr>PinMatTemp</vt:lpstr>
      <vt:lpstr>PinMinorDia</vt:lpstr>
      <vt:lpstr>PinMinorDiaTol</vt:lpstr>
      <vt:lpstr>PinOrBox</vt:lpstr>
      <vt:lpstr>PinPitchDia</vt:lpstr>
      <vt:lpstr>PinPitchDiaTol</vt:lpstr>
      <vt:lpstr>PinPlanarStress</vt:lpstr>
      <vt:lpstr>PinPolarMoment</vt:lpstr>
      <vt:lpstr>PinRelief</vt:lpstr>
      <vt:lpstr>PinReliefTension</vt:lpstr>
      <vt:lpstr>PinSectionMod</vt:lpstr>
      <vt:lpstr>PinThreadsShear</vt:lpstr>
      <vt:lpstr>PinUltimate</vt:lpstr>
      <vt:lpstr>PinYield</vt:lpstr>
      <vt:lpstr>Pitch</vt:lpstr>
      <vt:lpstr>PSMakeUp</vt:lpstr>
      <vt:lpstr>RecMakeupTorque</vt:lpstr>
      <vt:lpstr>RecMakeupTorqueState</vt:lpstr>
      <vt:lpstr>RecMakeupTorqueStatement</vt:lpstr>
      <vt:lpstr>ReliefLength</vt:lpstr>
      <vt:lpstr>ShFriction</vt:lpstr>
      <vt:lpstr>ShoulderSeperation</vt:lpstr>
      <vt:lpstr>Slope</vt:lpstr>
      <vt:lpstr>StRecMakeupTorque</vt:lpstr>
      <vt:lpstr>ThdDimPinOrBox</vt:lpstr>
      <vt:lpstr>ThdFriction</vt:lpstr>
      <vt:lpstr>Theta</vt:lpstr>
      <vt:lpstr>ThreadAllowance</vt:lpstr>
      <vt:lpstr>ThreadEngagement</vt:lpstr>
      <vt:lpstr>ThreadFailure</vt:lpstr>
      <vt:lpstr>TorqueStatement</vt:lpstr>
      <vt:lpstr>TPI</vt:lpstr>
    </vt:vector>
  </TitlesOfParts>
  <Company>packersplus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jbath</dc:creator>
  <cp:lastModifiedBy>jbath</cp:lastModifiedBy>
  <cp:lastPrinted>2015-11-27T21:57:39Z</cp:lastPrinted>
  <dcterms:created xsi:type="dcterms:W3CDTF">2015-08-31T16:08:10Z</dcterms:created>
  <dcterms:modified xsi:type="dcterms:W3CDTF">2016-08-15T15:01:58Z</dcterms:modified>
</cp:coreProperties>
</file>