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sanofi/dore-ios/superglue/App/DebugTools/DemoData/TreatmentData/"/>
    </mc:Choice>
  </mc:AlternateContent>
  <xr:revisionPtr revIDLastSave="0" documentId="13_ncr:1_{BCF1C234-64CD-FA4C-B930-EC5139B162E6}" xr6:coauthVersionLast="40" xr6:coauthVersionMax="40" xr10:uidLastSave="{00000000-0000-0000-0000-000000000000}"/>
  <bookViews>
    <workbookView xWindow="180" yWindow="480" windowWidth="31160" windowHeight="19180" xr2:uid="{00000000-000D-0000-FFFF-FFFF00000000}"/>
  </bookViews>
  <sheets>
    <sheet name="DEMO-Bolus-9-7-2018" sheetId="1" r:id="rId1"/>
    <sheet name="1 basal and 1 bolus plan" sheetId="2" r:id="rId2"/>
  </sheets>
  <definedNames>
    <definedName name="_xlnm.Print_Area" localSheetId="0">'DEMO-Bolus-9-7-2018'!$A$1:$J$312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" l="1"/>
  <c r="J312" i="1"/>
  <c r="J308" i="1"/>
  <c r="J304" i="1"/>
  <c r="J300" i="1"/>
  <c r="J296" i="1"/>
  <c r="J292" i="1"/>
  <c r="J288" i="1"/>
  <c r="J284" i="1"/>
  <c r="J280" i="1"/>
  <c r="J276" i="1"/>
  <c r="J274" i="1"/>
  <c r="J270" i="1"/>
  <c r="J266" i="1"/>
  <c r="J261" i="1"/>
  <c r="J257" i="1"/>
  <c r="J253" i="1"/>
  <c r="J249" i="1"/>
  <c r="J245" i="1"/>
  <c r="J241" i="1"/>
  <c r="J237" i="1"/>
  <c r="J233" i="1"/>
  <c r="J229" i="1"/>
  <c r="J228" i="1"/>
  <c r="J224" i="1"/>
  <c r="J220" i="1"/>
  <c r="J216" i="1"/>
  <c r="J212" i="1"/>
  <c r="J208" i="1"/>
  <c r="J204" i="1"/>
  <c r="J200" i="1"/>
  <c r="J196" i="1"/>
  <c r="J192" i="1"/>
  <c r="J188" i="1"/>
  <c r="J184" i="1"/>
  <c r="J180" i="1"/>
  <c r="J176" i="1"/>
  <c r="J172" i="1"/>
  <c r="J168" i="1"/>
  <c r="J164" i="1"/>
  <c r="J160" i="1"/>
  <c r="J156" i="1"/>
  <c r="J152" i="1"/>
  <c r="J148" i="1"/>
  <c r="J144" i="1"/>
  <c r="J140" i="1"/>
  <c r="J136" i="1"/>
  <c r="J132" i="1"/>
  <c r="J128" i="1"/>
  <c r="J124" i="1"/>
  <c r="J120" i="1"/>
  <c r="J118" i="1"/>
  <c r="J114" i="1"/>
  <c r="J110" i="1"/>
  <c r="J106" i="1"/>
  <c r="J102" i="1"/>
  <c r="J98" i="1"/>
  <c r="J94" i="1"/>
  <c r="J90" i="1"/>
  <c r="J86" i="1"/>
  <c r="J82" i="1"/>
  <c r="J78" i="1"/>
  <c r="J74" i="1"/>
  <c r="J73" i="1"/>
  <c r="J69" i="1"/>
  <c r="J65" i="1"/>
  <c r="J61" i="1"/>
  <c r="J57" i="1"/>
  <c r="J53" i="1"/>
  <c r="J49" i="1"/>
  <c r="J45" i="1"/>
  <c r="J41" i="1"/>
  <c r="J37" i="1"/>
  <c r="J30" i="1"/>
  <c r="J26" i="1"/>
  <c r="J22" i="1"/>
  <c r="J18" i="1"/>
  <c r="J14" i="1"/>
  <c r="J10" i="1"/>
  <c r="J7" i="1"/>
  <c r="J6" i="1"/>
  <c r="J311" i="1"/>
  <c r="J307" i="1"/>
  <c r="J303" i="1"/>
  <c r="J299" i="1"/>
  <c r="J295" i="1"/>
  <c r="J291" i="1"/>
  <c r="J287" i="1"/>
  <c r="J283" i="1"/>
  <c r="J279" i="1"/>
  <c r="J273" i="1"/>
  <c r="J269" i="1"/>
  <c r="J265" i="1"/>
  <c r="J264" i="1"/>
  <c r="J260" i="1"/>
  <c r="J256" i="1"/>
  <c r="J252" i="1"/>
  <c r="J248" i="1"/>
  <c r="J244" i="1"/>
  <c r="J240" i="1"/>
  <c r="J236" i="1"/>
  <c r="J232" i="1"/>
  <c r="J227" i="1"/>
  <c r="J223" i="1"/>
  <c r="J219" i="1"/>
  <c r="J215" i="1"/>
  <c r="J211" i="1"/>
  <c r="J207" i="1"/>
  <c r="J203" i="1"/>
  <c r="J199" i="1"/>
  <c r="J195" i="1"/>
  <c r="J191" i="1"/>
  <c r="J187" i="1"/>
  <c r="J183" i="1"/>
  <c r="J179" i="1"/>
  <c r="J175" i="1"/>
  <c r="J171" i="1"/>
  <c r="J167" i="1"/>
  <c r="J163" i="1"/>
  <c r="J159" i="1"/>
  <c r="J155" i="1"/>
  <c r="J151" i="1"/>
  <c r="J147" i="1"/>
  <c r="J143" i="1"/>
  <c r="J139" i="1"/>
  <c r="J135" i="1"/>
  <c r="J131" i="1"/>
  <c r="J127" i="1"/>
  <c r="J123" i="1"/>
  <c r="J117" i="1"/>
  <c r="J113" i="1"/>
  <c r="J109" i="1"/>
  <c r="J105" i="1"/>
  <c r="J101" i="1"/>
  <c r="J97" i="1"/>
  <c r="J93" i="1"/>
  <c r="J89" i="1"/>
  <c r="J85" i="1"/>
  <c r="J81" i="1"/>
  <c r="J77" i="1"/>
  <c r="J72" i="1"/>
  <c r="J68" i="1"/>
  <c r="J64" i="1"/>
  <c r="J60" i="1"/>
  <c r="J56" i="1"/>
  <c r="J52" i="1"/>
  <c r="J48" i="1"/>
  <c r="J44" i="1"/>
  <c r="J40" i="1"/>
  <c r="J36" i="1"/>
  <c r="J33" i="1"/>
  <c r="J29" i="1"/>
  <c r="J25" i="1"/>
  <c r="J21" i="1"/>
  <c r="J17" i="1"/>
  <c r="J13" i="1"/>
  <c r="J5" i="1"/>
  <c r="J4" i="1"/>
  <c r="C312" i="1" l="1"/>
  <c r="H2" i="1" l="1"/>
  <c r="G2" i="1"/>
  <c r="C309" i="1"/>
  <c r="C310" i="1"/>
  <c r="C311" i="1"/>
  <c r="C305" i="1"/>
  <c r="C308" i="1"/>
  <c r="C306" i="1"/>
  <c r="C307" i="1"/>
  <c r="C301" i="1"/>
  <c r="C302" i="1"/>
  <c r="C303" i="1"/>
  <c r="C304" i="1"/>
  <c r="C297" i="1"/>
  <c r="C298" i="1"/>
  <c r="C300" i="1"/>
  <c r="C299" i="1"/>
  <c r="C293" i="1"/>
  <c r="C294" i="1"/>
  <c r="C295" i="1"/>
  <c r="C296" i="1"/>
  <c r="C289" i="1"/>
  <c r="C290" i="1"/>
  <c r="C291" i="1"/>
  <c r="C292" i="1"/>
  <c r="C285" i="1"/>
  <c r="C286" i="1"/>
  <c r="C287" i="1"/>
  <c r="C288" i="1"/>
  <c r="C281" i="1"/>
  <c r="C282" i="1"/>
  <c r="C283" i="1"/>
  <c r="C284" i="1"/>
  <c r="C278" i="1"/>
  <c r="C279" i="1"/>
  <c r="C280" i="1"/>
  <c r="C277" i="1"/>
  <c r="C275" i="1"/>
  <c r="C276" i="1"/>
  <c r="C271" i="1"/>
  <c r="C272" i="1"/>
  <c r="C273" i="1"/>
  <c r="C274" i="1"/>
  <c r="C267" i="1"/>
  <c r="C268" i="1"/>
  <c r="C269" i="1"/>
  <c r="C270" i="1"/>
  <c r="C262" i="1"/>
  <c r="C263" i="1"/>
  <c r="C264" i="1"/>
  <c r="C265" i="1"/>
  <c r="C266" i="1"/>
  <c r="C258" i="1"/>
  <c r="C259" i="1"/>
  <c r="C260" i="1"/>
  <c r="C261" i="1"/>
  <c r="C254" i="1"/>
  <c r="C255" i="1"/>
  <c r="C256" i="1"/>
  <c r="C257" i="1"/>
  <c r="C250" i="1"/>
  <c r="C251" i="1"/>
  <c r="C252" i="1"/>
  <c r="C253" i="1"/>
  <c r="C246" i="1"/>
  <c r="C247" i="1"/>
  <c r="C248" i="1"/>
  <c r="C249" i="1"/>
  <c r="C242" i="1"/>
  <c r="C245" i="1"/>
  <c r="C243" i="1"/>
  <c r="C244" i="1"/>
  <c r="C238" i="1"/>
  <c r="C241" i="1"/>
  <c r="C239" i="1"/>
  <c r="C240" i="1"/>
  <c r="C234" i="1"/>
  <c r="C235" i="1"/>
  <c r="C236" i="1"/>
  <c r="C237" i="1"/>
  <c r="C230" i="1"/>
  <c r="C231" i="1"/>
  <c r="C232" i="1"/>
  <c r="C233" i="1"/>
  <c r="C225" i="1"/>
  <c r="C228" i="1"/>
  <c r="C229" i="1"/>
  <c r="C226" i="1"/>
  <c r="C227" i="1"/>
  <c r="C221" i="1"/>
  <c r="C222" i="1"/>
  <c r="C223" i="1"/>
  <c r="C224" i="1"/>
  <c r="C217" i="1"/>
  <c r="C220" i="1"/>
  <c r="C218" i="1"/>
  <c r="C219" i="1"/>
  <c r="C213" i="1"/>
  <c r="C214" i="1"/>
  <c r="C215" i="1"/>
  <c r="C216" i="1"/>
  <c r="C209" i="1"/>
  <c r="C210" i="1"/>
  <c r="C211" i="1"/>
  <c r="C212" i="1"/>
  <c r="C205" i="1"/>
  <c r="C206" i="1"/>
  <c r="C207" i="1"/>
  <c r="C208" i="1"/>
  <c r="C201" i="1"/>
  <c r="C202" i="1"/>
  <c r="C203" i="1"/>
  <c r="C204" i="1"/>
  <c r="C197" i="1"/>
  <c r="C198" i="1"/>
  <c r="C199" i="1"/>
  <c r="C200" i="1"/>
  <c r="C193" i="1"/>
  <c r="C194" i="1"/>
  <c r="C195" i="1"/>
  <c r="C196" i="1"/>
  <c r="C190" i="1"/>
  <c r="C191" i="1"/>
  <c r="C192" i="1"/>
  <c r="C188" i="1"/>
  <c r="C189" i="1"/>
  <c r="C185" i="1"/>
  <c r="C186" i="1"/>
  <c r="C187" i="1"/>
  <c r="C181" i="1"/>
  <c r="C182" i="1"/>
  <c r="C183" i="1"/>
  <c r="C184" i="1"/>
  <c r="C177" i="1"/>
  <c r="C178" i="1"/>
  <c r="C179" i="1"/>
  <c r="C180" i="1"/>
  <c r="C173" i="1"/>
  <c r="C174" i="1"/>
  <c r="C175" i="1"/>
  <c r="C176" i="1"/>
  <c r="C169" i="1"/>
  <c r="C170" i="1"/>
  <c r="C171" i="1"/>
  <c r="C172" i="1"/>
  <c r="C165" i="1"/>
  <c r="C166" i="1"/>
  <c r="C167" i="1"/>
  <c r="C168" i="1"/>
  <c r="C161" i="1"/>
  <c r="C162" i="1"/>
  <c r="C163" i="1"/>
  <c r="C164" i="1"/>
  <c r="C160" i="1"/>
  <c r="C157" i="1"/>
  <c r="C158" i="1"/>
  <c r="C159" i="1"/>
  <c r="C153" i="1"/>
  <c r="C154" i="1"/>
  <c r="C155" i="1"/>
  <c r="C156" i="1"/>
  <c r="C149" i="1"/>
  <c r="C150" i="1"/>
  <c r="C151" i="1"/>
  <c r="C152" i="1"/>
  <c r="C145" i="1"/>
  <c r="C148" i="1"/>
  <c r="C146" i="1"/>
  <c r="C147" i="1"/>
  <c r="C141" i="1"/>
  <c r="C142" i="1"/>
  <c r="C143" i="1"/>
  <c r="C144" i="1"/>
  <c r="C137" i="1"/>
  <c r="C138" i="1"/>
  <c r="C139" i="1"/>
  <c r="C140" i="1"/>
  <c r="C133" i="1"/>
  <c r="C134" i="1"/>
  <c r="C135" i="1"/>
  <c r="C136" i="1"/>
  <c r="C129" i="1"/>
  <c r="C132" i="1"/>
  <c r="C130" i="1"/>
  <c r="C131" i="1"/>
  <c r="C125" i="1"/>
  <c r="C126" i="1"/>
  <c r="C127" i="1"/>
  <c r="C128" i="1"/>
  <c r="C121" i="1"/>
  <c r="C124" i="1"/>
  <c r="C122" i="1"/>
  <c r="C123" i="1"/>
  <c r="C119" i="1"/>
  <c r="C120" i="1"/>
  <c r="C115" i="1"/>
  <c r="C116" i="1"/>
  <c r="C118" i="1"/>
  <c r="C117" i="1"/>
  <c r="C111" i="1"/>
  <c r="C112" i="1"/>
  <c r="C113" i="1"/>
  <c r="C114" i="1"/>
  <c r="C107" i="1"/>
  <c r="C108" i="1"/>
  <c r="C109" i="1"/>
  <c r="C110" i="1"/>
  <c r="C103" i="1"/>
  <c r="C104" i="1"/>
  <c r="C105" i="1"/>
  <c r="C106" i="1"/>
  <c r="C100" i="1"/>
  <c r="C102" i="1"/>
  <c r="C101" i="1"/>
  <c r="C99" i="1"/>
  <c r="C95" i="1"/>
  <c r="C96" i="1"/>
  <c r="C97" i="1"/>
  <c r="C98" i="1"/>
  <c r="C91" i="1"/>
  <c r="C92" i="1"/>
  <c r="C93" i="1"/>
  <c r="C94" i="1"/>
  <c r="C87" i="1"/>
  <c r="C88" i="1"/>
  <c r="C89" i="1"/>
  <c r="C90" i="1"/>
  <c r="C83" i="1"/>
  <c r="C86" i="1"/>
  <c r="C84" i="1"/>
  <c r="C85" i="1"/>
  <c r="C79" i="1"/>
  <c r="C80" i="1"/>
  <c r="C81" i="1"/>
  <c r="C82" i="1"/>
  <c r="C75" i="1"/>
  <c r="C76" i="1"/>
  <c r="C77" i="1"/>
  <c r="C78" i="1"/>
  <c r="C72" i="1"/>
  <c r="C73" i="1"/>
  <c r="C70" i="1"/>
  <c r="C71" i="1"/>
  <c r="C74" i="1"/>
  <c r="C68" i="1"/>
  <c r="C69" i="1"/>
  <c r="C66" i="1"/>
  <c r="C67" i="1"/>
  <c r="C62" i="1"/>
  <c r="C63" i="1"/>
  <c r="C64" i="1"/>
  <c r="C65" i="1"/>
  <c r="C58" i="1"/>
  <c r="C59" i="1"/>
  <c r="C60" i="1"/>
  <c r="C61" i="1"/>
  <c r="C54" i="1"/>
  <c r="C55" i="1"/>
  <c r="C56" i="1"/>
  <c r="C57" i="1"/>
  <c r="C50" i="1"/>
  <c r="C51" i="1"/>
  <c r="C52" i="1"/>
  <c r="C53" i="1"/>
  <c r="C46" i="1"/>
  <c r="C47" i="1"/>
  <c r="C48" i="1"/>
  <c r="C49" i="1"/>
  <c r="C42" i="1"/>
  <c r="C43" i="1"/>
  <c r="C44" i="1"/>
  <c r="C45" i="1"/>
  <c r="C38" i="1"/>
  <c r="C39" i="1"/>
  <c r="C40" i="1"/>
  <c r="C41" i="1"/>
  <c r="C35" i="1"/>
  <c r="C36" i="1"/>
  <c r="C37" i="1"/>
  <c r="C34" i="1"/>
  <c r="C31" i="1"/>
  <c r="C32" i="1"/>
  <c r="C33" i="1"/>
  <c r="C27" i="1"/>
  <c r="C30" i="1"/>
  <c r="C28" i="1"/>
  <c r="C29" i="1"/>
  <c r="C23" i="1"/>
  <c r="C24" i="1"/>
  <c r="C26" i="1"/>
  <c r="C25" i="1"/>
  <c r="C21" i="1"/>
  <c r="C22" i="1"/>
  <c r="C19" i="1"/>
  <c r="C20" i="1"/>
  <c r="C15" i="1"/>
  <c r="C18" i="1"/>
  <c r="C16" i="1"/>
  <c r="C17" i="1"/>
  <c r="C4" i="1"/>
  <c r="C12" i="1"/>
  <c r="C13" i="1"/>
  <c r="C14" i="1"/>
  <c r="C11" i="1"/>
  <c r="C9" i="1"/>
  <c r="C10" i="1"/>
  <c r="C8" i="1"/>
  <c r="C3" i="1"/>
  <c r="C5" i="1"/>
  <c r="C6" i="1"/>
  <c r="C7" i="1"/>
  <c r="H29" i="1" l="1"/>
  <c r="G29" i="1"/>
  <c r="H60" i="1"/>
  <c r="G60" i="1"/>
  <c r="H94" i="1"/>
  <c r="G94" i="1"/>
  <c r="H124" i="1"/>
  <c r="G124" i="1"/>
  <c r="H154" i="1"/>
  <c r="G154" i="1"/>
  <c r="H178" i="1"/>
  <c r="G178" i="1"/>
  <c r="H210" i="1"/>
  <c r="G210" i="1"/>
  <c r="H236" i="1"/>
  <c r="G236" i="1"/>
  <c r="H260" i="1"/>
  <c r="G260" i="1"/>
  <c r="H282" i="1"/>
  <c r="G282" i="1"/>
  <c r="H290" i="1"/>
  <c r="G290" i="1"/>
  <c r="H169" i="1"/>
  <c r="G169" i="1"/>
  <c r="H193" i="1"/>
  <c r="G193" i="1"/>
  <c r="H217" i="1"/>
  <c r="G217" i="1"/>
  <c r="H245" i="1"/>
  <c r="G245" i="1"/>
  <c r="H269" i="1"/>
  <c r="G269" i="1"/>
  <c r="H305" i="1"/>
  <c r="G305" i="1"/>
  <c r="H22" i="1"/>
  <c r="G22" i="1"/>
  <c r="H42" i="1"/>
  <c r="G42" i="1"/>
  <c r="H68" i="1"/>
  <c r="G68" i="1"/>
  <c r="H92" i="1"/>
  <c r="G92" i="1"/>
  <c r="H116" i="1"/>
  <c r="G116" i="1"/>
  <c r="H144" i="1"/>
  <c r="G144" i="1"/>
  <c r="H176" i="1"/>
  <c r="G176" i="1"/>
  <c r="H200" i="1"/>
  <c r="G200" i="1"/>
  <c r="H224" i="1"/>
  <c r="G224" i="1"/>
  <c r="H250" i="1"/>
  <c r="G250" i="1"/>
  <c r="H296" i="1"/>
  <c r="G296" i="1"/>
  <c r="H90" i="1"/>
  <c r="G90" i="1"/>
  <c r="H98" i="1"/>
  <c r="G98" i="1"/>
  <c r="H106" i="1"/>
  <c r="G106" i="1"/>
  <c r="H114" i="1"/>
  <c r="G114" i="1"/>
  <c r="H120" i="1"/>
  <c r="G120" i="1"/>
  <c r="H126" i="1"/>
  <c r="G126" i="1"/>
  <c r="H134" i="1"/>
  <c r="G134" i="1"/>
  <c r="H142" i="1"/>
  <c r="G142" i="1"/>
  <c r="H150" i="1"/>
  <c r="G150" i="1"/>
  <c r="H157" i="1"/>
  <c r="G157" i="1"/>
  <c r="H166" i="1"/>
  <c r="G166" i="1"/>
  <c r="H174" i="1"/>
  <c r="G174" i="1"/>
  <c r="H182" i="1"/>
  <c r="G182" i="1"/>
  <c r="H191" i="1"/>
  <c r="G191" i="1"/>
  <c r="H198" i="1"/>
  <c r="G198" i="1"/>
  <c r="H206" i="1"/>
  <c r="G206" i="1"/>
  <c r="H214" i="1"/>
  <c r="G214" i="1"/>
  <c r="H222" i="1"/>
  <c r="G222" i="1"/>
  <c r="H232" i="1"/>
  <c r="G232" i="1"/>
  <c r="H239" i="1"/>
  <c r="G239" i="1"/>
  <c r="H248" i="1"/>
  <c r="G248" i="1"/>
  <c r="H256" i="1"/>
  <c r="G256" i="1"/>
  <c r="H265" i="1"/>
  <c r="G265" i="1"/>
  <c r="H274" i="1"/>
  <c r="G274" i="1"/>
  <c r="H279" i="1"/>
  <c r="G279" i="1"/>
  <c r="H286" i="1"/>
  <c r="G286" i="1"/>
  <c r="H294" i="1"/>
  <c r="G294" i="1"/>
  <c r="H302" i="1"/>
  <c r="G302" i="1"/>
  <c r="H310" i="1"/>
  <c r="G310" i="1"/>
  <c r="H14" i="1"/>
  <c r="G14" i="1"/>
  <c r="H44" i="1"/>
  <c r="G44" i="1"/>
  <c r="H78" i="1"/>
  <c r="G78" i="1"/>
  <c r="H110" i="1"/>
  <c r="G110" i="1"/>
  <c r="H138" i="1"/>
  <c r="G138" i="1"/>
  <c r="H170" i="1"/>
  <c r="G170" i="1"/>
  <c r="H194" i="1"/>
  <c r="G194" i="1"/>
  <c r="H220" i="1"/>
  <c r="G220" i="1"/>
  <c r="H243" i="1"/>
  <c r="G243" i="1"/>
  <c r="H270" i="1"/>
  <c r="G270" i="1"/>
  <c r="H298" i="1"/>
  <c r="G298" i="1"/>
  <c r="H6" i="1"/>
  <c r="G6" i="1"/>
  <c r="H19" i="1"/>
  <c r="G19" i="1"/>
  <c r="H36" i="1"/>
  <c r="G36" i="1"/>
  <c r="H51" i="1"/>
  <c r="G51" i="1"/>
  <c r="H69" i="1"/>
  <c r="G69" i="1"/>
  <c r="H84" i="1"/>
  <c r="G84" i="1"/>
  <c r="H101" i="1"/>
  <c r="G101" i="1"/>
  <c r="H118" i="1"/>
  <c r="G118" i="1"/>
  <c r="H129" i="1"/>
  <c r="G129" i="1"/>
  <c r="H145" i="1"/>
  <c r="G145" i="1"/>
  <c r="H161" i="1"/>
  <c r="G161" i="1"/>
  <c r="H189" i="1"/>
  <c r="G189" i="1"/>
  <c r="H209" i="1"/>
  <c r="G209" i="1"/>
  <c r="H235" i="1"/>
  <c r="G235" i="1"/>
  <c r="H259" i="1"/>
  <c r="G259" i="1"/>
  <c r="H281" i="1"/>
  <c r="G281" i="1"/>
  <c r="H289" i="1"/>
  <c r="G289" i="1"/>
  <c r="H12" i="1"/>
  <c r="G12" i="1"/>
  <c r="H35" i="1"/>
  <c r="G35" i="1"/>
  <c r="H58" i="1"/>
  <c r="G58" i="1"/>
  <c r="H86" i="1"/>
  <c r="G86" i="1"/>
  <c r="H108" i="1"/>
  <c r="G108" i="1"/>
  <c r="H136" i="1"/>
  <c r="G136" i="1"/>
  <c r="H159" i="1"/>
  <c r="G159" i="1"/>
  <c r="H184" i="1"/>
  <c r="G184" i="1"/>
  <c r="H208" i="1"/>
  <c r="G208" i="1"/>
  <c r="H225" i="1"/>
  <c r="G225" i="1"/>
  <c r="H242" i="1"/>
  <c r="G242" i="1"/>
  <c r="H268" i="1"/>
  <c r="G268" i="1"/>
  <c r="H288" i="1"/>
  <c r="G288" i="1"/>
  <c r="H304" i="1"/>
  <c r="G304" i="1"/>
  <c r="H21" i="1"/>
  <c r="G21" i="1"/>
  <c r="H41" i="1"/>
  <c r="G41" i="1"/>
  <c r="H57" i="1"/>
  <c r="G57" i="1"/>
  <c r="H74" i="1"/>
  <c r="G74" i="1"/>
  <c r="H83" i="1"/>
  <c r="G83" i="1"/>
  <c r="H100" i="1"/>
  <c r="G100" i="1"/>
  <c r="H115" i="1"/>
  <c r="G115" i="1"/>
  <c r="H135" i="1"/>
  <c r="G135" i="1"/>
  <c r="H151" i="1"/>
  <c r="G151" i="1"/>
  <c r="H167" i="1"/>
  <c r="G167" i="1"/>
  <c r="H192" i="1"/>
  <c r="G192" i="1"/>
  <c r="H207" i="1"/>
  <c r="G207" i="1"/>
  <c r="H223" i="1"/>
  <c r="G223" i="1"/>
  <c r="H240" i="1"/>
  <c r="G240" i="1"/>
  <c r="H249" i="1"/>
  <c r="G249" i="1"/>
  <c r="H266" i="1"/>
  <c r="G266" i="1"/>
  <c r="H267" i="1"/>
  <c r="G267" i="1"/>
  <c r="H287" i="1"/>
  <c r="G287" i="1"/>
  <c r="H295" i="1"/>
  <c r="G295" i="1"/>
  <c r="H303" i="1"/>
  <c r="G303" i="1"/>
  <c r="H311" i="1"/>
  <c r="G311" i="1"/>
  <c r="H8" i="1"/>
  <c r="G8" i="1"/>
  <c r="H17" i="1"/>
  <c r="G17" i="1"/>
  <c r="H25" i="1"/>
  <c r="G25" i="1"/>
  <c r="H33" i="1"/>
  <c r="G33" i="1"/>
  <c r="H40" i="1"/>
  <c r="G40" i="1"/>
  <c r="H48" i="1"/>
  <c r="G48" i="1"/>
  <c r="H56" i="1"/>
  <c r="G56" i="1"/>
  <c r="H64" i="1"/>
  <c r="G64" i="1"/>
  <c r="H71" i="1"/>
  <c r="G71" i="1"/>
  <c r="H82" i="1"/>
  <c r="G82" i="1"/>
  <c r="H10" i="1"/>
  <c r="G10" i="1"/>
  <c r="H16" i="1"/>
  <c r="G16" i="1"/>
  <c r="H26" i="1"/>
  <c r="G26" i="1"/>
  <c r="H32" i="1"/>
  <c r="G32" i="1"/>
  <c r="H39" i="1"/>
  <c r="G39" i="1"/>
  <c r="H47" i="1"/>
  <c r="G47" i="1"/>
  <c r="H55" i="1"/>
  <c r="G55" i="1"/>
  <c r="H63" i="1"/>
  <c r="G63" i="1"/>
  <c r="H70" i="1"/>
  <c r="G70" i="1"/>
  <c r="H81" i="1"/>
  <c r="G81" i="1"/>
  <c r="H89" i="1"/>
  <c r="G89" i="1"/>
  <c r="H97" i="1"/>
  <c r="G97" i="1"/>
  <c r="H105" i="1"/>
  <c r="G105" i="1"/>
  <c r="H113" i="1"/>
  <c r="G113" i="1"/>
  <c r="H119" i="1"/>
  <c r="G119" i="1"/>
  <c r="H125" i="1"/>
  <c r="G125" i="1"/>
  <c r="H133" i="1"/>
  <c r="G133" i="1"/>
  <c r="H141" i="1"/>
  <c r="G141" i="1"/>
  <c r="H149" i="1"/>
  <c r="G149" i="1"/>
  <c r="H160" i="1"/>
  <c r="G160" i="1"/>
  <c r="H165" i="1"/>
  <c r="G165" i="1"/>
  <c r="H173" i="1"/>
  <c r="G173" i="1"/>
  <c r="H181" i="1"/>
  <c r="G181" i="1"/>
  <c r="H190" i="1"/>
  <c r="G190" i="1"/>
  <c r="H197" i="1"/>
  <c r="G197" i="1"/>
  <c r="H205" i="1"/>
  <c r="G205" i="1"/>
  <c r="H213" i="1"/>
  <c r="G213" i="1"/>
  <c r="H221" i="1"/>
  <c r="G221" i="1"/>
  <c r="H231" i="1"/>
  <c r="G231" i="1"/>
  <c r="H241" i="1"/>
  <c r="G241" i="1"/>
  <c r="H247" i="1"/>
  <c r="G247" i="1"/>
  <c r="H255" i="1"/>
  <c r="G255" i="1"/>
  <c r="H264" i="1"/>
  <c r="G264" i="1"/>
  <c r="H273" i="1"/>
  <c r="G273" i="1"/>
  <c r="H278" i="1"/>
  <c r="G278" i="1"/>
  <c r="H285" i="1"/>
  <c r="G285" i="1"/>
  <c r="H293" i="1"/>
  <c r="G293" i="1"/>
  <c r="H301" i="1"/>
  <c r="G301" i="1"/>
  <c r="H309" i="1"/>
  <c r="G309" i="1"/>
  <c r="H7" i="1"/>
  <c r="G7" i="1"/>
  <c r="H37" i="1"/>
  <c r="G37" i="1"/>
  <c r="H66" i="1"/>
  <c r="G66" i="1"/>
  <c r="H99" i="1"/>
  <c r="G99" i="1"/>
  <c r="H132" i="1"/>
  <c r="G132" i="1"/>
  <c r="H162" i="1"/>
  <c r="G162" i="1"/>
  <c r="H185" i="1"/>
  <c r="G185" i="1"/>
  <c r="H202" i="1"/>
  <c r="G202" i="1"/>
  <c r="H229" i="1"/>
  <c r="G229" i="1"/>
  <c r="H252" i="1"/>
  <c r="G252" i="1"/>
  <c r="H276" i="1"/>
  <c r="G276" i="1"/>
  <c r="H308" i="1"/>
  <c r="G308" i="1"/>
  <c r="H13" i="1"/>
  <c r="G13" i="1"/>
  <c r="H28" i="1"/>
  <c r="G28" i="1"/>
  <c r="H43" i="1"/>
  <c r="G43" i="1"/>
  <c r="H59" i="1"/>
  <c r="G59" i="1"/>
  <c r="H77" i="1"/>
  <c r="G77" i="1"/>
  <c r="H93" i="1"/>
  <c r="G93" i="1"/>
  <c r="H109" i="1"/>
  <c r="G109" i="1"/>
  <c r="H121" i="1"/>
  <c r="G121" i="1"/>
  <c r="H137" i="1"/>
  <c r="G137" i="1"/>
  <c r="H153" i="1"/>
  <c r="G153" i="1"/>
  <c r="H177" i="1"/>
  <c r="G177" i="1"/>
  <c r="H201" i="1"/>
  <c r="G201" i="1"/>
  <c r="H228" i="1"/>
  <c r="G228" i="1"/>
  <c r="H251" i="1"/>
  <c r="G251" i="1"/>
  <c r="H275" i="1"/>
  <c r="G275" i="1"/>
  <c r="H297" i="1"/>
  <c r="G297" i="1"/>
  <c r="H5" i="1"/>
  <c r="G5" i="1"/>
  <c r="H30" i="1"/>
  <c r="G30" i="1"/>
  <c r="H50" i="1"/>
  <c r="G50" i="1"/>
  <c r="H76" i="1"/>
  <c r="G76" i="1"/>
  <c r="H102" i="1"/>
  <c r="G102" i="1"/>
  <c r="H128" i="1"/>
  <c r="G128" i="1"/>
  <c r="H152" i="1"/>
  <c r="G152" i="1"/>
  <c r="H168" i="1"/>
  <c r="G168" i="1"/>
  <c r="H188" i="1"/>
  <c r="G188" i="1"/>
  <c r="H216" i="1"/>
  <c r="G216" i="1"/>
  <c r="H234" i="1"/>
  <c r="G234" i="1"/>
  <c r="H258" i="1"/>
  <c r="G258" i="1"/>
  <c r="H277" i="1"/>
  <c r="G277" i="1"/>
  <c r="H312" i="1"/>
  <c r="G312" i="1"/>
  <c r="H3" i="1"/>
  <c r="G3" i="1"/>
  <c r="H4" i="1"/>
  <c r="G4" i="1"/>
  <c r="H27" i="1"/>
  <c r="G27" i="1"/>
  <c r="H49" i="1"/>
  <c r="G49" i="1"/>
  <c r="H65" i="1"/>
  <c r="G65" i="1"/>
  <c r="H75" i="1"/>
  <c r="G75" i="1"/>
  <c r="H91" i="1"/>
  <c r="G91" i="1"/>
  <c r="H107" i="1"/>
  <c r="G107" i="1"/>
  <c r="H127" i="1"/>
  <c r="G127" i="1"/>
  <c r="H143" i="1"/>
  <c r="G143" i="1"/>
  <c r="H158" i="1"/>
  <c r="G158" i="1"/>
  <c r="H175" i="1"/>
  <c r="G175" i="1"/>
  <c r="H183" i="1"/>
  <c r="G183" i="1"/>
  <c r="H199" i="1"/>
  <c r="G199" i="1"/>
  <c r="H215" i="1"/>
  <c r="G215" i="1"/>
  <c r="H233" i="1"/>
  <c r="G233" i="1"/>
  <c r="H257" i="1"/>
  <c r="G257" i="1"/>
  <c r="H280" i="1"/>
  <c r="G280" i="1"/>
  <c r="H9" i="1"/>
  <c r="G9" i="1"/>
  <c r="H18" i="1"/>
  <c r="G18" i="1"/>
  <c r="H24" i="1"/>
  <c r="G24" i="1"/>
  <c r="H31" i="1"/>
  <c r="G31" i="1"/>
  <c r="H38" i="1"/>
  <c r="G38" i="1"/>
  <c r="H46" i="1"/>
  <c r="G46" i="1"/>
  <c r="H54" i="1"/>
  <c r="G54" i="1"/>
  <c r="H62" i="1"/>
  <c r="G62" i="1"/>
  <c r="H73" i="1"/>
  <c r="G73" i="1"/>
  <c r="H80" i="1"/>
  <c r="G80" i="1"/>
  <c r="H88" i="1"/>
  <c r="G88" i="1"/>
  <c r="H96" i="1"/>
  <c r="G96" i="1"/>
  <c r="H104" i="1"/>
  <c r="G104" i="1"/>
  <c r="H112" i="1"/>
  <c r="G112" i="1"/>
  <c r="H123" i="1"/>
  <c r="G123" i="1"/>
  <c r="H131" i="1"/>
  <c r="G131" i="1"/>
  <c r="H140" i="1"/>
  <c r="G140" i="1"/>
  <c r="H147" i="1"/>
  <c r="G147" i="1"/>
  <c r="H156" i="1"/>
  <c r="G156" i="1"/>
  <c r="H164" i="1"/>
  <c r="G164" i="1"/>
  <c r="H172" i="1"/>
  <c r="G172" i="1"/>
  <c r="H180" i="1"/>
  <c r="G180" i="1"/>
  <c r="H187" i="1"/>
  <c r="G187" i="1"/>
  <c r="H196" i="1"/>
  <c r="G196" i="1"/>
  <c r="H204" i="1"/>
  <c r="G204" i="1"/>
  <c r="H212" i="1"/>
  <c r="G212" i="1"/>
  <c r="H219" i="1"/>
  <c r="G219" i="1"/>
  <c r="H227" i="1"/>
  <c r="G227" i="1"/>
  <c r="H230" i="1"/>
  <c r="G230" i="1"/>
  <c r="H238" i="1"/>
  <c r="G238" i="1"/>
  <c r="H246" i="1"/>
  <c r="G246" i="1"/>
  <c r="H254" i="1"/>
  <c r="G254" i="1"/>
  <c r="H263" i="1"/>
  <c r="G263" i="1"/>
  <c r="H272" i="1"/>
  <c r="G272" i="1"/>
  <c r="H284" i="1"/>
  <c r="G284" i="1"/>
  <c r="H292" i="1"/>
  <c r="G292" i="1"/>
  <c r="H299" i="1"/>
  <c r="G299" i="1"/>
  <c r="H307" i="1"/>
  <c r="G307" i="1"/>
  <c r="H20" i="1"/>
  <c r="G20" i="1"/>
  <c r="H52" i="1"/>
  <c r="G52" i="1"/>
  <c r="H85" i="1"/>
  <c r="G85" i="1"/>
  <c r="H117" i="1"/>
  <c r="G117" i="1"/>
  <c r="H148" i="1"/>
  <c r="G148" i="1"/>
  <c r="H11" i="1"/>
  <c r="G11" i="1"/>
  <c r="H15" i="1"/>
  <c r="G15" i="1"/>
  <c r="H23" i="1"/>
  <c r="G23" i="1"/>
  <c r="H34" i="1"/>
  <c r="G34" i="1"/>
  <c r="H45" i="1"/>
  <c r="G45" i="1"/>
  <c r="H53" i="1"/>
  <c r="G53" i="1"/>
  <c r="H61" i="1"/>
  <c r="G61" i="1"/>
  <c r="H67" i="1"/>
  <c r="G67" i="1"/>
  <c r="H72" i="1"/>
  <c r="G72" i="1"/>
  <c r="H79" i="1"/>
  <c r="G79" i="1"/>
  <c r="H87" i="1"/>
  <c r="G87" i="1"/>
  <c r="H95" i="1"/>
  <c r="G95" i="1"/>
  <c r="H103" i="1"/>
  <c r="G103" i="1"/>
  <c r="H111" i="1"/>
  <c r="G111" i="1"/>
  <c r="H122" i="1"/>
  <c r="G122" i="1"/>
  <c r="H130" i="1"/>
  <c r="G130" i="1"/>
  <c r="H139" i="1"/>
  <c r="G139" i="1"/>
  <c r="H146" i="1"/>
  <c r="G146" i="1"/>
  <c r="H155" i="1"/>
  <c r="G155" i="1"/>
  <c r="H163" i="1"/>
  <c r="G163" i="1"/>
  <c r="H171" i="1"/>
  <c r="G171" i="1"/>
  <c r="H179" i="1"/>
  <c r="G179" i="1"/>
  <c r="H186" i="1"/>
  <c r="G186" i="1"/>
  <c r="H195" i="1"/>
  <c r="G195" i="1"/>
  <c r="H203" i="1"/>
  <c r="G203" i="1"/>
  <c r="H211" i="1"/>
  <c r="G211" i="1"/>
  <c r="H218" i="1"/>
  <c r="G218" i="1"/>
  <c r="H226" i="1"/>
  <c r="G226" i="1"/>
  <c r="H237" i="1"/>
  <c r="G237" i="1"/>
  <c r="H244" i="1"/>
  <c r="G244" i="1"/>
  <c r="H253" i="1"/>
  <c r="G253" i="1"/>
  <c r="H261" i="1"/>
  <c r="G261" i="1"/>
  <c r="H262" i="1"/>
  <c r="G262" i="1"/>
  <c r="H271" i="1"/>
  <c r="G271" i="1"/>
  <c r="H283" i="1"/>
  <c r="G283" i="1"/>
  <c r="H291" i="1"/>
  <c r="G291" i="1"/>
  <c r="H300" i="1"/>
  <c r="G300" i="1"/>
  <c r="H306" i="1"/>
  <c r="G306" i="1"/>
</calcChain>
</file>

<file path=xl/sharedStrings.xml><?xml version="1.0" encoding="utf-8"?>
<sst xmlns="http://schemas.openxmlformats.org/spreadsheetml/2006/main" count="812" uniqueCount="36">
  <si>
    <t>category</t>
  </si>
  <si>
    <t>20 units 30 min before bedtime</t>
  </si>
  <si>
    <t>AllStar</t>
  </si>
  <si>
    <t>Apidra</t>
  </si>
  <si>
    <t>100U/mL</t>
  </si>
  <si>
    <t>subcategory</t>
  </si>
  <si>
    <t>date</t>
  </si>
  <si>
    <t>time</t>
  </si>
  <si>
    <t>value</t>
  </si>
  <si>
    <t>note</t>
  </si>
  <si>
    <t>reportedDate</t>
  </si>
  <si>
    <t>unit of measure</t>
  </si>
  <si>
    <t>medicationID</t>
  </si>
  <si>
    <t>fasting</t>
  </si>
  <si>
    <t>mg/dL</t>
  </si>
  <si>
    <t>insulin</t>
  </si>
  <si>
    <t>bolus</t>
  </si>
  <si>
    <t>unit</t>
  </si>
  <si>
    <t>nonFasting</t>
  </si>
  <si>
    <t>basal</t>
  </si>
  <si>
    <t>Forgot to take my basal medicine after a party that I attended</t>
  </si>
  <si>
    <t>Called care team and asked for advice</t>
  </si>
  <si>
    <t>Did not feel well, had the flu</t>
  </si>
  <si>
    <t>Lantus</t>
  </si>
  <si>
    <t>5 units 15 min before dinner</t>
  </si>
  <si>
    <t>BG Fasting</t>
  </si>
  <si>
    <t>30 mins after wake-up</t>
  </si>
  <si>
    <t>BG Non-fasting</t>
  </si>
  <si>
    <t>1 hr before dinner</t>
  </si>
  <si>
    <t>Some memory issues today, called careteam</t>
  </si>
  <si>
    <t>Got sick again</t>
  </si>
  <si>
    <t>Called care team</t>
  </si>
  <si>
    <t>f79d2dd6-a574-414d-aad9-859ac7c3e7b3</t>
  </si>
  <si>
    <t>Medication ID</t>
  </si>
  <si>
    <t>fd3eea4c-bcbb-4719-87b0-b9a2e7d4421f</t>
  </si>
  <si>
    <t>effectiveDate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</si>
</sst>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5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2" fillId="0" borderId="0" xfId="0" applyNumberFormat="1" applyFont="1" applyAlignment="1">
      <alignment horizontal="left"/>
    </xf>
    <xf numFmtId="0" fontId="0" fillId="0" borderId="0" xfId="0" applyNumberFormat="1" applyFont="1" applyAlignment="1">
      <alignment horizontal="left"/>
    </xf>
    <xf numFmtId="164" fontId="2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12"/>
  <sheetViews>
    <sheetView tabSelected="1" zoomScale="125" zoomScaleNormal="125" workbookViewId="0">
      <pane ySplit="1" topLeftCell="A2" activePane="bottomLeft" state="frozen"/>
      <selection pane="bottomLeft" activeCell="C3" sqref="C3"/>
    </sheetView>
  </sheetViews>
  <sheetFormatPr baseColWidth="10" defaultColWidth="14.5" defaultRowHeight="15.75" customHeight="1" x14ac:dyDescent="0.15"/>
  <cols>
    <col min="4" max="4" width="14.5" style="20"/>
    <col min="6" max="6" width="25.33203125" style="9" customWidth="1"/>
    <col min="7" max="8" width="18" style="16" customWidth="1"/>
    <col min="10" max="10" width="35" bestFit="1" customWidth="1"/>
  </cols>
  <sheetData>
    <row r="1" spans="1:10" ht="15.75" customHeight="1" x14ac:dyDescent="0.15">
      <c r="A1" s="2" t="s">
        <v>0</v>
      </c>
      <c r="B1" s="2" t="s">
        <v>5</v>
      </c>
      <c r="C1" s="2" t="s">
        <v>6</v>
      </c>
      <c r="D1" s="17" t="s">
        <v>7</v>
      </c>
      <c r="E1" s="2" t="s">
        <v>8</v>
      </c>
      <c r="F1" s="8" t="s">
        <v>9</v>
      </c>
      <c r="G1" s="15" t="s">
        <v>10</v>
      </c>
      <c r="H1" s="16" t="s">
        <v>35</v>
      </c>
      <c r="I1" s="2" t="s">
        <v>11</v>
      </c>
      <c r="J1" s="2" t="s">
        <v>12</v>
      </c>
    </row>
    <row r="2" spans="1:10" ht="15.75" customHeight="1" x14ac:dyDescent="0.15">
      <c r="A2" s="2" t="s">
        <v>13</v>
      </c>
      <c r="B2" s="3"/>
      <c r="C2" s="4">
        <f ca="1">TODAY()-80</f>
        <v>43428</v>
      </c>
      <c r="D2" s="18">
        <v>0.27083333333333331</v>
      </c>
      <c r="E2" s="5">
        <v>110</v>
      </c>
      <c r="F2" s="8"/>
      <c r="G2" s="15" t="str">
        <f ca="1">TEXT(DATE(YEAR($C2),MONTH($C2),DAY($C2)),"mm/dd/yyyy")&amp;"-"&amp;TEXT($D2,  "hh:mm")</f>
        <v>11/24/2018-06:30</v>
      </c>
      <c r="H2" s="15" t="str">
        <f ca="1">TEXT(DATE(YEAR($C2),MONTH($C2),DAY($C2)),"mm/dd/yyyy")&amp;"-"&amp;TEXT($D2,  "hh:mm")</f>
        <v>11/24/2018-06:30</v>
      </c>
      <c r="I2" s="2" t="s">
        <v>14</v>
      </c>
      <c r="J2" s="3"/>
    </row>
    <row r="3" spans="1:10" ht="15.75" customHeight="1" x14ac:dyDescent="0.15">
      <c r="A3" s="2" t="s">
        <v>18</v>
      </c>
      <c r="B3" s="3"/>
      <c r="C3" s="4">
        <f ca="1">$C$2</f>
        <v>43428</v>
      </c>
      <c r="D3" s="18">
        <v>0.70833333333333337</v>
      </c>
      <c r="E3" s="5">
        <v>164</v>
      </c>
      <c r="F3" s="8"/>
      <c r="G3" s="15" t="str">
        <f t="shared" ref="G3:H66" ca="1" si="0">TEXT(DATE(YEAR($C3),MONTH($C3),DAY($C3)),"mm/dd/yyyy")&amp;"-"&amp;TEXT($D3,  "hh:mm")</f>
        <v>11/24/2018-17:00</v>
      </c>
      <c r="H3" s="15" t="str">
        <f t="shared" ca="1" si="0"/>
        <v>11/24/2018-17:00</v>
      </c>
      <c r="I3" s="2" t="s">
        <v>14</v>
      </c>
      <c r="J3" s="3"/>
    </row>
    <row r="4" spans="1:10" s="7" customFormat="1" ht="15.75" customHeight="1" x14ac:dyDescent="0.15">
      <c r="A4" s="7" t="s">
        <v>15</v>
      </c>
      <c r="B4" s="7" t="s">
        <v>16</v>
      </c>
      <c r="C4" s="4">
        <f ca="1">$C$2</f>
        <v>43428</v>
      </c>
      <c r="D4" s="18">
        <v>0.73888888888888893</v>
      </c>
      <c r="E4" s="5">
        <v>2</v>
      </c>
      <c r="F4" s="8"/>
      <c r="G4" s="15" t="str">
        <f t="shared" ca="1" si="0"/>
        <v>11/24/2018-17:44</v>
      </c>
      <c r="H4" s="15" t="str">
        <f t="shared" ca="1" si="0"/>
        <v>11/24/2018-17:44</v>
      </c>
      <c r="I4" s="7" t="s">
        <v>17</v>
      </c>
      <c r="J4" s="7" t="str">
        <f>'1 basal and 1 bolus plan'!G3</f>
        <v>f79d2dd6-a574-414d-aad9-859ac7c3e7b3</v>
      </c>
    </row>
    <row r="5" spans="1:10" ht="15.75" customHeight="1" x14ac:dyDescent="0.15">
      <c r="A5" s="2" t="s">
        <v>15</v>
      </c>
      <c r="B5" s="2" t="s">
        <v>16</v>
      </c>
      <c r="C5" s="4">
        <f t="shared" ref="C5:C7" ca="1" si="1">$C$2</f>
        <v>43428</v>
      </c>
      <c r="D5" s="18">
        <v>0.73958333333333337</v>
      </c>
      <c r="E5" s="5">
        <v>5</v>
      </c>
      <c r="F5" s="8"/>
      <c r="G5" s="15" t="str">
        <f t="shared" ca="1" si="0"/>
        <v>11/24/2018-17:45</v>
      </c>
      <c r="H5" s="15" t="str">
        <f t="shared" ca="1" si="0"/>
        <v>11/24/2018-17:45</v>
      </c>
      <c r="I5" s="2" t="s">
        <v>17</v>
      </c>
      <c r="J5" s="13" t="str">
        <f>'1 basal and 1 bolus plan'!G3</f>
        <v>f79d2dd6-a574-414d-aad9-859ac7c3e7b3</v>
      </c>
    </row>
    <row r="6" spans="1:10" ht="15.75" customHeight="1" x14ac:dyDescent="0.15">
      <c r="A6" s="2" t="s">
        <v>15</v>
      </c>
      <c r="B6" s="2" t="s">
        <v>19</v>
      </c>
      <c r="C6" s="4">
        <f t="shared" ca="1" si="1"/>
        <v>43428</v>
      </c>
      <c r="D6" s="18">
        <v>0.89583333333333337</v>
      </c>
      <c r="E6" s="5">
        <v>2</v>
      </c>
      <c r="F6" s="8"/>
      <c r="G6" s="15" t="str">
        <f t="shared" ca="1" si="0"/>
        <v>11/24/2018-21:30</v>
      </c>
      <c r="H6" s="15" t="str">
        <f t="shared" ca="1" si="0"/>
        <v>11/24/2018-21:30</v>
      </c>
      <c r="I6" s="2" t="s">
        <v>17</v>
      </c>
      <c r="J6" s="14" t="str">
        <f>'1 basal and 1 bolus plan'!G4</f>
        <v>fd3eea4c-bcbb-4719-87b0-b9a2e7d4421f</v>
      </c>
    </row>
    <row r="7" spans="1:10" ht="15.75" customHeight="1" x14ac:dyDescent="0.15">
      <c r="A7" s="2" t="s">
        <v>15</v>
      </c>
      <c r="B7" s="2" t="s">
        <v>19</v>
      </c>
      <c r="C7" s="4">
        <f t="shared" ca="1" si="1"/>
        <v>43428</v>
      </c>
      <c r="D7" s="18">
        <v>0.89583333333333337</v>
      </c>
      <c r="E7" s="5">
        <v>20</v>
      </c>
      <c r="F7" s="8"/>
      <c r="G7" s="15" t="str">
        <f t="shared" ca="1" si="0"/>
        <v>11/24/2018-21:30</v>
      </c>
      <c r="H7" s="15" t="str">
        <f t="shared" ca="1" si="0"/>
        <v>11/24/2018-21:30</v>
      </c>
      <c r="I7" s="2" t="s">
        <v>17</v>
      </c>
      <c r="J7" s="14" t="str">
        <f>'1 basal and 1 bolus plan'!G4</f>
        <v>fd3eea4c-bcbb-4719-87b0-b9a2e7d4421f</v>
      </c>
    </row>
    <row r="8" spans="1:10" ht="15.75" customHeight="1" x14ac:dyDescent="0.15">
      <c r="A8" s="2" t="s">
        <v>13</v>
      </c>
      <c r="B8" s="3"/>
      <c r="C8" s="4">
        <f ca="1">DATE(YEAR($C$2),MONTH($C$2),DAY($C$2)+1)</f>
        <v>43429</v>
      </c>
      <c r="D8" s="18">
        <v>0.27430555555555552</v>
      </c>
      <c r="E8" s="5">
        <v>139</v>
      </c>
      <c r="F8" s="8"/>
      <c r="G8" s="15" t="str">
        <f t="shared" ca="1" si="0"/>
        <v>11/25/2018-06:35</v>
      </c>
      <c r="H8" s="15" t="str">
        <f t="shared" ca="1" si="0"/>
        <v>11/25/2018-06:35</v>
      </c>
      <c r="I8" s="2" t="s">
        <v>14</v>
      </c>
      <c r="J8" s="3"/>
    </row>
    <row r="9" spans="1:10" ht="15.75" customHeight="1" x14ac:dyDescent="0.15">
      <c r="A9" s="2" t="s">
        <v>18</v>
      </c>
      <c r="B9" s="3"/>
      <c r="C9" s="4">
        <f t="shared" ref="C9:C10" ca="1" si="2">DATE(YEAR($C$2),MONTH($C$2),DAY($C$2)+1)</f>
        <v>43429</v>
      </c>
      <c r="D9" s="18">
        <v>0.71180555555555547</v>
      </c>
      <c r="E9" s="5">
        <v>186</v>
      </c>
      <c r="F9" s="8"/>
      <c r="G9" s="15" t="str">
        <f t="shared" ca="1" si="0"/>
        <v>11/25/2018-17:05</v>
      </c>
      <c r="H9" s="15" t="str">
        <f t="shared" ca="1" si="0"/>
        <v>11/25/2018-17:05</v>
      </c>
      <c r="I9" s="2" t="s">
        <v>14</v>
      </c>
      <c r="J9" s="3"/>
    </row>
    <row r="10" spans="1:10" ht="15.75" customHeight="1" x14ac:dyDescent="0.15">
      <c r="A10" s="2" t="s">
        <v>15</v>
      </c>
      <c r="B10" s="2" t="s">
        <v>19</v>
      </c>
      <c r="C10" s="4">
        <f t="shared" ca="1" si="2"/>
        <v>43429</v>
      </c>
      <c r="D10" s="18">
        <v>0.90069444444444446</v>
      </c>
      <c r="E10" s="5">
        <v>20</v>
      </c>
      <c r="F10" s="8"/>
      <c r="G10" s="15" t="str">
        <f t="shared" ca="1" si="0"/>
        <v>11/25/2018-21:37</v>
      </c>
      <c r="H10" s="15" t="str">
        <f t="shared" ca="1" si="0"/>
        <v>11/25/2018-21:37</v>
      </c>
      <c r="I10" s="2" t="s">
        <v>17</v>
      </c>
      <c r="J10" s="14" t="str">
        <f>'1 basal and 1 bolus plan'!G4</f>
        <v>fd3eea4c-bcbb-4719-87b0-b9a2e7d4421f</v>
      </c>
    </row>
    <row r="11" spans="1:10" ht="15.75" customHeight="1" x14ac:dyDescent="0.15">
      <c r="A11" s="2" t="s">
        <v>13</v>
      </c>
      <c r="B11" s="3"/>
      <c r="C11" s="4">
        <f ca="1">DATE(YEAR($C$2),MONTH($C$2),DAY($C$2)+2)</f>
        <v>43430</v>
      </c>
      <c r="D11" s="18">
        <v>0.25694444444444442</v>
      </c>
      <c r="E11" s="5">
        <v>91</v>
      </c>
      <c r="F11" s="8"/>
      <c r="G11" s="15" t="str">
        <f t="shared" ca="1" si="0"/>
        <v>11/26/2018-06:10</v>
      </c>
      <c r="H11" s="15" t="str">
        <f t="shared" ca="1" si="0"/>
        <v>11/26/2018-06:10</v>
      </c>
      <c r="I11" s="2" t="s">
        <v>14</v>
      </c>
      <c r="J11" s="3"/>
    </row>
    <row r="12" spans="1:10" ht="15.75" customHeight="1" x14ac:dyDescent="0.15">
      <c r="A12" s="2" t="s">
        <v>18</v>
      </c>
      <c r="B12" s="3"/>
      <c r="C12" s="4">
        <f t="shared" ref="C12:C14" ca="1" si="3">DATE(YEAR($C$2),MONTH($C$2),DAY($C$2)+2)</f>
        <v>43430</v>
      </c>
      <c r="D12" s="18">
        <v>0.71805555555555556</v>
      </c>
      <c r="E12" s="5">
        <v>154</v>
      </c>
      <c r="F12" s="8"/>
      <c r="G12" s="15" t="str">
        <f t="shared" ca="1" si="0"/>
        <v>11/26/2018-17:14</v>
      </c>
      <c r="H12" s="15" t="str">
        <f t="shared" ca="1" si="0"/>
        <v>11/26/2018-17:14</v>
      </c>
      <c r="I12" s="2" t="s">
        <v>14</v>
      </c>
      <c r="J12" s="3"/>
    </row>
    <row r="13" spans="1:10" ht="15.75" customHeight="1" x14ac:dyDescent="0.15">
      <c r="A13" s="2" t="s">
        <v>15</v>
      </c>
      <c r="B13" s="2" t="s">
        <v>16</v>
      </c>
      <c r="C13" s="4">
        <f t="shared" ca="1" si="3"/>
        <v>43430</v>
      </c>
      <c r="D13" s="18">
        <v>0.74513888888888891</v>
      </c>
      <c r="E13" s="5">
        <v>5</v>
      </c>
      <c r="F13" s="8"/>
      <c r="G13" s="15" t="str">
        <f t="shared" ca="1" si="0"/>
        <v>11/26/2018-17:53</v>
      </c>
      <c r="H13" s="15" t="str">
        <f t="shared" ca="1" si="0"/>
        <v>11/26/2018-17:53</v>
      </c>
      <c r="I13" s="2" t="s">
        <v>17</v>
      </c>
      <c r="J13" s="13" t="str">
        <f>'1 basal and 1 bolus plan'!G3</f>
        <v>f79d2dd6-a574-414d-aad9-859ac7c3e7b3</v>
      </c>
    </row>
    <row r="14" spans="1:10" ht="15.75" customHeight="1" x14ac:dyDescent="0.15">
      <c r="A14" s="2" t="s">
        <v>15</v>
      </c>
      <c r="B14" s="2" t="s">
        <v>19</v>
      </c>
      <c r="C14" s="4">
        <f t="shared" ca="1" si="3"/>
        <v>43430</v>
      </c>
      <c r="D14" s="18">
        <v>0.88888888888888884</v>
      </c>
      <c r="E14" s="5">
        <v>20</v>
      </c>
      <c r="F14" s="8"/>
      <c r="G14" s="15" t="str">
        <f t="shared" ca="1" si="0"/>
        <v>11/26/2018-21:20</v>
      </c>
      <c r="H14" s="15" t="str">
        <f t="shared" ca="1" si="0"/>
        <v>11/26/2018-21:20</v>
      </c>
      <c r="I14" s="2" t="s">
        <v>17</v>
      </c>
      <c r="J14" s="14" t="str">
        <f>'1 basal and 1 bolus plan'!G4</f>
        <v>fd3eea4c-bcbb-4719-87b0-b9a2e7d4421f</v>
      </c>
    </row>
    <row r="15" spans="1:10" s="7" customFormat="1" ht="15.75" customHeight="1" x14ac:dyDescent="0.15">
      <c r="A15" s="6" t="s">
        <v>13</v>
      </c>
      <c r="B15" s="6"/>
      <c r="C15" s="4">
        <f ca="1">DATE(YEAR($C$2),MONTH($C$2),DAY($C$2)+3)</f>
        <v>43431</v>
      </c>
      <c r="D15" s="18">
        <v>0.27361111111111108</v>
      </c>
      <c r="E15" s="5">
        <v>69</v>
      </c>
      <c r="F15" s="8"/>
      <c r="G15" s="15" t="str">
        <f t="shared" ca="1" si="0"/>
        <v>11/27/2018-06:34</v>
      </c>
      <c r="H15" s="15" t="str">
        <f t="shared" ca="1" si="0"/>
        <v>11/27/2018-06:34</v>
      </c>
      <c r="I15" s="6" t="s">
        <v>14</v>
      </c>
      <c r="J15" s="6"/>
    </row>
    <row r="16" spans="1:10" s="7" customFormat="1" ht="15.75" customHeight="1" x14ac:dyDescent="0.15">
      <c r="A16" s="6" t="s">
        <v>18</v>
      </c>
      <c r="B16" s="6"/>
      <c r="C16" s="4">
        <f t="shared" ref="C16:C18" ca="1" si="4">DATE(YEAR($C$2),MONTH($C$2),DAY($C$2)+3)</f>
        <v>43431</v>
      </c>
      <c r="D16" s="18">
        <v>0.74305555555555547</v>
      </c>
      <c r="E16" s="5">
        <v>173</v>
      </c>
      <c r="F16" s="8"/>
      <c r="G16" s="15" t="str">
        <f t="shared" ca="1" si="0"/>
        <v>11/27/2018-17:50</v>
      </c>
      <c r="H16" s="15" t="str">
        <f t="shared" ca="1" si="0"/>
        <v>11/27/2018-17:50</v>
      </c>
      <c r="I16" s="6" t="s">
        <v>14</v>
      </c>
      <c r="J16" s="6"/>
    </row>
    <row r="17" spans="1:10" s="7" customFormat="1" ht="15.75" customHeight="1" x14ac:dyDescent="0.15">
      <c r="A17" s="6" t="s">
        <v>15</v>
      </c>
      <c r="B17" s="6" t="s">
        <v>16</v>
      </c>
      <c r="C17" s="4">
        <f t="shared" ca="1" si="4"/>
        <v>43431</v>
      </c>
      <c r="D17" s="18">
        <v>0.75624999999999998</v>
      </c>
      <c r="E17" s="5">
        <v>5</v>
      </c>
      <c r="F17" s="8"/>
      <c r="G17" s="15" t="str">
        <f t="shared" ca="1" si="0"/>
        <v>11/27/2018-18:09</v>
      </c>
      <c r="H17" s="15" t="str">
        <f t="shared" ca="1" si="0"/>
        <v>11/27/2018-18:09</v>
      </c>
      <c r="I17" s="6" t="s">
        <v>17</v>
      </c>
      <c r="J17" s="13" t="str">
        <f>'1 basal and 1 bolus plan'!G3</f>
        <v>f79d2dd6-a574-414d-aad9-859ac7c3e7b3</v>
      </c>
    </row>
    <row r="18" spans="1:10" s="7" customFormat="1" ht="15.75" customHeight="1" x14ac:dyDescent="0.15">
      <c r="A18" s="6" t="s">
        <v>15</v>
      </c>
      <c r="B18" s="6" t="s">
        <v>19</v>
      </c>
      <c r="C18" s="4">
        <f t="shared" ca="1" si="4"/>
        <v>43431</v>
      </c>
      <c r="D18" s="18">
        <v>0.8979166666666667</v>
      </c>
      <c r="E18" s="5">
        <v>21</v>
      </c>
      <c r="F18" s="8"/>
      <c r="G18" s="15" t="str">
        <f t="shared" ca="1" si="0"/>
        <v>11/27/2018-21:33</v>
      </c>
      <c r="H18" s="15" t="str">
        <f t="shared" ca="1" si="0"/>
        <v>11/27/2018-21:33</v>
      </c>
      <c r="I18" s="6" t="s">
        <v>17</v>
      </c>
      <c r="J18" s="14" t="str">
        <f>'1 basal and 1 bolus plan'!G4</f>
        <v>fd3eea4c-bcbb-4719-87b0-b9a2e7d4421f</v>
      </c>
    </row>
    <row r="19" spans="1:10" s="7" customFormat="1" ht="15.75" customHeight="1" x14ac:dyDescent="0.15">
      <c r="A19" s="6" t="s">
        <v>13</v>
      </c>
      <c r="B19" s="6"/>
      <c r="C19" s="4">
        <f ca="1">DATE(YEAR($C$2),MONTH($C$2),DAY($C$2)+4)</f>
        <v>43432</v>
      </c>
      <c r="D19" s="18">
        <v>0.27083333333333331</v>
      </c>
      <c r="E19" s="5">
        <v>74</v>
      </c>
      <c r="F19" s="8"/>
      <c r="G19" s="15" t="str">
        <f t="shared" ca="1" si="0"/>
        <v>11/28/2018-06:30</v>
      </c>
      <c r="H19" s="15" t="str">
        <f t="shared" ca="1" si="0"/>
        <v>11/28/2018-06:30</v>
      </c>
      <c r="I19" s="6" t="s">
        <v>14</v>
      </c>
      <c r="J19" s="6"/>
    </row>
    <row r="20" spans="1:10" s="7" customFormat="1" ht="15.75" customHeight="1" x14ac:dyDescent="0.15">
      <c r="A20" s="6" t="s">
        <v>18</v>
      </c>
      <c r="B20" s="6"/>
      <c r="C20" s="4">
        <f ca="1">DATE(YEAR($C$2),MONTH($C$2),DAY($C$2)+4)</f>
        <v>43432</v>
      </c>
      <c r="D20" s="18">
        <v>0.74097222222222225</v>
      </c>
      <c r="E20" s="5">
        <v>123</v>
      </c>
      <c r="F20" s="8"/>
      <c r="G20" s="15" t="str">
        <f t="shared" ca="1" si="0"/>
        <v>11/28/2018-17:47</v>
      </c>
      <c r="H20" s="15" t="str">
        <f t="shared" ca="1" si="0"/>
        <v>11/28/2018-17:47</v>
      </c>
      <c r="I20" s="6" t="s">
        <v>14</v>
      </c>
      <c r="J20" s="6"/>
    </row>
    <row r="21" spans="1:10" s="7" customFormat="1" ht="15.75" customHeight="1" x14ac:dyDescent="0.15">
      <c r="A21" s="6" t="s">
        <v>15</v>
      </c>
      <c r="B21" s="6" t="s">
        <v>16</v>
      </c>
      <c r="C21" s="4">
        <f ca="1">DATE(YEAR($C$2),MONTH($C$2),DAY($C$2)+4)</f>
        <v>43432</v>
      </c>
      <c r="D21" s="18">
        <v>0.7583333333333333</v>
      </c>
      <c r="E21" s="5">
        <v>5</v>
      </c>
      <c r="F21" s="8"/>
      <c r="G21" s="15" t="str">
        <f t="shared" ca="1" si="0"/>
        <v>11/28/2018-18:12</v>
      </c>
      <c r="H21" s="15" t="str">
        <f t="shared" ca="1" si="0"/>
        <v>11/28/2018-18:12</v>
      </c>
      <c r="I21" s="6" t="s">
        <v>17</v>
      </c>
      <c r="J21" s="13" t="str">
        <f>'1 basal and 1 bolus plan'!G3</f>
        <v>f79d2dd6-a574-414d-aad9-859ac7c3e7b3</v>
      </c>
    </row>
    <row r="22" spans="1:10" s="7" customFormat="1" ht="15.75" customHeight="1" x14ac:dyDescent="0.15">
      <c r="A22" s="6" t="s">
        <v>15</v>
      </c>
      <c r="B22" s="6" t="s">
        <v>19</v>
      </c>
      <c r="C22" s="4">
        <f ca="1">DATE(YEAR($C$2),MONTH($C$2),DAY($C$2)+4)</f>
        <v>43432</v>
      </c>
      <c r="D22" s="18">
        <v>0.8979166666666667</v>
      </c>
      <c r="E22" s="5">
        <v>20</v>
      </c>
      <c r="F22" s="8"/>
      <c r="G22" s="15" t="str">
        <f t="shared" ca="1" si="0"/>
        <v>11/28/2018-21:33</v>
      </c>
      <c r="H22" s="15" t="str">
        <f t="shared" ca="1" si="0"/>
        <v>11/28/2018-21:33</v>
      </c>
      <c r="I22" s="6" t="s">
        <v>17</v>
      </c>
      <c r="J22" s="14" t="str">
        <f>'1 basal and 1 bolus plan'!G4</f>
        <v>fd3eea4c-bcbb-4719-87b0-b9a2e7d4421f</v>
      </c>
    </row>
    <row r="23" spans="1:10" s="7" customFormat="1" ht="15.75" customHeight="1" x14ac:dyDescent="0.15">
      <c r="A23" s="6" t="s">
        <v>13</v>
      </c>
      <c r="B23" s="6"/>
      <c r="C23" s="4">
        <f ca="1">DATE(YEAR($C$2),MONTH($C$2),DAY($C$2)+5)</f>
        <v>43433</v>
      </c>
      <c r="D23" s="18">
        <v>0.27083333333333331</v>
      </c>
      <c r="E23" s="5">
        <v>112</v>
      </c>
      <c r="F23" s="8"/>
      <c r="G23" s="15" t="str">
        <f t="shared" ca="1" si="0"/>
        <v>11/29/2018-06:30</v>
      </c>
      <c r="H23" s="15" t="str">
        <f t="shared" ca="1" si="0"/>
        <v>11/29/2018-06:30</v>
      </c>
      <c r="I23" s="6" t="s">
        <v>14</v>
      </c>
      <c r="J23" s="6"/>
    </row>
    <row r="24" spans="1:10" s="7" customFormat="1" ht="15.75" customHeight="1" x14ac:dyDescent="0.15">
      <c r="A24" s="6" t="s">
        <v>18</v>
      </c>
      <c r="B24" s="6"/>
      <c r="C24" s="4">
        <f t="shared" ref="C24:C26" ca="1" si="5">DATE(YEAR($C$2),MONTH($C$2),DAY($C$2)+5)</f>
        <v>43433</v>
      </c>
      <c r="D24" s="18">
        <v>0.74097222222222225</v>
      </c>
      <c r="E24" s="5">
        <v>83</v>
      </c>
      <c r="F24" s="8"/>
      <c r="G24" s="15" t="str">
        <f t="shared" ca="1" si="0"/>
        <v>11/29/2018-17:47</v>
      </c>
      <c r="H24" s="15" t="str">
        <f t="shared" ca="1" si="0"/>
        <v>11/29/2018-17:47</v>
      </c>
      <c r="I24" s="6" t="s">
        <v>14</v>
      </c>
      <c r="J24" s="6"/>
    </row>
    <row r="25" spans="1:10" s="7" customFormat="1" ht="15.75" customHeight="1" x14ac:dyDescent="0.15">
      <c r="A25" s="6" t="s">
        <v>15</v>
      </c>
      <c r="B25" s="6" t="s">
        <v>16</v>
      </c>
      <c r="C25" s="4">
        <f t="shared" ca="1" si="5"/>
        <v>43433</v>
      </c>
      <c r="D25" s="18">
        <v>0.75624999999999998</v>
      </c>
      <c r="E25" s="5">
        <v>5</v>
      </c>
      <c r="F25" s="8"/>
      <c r="G25" s="15" t="str">
        <f t="shared" ca="1" si="0"/>
        <v>11/29/2018-18:09</v>
      </c>
      <c r="H25" s="15" t="str">
        <f t="shared" ca="1" si="0"/>
        <v>11/29/2018-18:09</v>
      </c>
      <c r="I25" s="6" t="s">
        <v>17</v>
      </c>
      <c r="J25" s="13" t="str">
        <f>'1 basal and 1 bolus plan'!G3</f>
        <v>f79d2dd6-a574-414d-aad9-859ac7c3e7b3</v>
      </c>
    </row>
    <row r="26" spans="1:10" s="7" customFormat="1" ht="15.75" customHeight="1" x14ac:dyDescent="0.15">
      <c r="A26" s="6" t="s">
        <v>15</v>
      </c>
      <c r="B26" s="6" t="s">
        <v>19</v>
      </c>
      <c r="C26" s="4">
        <f t="shared" ca="1" si="5"/>
        <v>43433</v>
      </c>
      <c r="D26" s="18">
        <v>0.88958333333333339</v>
      </c>
      <c r="E26" s="5">
        <v>20</v>
      </c>
      <c r="F26" s="8"/>
      <c r="G26" s="15" t="str">
        <f t="shared" ca="1" si="0"/>
        <v>11/29/2018-21:21</v>
      </c>
      <c r="H26" s="15" t="str">
        <f t="shared" ca="1" si="0"/>
        <v>11/29/2018-21:21</v>
      </c>
      <c r="I26" s="6" t="s">
        <v>17</v>
      </c>
      <c r="J26" s="14" t="str">
        <f>'1 basal and 1 bolus plan'!G4</f>
        <v>fd3eea4c-bcbb-4719-87b0-b9a2e7d4421f</v>
      </c>
    </row>
    <row r="27" spans="1:10" s="7" customFormat="1" ht="15.75" customHeight="1" x14ac:dyDescent="0.15">
      <c r="A27" s="6" t="s">
        <v>13</v>
      </c>
      <c r="B27" s="6"/>
      <c r="C27" s="4">
        <f ca="1">DATE(YEAR($C$2),MONTH($C$2),DAY($C$2)+6)</f>
        <v>43434</v>
      </c>
      <c r="D27" s="18">
        <v>0.28541666666666665</v>
      </c>
      <c r="E27" s="5">
        <v>67</v>
      </c>
      <c r="F27" s="8"/>
      <c r="G27" s="15" t="str">
        <f t="shared" ca="1" si="0"/>
        <v>11/30/2018-06:51</v>
      </c>
      <c r="H27" s="15" t="str">
        <f t="shared" ca="1" si="0"/>
        <v>11/30/2018-06:51</v>
      </c>
      <c r="I27" s="6" t="s">
        <v>14</v>
      </c>
      <c r="J27" s="6"/>
    </row>
    <row r="28" spans="1:10" s="7" customFormat="1" ht="15.75" customHeight="1" x14ac:dyDescent="0.15">
      <c r="A28" s="6" t="s">
        <v>18</v>
      </c>
      <c r="B28" s="6"/>
      <c r="C28" s="4">
        <f t="shared" ref="C28:C30" ca="1" si="6">DATE(YEAR($C$2),MONTH($C$2),DAY($C$2)+6)</f>
        <v>43434</v>
      </c>
      <c r="D28" s="18">
        <v>0.74097222222222225</v>
      </c>
      <c r="E28" s="5">
        <v>152</v>
      </c>
      <c r="F28" s="8"/>
      <c r="G28" s="15" t="str">
        <f t="shared" ca="1" si="0"/>
        <v>11/30/2018-17:47</v>
      </c>
      <c r="H28" s="15" t="str">
        <f t="shared" ca="1" si="0"/>
        <v>11/30/2018-17:47</v>
      </c>
      <c r="I28" s="6" t="s">
        <v>14</v>
      </c>
      <c r="J28" s="6"/>
    </row>
    <row r="29" spans="1:10" s="7" customFormat="1" ht="15.75" customHeight="1" x14ac:dyDescent="0.15">
      <c r="A29" s="6" t="s">
        <v>15</v>
      </c>
      <c r="B29" s="6" t="s">
        <v>16</v>
      </c>
      <c r="C29" s="4">
        <f t="shared" ca="1" si="6"/>
        <v>43434</v>
      </c>
      <c r="D29" s="18">
        <v>0.75624999999999998</v>
      </c>
      <c r="E29" s="5">
        <v>6</v>
      </c>
      <c r="F29" s="8"/>
      <c r="G29" s="15" t="str">
        <f t="shared" ca="1" si="0"/>
        <v>11/30/2018-18:09</v>
      </c>
      <c r="H29" s="15" t="str">
        <f t="shared" ca="1" si="0"/>
        <v>11/30/2018-18:09</v>
      </c>
      <c r="I29" s="6" t="s">
        <v>17</v>
      </c>
      <c r="J29" s="13" t="str">
        <f>'1 basal and 1 bolus plan'!G3</f>
        <v>f79d2dd6-a574-414d-aad9-859ac7c3e7b3</v>
      </c>
    </row>
    <row r="30" spans="1:10" s="7" customFormat="1" ht="15.75" customHeight="1" x14ac:dyDescent="0.15">
      <c r="A30" s="6" t="s">
        <v>15</v>
      </c>
      <c r="B30" s="6" t="s">
        <v>19</v>
      </c>
      <c r="C30" s="4">
        <f t="shared" ca="1" si="6"/>
        <v>43434</v>
      </c>
      <c r="D30" s="18">
        <v>0.88958333333333339</v>
      </c>
      <c r="E30" s="5">
        <v>23</v>
      </c>
      <c r="F30" s="8"/>
      <c r="G30" s="15" t="str">
        <f t="shared" ca="1" si="0"/>
        <v>11/30/2018-21:21</v>
      </c>
      <c r="H30" s="15" t="str">
        <f t="shared" ca="1" si="0"/>
        <v>11/30/2018-21:21</v>
      </c>
      <c r="I30" s="6" t="s">
        <v>17</v>
      </c>
      <c r="J30" s="14" t="str">
        <f>'1 basal and 1 bolus plan'!G4</f>
        <v>fd3eea4c-bcbb-4719-87b0-b9a2e7d4421f</v>
      </c>
    </row>
    <row r="31" spans="1:10" s="7" customFormat="1" ht="15.75" customHeight="1" x14ac:dyDescent="0.15">
      <c r="A31" s="6" t="s">
        <v>13</v>
      </c>
      <c r="B31" s="6"/>
      <c r="C31" s="4">
        <f ca="1">DATE(YEAR($C$2),MONTH($C$2),DAY($C$2)+7)</f>
        <v>43435</v>
      </c>
      <c r="D31" s="18">
        <v>0.27083333333333331</v>
      </c>
      <c r="E31" s="5">
        <v>72</v>
      </c>
      <c r="F31" s="8"/>
      <c r="G31" s="15" t="str">
        <f t="shared" ca="1" si="0"/>
        <v>12/01/2018-06:30</v>
      </c>
      <c r="H31" s="15" t="str">
        <f t="shared" ca="1" si="0"/>
        <v>12/01/2018-06:30</v>
      </c>
      <c r="I31" s="6" t="s">
        <v>14</v>
      </c>
      <c r="J31" s="6"/>
    </row>
    <row r="32" spans="1:10" s="7" customFormat="1" ht="15.75" customHeight="1" x14ac:dyDescent="0.15">
      <c r="A32" s="6" t="s">
        <v>18</v>
      </c>
      <c r="B32" s="6"/>
      <c r="C32" s="4">
        <f t="shared" ref="C32:C33" ca="1" si="7">DATE(YEAR($C$2),MONTH($C$2),DAY($C$2)+7)</f>
        <v>43435</v>
      </c>
      <c r="D32" s="18">
        <v>0.70833333333333337</v>
      </c>
      <c r="E32" s="5">
        <v>132</v>
      </c>
      <c r="F32" s="8"/>
      <c r="G32" s="15" t="str">
        <f t="shared" ca="1" si="0"/>
        <v>12/01/2018-17:00</v>
      </c>
      <c r="H32" s="15" t="str">
        <f t="shared" ca="1" si="0"/>
        <v>12/01/2018-17:00</v>
      </c>
      <c r="I32" s="6" t="s">
        <v>14</v>
      </c>
      <c r="J32" s="6"/>
    </row>
    <row r="33" spans="1:10" s="7" customFormat="1" ht="15.75" customHeight="1" x14ac:dyDescent="0.15">
      <c r="A33" s="6" t="s">
        <v>15</v>
      </c>
      <c r="B33" s="6" t="s">
        <v>16</v>
      </c>
      <c r="C33" s="4">
        <f t="shared" ca="1" si="7"/>
        <v>43435</v>
      </c>
      <c r="D33" s="18">
        <v>0.73958333333333337</v>
      </c>
      <c r="E33" s="5">
        <v>5</v>
      </c>
      <c r="F33" s="8"/>
      <c r="G33" s="15" t="str">
        <f t="shared" ca="1" si="0"/>
        <v>12/01/2018-17:45</v>
      </c>
      <c r="H33" s="15" t="str">
        <f t="shared" ca="1" si="0"/>
        <v>12/01/2018-17:45</v>
      </c>
      <c r="I33" s="6" t="s">
        <v>17</v>
      </c>
      <c r="J33" s="13" t="str">
        <f>'1 basal and 1 bolus plan'!G3</f>
        <v>f79d2dd6-a574-414d-aad9-859ac7c3e7b3</v>
      </c>
    </row>
    <row r="34" spans="1:10" s="7" customFormat="1" ht="43.25" customHeight="1" x14ac:dyDescent="0.15">
      <c r="A34" s="6" t="s">
        <v>13</v>
      </c>
      <c r="B34" s="6"/>
      <c r="C34" s="4">
        <f ca="1">DATE(YEAR($C$2),MONTH($C$2),DAY($C$2)+7)</f>
        <v>43435</v>
      </c>
      <c r="D34" s="19">
        <v>0.34791666666666665</v>
      </c>
      <c r="E34" s="5">
        <v>321</v>
      </c>
      <c r="F34" s="9" t="s">
        <v>20</v>
      </c>
      <c r="G34" s="15" t="str">
        <f t="shared" ca="1" si="0"/>
        <v>12/01/2018-08:21</v>
      </c>
      <c r="H34" s="15" t="str">
        <f t="shared" ca="1" si="0"/>
        <v>12/01/2018-08:21</v>
      </c>
      <c r="I34" s="6" t="s">
        <v>14</v>
      </c>
      <c r="J34" s="6"/>
    </row>
    <row r="35" spans="1:10" s="7" customFormat="1" ht="28" x14ac:dyDescent="0.15">
      <c r="A35" s="6" t="s">
        <v>18</v>
      </c>
      <c r="B35" s="6"/>
      <c r="C35" s="4">
        <f ca="1">DATE(YEAR($C$2),MONTH($C$2),DAY($C$2)+8)</f>
        <v>43436</v>
      </c>
      <c r="D35" s="18">
        <v>0.71736111111111101</v>
      </c>
      <c r="E35" s="5">
        <v>234</v>
      </c>
      <c r="F35" s="10" t="s">
        <v>21</v>
      </c>
      <c r="G35" s="15" t="str">
        <f t="shared" ca="1" si="0"/>
        <v>12/02/2018-17:13</v>
      </c>
      <c r="H35" s="15" t="str">
        <f t="shared" ca="1" si="0"/>
        <v>12/02/2018-17:13</v>
      </c>
      <c r="I35" s="6" t="s">
        <v>14</v>
      </c>
      <c r="J35" s="6"/>
    </row>
    <row r="36" spans="1:10" s="7" customFormat="1" ht="15.75" customHeight="1" x14ac:dyDescent="0.15">
      <c r="A36" s="6" t="s">
        <v>15</v>
      </c>
      <c r="B36" s="6" t="s">
        <v>16</v>
      </c>
      <c r="C36" s="4">
        <f t="shared" ref="C36:C37" ca="1" si="8">DATE(YEAR($C$2),MONTH($C$2),DAY($C$2)+8)</f>
        <v>43436</v>
      </c>
      <c r="D36" s="18">
        <v>0.73958333333333337</v>
      </c>
      <c r="E36" s="5">
        <v>10</v>
      </c>
      <c r="F36" s="8"/>
      <c r="G36" s="15" t="str">
        <f t="shared" ca="1" si="0"/>
        <v>12/02/2018-17:45</v>
      </c>
      <c r="H36" s="15" t="str">
        <f t="shared" ca="1" si="0"/>
        <v>12/02/2018-17:45</v>
      </c>
      <c r="I36" s="6" t="s">
        <v>17</v>
      </c>
      <c r="J36" s="13" t="str">
        <f>'1 basal and 1 bolus plan'!G3</f>
        <v>f79d2dd6-a574-414d-aad9-859ac7c3e7b3</v>
      </c>
    </row>
    <row r="37" spans="1:10" s="7" customFormat="1" ht="15.75" customHeight="1" x14ac:dyDescent="0.15">
      <c r="A37" s="6" t="s">
        <v>15</v>
      </c>
      <c r="B37" s="6" t="s">
        <v>19</v>
      </c>
      <c r="C37" s="4">
        <f t="shared" ca="1" si="8"/>
        <v>43436</v>
      </c>
      <c r="D37" s="18">
        <v>0.89583333333333337</v>
      </c>
      <c r="E37" s="5">
        <v>20</v>
      </c>
      <c r="F37" s="8"/>
      <c r="G37" s="15" t="str">
        <f t="shared" ca="1" si="0"/>
        <v>12/02/2018-21:30</v>
      </c>
      <c r="H37" s="15" t="str">
        <f t="shared" ca="1" si="0"/>
        <v>12/02/2018-21:30</v>
      </c>
      <c r="I37" s="6" t="s">
        <v>17</v>
      </c>
      <c r="J37" s="14" t="str">
        <f>'1 basal and 1 bolus plan'!G4</f>
        <v>fd3eea4c-bcbb-4719-87b0-b9a2e7d4421f</v>
      </c>
    </row>
    <row r="38" spans="1:10" s="7" customFormat="1" ht="13" x14ac:dyDescent="0.15">
      <c r="A38" s="6" t="s">
        <v>13</v>
      </c>
      <c r="B38" s="6"/>
      <c r="C38" s="4">
        <f ca="1">DATE(YEAR($C$2),MONTH($C$2),DAY($C$2)+9)</f>
        <v>43437</v>
      </c>
      <c r="D38" s="19">
        <v>0.2722222222222222</v>
      </c>
      <c r="E38" s="5">
        <v>113</v>
      </c>
      <c r="F38" s="9"/>
      <c r="G38" s="15" t="str">
        <f t="shared" ca="1" si="0"/>
        <v>12/03/2018-06:32</v>
      </c>
      <c r="H38" s="15" t="str">
        <f t="shared" ca="1" si="0"/>
        <v>12/03/2018-06:32</v>
      </c>
      <c r="I38" s="6" t="s">
        <v>14</v>
      </c>
      <c r="J38" s="6"/>
    </row>
    <row r="39" spans="1:10" s="7" customFormat="1" ht="13" x14ac:dyDescent="0.15">
      <c r="A39" s="6" t="s">
        <v>18</v>
      </c>
      <c r="B39" s="6"/>
      <c r="C39" s="4">
        <f t="shared" ref="C39:C41" ca="1" si="9">DATE(YEAR($C$2),MONTH($C$2),DAY($C$2)+9)</f>
        <v>43437</v>
      </c>
      <c r="D39" s="18">
        <v>0.72777777777777775</v>
      </c>
      <c r="E39" s="5">
        <v>176</v>
      </c>
      <c r="F39" s="10"/>
      <c r="G39" s="15" t="str">
        <f t="shared" ca="1" si="0"/>
        <v>12/03/2018-17:28</v>
      </c>
      <c r="H39" s="15" t="str">
        <f t="shared" ca="1" si="0"/>
        <v>12/03/2018-17:28</v>
      </c>
      <c r="I39" s="6" t="s">
        <v>14</v>
      </c>
      <c r="J39" s="6"/>
    </row>
    <row r="40" spans="1:10" s="7" customFormat="1" ht="15.75" customHeight="1" x14ac:dyDescent="0.15">
      <c r="A40" s="6" t="s">
        <v>15</v>
      </c>
      <c r="B40" s="6" t="s">
        <v>16</v>
      </c>
      <c r="C40" s="4">
        <f t="shared" ca="1" si="9"/>
        <v>43437</v>
      </c>
      <c r="D40" s="18">
        <v>0.74930555555555556</v>
      </c>
      <c r="E40" s="5">
        <v>5</v>
      </c>
      <c r="F40" s="8"/>
      <c r="G40" s="15" t="str">
        <f t="shared" ca="1" si="0"/>
        <v>12/03/2018-17:59</v>
      </c>
      <c r="H40" s="15" t="str">
        <f t="shared" ca="1" si="0"/>
        <v>12/03/2018-17:59</v>
      </c>
      <c r="I40" s="6" t="s">
        <v>17</v>
      </c>
      <c r="J40" s="13" t="str">
        <f>'1 basal and 1 bolus plan'!G3</f>
        <v>f79d2dd6-a574-414d-aad9-859ac7c3e7b3</v>
      </c>
    </row>
    <row r="41" spans="1:10" s="7" customFormat="1" ht="15.75" customHeight="1" x14ac:dyDescent="0.15">
      <c r="A41" s="6" t="s">
        <v>15</v>
      </c>
      <c r="B41" s="6" t="s">
        <v>19</v>
      </c>
      <c r="C41" s="4">
        <f t="shared" ca="1" si="9"/>
        <v>43437</v>
      </c>
      <c r="D41" s="18">
        <v>0.92638888888888893</v>
      </c>
      <c r="E41" s="5">
        <v>20</v>
      </c>
      <c r="F41" s="8"/>
      <c r="G41" s="15" t="str">
        <f t="shared" ca="1" si="0"/>
        <v>12/03/2018-22:14</v>
      </c>
      <c r="H41" s="15" t="str">
        <f t="shared" ca="1" si="0"/>
        <v>12/03/2018-22:14</v>
      </c>
      <c r="I41" s="6" t="s">
        <v>17</v>
      </c>
      <c r="J41" s="14" t="str">
        <f>'1 basal and 1 bolus plan'!G4</f>
        <v>fd3eea4c-bcbb-4719-87b0-b9a2e7d4421f</v>
      </c>
    </row>
    <row r="42" spans="1:10" s="7" customFormat="1" ht="13" x14ac:dyDescent="0.15">
      <c r="A42" s="6" t="s">
        <v>13</v>
      </c>
      <c r="B42" s="6"/>
      <c r="C42" s="4">
        <f ca="1">DATE(YEAR($C$2),MONTH($C$2),DAY($C$2)+10)</f>
        <v>43438</v>
      </c>
      <c r="D42" s="19">
        <v>0.24236111111111111</v>
      </c>
      <c r="E42" s="5">
        <v>78</v>
      </c>
      <c r="F42" s="9"/>
      <c r="G42" s="15" t="str">
        <f t="shared" ca="1" si="0"/>
        <v>12/04/2018-05:49</v>
      </c>
      <c r="H42" s="15" t="str">
        <f t="shared" ca="1" si="0"/>
        <v>12/04/2018-05:49</v>
      </c>
      <c r="I42" s="6" t="s">
        <v>14</v>
      </c>
      <c r="J42" s="6"/>
    </row>
    <row r="43" spans="1:10" s="7" customFormat="1" ht="13" x14ac:dyDescent="0.15">
      <c r="A43" s="6" t="s">
        <v>18</v>
      </c>
      <c r="B43" s="6"/>
      <c r="C43" s="4">
        <f t="shared" ref="C43:C45" ca="1" si="10">DATE(YEAR($C$2),MONTH($C$2),DAY($C$2)+10)</f>
        <v>43438</v>
      </c>
      <c r="D43" s="18">
        <v>0.71666666666666667</v>
      </c>
      <c r="E43" s="5">
        <v>139</v>
      </c>
      <c r="F43" s="10"/>
      <c r="G43" s="15" t="str">
        <f t="shared" ca="1" si="0"/>
        <v>12/04/2018-17:12</v>
      </c>
      <c r="H43" s="15" t="str">
        <f t="shared" ca="1" si="0"/>
        <v>12/04/2018-17:12</v>
      </c>
      <c r="I43" s="6" t="s">
        <v>14</v>
      </c>
      <c r="J43" s="6"/>
    </row>
    <row r="44" spans="1:10" s="7" customFormat="1" ht="15.75" customHeight="1" x14ac:dyDescent="0.15">
      <c r="A44" s="6" t="s">
        <v>15</v>
      </c>
      <c r="B44" s="6" t="s">
        <v>16</v>
      </c>
      <c r="C44" s="4">
        <f t="shared" ca="1" si="10"/>
        <v>43438</v>
      </c>
      <c r="D44" s="18">
        <v>0.75069444444444444</v>
      </c>
      <c r="E44" s="5">
        <v>5</v>
      </c>
      <c r="F44" s="8"/>
      <c r="G44" s="15" t="str">
        <f t="shared" ca="1" si="0"/>
        <v>12/04/2018-18:01</v>
      </c>
      <c r="H44" s="15" t="str">
        <f t="shared" ca="1" si="0"/>
        <v>12/04/2018-18:01</v>
      </c>
      <c r="I44" s="6" t="s">
        <v>17</v>
      </c>
      <c r="J44" s="13" t="str">
        <f>'1 basal and 1 bolus plan'!G3</f>
        <v>f79d2dd6-a574-414d-aad9-859ac7c3e7b3</v>
      </c>
    </row>
    <row r="45" spans="1:10" s="7" customFormat="1" ht="15.75" customHeight="1" x14ac:dyDescent="0.15">
      <c r="A45" s="6" t="s">
        <v>15</v>
      </c>
      <c r="B45" s="6" t="s">
        <v>19</v>
      </c>
      <c r="C45" s="4">
        <f t="shared" ca="1" si="10"/>
        <v>43438</v>
      </c>
      <c r="D45" s="18">
        <v>0.90902777777777777</v>
      </c>
      <c r="E45" s="5">
        <v>20</v>
      </c>
      <c r="F45" s="8"/>
      <c r="G45" s="15" t="str">
        <f t="shared" ca="1" si="0"/>
        <v>12/04/2018-21:49</v>
      </c>
      <c r="H45" s="15" t="str">
        <f t="shared" ca="1" si="0"/>
        <v>12/04/2018-21:49</v>
      </c>
      <c r="I45" s="6" t="s">
        <v>17</v>
      </c>
      <c r="J45" s="14" t="str">
        <f>'1 basal and 1 bolus plan'!G4</f>
        <v>fd3eea4c-bcbb-4719-87b0-b9a2e7d4421f</v>
      </c>
    </row>
    <row r="46" spans="1:10" s="7" customFormat="1" ht="13" x14ac:dyDescent="0.15">
      <c r="A46" s="6" t="s">
        <v>13</v>
      </c>
      <c r="B46" s="6"/>
      <c r="C46" s="4">
        <f ca="1">DATE(YEAR($C$2),MONTH($C$2),DAY($C$2)+11)</f>
        <v>43439</v>
      </c>
      <c r="D46" s="19">
        <v>0.27152777777777776</v>
      </c>
      <c r="E46" s="5">
        <v>91</v>
      </c>
      <c r="F46" s="9"/>
      <c r="G46" s="15" t="str">
        <f t="shared" ca="1" si="0"/>
        <v>12/05/2018-06:31</v>
      </c>
      <c r="H46" s="15" t="str">
        <f t="shared" ca="1" si="0"/>
        <v>12/05/2018-06:31</v>
      </c>
      <c r="I46" s="6" t="s">
        <v>14</v>
      </c>
      <c r="J46" s="6"/>
    </row>
    <row r="47" spans="1:10" s="7" customFormat="1" ht="13" x14ac:dyDescent="0.15">
      <c r="A47" s="6" t="s">
        <v>18</v>
      </c>
      <c r="B47" s="6"/>
      <c r="C47" s="4">
        <f t="shared" ref="C47:C49" ca="1" si="11">DATE(YEAR($C$2),MONTH($C$2),DAY($C$2)+11)</f>
        <v>43439</v>
      </c>
      <c r="D47" s="18">
        <v>0.74722222222222223</v>
      </c>
      <c r="E47" s="5">
        <v>212</v>
      </c>
      <c r="F47" s="10"/>
      <c r="G47" s="15" t="str">
        <f t="shared" ca="1" si="0"/>
        <v>12/05/2018-17:56</v>
      </c>
      <c r="H47" s="15" t="str">
        <f t="shared" ca="1" si="0"/>
        <v>12/05/2018-17:56</v>
      </c>
      <c r="I47" s="6" t="s">
        <v>14</v>
      </c>
      <c r="J47" s="6"/>
    </row>
    <row r="48" spans="1:10" s="7" customFormat="1" ht="15.75" customHeight="1" x14ac:dyDescent="0.15">
      <c r="A48" s="6" t="s">
        <v>15</v>
      </c>
      <c r="B48" s="6" t="s">
        <v>16</v>
      </c>
      <c r="C48" s="4">
        <f t="shared" ca="1" si="11"/>
        <v>43439</v>
      </c>
      <c r="D48" s="18">
        <v>0.73819444444444438</v>
      </c>
      <c r="E48" s="5">
        <v>5</v>
      </c>
      <c r="F48" s="8"/>
      <c r="G48" s="15" t="str">
        <f t="shared" ca="1" si="0"/>
        <v>12/05/2018-17:43</v>
      </c>
      <c r="H48" s="15" t="str">
        <f t="shared" ca="1" si="0"/>
        <v>12/05/2018-17:43</v>
      </c>
      <c r="I48" s="6" t="s">
        <v>17</v>
      </c>
      <c r="J48" s="13" t="str">
        <f>'1 basal and 1 bolus plan'!G3</f>
        <v>f79d2dd6-a574-414d-aad9-859ac7c3e7b3</v>
      </c>
    </row>
    <row r="49" spans="1:10" s="7" customFormat="1" ht="15.75" customHeight="1" x14ac:dyDescent="0.15">
      <c r="A49" s="6" t="s">
        <v>15</v>
      </c>
      <c r="B49" s="6" t="s">
        <v>19</v>
      </c>
      <c r="C49" s="4">
        <f t="shared" ca="1" si="11"/>
        <v>43439</v>
      </c>
      <c r="D49" s="18">
        <v>0.91111111111111109</v>
      </c>
      <c r="E49" s="5">
        <v>20</v>
      </c>
      <c r="F49" s="8"/>
      <c r="G49" s="15" t="str">
        <f t="shared" ca="1" si="0"/>
        <v>12/05/2018-21:52</v>
      </c>
      <c r="H49" s="15" t="str">
        <f t="shared" ca="1" si="0"/>
        <v>12/05/2018-21:52</v>
      </c>
      <c r="I49" s="6" t="s">
        <v>17</v>
      </c>
      <c r="J49" s="14" t="str">
        <f>'1 basal and 1 bolus plan'!G4</f>
        <v>fd3eea4c-bcbb-4719-87b0-b9a2e7d4421f</v>
      </c>
    </row>
    <row r="50" spans="1:10" s="7" customFormat="1" ht="13" x14ac:dyDescent="0.15">
      <c r="A50" s="6" t="s">
        <v>13</v>
      </c>
      <c r="B50" s="6"/>
      <c r="C50" s="4">
        <f ca="1">DATE(YEAR($C$2),MONTH($C$2),DAY($C$2)+12)</f>
        <v>43440</v>
      </c>
      <c r="D50" s="19">
        <v>0.27083333333333331</v>
      </c>
      <c r="E50" s="5">
        <v>129</v>
      </c>
      <c r="F50" s="9"/>
      <c r="G50" s="15" t="str">
        <f t="shared" ca="1" si="0"/>
        <v>12/06/2018-06:30</v>
      </c>
      <c r="H50" s="15" t="str">
        <f t="shared" ca="1" si="0"/>
        <v>12/06/2018-06:30</v>
      </c>
      <c r="I50" s="6" t="s">
        <v>14</v>
      </c>
      <c r="J50" s="6"/>
    </row>
    <row r="51" spans="1:10" s="7" customFormat="1" ht="13" x14ac:dyDescent="0.15">
      <c r="A51" s="6" t="s">
        <v>18</v>
      </c>
      <c r="B51" s="6"/>
      <c r="C51" s="4">
        <f t="shared" ref="C51:C53" ca="1" si="12">DATE(YEAR($C$2),MONTH($C$2),DAY($C$2)+12)</f>
        <v>43440</v>
      </c>
      <c r="D51" s="18">
        <v>0.73055555555555562</v>
      </c>
      <c r="E51" s="5">
        <v>276</v>
      </c>
      <c r="F51" s="10"/>
      <c r="G51" s="15" t="str">
        <f t="shared" ca="1" si="0"/>
        <v>12/06/2018-17:32</v>
      </c>
      <c r="H51" s="15" t="str">
        <f t="shared" ca="1" si="0"/>
        <v>12/06/2018-17:32</v>
      </c>
      <c r="I51" s="6" t="s">
        <v>14</v>
      </c>
      <c r="J51" s="6"/>
    </row>
    <row r="52" spans="1:10" s="7" customFormat="1" ht="15.75" customHeight="1" x14ac:dyDescent="0.15">
      <c r="A52" s="6" t="s">
        <v>15</v>
      </c>
      <c r="B52" s="6" t="s">
        <v>16</v>
      </c>
      <c r="C52" s="4">
        <f t="shared" ca="1" si="12"/>
        <v>43440</v>
      </c>
      <c r="D52" s="18">
        <v>0.7104166666666667</v>
      </c>
      <c r="E52" s="5">
        <v>5</v>
      </c>
      <c r="F52" s="8"/>
      <c r="G52" s="15" t="str">
        <f t="shared" ca="1" si="0"/>
        <v>12/06/2018-17:03</v>
      </c>
      <c r="H52" s="15" t="str">
        <f t="shared" ca="1" si="0"/>
        <v>12/06/2018-17:03</v>
      </c>
      <c r="I52" s="6" t="s">
        <v>17</v>
      </c>
      <c r="J52" s="13" t="str">
        <f>'1 basal and 1 bolus plan'!G3</f>
        <v>f79d2dd6-a574-414d-aad9-859ac7c3e7b3</v>
      </c>
    </row>
    <row r="53" spans="1:10" s="7" customFormat="1" ht="15.75" customHeight="1" x14ac:dyDescent="0.15">
      <c r="A53" s="6" t="s">
        <v>15</v>
      </c>
      <c r="B53" s="6" t="s">
        <v>19</v>
      </c>
      <c r="C53" s="4">
        <f t="shared" ca="1" si="12"/>
        <v>43440</v>
      </c>
      <c r="D53" s="18">
        <v>0.91041666666666676</v>
      </c>
      <c r="E53" s="5">
        <v>20</v>
      </c>
      <c r="F53" s="8"/>
      <c r="G53" s="15" t="str">
        <f t="shared" ca="1" si="0"/>
        <v>12/06/2018-21:51</v>
      </c>
      <c r="H53" s="15" t="str">
        <f t="shared" ca="1" si="0"/>
        <v>12/06/2018-21:51</v>
      </c>
      <c r="I53" s="6" t="s">
        <v>17</v>
      </c>
      <c r="J53" s="14" t="str">
        <f>'1 basal and 1 bolus plan'!G4</f>
        <v>fd3eea4c-bcbb-4719-87b0-b9a2e7d4421f</v>
      </c>
    </row>
    <row r="54" spans="1:10" s="7" customFormat="1" ht="13" x14ac:dyDescent="0.15">
      <c r="A54" s="6" t="s">
        <v>13</v>
      </c>
      <c r="B54" s="6"/>
      <c r="C54" s="4">
        <f ca="1">DATE(YEAR($C$2),MONTH($C$2),DAY($C$2)+13)</f>
        <v>43441</v>
      </c>
      <c r="D54" s="19">
        <v>0.28333333333333333</v>
      </c>
      <c r="E54" s="5">
        <v>201</v>
      </c>
      <c r="F54" s="9"/>
      <c r="G54" s="15" t="str">
        <f t="shared" ca="1" si="0"/>
        <v>12/07/2018-06:48</v>
      </c>
      <c r="H54" s="15" t="str">
        <f t="shared" ca="1" si="0"/>
        <v>12/07/2018-06:48</v>
      </c>
      <c r="I54" s="6" t="s">
        <v>14</v>
      </c>
      <c r="J54" s="6"/>
    </row>
    <row r="55" spans="1:10" s="7" customFormat="1" ht="13" x14ac:dyDescent="0.15">
      <c r="A55" s="6" t="s">
        <v>18</v>
      </c>
      <c r="B55" s="6"/>
      <c r="C55" s="4">
        <f t="shared" ref="C55:C57" ca="1" si="13">DATE(YEAR($C$2),MONTH($C$2),DAY($C$2)+13)</f>
        <v>43441</v>
      </c>
      <c r="D55" s="18">
        <v>0.7416666666666667</v>
      </c>
      <c r="E55" s="5">
        <v>278</v>
      </c>
      <c r="F55" s="10"/>
      <c r="G55" s="15" t="str">
        <f t="shared" ca="1" si="0"/>
        <v>12/07/2018-17:48</v>
      </c>
      <c r="H55" s="15" t="str">
        <f t="shared" ca="1" si="0"/>
        <v>12/07/2018-17:48</v>
      </c>
      <c r="I55" s="6" t="s">
        <v>14</v>
      </c>
      <c r="J55" s="6"/>
    </row>
    <row r="56" spans="1:10" s="7" customFormat="1" ht="15.75" customHeight="1" x14ac:dyDescent="0.15">
      <c r="A56" s="6" t="s">
        <v>15</v>
      </c>
      <c r="B56" s="6" t="s">
        <v>16</v>
      </c>
      <c r="C56" s="4">
        <f t="shared" ca="1" si="13"/>
        <v>43441</v>
      </c>
      <c r="D56" s="18">
        <v>0.71597222222222223</v>
      </c>
      <c r="E56" s="5">
        <v>5</v>
      </c>
      <c r="F56" s="8"/>
      <c r="G56" s="15" t="str">
        <f t="shared" ca="1" si="0"/>
        <v>12/07/2018-17:11</v>
      </c>
      <c r="H56" s="15" t="str">
        <f t="shared" ca="1" si="0"/>
        <v>12/07/2018-17:11</v>
      </c>
      <c r="I56" s="6" t="s">
        <v>17</v>
      </c>
      <c r="J56" s="13" t="str">
        <f>'1 basal and 1 bolus plan'!G3</f>
        <v>f79d2dd6-a574-414d-aad9-859ac7c3e7b3</v>
      </c>
    </row>
    <row r="57" spans="1:10" s="7" customFormat="1" ht="15.75" customHeight="1" x14ac:dyDescent="0.15">
      <c r="A57" s="6" t="s">
        <v>15</v>
      </c>
      <c r="B57" s="6" t="s">
        <v>19</v>
      </c>
      <c r="C57" s="4">
        <f t="shared" ca="1" si="13"/>
        <v>43441</v>
      </c>
      <c r="D57" s="18">
        <v>0.90555555555555556</v>
      </c>
      <c r="E57" s="5">
        <v>20</v>
      </c>
      <c r="F57" s="8"/>
      <c r="G57" s="15" t="str">
        <f t="shared" ca="1" si="0"/>
        <v>12/07/2018-21:44</v>
      </c>
      <c r="H57" s="15" t="str">
        <f t="shared" ca="1" si="0"/>
        <v>12/07/2018-21:44</v>
      </c>
      <c r="I57" s="6" t="s">
        <v>17</v>
      </c>
      <c r="J57" s="14" t="str">
        <f>'1 basal and 1 bolus plan'!G4</f>
        <v>fd3eea4c-bcbb-4719-87b0-b9a2e7d4421f</v>
      </c>
    </row>
    <row r="58" spans="1:10" s="7" customFormat="1" ht="13" x14ac:dyDescent="0.15">
      <c r="A58" s="6" t="s">
        <v>13</v>
      </c>
      <c r="B58" s="6"/>
      <c r="C58" s="4">
        <f ca="1">DATE(YEAR($C$2),MONTH($C$2),DAY($C$2)+14)</f>
        <v>43442</v>
      </c>
      <c r="D58" s="19">
        <v>0.28541666666666665</v>
      </c>
      <c r="E58" s="5">
        <v>245</v>
      </c>
      <c r="F58" s="9"/>
      <c r="G58" s="15" t="str">
        <f t="shared" ca="1" si="0"/>
        <v>12/08/2018-06:51</v>
      </c>
      <c r="H58" s="15" t="str">
        <f t="shared" ca="1" si="0"/>
        <v>12/08/2018-06:51</v>
      </c>
      <c r="I58" s="6" t="s">
        <v>14</v>
      </c>
      <c r="J58" s="6"/>
    </row>
    <row r="59" spans="1:10" s="7" customFormat="1" ht="14" x14ac:dyDescent="0.15">
      <c r="A59" s="6" t="s">
        <v>18</v>
      </c>
      <c r="B59" s="6"/>
      <c r="C59" s="4">
        <f t="shared" ref="C59:C61" ca="1" si="14">DATE(YEAR($C$2),MONTH($C$2),DAY($C$2)+14)</f>
        <v>43442</v>
      </c>
      <c r="D59" s="18">
        <v>0.72430555555555554</v>
      </c>
      <c r="E59" s="5">
        <v>350</v>
      </c>
      <c r="F59" s="10" t="s">
        <v>22</v>
      </c>
      <c r="G59" s="15" t="str">
        <f t="shared" ca="1" si="0"/>
        <v>12/08/2018-17:23</v>
      </c>
      <c r="H59" s="15" t="str">
        <f t="shared" ca="1" si="0"/>
        <v>12/08/2018-17:23</v>
      </c>
      <c r="I59" s="6" t="s">
        <v>14</v>
      </c>
      <c r="J59" s="6"/>
    </row>
    <row r="60" spans="1:10" s="7" customFormat="1" ht="15.75" customHeight="1" x14ac:dyDescent="0.15">
      <c r="A60" s="6" t="s">
        <v>15</v>
      </c>
      <c r="B60" s="6" t="s">
        <v>16</v>
      </c>
      <c r="C60" s="4">
        <f t="shared" ca="1" si="14"/>
        <v>43442</v>
      </c>
      <c r="D60" s="18">
        <v>0.79236111111111107</v>
      </c>
      <c r="E60" s="5">
        <v>10</v>
      </c>
      <c r="F60" s="8"/>
      <c r="G60" s="15" t="str">
        <f t="shared" ca="1" si="0"/>
        <v>12/08/2018-19:01</v>
      </c>
      <c r="H60" s="15" t="str">
        <f t="shared" ca="1" si="0"/>
        <v>12/08/2018-19:01</v>
      </c>
      <c r="I60" s="6" t="s">
        <v>17</v>
      </c>
      <c r="J60" s="13" t="str">
        <f>'1 basal and 1 bolus plan'!G3</f>
        <v>f79d2dd6-a574-414d-aad9-859ac7c3e7b3</v>
      </c>
    </row>
    <row r="61" spans="1:10" s="7" customFormat="1" ht="15.75" customHeight="1" x14ac:dyDescent="0.15">
      <c r="A61" s="6" t="s">
        <v>15</v>
      </c>
      <c r="B61" s="6" t="s">
        <v>19</v>
      </c>
      <c r="C61" s="4">
        <f t="shared" ca="1" si="14"/>
        <v>43442</v>
      </c>
      <c r="D61" s="18">
        <v>0.90555555555555556</v>
      </c>
      <c r="E61" s="5">
        <v>20</v>
      </c>
      <c r="F61" s="8"/>
      <c r="G61" s="15" t="str">
        <f t="shared" ca="1" si="0"/>
        <v>12/08/2018-21:44</v>
      </c>
      <c r="H61" s="15" t="str">
        <f t="shared" ca="1" si="0"/>
        <v>12/08/2018-21:44</v>
      </c>
      <c r="I61" s="6" t="s">
        <v>17</v>
      </c>
      <c r="J61" s="14" t="str">
        <f>'1 basal and 1 bolus plan'!G4</f>
        <v>fd3eea4c-bcbb-4719-87b0-b9a2e7d4421f</v>
      </c>
    </row>
    <row r="62" spans="1:10" s="7" customFormat="1" ht="13" x14ac:dyDescent="0.15">
      <c r="A62" s="6" t="s">
        <v>13</v>
      </c>
      <c r="B62" s="6"/>
      <c r="C62" s="4">
        <f ca="1">DATE(YEAR($C$2),MONTH($C$2),DAY($C$2)+15)</f>
        <v>43443</v>
      </c>
      <c r="D62" s="19">
        <v>0.27083333333333331</v>
      </c>
      <c r="E62" s="5">
        <v>200</v>
      </c>
      <c r="F62" s="9"/>
      <c r="G62" s="15" t="str">
        <f t="shared" ca="1" si="0"/>
        <v>12/09/2018-06:30</v>
      </c>
      <c r="H62" s="15" t="str">
        <f t="shared" ca="1" si="0"/>
        <v>12/09/2018-06:30</v>
      </c>
      <c r="I62" s="6" t="s">
        <v>14</v>
      </c>
      <c r="J62" s="6"/>
    </row>
    <row r="63" spans="1:10" s="7" customFormat="1" ht="13" x14ac:dyDescent="0.15">
      <c r="A63" s="6" t="s">
        <v>18</v>
      </c>
      <c r="B63" s="6"/>
      <c r="C63" s="4">
        <f t="shared" ref="C63:C65" ca="1" si="15">DATE(YEAR($C$2),MONTH($C$2),DAY($C$2)+15)</f>
        <v>43443</v>
      </c>
      <c r="D63" s="18">
        <v>0.71666666666666667</v>
      </c>
      <c r="E63" s="5">
        <v>198</v>
      </c>
      <c r="F63" s="10"/>
      <c r="G63" s="15" t="str">
        <f t="shared" ca="1" si="0"/>
        <v>12/09/2018-17:12</v>
      </c>
      <c r="H63" s="15" t="str">
        <f t="shared" ca="1" si="0"/>
        <v>12/09/2018-17:12</v>
      </c>
      <c r="I63" s="6" t="s">
        <v>14</v>
      </c>
      <c r="J63" s="6"/>
    </row>
    <row r="64" spans="1:10" s="7" customFormat="1" ht="15.75" customHeight="1" x14ac:dyDescent="0.15">
      <c r="A64" s="6" t="s">
        <v>15</v>
      </c>
      <c r="B64" s="6" t="s">
        <v>16</v>
      </c>
      <c r="C64" s="4">
        <f t="shared" ca="1" si="15"/>
        <v>43443</v>
      </c>
      <c r="D64" s="18">
        <v>0.73958333333333337</v>
      </c>
      <c r="E64" s="5">
        <v>5</v>
      </c>
      <c r="F64" s="8"/>
      <c r="G64" s="15" t="str">
        <f t="shared" ca="1" si="0"/>
        <v>12/09/2018-17:45</v>
      </c>
      <c r="H64" s="15" t="str">
        <f t="shared" ca="1" si="0"/>
        <v>12/09/2018-17:45</v>
      </c>
      <c r="I64" s="6" t="s">
        <v>17</v>
      </c>
      <c r="J64" s="13" t="str">
        <f>'1 basal and 1 bolus plan'!G3</f>
        <v>f79d2dd6-a574-414d-aad9-859ac7c3e7b3</v>
      </c>
    </row>
    <row r="65" spans="1:10" s="7" customFormat="1" ht="15.75" customHeight="1" x14ac:dyDescent="0.15">
      <c r="A65" s="6" t="s">
        <v>15</v>
      </c>
      <c r="B65" s="6" t="s">
        <v>19</v>
      </c>
      <c r="C65" s="4">
        <f t="shared" ca="1" si="15"/>
        <v>43443</v>
      </c>
      <c r="D65" s="18">
        <v>0.89166666666666661</v>
      </c>
      <c r="E65" s="5">
        <v>20</v>
      </c>
      <c r="F65" s="8"/>
      <c r="G65" s="15" t="str">
        <f t="shared" ca="1" si="0"/>
        <v>12/09/2018-21:24</v>
      </c>
      <c r="H65" s="15" t="str">
        <f t="shared" ca="1" si="0"/>
        <v>12/09/2018-21:24</v>
      </c>
      <c r="I65" s="6" t="s">
        <v>17</v>
      </c>
      <c r="J65" s="14" t="str">
        <f>'1 basal and 1 bolus plan'!G4</f>
        <v>fd3eea4c-bcbb-4719-87b0-b9a2e7d4421f</v>
      </c>
    </row>
    <row r="66" spans="1:10" s="7" customFormat="1" ht="15.75" customHeight="1" x14ac:dyDescent="0.15">
      <c r="A66" s="6" t="s">
        <v>13</v>
      </c>
      <c r="B66" s="6"/>
      <c r="C66" s="4">
        <f ca="1">DATE(YEAR($C$2),MONTH($C$2),DAY($C$2)+16)</f>
        <v>43444</v>
      </c>
      <c r="D66" s="18">
        <v>0.27083333333333331</v>
      </c>
      <c r="E66" s="5">
        <v>110</v>
      </c>
      <c r="F66" s="8"/>
      <c r="G66" s="15" t="str">
        <f t="shared" ca="1" si="0"/>
        <v>12/10/2018-06:30</v>
      </c>
      <c r="H66" s="15" t="str">
        <f t="shared" ca="1" si="0"/>
        <v>12/10/2018-06:30</v>
      </c>
      <c r="I66" s="6" t="s">
        <v>14</v>
      </c>
      <c r="J66" s="6"/>
    </row>
    <row r="67" spans="1:10" s="7" customFormat="1" ht="15.75" customHeight="1" x14ac:dyDescent="0.15">
      <c r="A67" s="6" t="s">
        <v>18</v>
      </c>
      <c r="B67" s="6"/>
      <c r="C67" s="4">
        <f t="shared" ref="C67" ca="1" si="16">DATE(YEAR($C$2),MONTH($C$2),DAY($C$2)+16)</f>
        <v>43444</v>
      </c>
      <c r="D67" s="18">
        <v>0.70833333333333337</v>
      </c>
      <c r="E67" s="5">
        <v>164</v>
      </c>
      <c r="F67" s="8"/>
      <c r="G67" s="15" t="str">
        <f t="shared" ref="G67:H130" ca="1" si="17">TEXT(DATE(YEAR($C67),MONTH($C67),DAY($C67)),"mm/dd/yyyy")&amp;"-"&amp;TEXT($D67,  "hh:mm")</f>
        <v>12/10/2018-17:00</v>
      </c>
      <c r="H67" s="15" t="str">
        <f t="shared" ca="1" si="17"/>
        <v>12/10/2018-17:00</v>
      </c>
      <c r="I67" s="6" t="s">
        <v>14</v>
      </c>
      <c r="J67" s="6"/>
    </row>
    <row r="68" spans="1:10" s="7" customFormat="1" ht="15.75" customHeight="1" x14ac:dyDescent="0.15">
      <c r="A68" s="6" t="s">
        <v>15</v>
      </c>
      <c r="B68" s="6" t="s">
        <v>16</v>
      </c>
      <c r="C68" s="4">
        <f ca="1">DATE(YEAR($C$2),MONTH($C$2),DAY($C$2)+16)</f>
        <v>43444</v>
      </c>
      <c r="D68" s="18">
        <v>0.73958333333333337</v>
      </c>
      <c r="E68" s="5">
        <v>5</v>
      </c>
      <c r="F68" s="8"/>
      <c r="G68" s="15" t="str">
        <f t="shared" ca="1" si="17"/>
        <v>12/10/2018-17:45</v>
      </c>
      <c r="H68" s="15" t="str">
        <f t="shared" ca="1" si="17"/>
        <v>12/10/2018-17:45</v>
      </c>
      <c r="I68" s="6" t="s">
        <v>17</v>
      </c>
      <c r="J68" s="13" t="str">
        <f>'1 basal and 1 bolus plan'!G3</f>
        <v>f79d2dd6-a574-414d-aad9-859ac7c3e7b3</v>
      </c>
    </row>
    <row r="69" spans="1:10" s="7" customFormat="1" ht="15.75" customHeight="1" x14ac:dyDescent="0.15">
      <c r="A69" s="6" t="s">
        <v>15</v>
      </c>
      <c r="B69" s="6" t="s">
        <v>19</v>
      </c>
      <c r="C69" s="4">
        <f ca="1">DATE(YEAR($C$2),MONTH($C$2),DAY($C$2)+16)</f>
        <v>43444</v>
      </c>
      <c r="D69" s="18">
        <v>0.89583333333333337</v>
      </c>
      <c r="E69" s="5">
        <v>2</v>
      </c>
      <c r="F69" s="8"/>
      <c r="G69" s="15" t="str">
        <f t="shared" ca="1" si="17"/>
        <v>12/10/2018-21:30</v>
      </c>
      <c r="H69" s="15" t="str">
        <f t="shared" ca="1" si="17"/>
        <v>12/10/2018-21:30</v>
      </c>
      <c r="I69" s="6" t="s">
        <v>17</v>
      </c>
      <c r="J69" s="14" t="str">
        <f>'1 basal and 1 bolus plan'!G4</f>
        <v>fd3eea4c-bcbb-4719-87b0-b9a2e7d4421f</v>
      </c>
    </row>
    <row r="70" spans="1:10" s="7" customFormat="1" ht="13" x14ac:dyDescent="0.15">
      <c r="A70" s="6" t="s">
        <v>13</v>
      </c>
      <c r="B70" s="6"/>
      <c r="C70" s="4">
        <f ca="1">DATE(YEAR($C$2),MONTH($C$2),DAY($C$2)+17)</f>
        <v>43445</v>
      </c>
      <c r="D70" s="19">
        <v>0.28541666666666665</v>
      </c>
      <c r="E70" s="5">
        <v>245</v>
      </c>
      <c r="F70" s="9"/>
      <c r="G70" s="15" t="str">
        <f t="shared" ca="1" si="17"/>
        <v>12/11/2018-06:51</v>
      </c>
      <c r="H70" s="15" t="str">
        <f t="shared" ca="1" si="17"/>
        <v>12/11/2018-06:51</v>
      </c>
      <c r="I70" s="6" t="s">
        <v>14</v>
      </c>
      <c r="J70" s="6"/>
    </row>
    <row r="71" spans="1:10" s="7" customFormat="1" ht="28" x14ac:dyDescent="0.15">
      <c r="A71" s="6" t="s">
        <v>18</v>
      </c>
      <c r="B71" s="6"/>
      <c r="C71" s="4">
        <f t="shared" ref="C71:C74" ca="1" si="18">DATE(YEAR($C$2),MONTH($C$2),DAY($C$2)+17)</f>
        <v>43445</v>
      </c>
      <c r="D71" s="18">
        <v>0.72430555555555554</v>
      </c>
      <c r="E71" s="5">
        <v>350</v>
      </c>
      <c r="F71" s="10" t="s">
        <v>29</v>
      </c>
      <c r="G71" s="15" t="str">
        <f t="shared" ca="1" si="17"/>
        <v>12/11/2018-17:23</v>
      </c>
      <c r="H71" s="15" t="str">
        <f t="shared" ca="1" si="17"/>
        <v>12/11/2018-17:23</v>
      </c>
      <c r="I71" s="6" t="s">
        <v>14</v>
      </c>
      <c r="J71" s="6"/>
    </row>
    <row r="72" spans="1:10" s="7" customFormat="1" ht="15.75" customHeight="1" x14ac:dyDescent="0.15">
      <c r="A72" s="6" t="s">
        <v>15</v>
      </c>
      <c r="B72" s="6" t="s">
        <v>16</v>
      </c>
      <c r="C72" s="4">
        <f ca="1">DATE(YEAR($C$2),MONTH($C$2),DAY($C$2)+17)</f>
        <v>43445</v>
      </c>
      <c r="D72" s="18">
        <v>0.71597222222222223</v>
      </c>
      <c r="E72" s="5">
        <v>15</v>
      </c>
      <c r="F72" s="8"/>
      <c r="G72" s="15" t="str">
        <f t="shared" ca="1" si="17"/>
        <v>12/11/2018-17:11</v>
      </c>
      <c r="H72" s="15" t="str">
        <f t="shared" ca="1" si="17"/>
        <v>12/11/2018-17:11</v>
      </c>
      <c r="I72" s="6" t="s">
        <v>17</v>
      </c>
      <c r="J72" s="13" t="str">
        <f>'1 basal and 1 bolus plan'!G3</f>
        <v>f79d2dd6-a574-414d-aad9-859ac7c3e7b3</v>
      </c>
    </row>
    <row r="73" spans="1:10" s="7" customFormat="1" ht="15.75" customHeight="1" x14ac:dyDescent="0.15">
      <c r="A73" s="6" t="s">
        <v>15</v>
      </c>
      <c r="B73" s="6" t="s">
        <v>19</v>
      </c>
      <c r="C73" s="4">
        <f t="shared" ca="1" si="18"/>
        <v>43445</v>
      </c>
      <c r="D73" s="18">
        <v>0.89583333333333337</v>
      </c>
      <c r="E73" s="5">
        <v>2</v>
      </c>
      <c r="F73" s="8"/>
      <c r="G73" s="15" t="str">
        <f t="shared" ca="1" si="17"/>
        <v>12/11/2018-21:30</v>
      </c>
      <c r="H73" s="15" t="str">
        <f t="shared" ca="1" si="17"/>
        <v>12/11/2018-21:30</v>
      </c>
      <c r="I73" s="6" t="s">
        <v>17</v>
      </c>
      <c r="J73" s="14" t="str">
        <f>'1 basal and 1 bolus plan'!G4</f>
        <v>fd3eea4c-bcbb-4719-87b0-b9a2e7d4421f</v>
      </c>
    </row>
    <row r="74" spans="1:10" s="7" customFormat="1" ht="15.75" customHeight="1" x14ac:dyDescent="0.15">
      <c r="A74" s="6" t="s">
        <v>15</v>
      </c>
      <c r="B74" s="6" t="s">
        <v>19</v>
      </c>
      <c r="C74" s="4">
        <f t="shared" ca="1" si="18"/>
        <v>43445</v>
      </c>
      <c r="D74" s="18">
        <v>0.8965277777777777</v>
      </c>
      <c r="E74" s="5">
        <v>20</v>
      </c>
      <c r="F74" s="8"/>
      <c r="G74" s="15" t="str">
        <f t="shared" ca="1" si="17"/>
        <v>12/11/2018-21:31</v>
      </c>
      <c r="H74" s="15" t="str">
        <f t="shared" ca="1" si="17"/>
        <v>12/11/2018-21:31</v>
      </c>
      <c r="I74" s="6" t="s">
        <v>17</v>
      </c>
      <c r="J74" s="14" t="str">
        <f>'1 basal and 1 bolus plan'!G4</f>
        <v>fd3eea4c-bcbb-4719-87b0-b9a2e7d4421f</v>
      </c>
    </row>
    <row r="75" spans="1:10" s="7" customFormat="1" ht="15.75" customHeight="1" x14ac:dyDescent="0.15">
      <c r="A75" s="6" t="s">
        <v>13</v>
      </c>
      <c r="B75" s="6"/>
      <c r="C75" s="4">
        <f ca="1">DATE(YEAR($C$2),MONTH($C$2),DAY($C$2)+18)</f>
        <v>43446</v>
      </c>
      <c r="D75" s="18">
        <v>0.27430555555555552</v>
      </c>
      <c r="E75" s="5">
        <v>139</v>
      </c>
      <c r="F75" s="8"/>
      <c r="G75" s="15" t="str">
        <f t="shared" ca="1" si="17"/>
        <v>12/12/2018-06:35</v>
      </c>
      <c r="H75" s="15" t="str">
        <f t="shared" ca="1" si="17"/>
        <v>12/12/2018-06:35</v>
      </c>
      <c r="I75" s="6" t="s">
        <v>14</v>
      </c>
      <c r="J75" s="6"/>
    </row>
    <row r="76" spans="1:10" s="7" customFormat="1" ht="15.75" customHeight="1" x14ac:dyDescent="0.15">
      <c r="A76" s="6" t="s">
        <v>18</v>
      </c>
      <c r="B76" s="6"/>
      <c r="C76" s="4">
        <f t="shared" ref="C76:C78" ca="1" si="19">DATE(YEAR($C$2),MONTH($C$2),DAY($C$2)+18)</f>
        <v>43446</v>
      </c>
      <c r="D76" s="18">
        <v>0.71180555555555547</v>
      </c>
      <c r="E76" s="5">
        <v>186</v>
      </c>
      <c r="F76" s="8"/>
      <c r="G76" s="15" t="str">
        <f t="shared" ca="1" si="17"/>
        <v>12/12/2018-17:05</v>
      </c>
      <c r="H76" s="15" t="str">
        <f t="shared" ca="1" si="17"/>
        <v>12/12/2018-17:05</v>
      </c>
      <c r="I76" s="6" t="s">
        <v>14</v>
      </c>
      <c r="J76" s="6"/>
    </row>
    <row r="77" spans="1:10" s="7" customFormat="1" ht="15.75" customHeight="1" x14ac:dyDescent="0.15">
      <c r="A77" s="6" t="s">
        <v>15</v>
      </c>
      <c r="B77" s="6" t="s">
        <v>16</v>
      </c>
      <c r="C77" s="4">
        <f t="shared" ca="1" si="19"/>
        <v>43446</v>
      </c>
      <c r="D77" s="18">
        <v>0.77569444444444446</v>
      </c>
      <c r="E77" s="5">
        <v>5</v>
      </c>
      <c r="F77" s="8"/>
      <c r="G77" s="15" t="str">
        <f t="shared" ca="1" si="17"/>
        <v>12/12/2018-18:37</v>
      </c>
      <c r="H77" s="15" t="str">
        <f t="shared" ca="1" si="17"/>
        <v>12/12/2018-18:37</v>
      </c>
      <c r="I77" s="7" t="s">
        <v>17</v>
      </c>
      <c r="J77" s="13" t="str">
        <f>'1 basal and 1 bolus plan'!G3</f>
        <v>f79d2dd6-a574-414d-aad9-859ac7c3e7b3</v>
      </c>
    </row>
    <row r="78" spans="1:10" s="7" customFormat="1" ht="15.75" customHeight="1" x14ac:dyDescent="0.15">
      <c r="A78" s="6" t="s">
        <v>15</v>
      </c>
      <c r="B78" s="6" t="s">
        <v>19</v>
      </c>
      <c r="C78" s="4">
        <f t="shared" ca="1" si="19"/>
        <v>43446</v>
      </c>
      <c r="D78" s="18">
        <v>0.90069444444444446</v>
      </c>
      <c r="E78" s="5">
        <v>20</v>
      </c>
      <c r="F78" s="8"/>
      <c r="G78" s="15" t="str">
        <f t="shared" ca="1" si="17"/>
        <v>12/12/2018-21:37</v>
      </c>
      <c r="H78" s="15" t="str">
        <f t="shared" ca="1" si="17"/>
        <v>12/12/2018-21:37</v>
      </c>
      <c r="I78" s="6" t="s">
        <v>17</v>
      </c>
      <c r="J78" s="14" t="str">
        <f>'1 basal and 1 bolus plan'!G4</f>
        <v>fd3eea4c-bcbb-4719-87b0-b9a2e7d4421f</v>
      </c>
    </row>
    <row r="79" spans="1:10" s="7" customFormat="1" ht="15.75" customHeight="1" x14ac:dyDescent="0.15">
      <c r="A79" s="6" t="s">
        <v>13</v>
      </c>
      <c r="B79" s="6"/>
      <c r="C79" s="4">
        <f ca="1">DATE(YEAR($C$2),MONTH($C$2),DAY($C$2)+19)</f>
        <v>43447</v>
      </c>
      <c r="D79" s="18">
        <v>0.25694444444444442</v>
      </c>
      <c r="E79" s="5">
        <v>91</v>
      </c>
      <c r="F79" s="8"/>
      <c r="G79" s="15" t="str">
        <f t="shared" ca="1" si="17"/>
        <v>12/13/2018-06:10</v>
      </c>
      <c r="H79" s="15" t="str">
        <f t="shared" ca="1" si="17"/>
        <v>12/13/2018-06:10</v>
      </c>
      <c r="I79" s="6" t="s">
        <v>14</v>
      </c>
      <c r="J79" s="6"/>
    </row>
    <row r="80" spans="1:10" s="7" customFormat="1" ht="15.75" customHeight="1" x14ac:dyDescent="0.15">
      <c r="A80" s="6" t="s">
        <v>18</v>
      </c>
      <c r="B80" s="6"/>
      <c r="C80" s="4">
        <f t="shared" ref="C80:C82" ca="1" si="20">DATE(YEAR($C$2),MONTH($C$2),DAY($C$2)+19)</f>
        <v>43447</v>
      </c>
      <c r="D80" s="18">
        <v>0.71805555555555556</v>
      </c>
      <c r="E80" s="5">
        <v>221</v>
      </c>
      <c r="F80" s="8"/>
      <c r="G80" s="15" t="str">
        <f t="shared" ca="1" si="17"/>
        <v>12/13/2018-17:14</v>
      </c>
      <c r="H80" s="15" t="str">
        <f t="shared" ca="1" si="17"/>
        <v>12/13/2018-17:14</v>
      </c>
      <c r="I80" s="6" t="s">
        <v>14</v>
      </c>
      <c r="J80" s="6"/>
    </row>
    <row r="81" spans="1:10" s="7" customFormat="1" ht="15.75" customHeight="1" x14ac:dyDescent="0.15">
      <c r="A81" s="6" t="s">
        <v>15</v>
      </c>
      <c r="B81" s="6" t="s">
        <v>16</v>
      </c>
      <c r="C81" s="4">
        <f t="shared" ca="1" si="20"/>
        <v>43447</v>
      </c>
      <c r="D81" s="18">
        <v>0.74513888888888891</v>
      </c>
      <c r="E81" s="5">
        <v>5</v>
      </c>
      <c r="F81" s="8"/>
      <c r="G81" s="15" t="str">
        <f t="shared" ca="1" si="17"/>
        <v>12/13/2018-17:53</v>
      </c>
      <c r="H81" s="15" t="str">
        <f t="shared" ca="1" si="17"/>
        <v>12/13/2018-17:53</v>
      </c>
      <c r="I81" s="6" t="s">
        <v>17</v>
      </c>
      <c r="J81" s="13" t="str">
        <f>'1 basal and 1 bolus plan'!G3</f>
        <v>f79d2dd6-a574-414d-aad9-859ac7c3e7b3</v>
      </c>
    </row>
    <row r="82" spans="1:10" s="7" customFormat="1" ht="15.75" customHeight="1" x14ac:dyDescent="0.15">
      <c r="A82" s="6" t="s">
        <v>15</v>
      </c>
      <c r="B82" s="6" t="s">
        <v>19</v>
      </c>
      <c r="C82" s="4">
        <f t="shared" ca="1" si="20"/>
        <v>43447</v>
      </c>
      <c r="D82" s="18">
        <v>0.88888888888888884</v>
      </c>
      <c r="E82" s="5">
        <v>20</v>
      </c>
      <c r="F82" s="8"/>
      <c r="G82" s="15" t="str">
        <f t="shared" ca="1" si="17"/>
        <v>12/13/2018-21:20</v>
      </c>
      <c r="H82" s="15" t="str">
        <f t="shared" ca="1" si="17"/>
        <v>12/13/2018-21:20</v>
      </c>
      <c r="I82" s="6" t="s">
        <v>17</v>
      </c>
      <c r="J82" s="14" t="str">
        <f>'1 basal and 1 bolus plan'!G4</f>
        <v>fd3eea4c-bcbb-4719-87b0-b9a2e7d4421f</v>
      </c>
    </row>
    <row r="83" spans="1:10" s="7" customFormat="1" ht="15.75" customHeight="1" x14ac:dyDescent="0.15">
      <c r="A83" s="6" t="s">
        <v>13</v>
      </c>
      <c r="B83" s="6"/>
      <c r="C83" s="4">
        <f ca="1">DATE(YEAR($C$2),MONTH($C$2),DAY($C$2)+20)</f>
        <v>43448</v>
      </c>
      <c r="D83" s="18">
        <v>0.27361111111111108</v>
      </c>
      <c r="E83" s="5">
        <v>69</v>
      </c>
      <c r="F83" s="8"/>
      <c r="G83" s="15" t="str">
        <f t="shared" ca="1" si="17"/>
        <v>12/14/2018-06:34</v>
      </c>
      <c r="H83" s="15" t="str">
        <f t="shared" ca="1" si="17"/>
        <v>12/14/2018-06:34</v>
      </c>
      <c r="I83" s="6" t="s">
        <v>14</v>
      </c>
      <c r="J83" s="6"/>
    </row>
    <row r="84" spans="1:10" s="7" customFormat="1" ht="15.75" customHeight="1" x14ac:dyDescent="0.15">
      <c r="A84" s="6" t="s">
        <v>18</v>
      </c>
      <c r="B84" s="6"/>
      <c r="C84" s="4">
        <f t="shared" ref="C84:C86" ca="1" si="21">DATE(YEAR($C$2),MONTH($C$2),DAY($C$2)+20)</f>
        <v>43448</v>
      </c>
      <c r="D84" s="18">
        <v>0.74305555555555547</v>
      </c>
      <c r="E84" s="5">
        <v>173</v>
      </c>
      <c r="F84" s="8"/>
      <c r="G84" s="15" t="str">
        <f t="shared" ca="1" si="17"/>
        <v>12/14/2018-17:50</v>
      </c>
      <c r="H84" s="15" t="str">
        <f t="shared" ca="1" si="17"/>
        <v>12/14/2018-17:50</v>
      </c>
      <c r="I84" s="6" t="s">
        <v>14</v>
      </c>
      <c r="J84" s="6"/>
    </row>
    <row r="85" spans="1:10" s="7" customFormat="1" ht="15.75" customHeight="1" x14ac:dyDescent="0.15">
      <c r="A85" s="6" t="s">
        <v>15</v>
      </c>
      <c r="B85" s="6" t="s">
        <v>16</v>
      </c>
      <c r="C85" s="4">
        <f t="shared" ca="1" si="21"/>
        <v>43448</v>
      </c>
      <c r="D85" s="18">
        <v>0.75624999999999998</v>
      </c>
      <c r="E85" s="5">
        <v>5</v>
      </c>
      <c r="F85" s="8"/>
      <c r="G85" s="15" t="str">
        <f t="shared" ca="1" si="17"/>
        <v>12/14/2018-18:09</v>
      </c>
      <c r="H85" s="15" t="str">
        <f t="shared" ca="1" si="17"/>
        <v>12/14/2018-18:09</v>
      </c>
      <c r="I85" s="6" t="s">
        <v>17</v>
      </c>
      <c r="J85" s="13" t="str">
        <f>'1 basal and 1 bolus plan'!G3</f>
        <v>f79d2dd6-a574-414d-aad9-859ac7c3e7b3</v>
      </c>
    </row>
    <row r="86" spans="1:10" s="7" customFormat="1" ht="15.75" customHeight="1" x14ac:dyDescent="0.15">
      <c r="A86" s="6" t="s">
        <v>15</v>
      </c>
      <c r="B86" s="6" t="s">
        <v>19</v>
      </c>
      <c r="C86" s="4">
        <f t="shared" ca="1" si="21"/>
        <v>43448</v>
      </c>
      <c r="D86" s="18">
        <v>0.8979166666666667</v>
      </c>
      <c r="E86" s="5">
        <v>21</v>
      </c>
      <c r="F86" s="8"/>
      <c r="G86" s="15" t="str">
        <f t="shared" ca="1" si="17"/>
        <v>12/14/2018-21:33</v>
      </c>
      <c r="H86" s="15" t="str">
        <f t="shared" ca="1" si="17"/>
        <v>12/14/2018-21:33</v>
      </c>
      <c r="I86" s="6" t="s">
        <v>17</v>
      </c>
      <c r="J86" s="14" t="str">
        <f>'1 basal and 1 bolus plan'!G4</f>
        <v>fd3eea4c-bcbb-4719-87b0-b9a2e7d4421f</v>
      </c>
    </row>
    <row r="87" spans="1:10" s="7" customFormat="1" ht="15.75" customHeight="1" x14ac:dyDescent="0.15">
      <c r="A87" s="6" t="s">
        <v>13</v>
      </c>
      <c r="B87" s="6"/>
      <c r="C87" s="4">
        <f ca="1">DATE(YEAR($C$2),MONTH($C$2),DAY($C$2)+21)</f>
        <v>43449</v>
      </c>
      <c r="D87" s="18">
        <v>0.27083333333333331</v>
      </c>
      <c r="E87" s="5">
        <v>74</v>
      </c>
      <c r="F87" s="8"/>
      <c r="G87" s="15" t="str">
        <f t="shared" ca="1" si="17"/>
        <v>12/15/2018-06:30</v>
      </c>
      <c r="H87" s="15" t="str">
        <f t="shared" ca="1" si="17"/>
        <v>12/15/2018-06:30</v>
      </c>
      <c r="I87" s="6" t="s">
        <v>14</v>
      </c>
      <c r="J87" s="6"/>
    </row>
    <row r="88" spans="1:10" s="7" customFormat="1" ht="15.75" customHeight="1" x14ac:dyDescent="0.15">
      <c r="A88" s="6" t="s">
        <v>18</v>
      </c>
      <c r="B88" s="6"/>
      <c r="C88" s="4">
        <f t="shared" ref="C88:C90" ca="1" si="22">DATE(YEAR($C$2),MONTH($C$2),DAY($C$2)+21)</f>
        <v>43449</v>
      </c>
      <c r="D88" s="18">
        <v>0.74097222222222225</v>
      </c>
      <c r="E88" s="5">
        <v>123</v>
      </c>
      <c r="F88" s="8"/>
      <c r="G88" s="15" t="str">
        <f t="shared" ca="1" si="17"/>
        <v>12/15/2018-17:47</v>
      </c>
      <c r="H88" s="15" t="str">
        <f t="shared" ca="1" si="17"/>
        <v>12/15/2018-17:47</v>
      </c>
      <c r="I88" s="6" t="s">
        <v>14</v>
      </c>
      <c r="J88" s="6"/>
    </row>
    <row r="89" spans="1:10" s="7" customFormat="1" ht="15.75" customHeight="1" x14ac:dyDescent="0.15">
      <c r="A89" s="6" t="s">
        <v>15</v>
      </c>
      <c r="B89" s="6" t="s">
        <v>16</v>
      </c>
      <c r="C89" s="4">
        <f t="shared" ca="1" si="22"/>
        <v>43449</v>
      </c>
      <c r="D89" s="18">
        <v>0.7583333333333333</v>
      </c>
      <c r="E89" s="5">
        <v>5</v>
      </c>
      <c r="F89" s="8"/>
      <c r="G89" s="15" t="str">
        <f t="shared" ca="1" si="17"/>
        <v>12/15/2018-18:12</v>
      </c>
      <c r="H89" s="15" t="str">
        <f t="shared" ca="1" si="17"/>
        <v>12/15/2018-18:12</v>
      </c>
      <c r="I89" s="6" t="s">
        <v>17</v>
      </c>
      <c r="J89" s="13" t="str">
        <f>'1 basal and 1 bolus plan'!G3</f>
        <v>f79d2dd6-a574-414d-aad9-859ac7c3e7b3</v>
      </c>
    </row>
    <row r="90" spans="1:10" s="7" customFormat="1" ht="15.75" customHeight="1" x14ac:dyDescent="0.15">
      <c r="A90" s="6" t="s">
        <v>15</v>
      </c>
      <c r="B90" s="6" t="s">
        <v>19</v>
      </c>
      <c r="C90" s="4">
        <f t="shared" ca="1" si="22"/>
        <v>43449</v>
      </c>
      <c r="D90" s="18">
        <v>0.8979166666666667</v>
      </c>
      <c r="E90" s="5">
        <v>20</v>
      </c>
      <c r="F90" s="8"/>
      <c r="G90" s="15" t="str">
        <f t="shared" ca="1" si="17"/>
        <v>12/15/2018-21:33</v>
      </c>
      <c r="H90" s="15" t="str">
        <f t="shared" ca="1" si="17"/>
        <v>12/15/2018-21:33</v>
      </c>
      <c r="I90" s="6" t="s">
        <v>17</v>
      </c>
      <c r="J90" s="14" t="str">
        <f>'1 basal and 1 bolus plan'!G4</f>
        <v>fd3eea4c-bcbb-4719-87b0-b9a2e7d4421f</v>
      </c>
    </row>
    <row r="91" spans="1:10" s="7" customFormat="1" ht="15.75" customHeight="1" x14ac:dyDescent="0.15">
      <c r="A91" s="6" t="s">
        <v>13</v>
      </c>
      <c r="B91" s="6"/>
      <c r="C91" s="4">
        <f ca="1">DATE(YEAR($C$2),MONTH($C$2),DAY($C$2)+22)</f>
        <v>43450</v>
      </c>
      <c r="D91" s="18">
        <v>0.27083333333333331</v>
      </c>
      <c r="E91" s="5">
        <v>112</v>
      </c>
      <c r="F91" s="8"/>
      <c r="G91" s="15" t="str">
        <f t="shared" ca="1" si="17"/>
        <v>12/16/2018-06:30</v>
      </c>
      <c r="H91" s="15" t="str">
        <f t="shared" ca="1" si="17"/>
        <v>12/16/2018-06:30</v>
      </c>
      <c r="I91" s="6" t="s">
        <v>14</v>
      </c>
      <c r="J91" s="6"/>
    </row>
    <row r="92" spans="1:10" s="7" customFormat="1" ht="15.75" customHeight="1" x14ac:dyDescent="0.15">
      <c r="A92" s="6" t="s">
        <v>18</v>
      </c>
      <c r="B92" s="6"/>
      <c r="C92" s="4">
        <f t="shared" ref="C92:C94" ca="1" si="23">DATE(YEAR($C$2),MONTH($C$2),DAY($C$2)+22)</f>
        <v>43450</v>
      </c>
      <c r="D92" s="18">
        <v>0.74097222222222225</v>
      </c>
      <c r="E92" s="5">
        <v>83</v>
      </c>
      <c r="F92" s="8"/>
      <c r="G92" s="15" t="str">
        <f t="shared" ca="1" si="17"/>
        <v>12/16/2018-17:47</v>
      </c>
      <c r="H92" s="15" t="str">
        <f t="shared" ca="1" si="17"/>
        <v>12/16/2018-17:47</v>
      </c>
      <c r="I92" s="6" t="s">
        <v>14</v>
      </c>
      <c r="J92" s="6"/>
    </row>
    <row r="93" spans="1:10" s="7" customFormat="1" ht="15.75" customHeight="1" x14ac:dyDescent="0.15">
      <c r="A93" s="6" t="s">
        <v>15</v>
      </c>
      <c r="B93" s="6" t="s">
        <v>16</v>
      </c>
      <c r="C93" s="4">
        <f t="shared" ca="1" si="23"/>
        <v>43450</v>
      </c>
      <c r="D93" s="18">
        <v>0.75624999999999998</v>
      </c>
      <c r="E93" s="5">
        <v>5</v>
      </c>
      <c r="F93" s="8"/>
      <c r="G93" s="15" t="str">
        <f t="shared" ca="1" si="17"/>
        <v>12/16/2018-18:09</v>
      </c>
      <c r="H93" s="15" t="str">
        <f t="shared" ca="1" si="17"/>
        <v>12/16/2018-18:09</v>
      </c>
      <c r="I93" s="6" t="s">
        <v>17</v>
      </c>
      <c r="J93" s="13" t="str">
        <f>'1 basal and 1 bolus plan'!G3</f>
        <v>f79d2dd6-a574-414d-aad9-859ac7c3e7b3</v>
      </c>
    </row>
    <row r="94" spans="1:10" s="7" customFormat="1" ht="15.75" customHeight="1" x14ac:dyDescent="0.15">
      <c r="A94" s="6" t="s">
        <v>15</v>
      </c>
      <c r="B94" s="6" t="s">
        <v>19</v>
      </c>
      <c r="C94" s="4">
        <f t="shared" ca="1" si="23"/>
        <v>43450</v>
      </c>
      <c r="D94" s="18">
        <v>0.88958333333333339</v>
      </c>
      <c r="E94" s="5">
        <v>20</v>
      </c>
      <c r="F94" s="8"/>
      <c r="G94" s="15" t="str">
        <f t="shared" ca="1" si="17"/>
        <v>12/16/2018-21:21</v>
      </c>
      <c r="H94" s="15" t="str">
        <f t="shared" ca="1" si="17"/>
        <v>12/16/2018-21:21</v>
      </c>
      <c r="I94" s="6" t="s">
        <v>17</v>
      </c>
      <c r="J94" s="14" t="str">
        <f>'1 basal and 1 bolus plan'!G4</f>
        <v>fd3eea4c-bcbb-4719-87b0-b9a2e7d4421f</v>
      </c>
    </row>
    <row r="95" spans="1:10" s="7" customFormat="1" ht="15.75" customHeight="1" x14ac:dyDescent="0.15">
      <c r="A95" s="6" t="s">
        <v>13</v>
      </c>
      <c r="B95" s="6"/>
      <c r="C95" s="4">
        <f ca="1">DATE(YEAR($C$2),MONTH($C$2),DAY($C$2)+23)</f>
        <v>43451</v>
      </c>
      <c r="D95" s="18">
        <v>0.28541666666666665</v>
      </c>
      <c r="E95" s="5">
        <v>67</v>
      </c>
      <c r="F95" s="8"/>
      <c r="G95" s="15" t="str">
        <f t="shared" ca="1" si="17"/>
        <v>12/17/2018-06:51</v>
      </c>
      <c r="H95" s="15" t="str">
        <f t="shared" ca="1" si="17"/>
        <v>12/17/2018-06:51</v>
      </c>
      <c r="I95" s="6" t="s">
        <v>14</v>
      </c>
      <c r="J95" s="6"/>
    </row>
    <row r="96" spans="1:10" s="7" customFormat="1" ht="15.75" customHeight="1" x14ac:dyDescent="0.15">
      <c r="A96" s="6" t="s">
        <v>18</v>
      </c>
      <c r="B96" s="6"/>
      <c r="C96" s="4">
        <f t="shared" ref="C96:C98" ca="1" si="24">DATE(YEAR($C$2),MONTH($C$2),DAY($C$2)+23)</f>
        <v>43451</v>
      </c>
      <c r="D96" s="18">
        <v>0.74097222222222225</v>
      </c>
      <c r="E96" s="5">
        <v>152</v>
      </c>
      <c r="F96" s="8"/>
      <c r="G96" s="15" t="str">
        <f t="shared" ca="1" si="17"/>
        <v>12/17/2018-17:47</v>
      </c>
      <c r="H96" s="15" t="str">
        <f t="shared" ca="1" si="17"/>
        <v>12/17/2018-17:47</v>
      </c>
      <c r="I96" s="6" t="s">
        <v>14</v>
      </c>
      <c r="J96" s="6"/>
    </row>
    <row r="97" spans="1:10" s="7" customFormat="1" ht="15.75" customHeight="1" x14ac:dyDescent="0.15">
      <c r="A97" s="6" t="s">
        <v>15</v>
      </c>
      <c r="B97" s="6" t="s">
        <v>16</v>
      </c>
      <c r="C97" s="4">
        <f t="shared" ca="1" si="24"/>
        <v>43451</v>
      </c>
      <c r="D97" s="18">
        <v>0.75624999999999998</v>
      </c>
      <c r="E97" s="5">
        <v>6</v>
      </c>
      <c r="F97" s="8"/>
      <c r="G97" s="15" t="str">
        <f t="shared" ca="1" si="17"/>
        <v>12/17/2018-18:09</v>
      </c>
      <c r="H97" s="15" t="str">
        <f t="shared" ca="1" si="17"/>
        <v>12/17/2018-18:09</v>
      </c>
      <c r="I97" s="6" t="s">
        <v>17</v>
      </c>
      <c r="J97" s="13" t="str">
        <f>'1 basal and 1 bolus plan'!G3</f>
        <v>f79d2dd6-a574-414d-aad9-859ac7c3e7b3</v>
      </c>
    </row>
    <row r="98" spans="1:10" s="7" customFormat="1" ht="15.75" customHeight="1" x14ac:dyDescent="0.15">
      <c r="A98" s="6" t="s">
        <v>15</v>
      </c>
      <c r="B98" s="6" t="s">
        <v>19</v>
      </c>
      <c r="C98" s="4">
        <f t="shared" ca="1" si="24"/>
        <v>43451</v>
      </c>
      <c r="D98" s="18">
        <v>0.88958333333333339</v>
      </c>
      <c r="E98" s="5">
        <v>23</v>
      </c>
      <c r="F98" s="8"/>
      <c r="G98" s="15" t="str">
        <f t="shared" ca="1" si="17"/>
        <v>12/17/2018-21:21</v>
      </c>
      <c r="H98" s="15" t="str">
        <f t="shared" ca="1" si="17"/>
        <v>12/17/2018-21:21</v>
      </c>
      <c r="I98" s="6" t="s">
        <v>17</v>
      </c>
      <c r="J98" s="14" t="str">
        <f>'1 basal and 1 bolus plan'!G4</f>
        <v>fd3eea4c-bcbb-4719-87b0-b9a2e7d4421f</v>
      </c>
    </row>
    <row r="99" spans="1:10" s="7" customFormat="1" ht="15.75" customHeight="1" x14ac:dyDescent="0.15">
      <c r="A99" s="6" t="s">
        <v>13</v>
      </c>
      <c r="B99" s="6"/>
      <c r="C99" s="4">
        <f ca="1">DATE(YEAR($C$2),MONTH($C$2),DAY($C$2)+24)</f>
        <v>43452</v>
      </c>
      <c r="D99" s="18">
        <v>0.27083333333333331</v>
      </c>
      <c r="E99" s="5">
        <v>72</v>
      </c>
      <c r="F99" s="8"/>
      <c r="G99" s="15" t="str">
        <f t="shared" ca="1" si="17"/>
        <v>12/18/2018-06:30</v>
      </c>
      <c r="H99" s="15" t="str">
        <f t="shared" ca="1" si="17"/>
        <v>12/18/2018-06:30</v>
      </c>
      <c r="I99" s="6" t="s">
        <v>14</v>
      </c>
      <c r="J99" s="6"/>
    </row>
    <row r="100" spans="1:10" s="7" customFormat="1" ht="15.75" customHeight="1" x14ac:dyDescent="0.15">
      <c r="A100" s="6" t="s">
        <v>18</v>
      </c>
      <c r="B100" s="6"/>
      <c r="C100" s="4">
        <f t="shared" ref="C100:C102" ca="1" si="25">DATE(YEAR($C$2),MONTH($C$2),DAY($C$2)+24)</f>
        <v>43452</v>
      </c>
      <c r="D100" s="18">
        <v>0.70833333333333337</v>
      </c>
      <c r="E100" s="5">
        <v>132</v>
      </c>
      <c r="F100" s="8"/>
      <c r="G100" s="15" t="str">
        <f t="shared" ca="1" si="17"/>
        <v>12/18/2018-17:00</v>
      </c>
      <c r="H100" s="15" t="str">
        <f t="shared" ca="1" si="17"/>
        <v>12/18/2018-17:00</v>
      </c>
      <c r="I100" s="6" t="s">
        <v>14</v>
      </c>
      <c r="J100" s="6"/>
    </row>
    <row r="101" spans="1:10" s="7" customFormat="1" ht="15.75" customHeight="1" x14ac:dyDescent="0.15">
      <c r="A101" s="6" t="s">
        <v>15</v>
      </c>
      <c r="B101" s="6" t="s">
        <v>16</v>
      </c>
      <c r="C101" s="4">
        <f t="shared" ca="1" si="25"/>
        <v>43452</v>
      </c>
      <c r="D101" s="18">
        <v>0.73958333333333337</v>
      </c>
      <c r="E101" s="5">
        <v>5</v>
      </c>
      <c r="F101" s="8"/>
      <c r="G101" s="15" t="str">
        <f t="shared" ca="1" si="17"/>
        <v>12/18/2018-17:45</v>
      </c>
      <c r="H101" s="15" t="str">
        <f t="shared" ca="1" si="17"/>
        <v>12/18/2018-17:45</v>
      </c>
      <c r="I101" s="6" t="s">
        <v>17</v>
      </c>
      <c r="J101" s="13" t="str">
        <f>'1 basal and 1 bolus plan'!G3</f>
        <v>f79d2dd6-a574-414d-aad9-859ac7c3e7b3</v>
      </c>
    </row>
    <row r="102" spans="1:10" s="7" customFormat="1" ht="15.75" customHeight="1" x14ac:dyDescent="0.15">
      <c r="A102" s="6" t="s">
        <v>15</v>
      </c>
      <c r="B102" s="6" t="s">
        <v>19</v>
      </c>
      <c r="C102" s="4">
        <f t="shared" ca="1" si="25"/>
        <v>43452</v>
      </c>
      <c r="D102" s="18">
        <v>0.88958333333333339</v>
      </c>
      <c r="E102" s="5">
        <v>20</v>
      </c>
      <c r="F102" s="8"/>
      <c r="G102" s="15" t="str">
        <f t="shared" ca="1" si="17"/>
        <v>12/18/2018-21:21</v>
      </c>
      <c r="H102" s="15" t="str">
        <f t="shared" ca="1" si="17"/>
        <v>12/18/2018-21:21</v>
      </c>
      <c r="I102" s="6" t="s">
        <v>17</v>
      </c>
      <c r="J102" s="14" t="str">
        <f>'1 basal and 1 bolus plan'!G4</f>
        <v>fd3eea4c-bcbb-4719-87b0-b9a2e7d4421f</v>
      </c>
    </row>
    <row r="103" spans="1:10" s="7" customFormat="1" ht="13" x14ac:dyDescent="0.15">
      <c r="A103" s="6" t="s">
        <v>13</v>
      </c>
      <c r="B103" s="6"/>
      <c r="C103" s="4">
        <f ca="1">DATE(YEAR($C$2),MONTH($C$2),DAY($C$2)+25)</f>
        <v>43453</v>
      </c>
      <c r="D103" s="19">
        <v>0.34791666666666665</v>
      </c>
      <c r="E103" s="5">
        <v>86</v>
      </c>
      <c r="F103" s="9"/>
      <c r="G103" s="15" t="str">
        <f t="shared" ca="1" si="17"/>
        <v>12/19/2018-08:21</v>
      </c>
      <c r="H103" s="15" t="str">
        <f t="shared" ca="1" si="17"/>
        <v>12/19/2018-08:21</v>
      </c>
      <c r="I103" s="6" t="s">
        <v>14</v>
      </c>
      <c r="J103" s="6"/>
    </row>
    <row r="104" spans="1:10" s="7" customFormat="1" ht="13" x14ac:dyDescent="0.15">
      <c r="A104" s="6" t="s">
        <v>18</v>
      </c>
      <c r="B104" s="6"/>
      <c r="C104" s="4">
        <f t="shared" ref="C104:C106" ca="1" si="26">DATE(YEAR($C$2),MONTH($C$2),DAY($C$2)+25)</f>
        <v>43453</v>
      </c>
      <c r="D104" s="18">
        <v>0.71736111111111101</v>
      </c>
      <c r="E104" s="5">
        <v>210</v>
      </c>
      <c r="F104" s="10"/>
      <c r="G104" s="15" t="str">
        <f t="shared" ca="1" si="17"/>
        <v>12/19/2018-17:13</v>
      </c>
      <c r="H104" s="15" t="str">
        <f t="shared" ca="1" si="17"/>
        <v>12/19/2018-17:13</v>
      </c>
      <c r="I104" s="6" t="s">
        <v>14</v>
      </c>
      <c r="J104" s="6"/>
    </row>
    <row r="105" spans="1:10" s="7" customFormat="1" ht="15.75" customHeight="1" x14ac:dyDescent="0.15">
      <c r="A105" s="6" t="s">
        <v>15</v>
      </c>
      <c r="B105" s="6" t="s">
        <v>16</v>
      </c>
      <c r="C105" s="4">
        <f t="shared" ca="1" si="26"/>
        <v>43453</v>
      </c>
      <c r="D105" s="18">
        <v>0.73958333333333337</v>
      </c>
      <c r="E105" s="5">
        <v>10</v>
      </c>
      <c r="F105" s="8"/>
      <c r="G105" s="15" t="str">
        <f t="shared" ca="1" si="17"/>
        <v>12/19/2018-17:45</v>
      </c>
      <c r="H105" s="15" t="str">
        <f t="shared" ca="1" si="17"/>
        <v>12/19/2018-17:45</v>
      </c>
      <c r="I105" s="6" t="s">
        <v>17</v>
      </c>
      <c r="J105" s="13" t="str">
        <f>'1 basal and 1 bolus plan'!G3</f>
        <v>f79d2dd6-a574-414d-aad9-859ac7c3e7b3</v>
      </c>
    </row>
    <row r="106" spans="1:10" s="7" customFormat="1" ht="15.75" customHeight="1" x14ac:dyDescent="0.15">
      <c r="A106" s="6" t="s">
        <v>15</v>
      </c>
      <c r="B106" s="6" t="s">
        <v>19</v>
      </c>
      <c r="C106" s="4">
        <f t="shared" ca="1" si="26"/>
        <v>43453</v>
      </c>
      <c r="D106" s="18">
        <v>0.89583333333333337</v>
      </c>
      <c r="E106" s="5">
        <v>20</v>
      </c>
      <c r="F106" s="8"/>
      <c r="G106" s="15" t="str">
        <f t="shared" ca="1" si="17"/>
        <v>12/19/2018-21:30</v>
      </c>
      <c r="H106" s="15" t="str">
        <f t="shared" ca="1" si="17"/>
        <v>12/19/2018-21:30</v>
      </c>
      <c r="I106" s="6" t="s">
        <v>17</v>
      </c>
      <c r="J106" s="14" t="str">
        <f>'1 basal and 1 bolus plan'!G4</f>
        <v>fd3eea4c-bcbb-4719-87b0-b9a2e7d4421f</v>
      </c>
    </row>
    <row r="107" spans="1:10" s="7" customFormat="1" ht="13" x14ac:dyDescent="0.15">
      <c r="A107" s="6" t="s">
        <v>13</v>
      </c>
      <c r="B107" s="6"/>
      <c r="C107" s="4">
        <f ca="1">DATE(YEAR($C$2),MONTH($C$2),DAY($C$2)+26)</f>
        <v>43454</v>
      </c>
      <c r="D107" s="19">
        <v>0.2722222222222222</v>
      </c>
      <c r="E107" s="5">
        <v>113</v>
      </c>
      <c r="F107" s="9"/>
      <c r="G107" s="15" t="str">
        <f t="shared" ca="1" si="17"/>
        <v>12/20/2018-06:32</v>
      </c>
      <c r="H107" s="15" t="str">
        <f t="shared" ca="1" si="17"/>
        <v>12/20/2018-06:32</v>
      </c>
      <c r="I107" s="6" t="s">
        <v>14</v>
      </c>
      <c r="J107" s="6"/>
    </row>
    <row r="108" spans="1:10" s="7" customFormat="1" ht="13" x14ac:dyDescent="0.15">
      <c r="A108" s="6" t="s">
        <v>18</v>
      </c>
      <c r="B108" s="6"/>
      <c r="C108" s="4">
        <f t="shared" ref="C108:C110" ca="1" si="27">DATE(YEAR($C$2),MONTH($C$2),DAY($C$2)+26)</f>
        <v>43454</v>
      </c>
      <c r="D108" s="18">
        <v>0.72777777777777775</v>
      </c>
      <c r="E108" s="5">
        <v>176</v>
      </c>
      <c r="F108" s="10"/>
      <c r="G108" s="15" t="str">
        <f t="shared" ca="1" si="17"/>
        <v>12/20/2018-17:28</v>
      </c>
      <c r="H108" s="15" t="str">
        <f t="shared" ca="1" si="17"/>
        <v>12/20/2018-17:28</v>
      </c>
      <c r="I108" s="6" t="s">
        <v>14</v>
      </c>
      <c r="J108" s="6"/>
    </row>
    <row r="109" spans="1:10" s="7" customFormat="1" ht="15.75" customHeight="1" x14ac:dyDescent="0.15">
      <c r="A109" s="6" t="s">
        <v>15</v>
      </c>
      <c r="B109" s="6" t="s">
        <v>16</v>
      </c>
      <c r="C109" s="4">
        <f t="shared" ca="1" si="27"/>
        <v>43454</v>
      </c>
      <c r="D109" s="18">
        <v>0.74930555555555556</v>
      </c>
      <c r="E109" s="5">
        <v>5</v>
      </c>
      <c r="F109" s="8"/>
      <c r="G109" s="15" t="str">
        <f t="shared" ca="1" si="17"/>
        <v>12/20/2018-17:59</v>
      </c>
      <c r="H109" s="15" t="str">
        <f t="shared" ca="1" si="17"/>
        <v>12/20/2018-17:59</v>
      </c>
      <c r="I109" s="6" t="s">
        <v>17</v>
      </c>
      <c r="J109" s="13" t="str">
        <f>'1 basal and 1 bolus plan'!G3</f>
        <v>f79d2dd6-a574-414d-aad9-859ac7c3e7b3</v>
      </c>
    </row>
    <row r="110" spans="1:10" s="7" customFormat="1" ht="15.75" customHeight="1" x14ac:dyDescent="0.15">
      <c r="A110" s="6" t="s">
        <v>15</v>
      </c>
      <c r="B110" s="6" t="s">
        <v>19</v>
      </c>
      <c r="C110" s="4">
        <f t="shared" ca="1" si="27"/>
        <v>43454</v>
      </c>
      <c r="D110" s="18">
        <v>0.92638888888888893</v>
      </c>
      <c r="E110" s="5">
        <v>20</v>
      </c>
      <c r="F110" s="8"/>
      <c r="G110" s="15" t="str">
        <f t="shared" ca="1" si="17"/>
        <v>12/20/2018-22:14</v>
      </c>
      <c r="H110" s="15" t="str">
        <f t="shared" ca="1" si="17"/>
        <v>12/20/2018-22:14</v>
      </c>
      <c r="I110" s="6" t="s">
        <v>17</v>
      </c>
      <c r="J110" s="14" t="str">
        <f>'1 basal and 1 bolus plan'!G4</f>
        <v>fd3eea4c-bcbb-4719-87b0-b9a2e7d4421f</v>
      </c>
    </row>
    <row r="111" spans="1:10" s="7" customFormat="1" ht="13" x14ac:dyDescent="0.15">
      <c r="A111" s="6" t="s">
        <v>13</v>
      </c>
      <c r="B111" s="6"/>
      <c r="C111" s="4">
        <f ca="1">DATE(YEAR($C$2),MONTH($C$2),DAY($C$2)+27)</f>
        <v>43455</v>
      </c>
      <c r="D111" s="19">
        <v>0.24236111111111111</v>
      </c>
      <c r="E111" s="5">
        <v>78</v>
      </c>
      <c r="F111" s="9"/>
      <c r="G111" s="15" t="str">
        <f t="shared" ca="1" si="17"/>
        <v>12/21/2018-05:49</v>
      </c>
      <c r="H111" s="15" t="str">
        <f t="shared" ca="1" si="17"/>
        <v>12/21/2018-05:49</v>
      </c>
      <c r="I111" s="6" t="s">
        <v>14</v>
      </c>
      <c r="J111" s="6"/>
    </row>
    <row r="112" spans="1:10" s="7" customFormat="1" ht="13" x14ac:dyDescent="0.15">
      <c r="A112" s="6" t="s">
        <v>18</v>
      </c>
      <c r="B112" s="6"/>
      <c r="C112" s="4">
        <f t="shared" ref="C112:C114" ca="1" si="28">DATE(YEAR($C$2),MONTH($C$2),DAY($C$2)+27)</f>
        <v>43455</v>
      </c>
      <c r="D112" s="18">
        <v>0.71666666666666667</v>
      </c>
      <c r="E112" s="5">
        <v>267</v>
      </c>
      <c r="F112" s="10"/>
      <c r="G112" s="15" t="str">
        <f t="shared" ca="1" si="17"/>
        <v>12/21/2018-17:12</v>
      </c>
      <c r="H112" s="15" t="str">
        <f t="shared" ca="1" si="17"/>
        <v>12/21/2018-17:12</v>
      </c>
      <c r="I112" s="6" t="s">
        <v>14</v>
      </c>
      <c r="J112" s="6"/>
    </row>
    <row r="113" spans="1:10" s="7" customFormat="1" ht="15.75" customHeight="1" x14ac:dyDescent="0.15">
      <c r="A113" s="6" t="s">
        <v>15</v>
      </c>
      <c r="B113" s="6" t="s">
        <v>16</v>
      </c>
      <c r="C113" s="4">
        <f t="shared" ca="1" si="28"/>
        <v>43455</v>
      </c>
      <c r="D113" s="18">
        <v>0.75069444444444444</v>
      </c>
      <c r="E113" s="5">
        <v>10</v>
      </c>
      <c r="F113" s="8"/>
      <c r="G113" s="15" t="str">
        <f t="shared" ca="1" si="17"/>
        <v>12/21/2018-18:01</v>
      </c>
      <c r="H113" s="15" t="str">
        <f t="shared" ca="1" si="17"/>
        <v>12/21/2018-18:01</v>
      </c>
      <c r="I113" s="6" t="s">
        <v>17</v>
      </c>
      <c r="J113" s="13" t="str">
        <f>'1 basal and 1 bolus plan'!G3</f>
        <v>f79d2dd6-a574-414d-aad9-859ac7c3e7b3</v>
      </c>
    </row>
    <row r="114" spans="1:10" s="7" customFormat="1" ht="15.75" customHeight="1" x14ac:dyDescent="0.15">
      <c r="A114" s="6" t="s">
        <v>15</v>
      </c>
      <c r="B114" s="6" t="s">
        <v>19</v>
      </c>
      <c r="C114" s="4">
        <f t="shared" ca="1" si="28"/>
        <v>43455</v>
      </c>
      <c r="D114" s="18">
        <v>0.90902777777777777</v>
      </c>
      <c r="E114" s="5">
        <v>20</v>
      </c>
      <c r="F114" s="8"/>
      <c r="G114" s="15" t="str">
        <f t="shared" ca="1" si="17"/>
        <v>12/21/2018-21:49</v>
      </c>
      <c r="H114" s="15" t="str">
        <f t="shared" ca="1" si="17"/>
        <v>12/21/2018-21:49</v>
      </c>
      <c r="I114" s="6" t="s">
        <v>17</v>
      </c>
      <c r="J114" s="14" t="str">
        <f>'1 basal and 1 bolus plan'!G4</f>
        <v>fd3eea4c-bcbb-4719-87b0-b9a2e7d4421f</v>
      </c>
    </row>
    <row r="115" spans="1:10" s="7" customFormat="1" ht="13" x14ac:dyDescent="0.15">
      <c r="A115" s="6" t="s">
        <v>13</v>
      </c>
      <c r="B115" s="6"/>
      <c r="C115" s="4">
        <f ca="1">DATE(YEAR($C$2),MONTH($C$2),DAY($C$2)+28)</f>
        <v>43456</v>
      </c>
      <c r="D115" s="19">
        <v>0.27152777777777776</v>
      </c>
      <c r="E115" s="5">
        <v>91</v>
      </c>
      <c r="F115" s="9"/>
      <c r="G115" s="15" t="str">
        <f t="shared" ca="1" si="17"/>
        <v>12/22/2018-06:31</v>
      </c>
      <c r="H115" s="15" t="str">
        <f t="shared" ca="1" si="17"/>
        <v>12/22/2018-06:31</v>
      </c>
      <c r="I115" s="6" t="s">
        <v>14</v>
      </c>
      <c r="J115" s="6"/>
    </row>
    <row r="116" spans="1:10" s="7" customFormat="1" ht="13" x14ac:dyDescent="0.15">
      <c r="A116" s="6" t="s">
        <v>18</v>
      </c>
      <c r="B116" s="6"/>
      <c r="C116" s="4">
        <f t="shared" ref="C116:C118" ca="1" si="29">DATE(YEAR($C$2),MONTH($C$2),DAY($C$2)+28)</f>
        <v>43456</v>
      </c>
      <c r="D116" s="18">
        <v>0.74722222222222223</v>
      </c>
      <c r="E116" s="5">
        <v>212</v>
      </c>
      <c r="F116" s="10"/>
      <c r="G116" s="15" t="str">
        <f t="shared" ca="1" si="17"/>
        <v>12/22/2018-17:56</v>
      </c>
      <c r="H116" s="15" t="str">
        <f t="shared" ca="1" si="17"/>
        <v>12/22/2018-17:56</v>
      </c>
      <c r="I116" s="6" t="s">
        <v>14</v>
      </c>
      <c r="J116" s="6"/>
    </row>
    <row r="117" spans="1:10" s="7" customFormat="1" ht="15.75" customHeight="1" x14ac:dyDescent="0.15">
      <c r="A117" s="6" t="s">
        <v>15</v>
      </c>
      <c r="B117" s="6" t="s">
        <v>16</v>
      </c>
      <c r="C117" s="4">
        <f t="shared" ca="1" si="29"/>
        <v>43456</v>
      </c>
      <c r="D117" s="18">
        <v>0.73819444444444438</v>
      </c>
      <c r="E117" s="5">
        <v>5</v>
      </c>
      <c r="F117" s="8"/>
      <c r="G117" s="15" t="str">
        <f t="shared" ca="1" si="17"/>
        <v>12/22/2018-17:43</v>
      </c>
      <c r="H117" s="15" t="str">
        <f t="shared" ca="1" si="17"/>
        <v>12/22/2018-17:43</v>
      </c>
      <c r="I117" s="6" t="s">
        <v>17</v>
      </c>
      <c r="J117" s="13" t="str">
        <f>'1 basal and 1 bolus plan'!G3</f>
        <v>f79d2dd6-a574-414d-aad9-859ac7c3e7b3</v>
      </c>
    </row>
    <row r="118" spans="1:10" s="7" customFormat="1" ht="15.75" customHeight="1" x14ac:dyDescent="0.15">
      <c r="A118" s="6" t="s">
        <v>15</v>
      </c>
      <c r="B118" s="6" t="s">
        <v>19</v>
      </c>
      <c r="C118" s="4">
        <f t="shared" ca="1" si="29"/>
        <v>43456</v>
      </c>
      <c r="D118" s="18">
        <v>0.91111111111111109</v>
      </c>
      <c r="E118" s="5">
        <v>20</v>
      </c>
      <c r="F118" s="8"/>
      <c r="G118" s="15" t="str">
        <f t="shared" ca="1" si="17"/>
        <v>12/22/2018-21:52</v>
      </c>
      <c r="H118" s="15" t="str">
        <f t="shared" ca="1" si="17"/>
        <v>12/22/2018-21:52</v>
      </c>
      <c r="I118" s="6" t="s">
        <v>17</v>
      </c>
      <c r="J118" s="14" t="str">
        <f>'1 basal and 1 bolus plan'!G4</f>
        <v>fd3eea4c-bcbb-4719-87b0-b9a2e7d4421f</v>
      </c>
    </row>
    <row r="119" spans="1:10" s="7" customFormat="1" ht="13" x14ac:dyDescent="0.15">
      <c r="A119" s="6" t="s">
        <v>13</v>
      </c>
      <c r="B119" s="6"/>
      <c r="C119" s="4">
        <f ca="1">DATE(YEAR($C$2),MONTH($C$2),DAY($C$2)+29)</f>
        <v>43457</v>
      </c>
      <c r="D119" s="19">
        <v>0.27083333333333331</v>
      </c>
      <c r="E119" s="5">
        <v>129</v>
      </c>
      <c r="F119" s="9"/>
      <c r="G119" s="15" t="str">
        <f t="shared" ca="1" si="17"/>
        <v>12/23/2018-06:30</v>
      </c>
      <c r="H119" s="15" t="str">
        <f t="shared" ca="1" si="17"/>
        <v>12/23/2018-06:30</v>
      </c>
      <c r="I119" s="6" t="s">
        <v>14</v>
      </c>
      <c r="J119" s="6"/>
    </row>
    <row r="120" spans="1:10" s="7" customFormat="1" ht="15.75" customHeight="1" x14ac:dyDescent="0.15">
      <c r="A120" s="6" t="s">
        <v>15</v>
      </c>
      <c r="B120" s="6" t="s">
        <v>19</v>
      </c>
      <c r="C120" s="4">
        <f t="shared" ref="C120" ca="1" si="30">DATE(YEAR($C$2),MONTH($C$2),DAY($C$2)+29)</f>
        <v>43457</v>
      </c>
      <c r="D120" s="18">
        <v>0.91041666666666676</v>
      </c>
      <c r="E120" s="5">
        <v>20</v>
      </c>
      <c r="F120" s="8"/>
      <c r="G120" s="15" t="str">
        <f t="shared" ca="1" si="17"/>
        <v>12/23/2018-21:51</v>
      </c>
      <c r="H120" s="15" t="str">
        <f t="shared" ca="1" si="17"/>
        <v>12/23/2018-21:51</v>
      </c>
      <c r="I120" s="6" t="s">
        <v>17</v>
      </c>
      <c r="J120" s="14" t="str">
        <f>'1 basal and 1 bolus plan'!G4</f>
        <v>fd3eea4c-bcbb-4719-87b0-b9a2e7d4421f</v>
      </c>
    </row>
    <row r="121" spans="1:10" s="7" customFormat="1" ht="13" x14ac:dyDescent="0.15">
      <c r="A121" s="6" t="s">
        <v>13</v>
      </c>
      <c r="B121" s="6"/>
      <c r="C121" s="4">
        <f ca="1">DATE(YEAR($C$2),MONTH($C$2),DAY($C$2)+30)</f>
        <v>43458</v>
      </c>
      <c r="D121" s="19">
        <v>0.28333333333333333</v>
      </c>
      <c r="E121" s="5">
        <v>226</v>
      </c>
      <c r="F121" s="9"/>
      <c r="G121" s="15" t="str">
        <f t="shared" ca="1" si="17"/>
        <v>12/24/2018-06:48</v>
      </c>
      <c r="H121" s="15" t="str">
        <f t="shared" ca="1" si="17"/>
        <v>12/24/2018-06:48</v>
      </c>
      <c r="I121" s="6" t="s">
        <v>14</v>
      </c>
      <c r="J121" s="6"/>
    </row>
    <row r="122" spans="1:10" s="7" customFormat="1" ht="13" x14ac:dyDescent="0.15">
      <c r="A122" s="6" t="s">
        <v>18</v>
      </c>
      <c r="B122" s="6"/>
      <c r="C122" s="4">
        <f t="shared" ref="C122:C124" ca="1" si="31">DATE(YEAR($C$2),MONTH($C$2),DAY($C$2)+30)</f>
        <v>43458</v>
      </c>
      <c r="D122" s="18">
        <v>0.7416666666666667</v>
      </c>
      <c r="E122" s="5">
        <v>212</v>
      </c>
      <c r="F122" s="10"/>
      <c r="G122" s="15" t="str">
        <f t="shared" ca="1" si="17"/>
        <v>12/24/2018-17:48</v>
      </c>
      <c r="H122" s="15" t="str">
        <f t="shared" ca="1" si="17"/>
        <v>12/24/2018-17:48</v>
      </c>
      <c r="I122" s="6" t="s">
        <v>14</v>
      </c>
      <c r="J122" s="6"/>
    </row>
    <row r="123" spans="1:10" s="7" customFormat="1" ht="15.75" customHeight="1" x14ac:dyDescent="0.15">
      <c r="A123" s="6" t="s">
        <v>15</v>
      </c>
      <c r="B123" s="6" t="s">
        <v>16</v>
      </c>
      <c r="C123" s="4">
        <f t="shared" ca="1" si="31"/>
        <v>43458</v>
      </c>
      <c r="D123" s="18">
        <v>0.71597222222222223</v>
      </c>
      <c r="E123" s="5">
        <v>5</v>
      </c>
      <c r="F123" s="8"/>
      <c r="G123" s="15" t="str">
        <f t="shared" ca="1" si="17"/>
        <v>12/24/2018-17:11</v>
      </c>
      <c r="H123" s="15" t="str">
        <f t="shared" ca="1" si="17"/>
        <v>12/24/2018-17:11</v>
      </c>
      <c r="I123" s="6" t="s">
        <v>17</v>
      </c>
      <c r="J123" s="13" t="str">
        <f>'1 basal and 1 bolus plan'!G3</f>
        <v>f79d2dd6-a574-414d-aad9-859ac7c3e7b3</v>
      </c>
    </row>
    <row r="124" spans="1:10" s="7" customFormat="1" ht="15.75" customHeight="1" x14ac:dyDescent="0.15">
      <c r="A124" s="6" t="s">
        <v>15</v>
      </c>
      <c r="B124" s="6" t="s">
        <v>19</v>
      </c>
      <c r="C124" s="4">
        <f t="shared" ca="1" si="31"/>
        <v>43458</v>
      </c>
      <c r="D124" s="18">
        <v>0.90555555555555556</v>
      </c>
      <c r="E124" s="5">
        <v>20</v>
      </c>
      <c r="F124" s="8"/>
      <c r="G124" s="15" t="str">
        <f t="shared" ca="1" si="17"/>
        <v>12/24/2018-21:44</v>
      </c>
      <c r="H124" s="15" t="str">
        <f t="shared" ca="1" si="17"/>
        <v>12/24/2018-21:44</v>
      </c>
      <c r="I124" s="6" t="s">
        <v>17</v>
      </c>
      <c r="J124" s="14" t="str">
        <f>'1 basal and 1 bolus plan'!G4</f>
        <v>fd3eea4c-bcbb-4719-87b0-b9a2e7d4421f</v>
      </c>
    </row>
    <row r="125" spans="1:10" s="7" customFormat="1" ht="13" x14ac:dyDescent="0.15">
      <c r="A125" s="6" t="s">
        <v>13</v>
      </c>
      <c r="B125" s="6"/>
      <c r="C125" s="4">
        <f ca="1">DATE(YEAR($C$2),MONTH($C$2),DAY($C$2)+31)</f>
        <v>43459</v>
      </c>
      <c r="D125" s="19">
        <v>0.28541666666666665</v>
      </c>
      <c r="E125" s="5">
        <v>245</v>
      </c>
      <c r="F125" s="9"/>
      <c r="G125" s="15" t="str">
        <f t="shared" ca="1" si="17"/>
        <v>12/25/2018-06:51</v>
      </c>
      <c r="H125" s="15" t="str">
        <f t="shared" ca="1" si="17"/>
        <v>12/25/2018-06:51</v>
      </c>
      <c r="I125" s="6" t="s">
        <v>14</v>
      </c>
      <c r="J125" s="6"/>
    </row>
    <row r="126" spans="1:10" s="7" customFormat="1" ht="14" x14ac:dyDescent="0.15">
      <c r="A126" s="6" t="s">
        <v>18</v>
      </c>
      <c r="B126" s="6"/>
      <c r="C126" s="4">
        <f t="shared" ref="C126:C128" ca="1" si="32">DATE(YEAR($C$2),MONTH($C$2),DAY($C$2)+31)</f>
        <v>43459</v>
      </c>
      <c r="D126" s="18">
        <v>0.72430555555555554</v>
      </c>
      <c r="E126" s="5">
        <v>412</v>
      </c>
      <c r="F126" s="10" t="s">
        <v>30</v>
      </c>
      <c r="G126" s="15" t="str">
        <f t="shared" ca="1" si="17"/>
        <v>12/25/2018-17:23</v>
      </c>
      <c r="H126" s="15" t="str">
        <f t="shared" ca="1" si="17"/>
        <v>12/25/2018-17:23</v>
      </c>
      <c r="I126" s="6" t="s">
        <v>14</v>
      </c>
      <c r="J126" s="6"/>
    </row>
    <row r="127" spans="1:10" s="7" customFormat="1" ht="15.75" customHeight="1" x14ac:dyDescent="0.15">
      <c r="A127" s="6" t="s">
        <v>15</v>
      </c>
      <c r="B127" s="6" t="s">
        <v>16</v>
      </c>
      <c r="C127" s="4">
        <f t="shared" ca="1" si="32"/>
        <v>43459</v>
      </c>
      <c r="D127" s="18">
        <v>0.79236111111111107</v>
      </c>
      <c r="E127" s="5">
        <v>10</v>
      </c>
      <c r="F127" s="8"/>
      <c r="G127" s="15" t="str">
        <f t="shared" ca="1" si="17"/>
        <v>12/25/2018-19:01</v>
      </c>
      <c r="H127" s="15" t="str">
        <f t="shared" ca="1" si="17"/>
        <v>12/25/2018-19:01</v>
      </c>
      <c r="I127" s="6" t="s">
        <v>17</v>
      </c>
      <c r="J127" s="13" t="str">
        <f>'1 basal and 1 bolus plan'!G3</f>
        <v>f79d2dd6-a574-414d-aad9-859ac7c3e7b3</v>
      </c>
    </row>
    <row r="128" spans="1:10" s="7" customFormat="1" ht="15.75" customHeight="1" x14ac:dyDescent="0.15">
      <c r="A128" s="6" t="s">
        <v>15</v>
      </c>
      <c r="B128" s="6" t="s">
        <v>19</v>
      </c>
      <c r="C128" s="4">
        <f t="shared" ca="1" si="32"/>
        <v>43459</v>
      </c>
      <c r="D128" s="18">
        <v>0.90555555555555556</v>
      </c>
      <c r="E128" s="5">
        <v>20</v>
      </c>
      <c r="F128" s="8"/>
      <c r="G128" s="15" t="str">
        <f t="shared" ca="1" si="17"/>
        <v>12/25/2018-21:44</v>
      </c>
      <c r="H128" s="15" t="str">
        <f t="shared" ca="1" si="17"/>
        <v>12/25/2018-21:44</v>
      </c>
      <c r="I128" s="6" t="s">
        <v>17</v>
      </c>
      <c r="J128" s="14" t="str">
        <f>'1 basal and 1 bolus plan'!G4</f>
        <v>fd3eea4c-bcbb-4719-87b0-b9a2e7d4421f</v>
      </c>
    </row>
    <row r="129" spans="1:10" s="7" customFormat="1" ht="13" x14ac:dyDescent="0.15">
      <c r="A129" s="6" t="s">
        <v>13</v>
      </c>
      <c r="B129" s="6"/>
      <c r="C129" s="4">
        <f ca="1">DATE(YEAR($C$2),MONTH($C$2),DAY($C$2)+32)</f>
        <v>43460</v>
      </c>
      <c r="D129" s="19">
        <v>0.27083333333333331</v>
      </c>
      <c r="E129" s="5">
        <v>200</v>
      </c>
      <c r="F129" s="9"/>
      <c r="G129" s="15" t="str">
        <f t="shared" ca="1" si="17"/>
        <v>12/26/2018-06:30</v>
      </c>
      <c r="H129" s="15" t="str">
        <f t="shared" ca="1" si="17"/>
        <v>12/26/2018-06:30</v>
      </c>
      <c r="I129" s="6" t="s">
        <v>14</v>
      </c>
      <c r="J129" s="6"/>
    </row>
    <row r="130" spans="1:10" s="7" customFormat="1" ht="13" x14ac:dyDescent="0.15">
      <c r="A130" s="6" t="s">
        <v>18</v>
      </c>
      <c r="B130" s="6"/>
      <c r="C130" s="4">
        <f t="shared" ref="C130:C132" ca="1" si="33">DATE(YEAR($C$2),MONTH($C$2),DAY($C$2)+32)</f>
        <v>43460</v>
      </c>
      <c r="D130" s="18">
        <v>0.71666666666666667</v>
      </c>
      <c r="E130" s="5">
        <v>198</v>
      </c>
      <c r="F130" s="10"/>
      <c r="G130" s="15" t="str">
        <f t="shared" ca="1" si="17"/>
        <v>12/26/2018-17:12</v>
      </c>
      <c r="H130" s="15" t="str">
        <f t="shared" ca="1" si="17"/>
        <v>12/26/2018-17:12</v>
      </c>
      <c r="I130" s="6" t="s">
        <v>14</v>
      </c>
      <c r="J130" s="6"/>
    </row>
    <row r="131" spans="1:10" s="7" customFormat="1" ht="15.75" customHeight="1" x14ac:dyDescent="0.15">
      <c r="A131" s="6" t="s">
        <v>15</v>
      </c>
      <c r="B131" s="6" t="s">
        <v>16</v>
      </c>
      <c r="C131" s="4">
        <f t="shared" ca="1" si="33"/>
        <v>43460</v>
      </c>
      <c r="D131" s="18">
        <v>0.73958333333333337</v>
      </c>
      <c r="E131" s="5">
        <v>5</v>
      </c>
      <c r="F131" s="8"/>
      <c r="G131" s="15" t="str">
        <f t="shared" ref="G131:H194" ca="1" si="34">TEXT(DATE(YEAR($C131),MONTH($C131),DAY($C131)),"mm/dd/yyyy")&amp;"-"&amp;TEXT($D131,  "hh:mm")</f>
        <v>12/26/2018-17:45</v>
      </c>
      <c r="H131" s="15" t="str">
        <f t="shared" ca="1" si="34"/>
        <v>12/26/2018-17:45</v>
      </c>
      <c r="I131" s="6" t="s">
        <v>17</v>
      </c>
      <c r="J131" s="13" t="str">
        <f>'1 basal and 1 bolus plan'!G3</f>
        <v>f79d2dd6-a574-414d-aad9-859ac7c3e7b3</v>
      </c>
    </row>
    <row r="132" spans="1:10" s="7" customFormat="1" ht="15.75" customHeight="1" x14ac:dyDescent="0.15">
      <c r="A132" s="6" t="s">
        <v>15</v>
      </c>
      <c r="B132" s="6" t="s">
        <v>19</v>
      </c>
      <c r="C132" s="4">
        <f t="shared" ca="1" si="33"/>
        <v>43460</v>
      </c>
      <c r="D132" s="18">
        <v>0.89166666666666661</v>
      </c>
      <c r="E132" s="5">
        <v>20</v>
      </c>
      <c r="F132" s="8"/>
      <c r="G132" s="15" t="str">
        <f t="shared" ca="1" si="34"/>
        <v>12/26/2018-21:24</v>
      </c>
      <c r="H132" s="15" t="str">
        <f t="shared" ca="1" si="34"/>
        <v>12/26/2018-21:24</v>
      </c>
      <c r="I132" s="6" t="s">
        <v>17</v>
      </c>
      <c r="J132" s="14" t="str">
        <f>'1 basal and 1 bolus plan'!G4</f>
        <v>fd3eea4c-bcbb-4719-87b0-b9a2e7d4421f</v>
      </c>
    </row>
    <row r="133" spans="1:10" s="7" customFormat="1" ht="15.75" customHeight="1" x14ac:dyDescent="0.15">
      <c r="A133" s="6" t="s">
        <v>13</v>
      </c>
      <c r="B133" s="6"/>
      <c r="C133" s="4">
        <f ca="1">DATE(YEAR($C$2),MONTH($C$2),DAY($C$2)+33)</f>
        <v>43461</v>
      </c>
      <c r="D133" s="18">
        <v>0.25694444444444442</v>
      </c>
      <c r="E133" s="5">
        <v>91</v>
      </c>
      <c r="F133" s="8"/>
      <c r="G133" s="15" t="str">
        <f t="shared" ca="1" si="34"/>
        <v>12/27/2018-06:10</v>
      </c>
      <c r="H133" s="15" t="str">
        <f t="shared" ca="1" si="34"/>
        <v>12/27/2018-06:10</v>
      </c>
      <c r="I133" s="6" t="s">
        <v>14</v>
      </c>
      <c r="J133" s="6"/>
    </row>
    <row r="134" spans="1:10" s="7" customFormat="1" ht="15.75" customHeight="1" x14ac:dyDescent="0.15">
      <c r="A134" s="6" t="s">
        <v>18</v>
      </c>
      <c r="B134" s="6"/>
      <c r="C134" s="4">
        <f t="shared" ref="C134:C136" ca="1" si="35">DATE(YEAR($C$2),MONTH($C$2),DAY($C$2)+33)</f>
        <v>43461</v>
      </c>
      <c r="D134" s="18">
        <v>0.71805555555555556</v>
      </c>
      <c r="E134" s="5">
        <v>154</v>
      </c>
      <c r="F134" s="8"/>
      <c r="G134" s="15" t="str">
        <f t="shared" ca="1" si="34"/>
        <v>12/27/2018-17:14</v>
      </c>
      <c r="H134" s="15" t="str">
        <f t="shared" ca="1" si="34"/>
        <v>12/27/2018-17:14</v>
      </c>
      <c r="I134" s="6" t="s">
        <v>14</v>
      </c>
      <c r="J134" s="6"/>
    </row>
    <row r="135" spans="1:10" s="7" customFormat="1" ht="15.75" customHeight="1" x14ac:dyDescent="0.15">
      <c r="A135" s="6" t="s">
        <v>15</v>
      </c>
      <c r="B135" s="6" t="s">
        <v>16</v>
      </c>
      <c r="C135" s="4">
        <f t="shared" ca="1" si="35"/>
        <v>43461</v>
      </c>
      <c r="D135" s="18">
        <v>0.74513888888888891</v>
      </c>
      <c r="E135" s="5">
        <v>5</v>
      </c>
      <c r="F135" s="8"/>
      <c r="G135" s="15" t="str">
        <f t="shared" ca="1" si="34"/>
        <v>12/27/2018-17:53</v>
      </c>
      <c r="H135" s="15" t="str">
        <f t="shared" ca="1" si="34"/>
        <v>12/27/2018-17:53</v>
      </c>
      <c r="I135" s="6" t="s">
        <v>17</v>
      </c>
      <c r="J135" s="13" t="str">
        <f>'1 basal and 1 bolus plan'!G3</f>
        <v>f79d2dd6-a574-414d-aad9-859ac7c3e7b3</v>
      </c>
    </row>
    <row r="136" spans="1:10" s="7" customFormat="1" ht="15.75" customHeight="1" x14ac:dyDescent="0.15">
      <c r="A136" s="6" t="s">
        <v>15</v>
      </c>
      <c r="B136" s="6" t="s">
        <v>19</v>
      </c>
      <c r="C136" s="4">
        <f t="shared" ca="1" si="35"/>
        <v>43461</v>
      </c>
      <c r="D136" s="18">
        <v>0.88888888888888884</v>
      </c>
      <c r="E136" s="5">
        <v>20</v>
      </c>
      <c r="F136" s="8"/>
      <c r="G136" s="15" t="str">
        <f t="shared" ca="1" si="34"/>
        <v>12/27/2018-21:20</v>
      </c>
      <c r="H136" s="15" t="str">
        <f t="shared" ca="1" si="34"/>
        <v>12/27/2018-21:20</v>
      </c>
      <c r="I136" s="6" t="s">
        <v>17</v>
      </c>
      <c r="J136" s="14" t="str">
        <f>'1 basal and 1 bolus plan'!G4</f>
        <v>fd3eea4c-bcbb-4719-87b0-b9a2e7d4421f</v>
      </c>
    </row>
    <row r="137" spans="1:10" s="7" customFormat="1" ht="15.75" customHeight="1" x14ac:dyDescent="0.15">
      <c r="A137" s="6" t="s">
        <v>13</v>
      </c>
      <c r="B137" s="6"/>
      <c r="C137" s="4">
        <f ca="1">DATE(YEAR($C$2),MONTH($C$2),DAY($C$2)+34)</f>
        <v>43462</v>
      </c>
      <c r="D137" s="18">
        <v>0.27361111111111108</v>
      </c>
      <c r="E137" s="5">
        <v>69</v>
      </c>
      <c r="F137" s="8"/>
      <c r="G137" s="15" t="str">
        <f t="shared" ca="1" si="34"/>
        <v>12/28/2018-06:34</v>
      </c>
      <c r="H137" s="15" t="str">
        <f t="shared" ca="1" si="34"/>
        <v>12/28/2018-06:34</v>
      </c>
      <c r="I137" s="6" t="s">
        <v>14</v>
      </c>
      <c r="J137" s="6"/>
    </row>
    <row r="138" spans="1:10" s="7" customFormat="1" ht="15.75" customHeight="1" x14ac:dyDescent="0.15">
      <c r="A138" s="6" t="s">
        <v>18</v>
      </c>
      <c r="B138" s="6"/>
      <c r="C138" s="4">
        <f t="shared" ref="C138:C140" ca="1" si="36">DATE(YEAR($C$2),MONTH($C$2),DAY($C$2)+34)</f>
        <v>43462</v>
      </c>
      <c r="D138" s="18">
        <v>0.74305555555555547</v>
      </c>
      <c r="E138" s="5">
        <v>173</v>
      </c>
      <c r="F138" s="8"/>
      <c r="G138" s="15" t="str">
        <f t="shared" ca="1" si="34"/>
        <v>12/28/2018-17:50</v>
      </c>
      <c r="H138" s="15" t="str">
        <f t="shared" ca="1" si="34"/>
        <v>12/28/2018-17:50</v>
      </c>
      <c r="I138" s="6" t="s">
        <v>14</v>
      </c>
      <c r="J138" s="6"/>
    </row>
    <row r="139" spans="1:10" s="7" customFormat="1" ht="15.75" customHeight="1" x14ac:dyDescent="0.15">
      <c r="A139" s="6" t="s">
        <v>15</v>
      </c>
      <c r="B139" s="6" t="s">
        <v>16</v>
      </c>
      <c r="C139" s="4">
        <f t="shared" ca="1" si="36"/>
        <v>43462</v>
      </c>
      <c r="D139" s="18">
        <v>0.75624999999999998</v>
      </c>
      <c r="E139" s="5">
        <v>5</v>
      </c>
      <c r="F139" s="8"/>
      <c r="G139" s="15" t="str">
        <f t="shared" ca="1" si="34"/>
        <v>12/28/2018-18:09</v>
      </c>
      <c r="H139" s="15" t="str">
        <f t="shared" ca="1" si="34"/>
        <v>12/28/2018-18:09</v>
      </c>
      <c r="I139" s="6" t="s">
        <v>17</v>
      </c>
      <c r="J139" s="13" t="str">
        <f>'1 basal and 1 bolus plan'!G3</f>
        <v>f79d2dd6-a574-414d-aad9-859ac7c3e7b3</v>
      </c>
    </row>
    <row r="140" spans="1:10" s="7" customFormat="1" ht="15.75" customHeight="1" x14ac:dyDescent="0.15">
      <c r="A140" s="6" t="s">
        <v>15</v>
      </c>
      <c r="B140" s="6" t="s">
        <v>19</v>
      </c>
      <c r="C140" s="4">
        <f t="shared" ca="1" si="36"/>
        <v>43462</v>
      </c>
      <c r="D140" s="18">
        <v>0.8979166666666667</v>
      </c>
      <c r="E140" s="5">
        <v>21</v>
      </c>
      <c r="F140" s="8"/>
      <c r="G140" s="15" t="str">
        <f t="shared" ca="1" si="34"/>
        <v>12/28/2018-21:33</v>
      </c>
      <c r="H140" s="15" t="str">
        <f t="shared" ca="1" si="34"/>
        <v>12/28/2018-21:33</v>
      </c>
      <c r="I140" s="6" t="s">
        <v>17</v>
      </c>
      <c r="J140" s="14" t="str">
        <f>'1 basal and 1 bolus plan'!G4</f>
        <v>fd3eea4c-bcbb-4719-87b0-b9a2e7d4421f</v>
      </c>
    </row>
    <row r="141" spans="1:10" s="7" customFormat="1" ht="15.75" customHeight="1" x14ac:dyDescent="0.15">
      <c r="A141" s="6" t="s">
        <v>13</v>
      </c>
      <c r="B141" s="6"/>
      <c r="C141" s="4">
        <f ca="1">DATE(YEAR($C$2),MONTH($C$2),DAY($C$2)+35)</f>
        <v>43463</v>
      </c>
      <c r="D141" s="18">
        <v>0.27083333333333331</v>
      </c>
      <c r="E141" s="5">
        <v>74</v>
      </c>
      <c r="F141" s="8"/>
      <c r="G141" s="15" t="str">
        <f t="shared" ca="1" si="34"/>
        <v>12/29/2018-06:30</v>
      </c>
      <c r="H141" s="15" t="str">
        <f t="shared" ca="1" si="34"/>
        <v>12/29/2018-06:30</v>
      </c>
      <c r="I141" s="6" t="s">
        <v>14</v>
      </c>
      <c r="J141" s="6"/>
    </row>
    <row r="142" spans="1:10" s="7" customFormat="1" ht="15.75" customHeight="1" x14ac:dyDescent="0.15">
      <c r="A142" s="6" t="s">
        <v>18</v>
      </c>
      <c r="B142" s="6"/>
      <c r="C142" s="4">
        <f t="shared" ref="C142:C144" ca="1" si="37">DATE(YEAR($C$2),MONTH($C$2),DAY($C$2)+35)</f>
        <v>43463</v>
      </c>
      <c r="D142" s="18">
        <v>0.74097222222222225</v>
      </c>
      <c r="E142" s="5">
        <v>123</v>
      </c>
      <c r="F142" s="8"/>
      <c r="G142" s="15" t="str">
        <f t="shared" ca="1" si="34"/>
        <v>12/29/2018-17:47</v>
      </c>
      <c r="H142" s="15" t="str">
        <f t="shared" ca="1" si="34"/>
        <v>12/29/2018-17:47</v>
      </c>
      <c r="I142" s="6" t="s">
        <v>14</v>
      </c>
      <c r="J142" s="6"/>
    </row>
    <row r="143" spans="1:10" s="7" customFormat="1" ht="15.75" customHeight="1" x14ac:dyDescent="0.15">
      <c r="A143" s="6" t="s">
        <v>15</v>
      </c>
      <c r="B143" s="6" t="s">
        <v>16</v>
      </c>
      <c r="C143" s="4">
        <f t="shared" ca="1" si="37"/>
        <v>43463</v>
      </c>
      <c r="D143" s="18">
        <v>0.7583333333333333</v>
      </c>
      <c r="E143" s="5">
        <v>5</v>
      </c>
      <c r="F143" s="8"/>
      <c r="G143" s="15" t="str">
        <f t="shared" ca="1" si="34"/>
        <v>12/29/2018-18:12</v>
      </c>
      <c r="H143" s="15" t="str">
        <f t="shared" ca="1" si="34"/>
        <v>12/29/2018-18:12</v>
      </c>
      <c r="I143" s="6" t="s">
        <v>17</v>
      </c>
      <c r="J143" s="13" t="str">
        <f>'1 basal and 1 bolus plan'!G3</f>
        <v>f79d2dd6-a574-414d-aad9-859ac7c3e7b3</v>
      </c>
    </row>
    <row r="144" spans="1:10" s="7" customFormat="1" ht="15.75" customHeight="1" x14ac:dyDescent="0.15">
      <c r="A144" s="6" t="s">
        <v>15</v>
      </c>
      <c r="B144" s="6" t="s">
        <v>19</v>
      </c>
      <c r="C144" s="4">
        <f t="shared" ca="1" si="37"/>
        <v>43463</v>
      </c>
      <c r="D144" s="18">
        <v>0.8979166666666667</v>
      </c>
      <c r="E144" s="5">
        <v>20</v>
      </c>
      <c r="F144" s="8"/>
      <c r="G144" s="15" t="str">
        <f t="shared" ca="1" si="34"/>
        <v>12/29/2018-21:33</v>
      </c>
      <c r="H144" s="15" t="str">
        <f t="shared" ca="1" si="34"/>
        <v>12/29/2018-21:33</v>
      </c>
      <c r="I144" s="6" t="s">
        <v>17</v>
      </c>
      <c r="J144" s="14" t="str">
        <f>'1 basal and 1 bolus plan'!G4</f>
        <v>fd3eea4c-bcbb-4719-87b0-b9a2e7d4421f</v>
      </c>
    </row>
    <row r="145" spans="1:10" s="7" customFormat="1" ht="15.75" customHeight="1" x14ac:dyDescent="0.15">
      <c r="A145" s="6" t="s">
        <v>13</v>
      </c>
      <c r="B145" s="6"/>
      <c r="C145" s="4">
        <f ca="1">DATE(YEAR($C$2),MONTH($C$2),DAY($C$2)+36)</f>
        <v>43464</v>
      </c>
      <c r="D145" s="18">
        <v>0.27083333333333331</v>
      </c>
      <c r="E145" s="5">
        <v>112</v>
      </c>
      <c r="F145" s="8"/>
      <c r="G145" s="15" t="str">
        <f t="shared" ca="1" si="34"/>
        <v>12/30/2018-06:30</v>
      </c>
      <c r="H145" s="15" t="str">
        <f t="shared" ca="1" si="34"/>
        <v>12/30/2018-06:30</v>
      </c>
      <c r="I145" s="6" t="s">
        <v>14</v>
      </c>
      <c r="J145" s="6"/>
    </row>
    <row r="146" spans="1:10" s="7" customFormat="1" ht="15.75" customHeight="1" x14ac:dyDescent="0.15">
      <c r="A146" s="6" t="s">
        <v>18</v>
      </c>
      <c r="B146" s="6"/>
      <c r="C146" s="4">
        <f t="shared" ref="C146:C148" ca="1" si="38">DATE(YEAR($C$2),MONTH($C$2),DAY($C$2)+36)</f>
        <v>43464</v>
      </c>
      <c r="D146" s="18">
        <v>0.74097222222222225</v>
      </c>
      <c r="E146" s="5">
        <v>83</v>
      </c>
      <c r="F146" s="8"/>
      <c r="G146" s="15" t="str">
        <f t="shared" ca="1" si="34"/>
        <v>12/30/2018-17:47</v>
      </c>
      <c r="H146" s="15" t="str">
        <f t="shared" ca="1" si="34"/>
        <v>12/30/2018-17:47</v>
      </c>
      <c r="I146" s="6" t="s">
        <v>14</v>
      </c>
      <c r="J146" s="6"/>
    </row>
    <row r="147" spans="1:10" s="7" customFormat="1" ht="15.75" customHeight="1" x14ac:dyDescent="0.15">
      <c r="A147" s="6" t="s">
        <v>15</v>
      </c>
      <c r="B147" s="6" t="s">
        <v>16</v>
      </c>
      <c r="C147" s="4">
        <f t="shared" ca="1" si="38"/>
        <v>43464</v>
      </c>
      <c r="D147" s="18">
        <v>0.75624999999999998</v>
      </c>
      <c r="E147" s="5">
        <v>5</v>
      </c>
      <c r="F147" s="8"/>
      <c r="G147" s="15" t="str">
        <f t="shared" ca="1" si="34"/>
        <v>12/30/2018-18:09</v>
      </c>
      <c r="H147" s="15" t="str">
        <f t="shared" ca="1" si="34"/>
        <v>12/30/2018-18:09</v>
      </c>
      <c r="I147" s="6" t="s">
        <v>17</v>
      </c>
      <c r="J147" s="13" t="str">
        <f>'1 basal and 1 bolus plan'!G3</f>
        <v>f79d2dd6-a574-414d-aad9-859ac7c3e7b3</v>
      </c>
    </row>
    <row r="148" spans="1:10" s="7" customFormat="1" ht="15.75" customHeight="1" x14ac:dyDescent="0.15">
      <c r="A148" s="6" t="s">
        <v>15</v>
      </c>
      <c r="B148" s="6" t="s">
        <v>19</v>
      </c>
      <c r="C148" s="4">
        <f t="shared" ca="1" si="38"/>
        <v>43464</v>
      </c>
      <c r="D148" s="18">
        <v>0.88958333333333339</v>
      </c>
      <c r="E148" s="5">
        <v>20</v>
      </c>
      <c r="F148" s="8"/>
      <c r="G148" s="15" t="str">
        <f t="shared" ca="1" si="34"/>
        <v>12/30/2018-21:21</v>
      </c>
      <c r="H148" s="15" t="str">
        <f t="shared" ca="1" si="34"/>
        <v>12/30/2018-21:21</v>
      </c>
      <c r="I148" s="6" t="s">
        <v>17</v>
      </c>
      <c r="J148" s="14" t="str">
        <f>'1 basal and 1 bolus plan'!G4</f>
        <v>fd3eea4c-bcbb-4719-87b0-b9a2e7d4421f</v>
      </c>
    </row>
    <row r="149" spans="1:10" s="7" customFormat="1" ht="15.75" customHeight="1" x14ac:dyDescent="0.15">
      <c r="A149" s="6" t="s">
        <v>13</v>
      </c>
      <c r="B149" s="6"/>
      <c r="C149" s="4">
        <f ca="1">DATE(YEAR($C$2),MONTH($C$2),DAY($C$2)+37)</f>
        <v>43465</v>
      </c>
      <c r="D149" s="18">
        <v>0.28541666666666665</v>
      </c>
      <c r="E149" s="5">
        <v>67</v>
      </c>
      <c r="F149" s="8"/>
      <c r="G149" s="15" t="str">
        <f t="shared" ca="1" si="34"/>
        <v>12/31/2018-06:51</v>
      </c>
      <c r="H149" s="15" t="str">
        <f t="shared" ca="1" si="34"/>
        <v>12/31/2018-06:51</v>
      </c>
      <c r="I149" s="6" t="s">
        <v>14</v>
      </c>
      <c r="J149" s="6"/>
    </row>
    <row r="150" spans="1:10" s="7" customFormat="1" ht="15.75" customHeight="1" x14ac:dyDescent="0.15">
      <c r="A150" s="6" t="s">
        <v>18</v>
      </c>
      <c r="B150" s="6"/>
      <c r="C150" s="4">
        <f t="shared" ref="C150:C152" ca="1" si="39">DATE(YEAR($C$2),MONTH($C$2),DAY($C$2)+37)</f>
        <v>43465</v>
      </c>
      <c r="D150" s="18">
        <v>0.74097222222222225</v>
      </c>
      <c r="E150" s="5">
        <v>152</v>
      </c>
      <c r="F150" s="8"/>
      <c r="G150" s="15" t="str">
        <f t="shared" ca="1" si="34"/>
        <v>12/31/2018-17:47</v>
      </c>
      <c r="H150" s="15" t="str">
        <f t="shared" ca="1" si="34"/>
        <v>12/31/2018-17:47</v>
      </c>
      <c r="I150" s="6" t="s">
        <v>14</v>
      </c>
      <c r="J150" s="6"/>
    </row>
    <row r="151" spans="1:10" s="7" customFormat="1" ht="15.75" customHeight="1" x14ac:dyDescent="0.15">
      <c r="A151" s="6" t="s">
        <v>15</v>
      </c>
      <c r="B151" s="6" t="s">
        <v>16</v>
      </c>
      <c r="C151" s="4">
        <f t="shared" ca="1" si="39"/>
        <v>43465</v>
      </c>
      <c r="D151" s="18">
        <v>0.75624999999999998</v>
      </c>
      <c r="E151" s="5">
        <v>6</v>
      </c>
      <c r="F151" s="8"/>
      <c r="G151" s="15" t="str">
        <f t="shared" ca="1" si="34"/>
        <v>12/31/2018-18:09</v>
      </c>
      <c r="H151" s="15" t="str">
        <f t="shared" ca="1" si="34"/>
        <v>12/31/2018-18:09</v>
      </c>
      <c r="I151" s="6" t="s">
        <v>17</v>
      </c>
      <c r="J151" s="13" t="str">
        <f>'1 basal and 1 bolus plan'!G3</f>
        <v>f79d2dd6-a574-414d-aad9-859ac7c3e7b3</v>
      </c>
    </row>
    <row r="152" spans="1:10" s="7" customFormat="1" ht="15.75" customHeight="1" x14ac:dyDescent="0.15">
      <c r="A152" s="6" t="s">
        <v>15</v>
      </c>
      <c r="B152" s="6" t="s">
        <v>19</v>
      </c>
      <c r="C152" s="4">
        <f t="shared" ca="1" si="39"/>
        <v>43465</v>
      </c>
      <c r="D152" s="18">
        <v>0.88958333333333339</v>
      </c>
      <c r="E152" s="5">
        <v>23</v>
      </c>
      <c r="F152" s="8"/>
      <c r="G152" s="15" t="str">
        <f t="shared" ca="1" si="34"/>
        <v>12/31/2018-21:21</v>
      </c>
      <c r="H152" s="15" t="str">
        <f t="shared" ca="1" si="34"/>
        <v>12/31/2018-21:21</v>
      </c>
      <c r="I152" s="6" t="s">
        <v>17</v>
      </c>
      <c r="J152" s="14" t="str">
        <f>'1 basal and 1 bolus plan'!G4</f>
        <v>fd3eea4c-bcbb-4719-87b0-b9a2e7d4421f</v>
      </c>
    </row>
    <row r="153" spans="1:10" s="7" customFormat="1" ht="15.75" customHeight="1" x14ac:dyDescent="0.15">
      <c r="A153" s="6" t="s">
        <v>13</v>
      </c>
      <c r="B153" s="6"/>
      <c r="C153" s="4">
        <f ca="1">DATE(YEAR($C$2),MONTH($C$2),DAY($C$2)+38)</f>
        <v>43466</v>
      </c>
      <c r="D153" s="18">
        <v>0.27083333333333331</v>
      </c>
      <c r="E153" s="5">
        <v>72</v>
      </c>
      <c r="F153" s="8"/>
      <c r="G153" s="15" t="str">
        <f t="shared" ca="1" si="34"/>
        <v>01/01/2019-06:30</v>
      </c>
      <c r="H153" s="15" t="str">
        <f t="shared" ca="1" si="34"/>
        <v>01/01/2019-06:30</v>
      </c>
      <c r="I153" s="6" t="s">
        <v>14</v>
      </c>
      <c r="J153" s="6"/>
    </row>
    <row r="154" spans="1:10" s="7" customFormat="1" ht="15.75" customHeight="1" x14ac:dyDescent="0.15">
      <c r="A154" s="6" t="s">
        <v>18</v>
      </c>
      <c r="B154" s="6"/>
      <c r="C154" s="4">
        <f t="shared" ref="C154:C156" ca="1" si="40">DATE(YEAR($C$2),MONTH($C$2),DAY($C$2)+38)</f>
        <v>43466</v>
      </c>
      <c r="D154" s="18">
        <v>0.70833333333333337</v>
      </c>
      <c r="E154" s="5">
        <v>132</v>
      </c>
      <c r="F154" s="8"/>
      <c r="G154" s="15" t="str">
        <f t="shared" ca="1" si="34"/>
        <v>01/01/2019-17:00</v>
      </c>
      <c r="H154" s="15" t="str">
        <f t="shared" ca="1" si="34"/>
        <v>01/01/2019-17:00</v>
      </c>
      <c r="I154" s="6" t="s">
        <v>14</v>
      </c>
      <c r="J154" s="6"/>
    </row>
    <row r="155" spans="1:10" s="7" customFormat="1" ht="15.75" customHeight="1" x14ac:dyDescent="0.15">
      <c r="A155" s="6" t="s">
        <v>15</v>
      </c>
      <c r="B155" s="6" t="s">
        <v>16</v>
      </c>
      <c r="C155" s="4">
        <f t="shared" ca="1" si="40"/>
        <v>43466</v>
      </c>
      <c r="D155" s="18">
        <v>0.73958333333333337</v>
      </c>
      <c r="E155" s="5">
        <v>5</v>
      </c>
      <c r="F155" s="8"/>
      <c r="G155" s="15" t="str">
        <f t="shared" ca="1" si="34"/>
        <v>01/01/2019-17:45</v>
      </c>
      <c r="H155" s="15" t="str">
        <f t="shared" ca="1" si="34"/>
        <v>01/01/2019-17:45</v>
      </c>
      <c r="I155" s="6" t="s">
        <v>17</v>
      </c>
      <c r="J155" s="13" t="str">
        <f>'1 basal and 1 bolus plan'!G3</f>
        <v>f79d2dd6-a574-414d-aad9-859ac7c3e7b3</v>
      </c>
    </row>
    <row r="156" spans="1:10" s="7" customFormat="1" ht="15.75" customHeight="1" x14ac:dyDescent="0.15">
      <c r="A156" s="6" t="s">
        <v>15</v>
      </c>
      <c r="B156" s="6" t="s">
        <v>19</v>
      </c>
      <c r="C156" s="4">
        <f t="shared" ca="1" si="40"/>
        <v>43466</v>
      </c>
      <c r="D156" s="18">
        <v>0.88958333333333339</v>
      </c>
      <c r="E156" s="5">
        <v>20</v>
      </c>
      <c r="F156" s="8"/>
      <c r="G156" s="15" t="str">
        <f t="shared" ca="1" si="34"/>
        <v>01/01/2019-21:21</v>
      </c>
      <c r="H156" s="15" t="str">
        <f t="shared" ca="1" si="34"/>
        <v>01/01/2019-21:21</v>
      </c>
      <c r="I156" s="6" t="s">
        <v>17</v>
      </c>
      <c r="J156" s="14" t="str">
        <f>'1 basal and 1 bolus plan'!G4</f>
        <v>fd3eea4c-bcbb-4719-87b0-b9a2e7d4421f</v>
      </c>
    </row>
    <row r="157" spans="1:10" s="7" customFormat="1" ht="15.75" customHeight="1" x14ac:dyDescent="0.15">
      <c r="A157" s="6" t="s">
        <v>13</v>
      </c>
      <c r="B157" s="6"/>
      <c r="C157" s="4">
        <f ca="1">DATE(YEAR($C$2),MONTH($C$2),DAY($C$2)+39)</f>
        <v>43467</v>
      </c>
      <c r="D157" s="18">
        <v>0.27083333333333331</v>
      </c>
      <c r="E157" s="5">
        <v>110</v>
      </c>
      <c r="F157" s="8"/>
      <c r="G157" s="15" t="str">
        <f t="shared" ca="1" si="34"/>
        <v>01/02/2019-06:30</v>
      </c>
      <c r="H157" s="15" t="str">
        <f t="shared" ca="1" si="34"/>
        <v>01/02/2019-06:30</v>
      </c>
      <c r="I157" s="6" t="s">
        <v>14</v>
      </c>
      <c r="J157" s="6"/>
    </row>
    <row r="158" spans="1:10" s="7" customFormat="1" ht="15.75" customHeight="1" x14ac:dyDescent="0.15">
      <c r="A158" s="6" t="s">
        <v>18</v>
      </c>
      <c r="B158" s="6"/>
      <c r="C158" s="4">
        <f t="shared" ref="C158:C160" ca="1" si="41">DATE(YEAR($C$2),MONTH($C$2),DAY($C$2)+39)</f>
        <v>43467</v>
      </c>
      <c r="D158" s="18">
        <v>0.70833333333333337</v>
      </c>
      <c r="E158" s="5">
        <v>164</v>
      </c>
      <c r="F158" s="8"/>
      <c r="G158" s="15" t="str">
        <f t="shared" ca="1" si="34"/>
        <v>01/02/2019-17:00</v>
      </c>
      <c r="H158" s="15" t="str">
        <f t="shared" ca="1" si="34"/>
        <v>01/02/2019-17:00</v>
      </c>
      <c r="I158" s="6" t="s">
        <v>14</v>
      </c>
      <c r="J158" s="6"/>
    </row>
    <row r="159" spans="1:10" s="7" customFormat="1" ht="15.75" customHeight="1" x14ac:dyDescent="0.15">
      <c r="A159" s="6" t="s">
        <v>15</v>
      </c>
      <c r="B159" s="6" t="s">
        <v>16</v>
      </c>
      <c r="C159" s="4">
        <f t="shared" ca="1" si="41"/>
        <v>43467</v>
      </c>
      <c r="D159" s="18">
        <v>0.73958333333333337</v>
      </c>
      <c r="E159" s="5">
        <v>5</v>
      </c>
      <c r="F159" s="8"/>
      <c r="G159" s="15" t="str">
        <f t="shared" ca="1" si="34"/>
        <v>01/02/2019-17:45</v>
      </c>
      <c r="H159" s="15" t="str">
        <f t="shared" ca="1" si="34"/>
        <v>01/02/2019-17:45</v>
      </c>
      <c r="I159" s="6" t="s">
        <v>17</v>
      </c>
      <c r="J159" s="13" t="str">
        <f>'1 basal and 1 bolus plan'!G3</f>
        <v>f79d2dd6-a574-414d-aad9-859ac7c3e7b3</v>
      </c>
    </row>
    <row r="160" spans="1:10" s="7" customFormat="1" ht="15.75" customHeight="1" x14ac:dyDescent="0.15">
      <c r="A160" s="6" t="s">
        <v>15</v>
      </c>
      <c r="B160" s="6" t="s">
        <v>19</v>
      </c>
      <c r="C160" s="4">
        <f t="shared" ca="1" si="41"/>
        <v>43467</v>
      </c>
      <c r="D160" s="18">
        <v>0.89583333333333337</v>
      </c>
      <c r="E160" s="5">
        <v>20</v>
      </c>
      <c r="F160" s="8"/>
      <c r="G160" s="15" t="str">
        <f t="shared" ca="1" si="34"/>
        <v>01/02/2019-21:30</v>
      </c>
      <c r="H160" s="15" t="str">
        <f t="shared" ca="1" si="34"/>
        <v>01/02/2019-21:30</v>
      </c>
      <c r="I160" s="6" t="s">
        <v>17</v>
      </c>
      <c r="J160" s="14" t="str">
        <f>'1 basal and 1 bolus plan'!G4</f>
        <v>fd3eea4c-bcbb-4719-87b0-b9a2e7d4421f</v>
      </c>
    </row>
    <row r="161" spans="1:10" s="7" customFormat="1" ht="15.75" customHeight="1" x14ac:dyDescent="0.15">
      <c r="A161" s="6" t="s">
        <v>13</v>
      </c>
      <c r="B161" s="6"/>
      <c r="C161" s="4">
        <f ca="1">DATE(YEAR($C$2),MONTH($C$2),DAY($C$2)+40)</f>
        <v>43468</v>
      </c>
      <c r="D161" s="18">
        <v>0.27430555555555552</v>
      </c>
      <c r="E161" s="5">
        <v>139</v>
      </c>
      <c r="F161" s="8"/>
      <c r="G161" s="15" t="str">
        <f t="shared" ca="1" si="34"/>
        <v>01/03/2019-06:35</v>
      </c>
      <c r="H161" s="15" t="str">
        <f t="shared" ca="1" si="34"/>
        <v>01/03/2019-06:35</v>
      </c>
      <c r="I161" s="6" t="s">
        <v>14</v>
      </c>
      <c r="J161" s="6"/>
    </row>
    <row r="162" spans="1:10" s="7" customFormat="1" ht="15.75" customHeight="1" x14ac:dyDescent="0.15">
      <c r="A162" s="6" t="s">
        <v>18</v>
      </c>
      <c r="B162" s="6"/>
      <c r="C162" s="4">
        <f t="shared" ref="C162:C164" ca="1" si="42">DATE(YEAR($C$2),MONTH($C$2),DAY($C$2)+40)</f>
        <v>43468</v>
      </c>
      <c r="D162" s="18">
        <v>0.71180555555555547</v>
      </c>
      <c r="E162" s="5">
        <v>186</v>
      </c>
      <c r="F162" s="8"/>
      <c r="G162" s="15" t="str">
        <f t="shared" ca="1" si="34"/>
        <v>01/03/2019-17:05</v>
      </c>
      <c r="H162" s="15" t="str">
        <f t="shared" ca="1" si="34"/>
        <v>01/03/2019-17:05</v>
      </c>
      <c r="I162" s="6" t="s">
        <v>14</v>
      </c>
      <c r="J162" s="6"/>
    </row>
    <row r="163" spans="1:10" s="7" customFormat="1" ht="15.75" customHeight="1" x14ac:dyDescent="0.15">
      <c r="A163" s="6" t="s">
        <v>15</v>
      </c>
      <c r="B163" s="6" t="s">
        <v>16</v>
      </c>
      <c r="C163" s="4">
        <f t="shared" ca="1" si="42"/>
        <v>43468</v>
      </c>
      <c r="D163" s="18">
        <v>0.77569444444444446</v>
      </c>
      <c r="E163" s="5">
        <v>5</v>
      </c>
      <c r="F163" s="8"/>
      <c r="G163" s="15" t="str">
        <f t="shared" ca="1" si="34"/>
        <v>01/03/2019-18:37</v>
      </c>
      <c r="H163" s="15" t="str">
        <f t="shared" ca="1" si="34"/>
        <v>01/03/2019-18:37</v>
      </c>
      <c r="I163" s="7" t="s">
        <v>17</v>
      </c>
      <c r="J163" s="13" t="str">
        <f>'1 basal and 1 bolus plan'!G3</f>
        <v>f79d2dd6-a574-414d-aad9-859ac7c3e7b3</v>
      </c>
    </row>
    <row r="164" spans="1:10" s="7" customFormat="1" ht="15.75" customHeight="1" x14ac:dyDescent="0.15">
      <c r="A164" s="6" t="s">
        <v>15</v>
      </c>
      <c r="B164" s="6" t="s">
        <v>19</v>
      </c>
      <c r="C164" s="4">
        <f t="shared" ca="1" si="42"/>
        <v>43468</v>
      </c>
      <c r="D164" s="18">
        <v>0.90069444444444446</v>
      </c>
      <c r="E164" s="5">
        <v>20</v>
      </c>
      <c r="F164" s="8"/>
      <c r="G164" s="15" t="str">
        <f t="shared" ca="1" si="34"/>
        <v>01/03/2019-21:37</v>
      </c>
      <c r="H164" s="15" t="str">
        <f t="shared" ca="1" si="34"/>
        <v>01/03/2019-21:37</v>
      </c>
      <c r="I164" s="6" t="s">
        <v>17</v>
      </c>
      <c r="J164" s="14" t="str">
        <f>'1 basal and 1 bolus plan'!G4</f>
        <v>fd3eea4c-bcbb-4719-87b0-b9a2e7d4421f</v>
      </c>
    </row>
    <row r="165" spans="1:10" s="7" customFormat="1" ht="15.75" customHeight="1" x14ac:dyDescent="0.15">
      <c r="A165" s="6" t="s">
        <v>13</v>
      </c>
      <c r="B165" s="6"/>
      <c r="C165" s="4">
        <f ca="1">DATE(YEAR($C$2),MONTH($C$2),DAY($C$2)+41)</f>
        <v>43469</v>
      </c>
      <c r="D165" s="18">
        <v>0.25694444444444442</v>
      </c>
      <c r="E165" s="5">
        <v>91</v>
      </c>
      <c r="F165" s="8"/>
      <c r="G165" s="15" t="str">
        <f t="shared" ca="1" si="34"/>
        <v>01/04/2019-06:10</v>
      </c>
      <c r="H165" s="15" t="str">
        <f t="shared" ca="1" si="34"/>
        <v>01/04/2019-06:10</v>
      </c>
      <c r="I165" s="6" t="s">
        <v>14</v>
      </c>
      <c r="J165" s="6"/>
    </row>
    <row r="166" spans="1:10" s="7" customFormat="1" ht="15.75" customHeight="1" x14ac:dyDescent="0.15">
      <c r="A166" s="6" t="s">
        <v>18</v>
      </c>
      <c r="B166" s="6"/>
      <c r="C166" s="4">
        <f t="shared" ref="C166:C168" ca="1" si="43">DATE(YEAR($C$2),MONTH($C$2),DAY($C$2)+41)</f>
        <v>43469</v>
      </c>
      <c r="D166" s="18">
        <v>0.71805555555555556</v>
      </c>
      <c r="E166" s="5">
        <v>154</v>
      </c>
      <c r="F166" s="8"/>
      <c r="G166" s="15" t="str">
        <f t="shared" ca="1" si="34"/>
        <v>01/04/2019-17:14</v>
      </c>
      <c r="H166" s="15" t="str">
        <f t="shared" ca="1" si="34"/>
        <v>01/04/2019-17:14</v>
      </c>
      <c r="I166" s="6" t="s">
        <v>14</v>
      </c>
      <c r="J166" s="6"/>
    </row>
    <row r="167" spans="1:10" s="7" customFormat="1" ht="15.75" customHeight="1" x14ac:dyDescent="0.15">
      <c r="A167" s="6" t="s">
        <v>15</v>
      </c>
      <c r="B167" s="6" t="s">
        <v>16</v>
      </c>
      <c r="C167" s="4">
        <f t="shared" ca="1" si="43"/>
        <v>43469</v>
      </c>
      <c r="D167" s="18">
        <v>0.74513888888888891</v>
      </c>
      <c r="E167" s="5">
        <v>5</v>
      </c>
      <c r="F167" s="8"/>
      <c r="G167" s="15" t="str">
        <f t="shared" ca="1" si="34"/>
        <v>01/04/2019-17:53</v>
      </c>
      <c r="H167" s="15" t="str">
        <f t="shared" ca="1" si="34"/>
        <v>01/04/2019-17:53</v>
      </c>
      <c r="I167" s="6" t="s">
        <v>17</v>
      </c>
      <c r="J167" s="13" t="str">
        <f>'1 basal and 1 bolus plan'!G3</f>
        <v>f79d2dd6-a574-414d-aad9-859ac7c3e7b3</v>
      </c>
    </row>
    <row r="168" spans="1:10" s="7" customFormat="1" ht="15.75" customHeight="1" x14ac:dyDescent="0.15">
      <c r="A168" s="6" t="s">
        <v>15</v>
      </c>
      <c r="B168" s="6" t="s">
        <v>19</v>
      </c>
      <c r="C168" s="4">
        <f t="shared" ca="1" si="43"/>
        <v>43469</v>
      </c>
      <c r="D168" s="18">
        <v>0.88888888888888884</v>
      </c>
      <c r="E168" s="5">
        <v>20</v>
      </c>
      <c r="F168" s="8"/>
      <c r="G168" s="15" t="str">
        <f t="shared" ca="1" si="34"/>
        <v>01/04/2019-21:20</v>
      </c>
      <c r="H168" s="15" t="str">
        <f t="shared" ca="1" si="34"/>
        <v>01/04/2019-21:20</v>
      </c>
      <c r="I168" s="6" t="s">
        <v>17</v>
      </c>
      <c r="J168" s="14" t="str">
        <f>'1 basal and 1 bolus plan'!G4</f>
        <v>fd3eea4c-bcbb-4719-87b0-b9a2e7d4421f</v>
      </c>
    </row>
    <row r="169" spans="1:10" s="7" customFormat="1" ht="15.75" customHeight="1" x14ac:dyDescent="0.15">
      <c r="A169" s="6" t="s">
        <v>13</v>
      </c>
      <c r="B169" s="6"/>
      <c r="C169" s="4">
        <f ca="1">DATE(YEAR($C$2),MONTH($C$2),DAY($C$2)+42)</f>
        <v>43470</v>
      </c>
      <c r="D169" s="18">
        <v>0.27361111111111108</v>
      </c>
      <c r="E169" s="5">
        <v>69</v>
      </c>
      <c r="F169" s="8"/>
      <c r="G169" s="15" t="str">
        <f t="shared" ca="1" si="34"/>
        <v>01/05/2019-06:34</v>
      </c>
      <c r="H169" s="15" t="str">
        <f t="shared" ca="1" si="34"/>
        <v>01/05/2019-06:34</v>
      </c>
      <c r="I169" s="6" t="s">
        <v>14</v>
      </c>
      <c r="J169" s="6"/>
    </row>
    <row r="170" spans="1:10" s="7" customFormat="1" ht="15.75" customHeight="1" x14ac:dyDescent="0.15">
      <c r="A170" s="6" t="s">
        <v>18</v>
      </c>
      <c r="B170" s="6"/>
      <c r="C170" s="4">
        <f t="shared" ref="C170:C172" ca="1" si="44">DATE(YEAR($C$2),MONTH($C$2),DAY($C$2)+42)</f>
        <v>43470</v>
      </c>
      <c r="D170" s="18">
        <v>0.74305555555555547</v>
      </c>
      <c r="E170" s="5">
        <v>173</v>
      </c>
      <c r="F170" s="8"/>
      <c r="G170" s="15" t="str">
        <f t="shared" ca="1" si="34"/>
        <v>01/05/2019-17:50</v>
      </c>
      <c r="H170" s="15" t="str">
        <f t="shared" ca="1" si="34"/>
        <v>01/05/2019-17:50</v>
      </c>
      <c r="I170" s="6" t="s">
        <v>14</v>
      </c>
      <c r="J170" s="6"/>
    </row>
    <row r="171" spans="1:10" s="7" customFormat="1" ht="15.75" customHeight="1" x14ac:dyDescent="0.15">
      <c r="A171" s="6" t="s">
        <v>15</v>
      </c>
      <c r="B171" s="6" t="s">
        <v>16</v>
      </c>
      <c r="C171" s="4">
        <f t="shared" ca="1" si="44"/>
        <v>43470</v>
      </c>
      <c r="D171" s="18">
        <v>0.75624999999999998</v>
      </c>
      <c r="E171" s="5">
        <v>5</v>
      </c>
      <c r="F171" s="8"/>
      <c r="G171" s="15" t="str">
        <f t="shared" ca="1" si="34"/>
        <v>01/05/2019-18:09</v>
      </c>
      <c r="H171" s="15" t="str">
        <f t="shared" ca="1" si="34"/>
        <v>01/05/2019-18:09</v>
      </c>
      <c r="I171" s="6" t="s">
        <v>17</v>
      </c>
      <c r="J171" s="13" t="str">
        <f>'1 basal and 1 bolus plan'!G3</f>
        <v>f79d2dd6-a574-414d-aad9-859ac7c3e7b3</v>
      </c>
    </row>
    <row r="172" spans="1:10" s="7" customFormat="1" ht="15.75" customHeight="1" x14ac:dyDescent="0.15">
      <c r="A172" s="6" t="s">
        <v>15</v>
      </c>
      <c r="B172" s="6" t="s">
        <v>19</v>
      </c>
      <c r="C172" s="4">
        <f t="shared" ca="1" si="44"/>
        <v>43470</v>
      </c>
      <c r="D172" s="18">
        <v>0.8979166666666667</v>
      </c>
      <c r="E172" s="5">
        <v>21</v>
      </c>
      <c r="F172" s="8"/>
      <c r="G172" s="15" t="str">
        <f t="shared" ca="1" si="34"/>
        <v>01/05/2019-21:33</v>
      </c>
      <c r="H172" s="15" t="str">
        <f t="shared" ca="1" si="34"/>
        <v>01/05/2019-21:33</v>
      </c>
      <c r="I172" s="6" t="s">
        <v>17</v>
      </c>
      <c r="J172" s="14" t="str">
        <f>'1 basal and 1 bolus plan'!G4</f>
        <v>fd3eea4c-bcbb-4719-87b0-b9a2e7d4421f</v>
      </c>
    </row>
    <row r="173" spans="1:10" s="7" customFormat="1" ht="15.75" customHeight="1" x14ac:dyDescent="0.15">
      <c r="A173" s="6" t="s">
        <v>13</v>
      </c>
      <c r="B173" s="6"/>
      <c r="C173" s="4">
        <f ca="1">DATE(YEAR($C$2),MONTH($C$2),DAY($C$2)+43)</f>
        <v>43471</v>
      </c>
      <c r="D173" s="18">
        <v>0.27083333333333331</v>
      </c>
      <c r="E173" s="5">
        <v>74</v>
      </c>
      <c r="F173" s="8"/>
      <c r="G173" s="15" t="str">
        <f t="shared" ca="1" si="34"/>
        <v>01/06/2019-06:30</v>
      </c>
      <c r="H173" s="15" t="str">
        <f t="shared" ca="1" si="34"/>
        <v>01/06/2019-06:30</v>
      </c>
      <c r="I173" s="6" t="s">
        <v>14</v>
      </c>
      <c r="J173" s="6"/>
    </row>
    <row r="174" spans="1:10" s="7" customFormat="1" ht="15.75" customHeight="1" x14ac:dyDescent="0.15">
      <c r="A174" s="6" t="s">
        <v>18</v>
      </c>
      <c r="B174" s="6"/>
      <c r="C174" s="4">
        <f t="shared" ref="C174:C176" ca="1" si="45">DATE(YEAR($C$2),MONTH($C$2),DAY($C$2)+43)</f>
        <v>43471</v>
      </c>
      <c r="D174" s="18">
        <v>0.74097222222222225</v>
      </c>
      <c r="E174" s="5">
        <v>123</v>
      </c>
      <c r="F174" s="8"/>
      <c r="G174" s="15" t="str">
        <f t="shared" ca="1" si="34"/>
        <v>01/06/2019-17:47</v>
      </c>
      <c r="H174" s="15" t="str">
        <f t="shared" ca="1" si="34"/>
        <v>01/06/2019-17:47</v>
      </c>
      <c r="I174" s="6" t="s">
        <v>14</v>
      </c>
      <c r="J174" s="6"/>
    </row>
    <row r="175" spans="1:10" s="7" customFormat="1" ht="15.75" customHeight="1" x14ac:dyDescent="0.15">
      <c r="A175" s="6" t="s">
        <v>15</v>
      </c>
      <c r="B175" s="6" t="s">
        <v>16</v>
      </c>
      <c r="C175" s="4">
        <f t="shared" ca="1" si="45"/>
        <v>43471</v>
      </c>
      <c r="D175" s="18">
        <v>0.7583333333333333</v>
      </c>
      <c r="E175" s="5">
        <v>5</v>
      </c>
      <c r="F175" s="8"/>
      <c r="G175" s="15" t="str">
        <f t="shared" ca="1" si="34"/>
        <v>01/06/2019-18:12</v>
      </c>
      <c r="H175" s="15" t="str">
        <f t="shared" ca="1" si="34"/>
        <v>01/06/2019-18:12</v>
      </c>
      <c r="I175" s="6" t="s">
        <v>17</v>
      </c>
      <c r="J175" s="13" t="str">
        <f>'1 basal and 1 bolus plan'!G3</f>
        <v>f79d2dd6-a574-414d-aad9-859ac7c3e7b3</v>
      </c>
    </row>
    <row r="176" spans="1:10" s="7" customFormat="1" ht="15.75" customHeight="1" x14ac:dyDescent="0.15">
      <c r="A176" s="6" t="s">
        <v>15</v>
      </c>
      <c r="B176" s="6" t="s">
        <v>19</v>
      </c>
      <c r="C176" s="4">
        <f t="shared" ca="1" si="45"/>
        <v>43471</v>
      </c>
      <c r="D176" s="18">
        <v>0.8979166666666667</v>
      </c>
      <c r="E176" s="5">
        <v>20</v>
      </c>
      <c r="F176" s="8"/>
      <c r="G176" s="15" t="str">
        <f t="shared" ca="1" si="34"/>
        <v>01/06/2019-21:33</v>
      </c>
      <c r="H176" s="15" t="str">
        <f t="shared" ca="1" si="34"/>
        <v>01/06/2019-21:33</v>
      </c>
      <c r="I176" s="6" t="s">
        <v>17</v>
      </c>
      <c r="J176" s="14" t="str">
        <f>'1 basal and 1 bolus plan'!G4</f>
        <v>fd3eea4c-bcbb-4719-87b0-b9a2e7d4421f</v>
      </c>
    </row>
    <row r="177" spans="1:10" s="7" customFormat="1" ht="15.75" customHeight="1" x14ac:dyDescent="0.15">
      <c r="A177" s="6" t="s">
        <v>13</v>
      </c>
      <c r="B177" s="6"/>
      <c r="C177" s="4">
        <f ca="1">DATE(YEAR($C$2),MONTH($C$2),DAY($C$2)+44)</f>
        <v>43472</v>
      </c>
      <c r="D177" s="18">
        <v>0.27083333333333331</v>
      </c>
      <c r="E177" s="5">
        <v>112</v>
      </c>
      <c r="F177" s="8"/>
      <c r="G177" s="15" t="str">
        <f t="shared" ca="1" si="34"/>
        <v>01/07/2019-06:30</v>
      </c>
      <c r="H177" s="15" t="str">
        <f t="shared" ca="1" si="34"/>
        <v>01/07/2019-06:30</v>
      </c>
      <c r="I177" s="6" t="s">
        <v>14</v>
      </c>
      <c r="J177" s="6"/>
    </row>
    <row r="178" spans="1:10" s="7" customFormat="1" ht="15.75" customHeight="1" x14ac:dyDescent="0.15">
      <c r="A178" s="6" t="s">
        <v>18</v>
      </c>
      <c r="B178" s="6"/>
      <c r="C178" s="4">
        <f t="shared" ref="C178:C180" ca="1" si="46">DATE(YEAR($C$2),MONTH($C$2),DAY($C$2)+44)</f>
        <v>43472</v>
      </c>
      <c r="D178" s="18">
        <v>0.74097222222222225</v>
      </c>
      <c r="E178" s="5">
        <v>83</v>
      </c>
      <c r="F178" s="8"/>
      <c r="G178" s="15" t="str">
        <f t="shared" ca="1" si="34"/>
        <v>01/07/2019-17:47</v>
      </c>
      <c r="H178" s="15" t="str">
        <f t="shared" ca="1" si="34"/>
        <v>01/07/2019-17:47</v>
      </c>
      <c r="I178" s="6" t="s">
        <v>14</v>
      </c>
      <c r="J178" s="6"/>
    </row>
    <row r="179" spans="1:10" s="7" customFormat="1" ht="15.75" customHeight="1" x14ac:dyDescent="0.15">
      <c r="A179" s="6" t="s">
        <v>15</v>
      </c>
      <c r="B179" s="6" t="s">
        <v>16</v>
      </c>
      <c r="C179" s="4">
        <f t="shared" ca="1" si="46"/>
        <v>43472</v>
      </c>
      <c r="D179" s="18">
        <v>0.75624999999999998</v>
      </c>
      <c r="E179" s="5">
        <v>5</v>
      </c>
      <c r="F179" s="8"/>
      <c r="G179" s="15" t="str">
        <f t="shared" ca="1" si="34"/>
        <v>01/07/2019-18:09</v>
      </c>
      <c r="H179" s="15" t="str">
        <f t="shared" ca="1" si="34"/>
        <v>01/07/2019-18:09</v>
      </c>
      <c r="I179" s="6" t="s">
        <v>17</v>
      </c>
      <c r="J179" s="13" t="str">
        <f>'1 basal and 1 bolus plan'!G3</f>
        <v>f79d2dd6-a574-414d-aad9-859ac7c3e7b3</v>
      </c>
    </row>
    <row r="180" spans="1:10" s="7" customFormat="1" ht="15.75" customHeight="1" x14ac:dyDescent="0.15">
      <c r="A180" s="6" t="s">
        <v>15</v>
      </c>
      <c r="B180" s="6" t="s">
        <v>19</v>
      </c>
      <c r="C180" s="4">
        <f t="shared" ca="1" si="46"/>
        <v>43472</v>
      </c>
      <c r="D180" s="18">
        <v>0.88958333333333339</v>
      </c>
      <c r="E180" s="5">
        <v>20</v>
      </c>
      <c r="F180" s="8"/>
      <c r="G180" s="15" t="str">
        <f t="shared" ca="1" si="34"/>
        <v>01/07/2019-21:21</v>
      </c>
      <c r="H180" s="15" t="str">
        <f t="shared" ca="1" si="34"/>
        <v>01/07/2019-21:21</v>
      </c>
      <c r="I180" s="6" t="s">
        <v>17</v>
      </c>
      <c r="J180" s="14" t="str">
        <f>'1 basal and 1 bolus plan'!G4</f>
        <v>fd3eea4c-bcbb-4719-87b0-b9a2e7d4421f</v>
      </c>
    </row>
    <row r="181" spans="1:10" s="7" customFormat="1" ht="15.75" customHeight="1" x14ac:dyDescent="0.15">
      <c r="A181" s="6" t="s">
        <v>13</v>
      </c>
      <c r="B181" s="6"/>
      <c r="C181" s="4">
        <f ca="1">DATE(YEAR($C$2),MONTH($C$2),DAY($C$2)+45)</f>
        <v>43473</v>
      </c>
      <c r="D181" s="18">
        <v>0.28541666666666665</v>
      </c>
      <c r="E181" s="5">
        <v>67</v>
      </c>
      <c r="F181" s="8"/>
      <c r="G181" s="15" t="str">
        <f t="shared" ca="1" si="34"/>
        <v>01/08/2019-06:51</v>
      </c>
      <c r="H181" s="15" t="str">
        <f t="shared" ca="1" si="34"/>
        <v>01/08/2019-06:51</v>
      </c>
      <c r="I181" s="6" t="s">
        <v>14</v>
      </c>
      <c r="J181" s="6"/>
    </row>
    <row r="182" spans="1:10" s="7" customFormat="1" ht="15.75" customHeight="1" x14ac:dyDescent="0.15">
      <c r="A182" s="6" t="s">
        <v>18</v>
      </c>
      <c r="B182" s="6"/>
      <c r="C182" s="4">
        <f t="shared" ref="C182:C184" ca="1" si="47">DATE(YEAR($C$2),MONTH($C$2),DAY($C$2)+45)</f>
        <v>43473</v>
      </c>
      <c r="D182" s="18">
        <v>0.74097222222222225</v>
      </c>
      <c r="E182" s="5">
        <v>152</v>
      </c>
      <c r="F182" s="8"/>
      <c r="G182" s="15" t="str">
        <f t="shared" ca="1" si="34"/>
        <v>01/08/2019-17:47</v>
      </c>
      <c r="H182" s="15" t="str">
        <f t="shared" ca="1" si="34"/>
        <v>01/08/2019-17:47</v>
      </c>
      <c r="I182" s="6" t="s">
        <v>14</v>
      </c>
      <c r="J182" s="6"/>
    </row>
    <row r="183" spans="1:10" s="7" customFormat="1" ht="15.75" customHeight="1" x14ac:dyDescent="0.15">
      <c r="A183" s="6" t="s">
        <v>15</v>
      </c>
      <c r="B183" s="6" t="s">
        <v>16</v>
      </c>
      <c r="C183" s="4">
        <f t="shared" ca="1" si="47"/>
        <v>43473</v>
      </c>
      <c r="D183" s="18">
        <v>0.75624999999999998</v>
      </c>
      <c r="E183" s="5">
        <v>6</v>
      </c>
      <c r="F183" s="8"/>
      <c r="G183" s="15" t="str">
        <f t="shared" ca="1" si="34"/>
        <v>01/08/2019-18:09</v>
      </c>
      <c r="H183" s="15" t="str">
        <f t="shared" ca="1" si="34"/>
        <v>01/08/2019-18:09</v>
      </c>
      <c r="I183" s="6" t="s">
        <v>17</v>
      </c>
      <c r="J183" s="13" t="str">
        <f>'1 basal and 1 bolus plan'!G3</f>
        <v>f79d2dd6-a574-414d-aad9-859ac7c3e7b3</v>
      </c>
    </row>
    <row r="184" spans="1:10" s="7" customFormat="1" ht="15.75" customHeight="1" x14ac:dyDescent="0.15">
      <c r="A184" s="6" t="s">
        <v>15</v>
      </c>
      <c r="B184" s="6" t="s">
        <v>19</v>
      </c>
      <c r="C184" s="4">
        <f t="shared" ca="1" si="47"/>
        <v>43473</v>
      </c>
      <c r="D184" s="18">
        <v>0.88958333333333339</v>
      </c>
      <c r="E184" s="5">
        <v>23</v>
      </c>
      <c r="F184" s="8"/>
      <c r="G184" s="15" t="str">
        <f t="shared" ca="1" si="34"/>
        <v>01/08/2019-21:21</v>
      </c>
      <c r="H184" s="15" t="str">
        <f t="shared" ca="1" si="34"/>
        <v>01/08/2019-21:21</v>
      </c>
      <c r="I184" s="6" t="s">
        <v>17</v>
      </c>
      <c r="J184" s="14" t="str">
        <f>'1 basal and 1 bolus plan'!G4</f>
        <v>fd3eea4c-bcbb-4719-87b0-b9a2e7d4421f</v>
      </c>
    </row>
    <row r="185" spans="1:10" s="7" customFormat="1" ht="15.75" customHeight="1" x14ac:dyDescent="0.15">
      <c r="A185" s="6" t="s">
        <v>13</v>
      </c>
      <c r="B185" s="6"/>
      <c r="C185" s="4">
        <f ca="1">DATE(YEAR($C$2),MONTH($C$2),DAY($C$2)+46)</f>
        <v>43474</v>
      </c>
      <c r="D185" s="18">
        <v>0.27083333333333331</v>
      </c>
      <c r="E185" s="5">
        <v>72</v>
      </c>
      <c r="F185" s="8"/>
      <c r="G185" s="15" t="str">
        <f t="shared" ca="1" si="34"/>
        <v>01/09/2019-06:30</v>
      </c>
      <c r="H185" s="15" t="str">
        <f t="shared" ca="1" si="34"/>
        <v>01/09/2019-06:30</v>
      </c>
      <c r="I185" s="6" t="s">
        <v>14</v>
      </c>
      <c r="J185" s="6"/>
    </row>
    <row r="186" spans="1:10" s="7" customFormat="1" ht="15.75" customHeight="1" x14ac:dyDescent="0.15">
      <c r="A186" s="6" t="s">
        <v>18</v>
      </c>
      <c r="B186" s="6"/>
      <c r="C186" s="4">
        <f t="shared" ref="C186:C187" ca="1" si="48">DATE(YEAR($C$2),MONTH($C$2),DAY($C$2)+46)</f>
        <v>43474</v>
      </c>
      <c r="D186" s="18">
        <v>0.70833333333333337</v>
      </c>
      <c r="E186" s="5">
        <v>132</v>
      </c>
      <c r="F186" s="8"/>
      <c r="G186" s="15" t="str">
        <f t="shared" ca="1" si="34"/>
        <v>01/09/2019-17:00</v>
      </c>
      <c r="H186" s="15" t="str">
        <f t="shared" ca="1" si="34"/>
        <v>01/09/2019-17:00</v>
      </c>
      <c r="I186" s="6" t="s">
        <v>14</v>
      </c>
      <c r="J186" s="6"/>
    </row>
    <row r="187" spans="1:10" s="7" customFormat="1" ht="15.75" customHeight="1" x14ac:dyDescent="0.15">
      <c r="A187" s="6" t="s">
        <v>15</v>
      </c>
      <c r="B187" s="6" t="s">
        <v>16</v>
      </c>
      <c r="C187" s="4">
        <f t="shared" ca="1" si="48"/>
        <v>43474</v>
      </c>
      <c r="D187" s="18">
        <v>0.73958333333333337</v>
      </c>
      <c r="E187" s="5">
        <v>5</v>
      </c>
      <c r="F187" s="8"/>
      <c r="G187" s="15" t="str">
        <f t="shared" ca="1" si="34"/>
        <v>01/09/2019-17:45</v>
      </c>
      <c r="H187" s="15" t="str">
        <f t="shared" ca="1" si="34"/>
        <v>01/09/2019-17:45</v>
      </c>
      <c r="I187" s="6" t="s">
        <v>17</v>
      </c>
      <c r="J187" s="13" t="str">
        <f>'1 basal and 1 bolus plan'!G3</f>
        <v>f79d2dd6-a574-414d-aad9-859ac7c3e7b3</v>
      </c>
    </row>
    <row r="188" spans="1:10" s="7" customFormat="1" ht="15.75" customHeight="1" x14ac:dyDescent="0.15">
      <c r="A188" s="6" t="s">
        <v>15</v>
      </c>
      <c r="B188" s="6" t="s">
        <v>19</v>
      </c>
      <c r="C188" s="4">
        <f ca="1">DATE(YEAR($C$2),MONTH($C$2),DAY($C$2)+46)</f>
        <v>43474</v>
      </c>
      <c r="D188" s="18">
        <v>0.88958333333333339</v>
      </c>
      <c r="E188" s="5">
        <v>23</v>
      </c>
      <c r="F188" s="8"/>
      <c r="G188" s="15" t="str">
        <f t="shared" ca="1" si="34"/>
        <v>01/09/2019-21:21</v>
      </c>
      <c r="H188" s="15" t="str">
        <f t="shared" ca="1" si="34"/>
        <v>01/09/2019-21:21</v>
      </c>
      <c r="I188" s="6" t="s">
        <v>17</v>
      </c>
      <c r="J188" s="14" t="str">
        <f>'1 basal and 1 bolus plan'!G4</f>
        <v>fd3eea4c-bcbb-4719-87b0-b9a2e7d4421f</v>
      </c>
    </row>
    <row r="189" spans="1:10" s="7" customFormat="1" ht="14" x14ac:dyDescent="0.15">
      <c r="A189" s="6" t="s">
        <v>13</v>
      </c>
      <c r="B189" s="6"/>
      <c r="C189" s="4">
        <f ca="1">DATE(YEAR($C$2),MONTH($C$2),DAY($C$2)+47)</f>
        <v>43475</v>
      </c>
      <c r="D189" s="19">
        <v>0.34791666666666665</v>
      </c>
      <c r="E189" s="5">
        <v>167</v>
      </c>
      <c r="F189" s="10" t="s">
        <v>31</v>
      </c>
      <c r="G189" s="15" t="str">
        <f t="shared" ca="1" si="34"/>
        <v>01/10/2019-08:21</v>
      </c>
      <c r="H189" s="15" t="str">
        <f t="shared" ca="1" si="34"/>
        <v>01/10/2019-08:21</v>
      </c>
      <c r="I189" s="6" t="s">
        <v>14</v>
      </c>
      <c r="J189" s="6"/>
    </row>
    <row r="190" spans="1:10" s="7" customFormat="1" ht="13" x14ac:dyDescent="0.15">
      <c r="A190" s="6" t="s">
        <v>18</v>
      </c>
      <c r="B190" s="6"/>
      <c r="C190" s="4">
        <f t="shared" ref="C190:C192" ca="1" si="49">DATE(YEAR($C$2),MONTH($C$2),DAY($C$2)+47)</f>
        <v>43475</v>
      </c>
      <c r="D190" s="18">
        <v>0.71736111111111101</v>
      </c>
      <c r="E190" s="5">
        <v>234</v>
      </c>
      <c r="F190" s="10"/>
      <c r="G190" s="15" t="str">
        <f t="shared" ca="1" si="34"/>
        <v>01/10/2019-17:13</v>
      </c>
      <c r="H190" s="15" t="str">
        <f t="shared" ca="1" si="34"/>
        <v>01/10/2019-17:13</v>
      </c>
      <c r="I190" s="6" t="s">
        <v>14</v>
      </c>
      <c r="J190" s="6"/>
    </row>
    <row r="191" spans="1:10" s="7" customFormat="1" ht="15.75" customHeight="1" x14ac:dyDescent="0.15">
      <c r="A191" s="6" t="s">
        <v>15</v>
      </c>
      <c r="B191" s="6" t="s">
        <v>16</v>
      </c>
      <c r="C191" s="4">
        <f t="shared" ca="1" si="49"/>
        <v>43475</v>
      </c>
      <c r="D191" s="18">
        <v>0.73958333333333337</v>
      </c>
      <c r="E191" s="5">
        <v>5</v>
      </c>
      <c r="F191" s="8"/>
      <c r="G191" s="15" t="str">
        <f t="shared" ca="1" si="34"/>
        <v>01/10/2019-17:45</v>
      </c>
      <c r="H191" s="15" t="str">
        <f t="shared" ca="1" si="34"/>
        <v>01/10/2019-17:45</v>
      </c>
      <c r="I191" s="6" t="s">
        <v>17</v>
      </c>
      <c r="J191" s="13" t="str">
        <f>'1 basal and 1 bolus plan'!G3</f>
        <v>f79d2dd6-a574-414d-aad9-859ac7c3e7b3</v>
      </c>
    </row>
    <row r="192" spans="1:10" s="7" customFormat="1" ht="15.75" customHeight="1" x14ac:dyDescent="0.15">
      <c r="A192" s="6" t="s">
        <v>15</v>
      </c>
      <c r="B192" s="6" t="s">
        <v>19</v>
      </c>
      <c r="C192" s="4">
        <f t="shared" ca="1" si="49"/>
        <v>43475</v>
      </c>
      <c r="D192" s="18">
        <v>0.89583333333333337</v>
      </c>
      <c r="E192" s="5">
        <v>20</v>
      </c>
      <c r="F192" s="8"/>
      <c r="G192" s="15" t="str">
        <f t="shared" ca="1" si="34"/>
        <v>01/10/2019-21:30</v>
      </c>
      <c r="H192" s="15" t="str">
        <f t="shared" ca="1" si="34"/>
        <v>01/10/2019-21:30</v>
      </c>
      <c r="I192" s="6" t="s">
        <v>17</v>
      </c>
      <c r="J192" s="14" t="str">
        <f>'1 basal and 1 bolus plan'!G4</f>
        <v>fd3eea4c-bcbb-4719-87b0-b9a2e7d4421f</v>
      </c>
    </row>
    <row r="193" spans="1:10" s="7" customFormat="1" ht="13" x14ac:dyDescent="0.15">
      <c r="A193" s="6" t="s">
        <v>13</v>
      </c>
      <c r="B193" s="6"/>
      <c r="C193" s="4">
        <f ca="1">DATE(YEAR($C$2),MONTH($C$2),DAY($C$2)+48)</f>
        <v>43476</v>
      </c>
      <c r="D193" s="19">
        <v>0.2722222222222222</v>
      </c>
      <c r="E193" s="5">
        <v>113</v>
      </c>
      <c r="F193" s="9"/>
      <c r="G193" s="15" t="str">
        <f t="shared" ca="1" si="34"/>
        <v>01/11/2019-06:32</v>
      </c>
      <c r="H193" s="15" t="str">
        <f t="shared" ca="1" si="34"/>
        <v>01/11/2019-06:32</v>
      </c>
      <c r="I193" s="6" t="s">
        <v>14</v>
      </c>
      <c r="J193" s="6"/>
    </row>
    <row r="194" spans="1:10" s="7" customFormat="1" ht="13" x14ac:dyDescent="0.15">
      <c r="A194" s="6" t="s">
        <v>18</v>
      </c>
      <c r="B194" s="6"/>
      <c r="C194" s="4">
        <f t="shared" ref="C194:C196" ca="1" si="50">DATE(YEAR($C$2),MONTH($C$2),DAY($C$2)+48)</f>
        <v>43476</v>
      </c>
      <c r="D194" s="18">
        <v>0.72777777777777775</v>
      </c>
      <c r="E194" s="5">
        <v>176</v>
      </c>
      <c r="F194" s="10"/>
      <c r="G194" s="15" t="str">
        <f t="shared" ca="1" si="34"/>
        <v>01/11/2019-17:28</v>
      </c>
      <c r="H194" s="15" t="str">
        <f t="shared" ca="1" si="34"/>
        <v>01/11/2019-17:28</v>
      </c>
      <c r="I194" s="6" t="s">
        <v>14</v>
      </c>
      <c r="J194" s="6"/>
    </row>
    <row r="195" spans="1:10" s="7" customFormat="1" ht="15.75" customHeight="1" x14ac:dyDescent="0.15">
      <c r="A195" s="6" t="s">
        <v>15</v>
      </c>
      <c r="B195" s="6" t="s">
        <v>16</v>
      </c>
      <c r="C195" s="4">
        <f t="shared" ca="1" si="50"/>
        <v>43476</v>
      </c>
      <c r="D195" s="18">
        <v>0.74930555555555556</v>
      </c>
      <c r="E195" s="5">
        <v>5</v>
      </c>
      <c r="F195" s="8"/>
      <c r="G195" s="15" t="str">
        <f t="shared" ref="G195:H258" ca="1" si="51">TEXT(DATE(YEAR($C195),MONTH($C195),DAY($C195)),"mm/dd/yyyy")&amp;"-"&amp;TEXT($D195,  "hh:mm")</f>
        <v>01/11/2019-17:59</v>
      </c>
      <c r="H195" s="15" t="str">
        <f t="shared" ca="1" si="51"/>
        <v>01/11/2019-17:59</v>
      </c>
      <c r="I195" s="6" t="s">
        <v>17</v>
      </c>
      <c r="J195" s="13" t="str">
        <f>'1 basal and 1 bolus plan'!G3</f>
        <v>f79d2dd6-a574-414d-aad9-859ac7c3e7b3</v>
      </c>
    </row>
    <row r="196" spans="1:10" s="7" customFormat="1" ht="15.75" customHeight="1" x14ac:dyDescent="0.15">
      <c r="A196" s="6" t="s">
        <v>15</v>
      </c>
      <c r="B196" s="6" t="s">
        <v>19</v>
      </c>
      <c r="C196" s="4">
        <f t="shared" ca="1" si="50"/>
        <v>43476</v>
      </c>
      <c r="D196" s="18">
        <v>0.92638888888888893</v>
      </c>
      <c r="E196" s="5">
        <v>20</v>
      </c>
      <c r="F196" s="8"/>
      <c r="G196" s="15" t="str">
        <f t="shared" ca="1" si="51"/>
        <v>01/11/2019-22:14</v>
      </c>
      <c r="H196" s="15" t="str">
        <f t="shared" ca="1" si="51"/>
        <v>01/11/2019-22:14</v>
      </c>
      <c r="I196" s="6" t="s">
        <v>17</v>
      </c>
      <c r="J196" s="14" t="str">
        <f>'1 basal and 1 bolus plan'!G4</f>
        <v>fd3eea4c-bcbb-4719-87b0-b9a2e7d4421f</v>
      </c>
    </row>
    <row r="197" spans="1:10" s="7" customFormat="1" ht="13" x14ac:dyDescent="0.15">
      <c r="A197" s="6" t="s">
        <v>13</v>
      </c>
      <c r="B197" s="6"/>
      <c r="C197" s="4">
        <f ca="1">DATE(YEAR($C$2),MONTH($C$2),DAY($C$2)+49)</f>
        <v>43477</v>
      </c>
      <c r="D197" s="19">
        <v>0.24236111111111111</v>
      </c>
      <c r="E197" s="5">
        <v>78</v>
      </c>
      <c r="F197" s="9"/>
      <c r="G197" s="15" t="str">
        <f t="shared" ca="1" si="51"/>
        <v>01/12/2019-05:49</v>
      </c>
      <c r="H197" s="15" t="str">
        <f t="shared" ca="1" si="51"/>
        <v>01/12/2019-05:49</v>
      </c>
      <c r="I197" s="6" t="s">
        <v>14</v>
      </c>
      <c r="J197" s="6"/>
    </row>
    <row r="198" spans="1:10" s="7" customFormat="1" ht="13" x14ac:dyDescent="0.15">
      <c r="A198" s="6" t="s">
        <v>18</v>
      </c>
      <c r="B198" s="6"/>
      <c r="C198" s="4">
        <f t="shared" ref="C198:C200" ca="1" si="52">DATE(YEAR($C$2),MONTH($C$2),DAY($C$2)+49)</f>
        <v>43477</v>
      </c>
      <c r="D198" s="18">
        <v>0.71666666666666667</v>
      </c>
      <c r="E198" s="5">
        <v>139</v>
      </c>
      <c r="F198" s="10"/>
      <c r="G198" s="15" t="str">
        <f t="shared" ca="1" si="51"/>
        <v>01/12/2019-17:12</v>
      </c>
      <c r="H198" s="15" t="str">
        <f t="shared" ca="1" si="51"/>
        <v>01/12/2019-17:12</v>
      </c>
      <c r="I198" s="6" t="s">
        <v>14</v>
      </c>
      <c r="J198" s="6"/>
    </row>
    <row r="199" spans="1:10" s="7" customFormat="1" ht="15.75" customHeight="1" x14ac:dyDescent="0.15">
      <c r="A199" s="6" t="s">
        <v>15</v>
      </c>
      <c r="B199" s="6" t="s">
        <v>16</v>
      </c>
      <c r="C199" s="4">
        <f t="shared" ca="1" si="52"/>
        <v>43477</v>
      </c>
      <c r="D199" s="18">
        <v>0.75069444444444444</v>
      </c>
      <c r="E199" s="5">
        <v>5</v>
      </c>
      <c r="F199" s="8"/>
      <c r="G199" s="15" t="str">
        <f t="shared" ca="1" si="51"/>
        <v>01/12/2019-18:01</v>
      </c>
      <c r="H199" s="15" t="str">
        <f t="shared" ca="1" si="51"/>
        <v>01/12/2019-18:01</v>
      </c>
      <c r="I199" s="6" t="s">
        <v>17</v>
      </c>
      <c r="J199" s="13" t="str">
        <f>'1 basal and 1 bolus plan'!G3</f>
        <v>f79d2dd6-a574-414d-aad9-859ac7c3e7b3</v>
      </c>
    </row>
    <row r="200" spans="1:10" s="7" customFormat="1" ht="15.75" customHeight="1" x14ac:dyDescent="0.15">
      <c r="A200" s="6" t="s">
        <v>15</v>
      </c>
      <c r="B200" s="6" t="s">
        <v>19</v>
      </c>
      <c r="C200" s="4">
        <f t="shared" ca="1" si="52"/>
        <v>43477</v>
      </c>
      <c r="D200" s="18">
        <v>0.90902777777777777</v>
      </c>
      <c r="E200" s="5">
        <v>20</v>
      </c>
      <c r="F200" s="8"/>
      <c r="G200" s="15" t="str">
        <f t="shared" ca="1" si="51"/>
        <v>01/12/2019-21:49</v>
      </c>
      <c r="H200" s="15" t="str">
        <f t="shared" ca="1" si="51"/>
        <v>01/12/2019-21:49</v>
      </c>
      <c r="I200" s="6" t="s">
        <v>17</v>
      </c>
      <c r="J200" s="14" t="str">
        <f>'1 basal and 1 bolus plan'!G4</f>
        <v>fd3eea4c-bcbb-4719-87b0-b9a2e7d4421f</v>
      </c>
    </row>
    <row r="201" spans="1:10" s="7" customFormat="1" ht="13" x14ac:dyDescent="0.15">
      <c r="A201" s="6" t="s">
        <v>13</v>
      </c>
      <c r="B201" s="6"/>
      <c r="C201" s="4">
        <f ca="1">DATE(YEAR($C$2),MONTH($C$2),DAY($C$2)+50)</f>
        <v>43478</v>
      </c>
      <c r="D201" s="19">
        <v>0.27152777777777776</v>
      </c>
      <c r="E201" s="5">
        <v>91</v>
      </c>
      <c r="F201" s="9"/>
      <c r="G201" s="15" t="str">
        <f t="shared" ca="1" si="51"/>
        <v>01/13/2019-06:31</v>
      </c>
      <c r="H201" s="15" t="str">
        <f t="shared" ca="1" si="51"/>
        <v>01/13/2019-06:31</v>
      </c>
      <c r="I201" s="6" t="s">
        <v>14</v>
      </c>
      <c r="J201" s="6"/>
    </row>
    <row r="202" spans="1:10" s="7" customFormat="1" ht="13" x14ac:dyDescent="0.15">
      <c r="A202" s="6" t="s">
        <v>18</v>
      </c>
      <c r="B202" s="6"/>
      <c r="C202" s="4">
        <f t="shared" ref="C202:C204" ca="1" si="53">DATE(YEAR($C$2),MONTH($C$2),DAY($C$2)+50)</f>
        <v>43478</v>
      </c>
      <c r="D202" s="18">
        <v>0.74722222222222223</v>
      </c>
      <c r="E202" s="5">
        <v>212</v>
      </c>
      <c r="F202" s="10"/>
      <c r="G202" s="15" t="str">
        <f t="shared" ca="1" si="51"/>
        <v>01/13/2019-17:56</v>
      </c>
      <c r="H202" s="15" t="str">
        <f t="shared" ca="1" si="51"/>
        <v>01/13/2019-17:56</v>
      </c>
      <c r="I202" s="6" t="s">
        <v>14</v>
      </c>
      <c r="J202" s="6"/>
    </row>
    <row r="203" spans="1:10" s="7" customFormat="1" ht="15.75" customHeight="1" x14ac:dyDescent="0.15">
      <c r="A203" s="6" t="s">
        <v>15</v>
      </c>
      <c r="B203" s="6" t="s">
        <v>16</v>
      </c>
      <c r="C203" s="4">
        <f t="shared" ca="1" si="53"/>
        <v>43478</v>
      </c>
      <c r="D203" s="18">
        <v>0.73819444444444438</v>
      </c>
      <c r="E203" s="5">
        <v>5</v>
      </c>
      <c r="F203" s="8"/>
      <c r="G203" s="15" t="str">
        <f t="shared" ca="1" si="51"/>
        <v>01/13/2019-17:43</v>
      </c>
      <c r="H203" s="15" t="str">
        <f t="shared" ca="1" si="51"/>
        <v>01/13/2019-17:43</v>
      </c>
      <c r="I203" s="6" t="s">
        <v>17</v>
      </c>
      <c r="J203" s="13" t="str">
        <f>'1 basal and 1 bolus plan'!G3</f>
        <v>f79d2dd6-a574-414d-aad9-859ac7c3e7b3</v>
      </c>
    </row>
    <row r="204" spans="1:10" s="7" customFormat="1" ht="15.75" customHeight="1" x14ac:dyDescent="0.15">
      <c r="A204" s="6" t="s">
        <v>15</v>
      </c>
      <c r="B204" s="6" t="s">
        <v>19</v>
      </c>
      <c r="C204" s="4">
        <f t="shared" ca="1" si="53"/>
        <v>43478</v>
      </c>
      <c r="D204" s="18">
        <v>0.91111111111111109</v>
      </c>
      <c r="E204" s="5">
        <v>20</v>
      </c>
      <c r="F204" s="8"/>
      <c r="G204" s="15" t="str">
        <f t="shared" ca="1" si="51"/>
        <v>01/13/2019-21:52</v>
      </c>
      <c r="H204" s="15" t="str">
        <f t="shared" ca="1" si="51"/>
        <v>01/13/2019-21:52</v>
      </c>
      <c r="I204" s="6" t="s">
        <v>17</v>
      </c>
      <c r="J204" s="14" t="str">
        <f>'1 basal and 1 bolus plan'!G4</f>
        <v>fd3eea4c-bcbb-4719-87b0-b9a2e7d4421f</v>
      </c>
    </row>
    <row r="205" spans="1:10" s="7" customFormat="1" ht="13" x14ac:dyDescent="0.15">
      <c r="A205" s="6" t="s">
        <v>13</v>
      </c>
      <c r="B205" s="6"/>
      <c r="C205" s="4">
        <f ca="1">DATE(YEAR($C$2),MONTH($C$2),DAY($C$2)+51)</f>
        <v>43479</v>
      </c>
      <c r="D205" s="19">
        <v>0.27083333333333331</v>
      </c>
      <c r="E205" s="5">
        <v>129</v>
      </c>
      <c r="F205" s="9"/>
      <c r="G205" s="15" t="str">
        <f t="shared" ca="1" si="51"/>
        <v>01/14/2019-06:30</v>
      </c>
      <c r="H205" s="15" t="str">
        <f t="shared" ca="1" si="51"/>
        <v>01/14/2019-06:30</v>
      </c>
      <c r="I205" s="6" t="s">
        <v>14</v>
      </c>
      <c r="J205" s="6"/>
    </row>
    <row r="206" spans="1:10" s="7" customFormat="1" ht="13" x14ac:dyDescent="0.15">
      <c r="A206" s="6" t="s">
        <v>18</v>
      </c>
      <c r="B206" s="6"/>
      <c r="C206" s="4">
        <f t="shared" ref="C206:C208" ca="1" si="54">DATE(YEAR($C$2),MONTH($C$2),DAY($C$2)+51)</f>
        <v>43479</v>
      </c>
      <c r="D206" s="18">
        <v>0.73055555555555562</v>
      </c>
      <c r="E206" s="5">
        <v>276</v>
      </c>
      <c r="F206" s="10"/>
      <c r="G206" s="15" t="str">
        <f t="shared" ca="1" si="51"/>
        <v>01/14/2019-17:32</v>
      </c>
      <c r="H206" s="15" t="str">
        <f t="shared" ca="1" si="51"/>
        <v>01/14/2019-17:32</v>
      </c>
      <c r="I206" s="6" t="s">
        <v>14</v>
      </c>
      <c r="J206" s="6"/>
    </row>
    <row r="207" spans="1:10" s="7" customFormat="1" ht="15.75" customHeight="1" x14ac:dyDescent="0.15">
      <c r="A207" s="6" t="s">
        <v>15</v>
      </c>
      <c r="B207" s="6" t="s">
        <v>16</v>
      </c>
      <c r="C207" s="4">
        <f t="shared" ca="1" si="54"/>
        <v>43479</v>
      </c>
      <c r="D207" s="18">
        <v>0.7104166666666667</v>
      </c>
      <c r="E207" s="5">
        <v>5</v>
      </c>
      <c r="F207" s="8"/>
      <c r="G207" s="15" t="str">
        <f t="shared" ca="1" si="51"/>
        <v>01/14/2019-17:03</v>
      </c>
      <c r="H207" s="15" t="str">
        <f t="shared" ca="1" si="51"/>
        <v>01/14/2019-17:03</v>
      </c>
      <c r="I207" s="6" t="s">
        <v>17</v>
      </c>
      <c r="J207" s="13" t="str">
        <f>'1 basal and 1 bolus plan'!G3</f>
        <v>f79d2dd6-a574-414d-aad9-859ac7c3e7b3</v>
      </c>
    </row>
    <row r="208" spans="1:10" s="7" customFormat="1" ht="15.75" customHeight="1" x14ac:dyDescent="0.15">
      <c r="A208" s="6" t="s">
        <v>15</v>
      </c>
      <c r="B208" s="6" t="s">
        <v>19</v>
      </c>
      <c r="C208" s="4">
        <f t="shared" ca="1" si="54"/>
        <v>43479</v>
      </c>
      <c r="D208" s="18">
        <v>0.91041666666666676</v>
      </c>
      <c r="E208" s="5">
        <v>20</v>
      </c>
      <c r="F208" s="8"/>
      <c r="G208" s="15" t="str">
        <f t="shared" ca="1" si="51"/>
        <v>01/14/2019-21:51</v>
      </c>
      <c r="H208" s="15" t="str">
        <f t="shared" ca="1" si="51"/>
        <v>01/14/2019-21:51</v>
      </c>
      <c r="I208" s="6" t="s">
        <v>17</v>
      </c>
      <c r="J208" s="14" t="str">
        <f>'1 basal and 1 bolus plan'!G4</f>
        <v>fd3eea4c-bcbb-4719-87b0-b9a2e7d4421f</v>
      </c>
    </row>
    <row r="209" spans="1:10" s="7" customFormat="1" ht="13" x14ac:dyDescent="0.15">
      <c r="A209" s="6" t="s">
        <v>13</v>
      </c>
      <c r="B209" s="6"/>
      <c r="C209" s="4">
        <f ca="1">DATE(YEAR($C$2),MONTH($C$2),DAY($C$2)+53)</f>
        <v>43481</v>
      </c>
      <c r="D209" s="19">
        <v>0.28333333333333333</v>
      </c>
      <c r="E209" s="5">
        <v>201</v>
      </c>
      <c r="F209" s="9"/>
      <c r="G209" s="15" t="str">
        <f t="shared" ca="1" si="51"/>
        <v>01/16/2019-06:48</v>
      </c>
      <c r="H209" s="15" t="str">
        <f t="shared" ca="1" si="51"/>
        <v>01/16/2019-06:48</v>
      </c>
      <c r="I209" s="6" t="s">
        <v>14</v>
      </c>
      <c r="J209" s="6"/>
    </row>
    <row r="210" spans="1:10" s="7" customFormat="1" ht="13" x14ac:dyDescent="0.15">
      <c r="A210" s="6" t="s">
        <v>18</v>
      </c>
      <c r="B210" s="6"/>
      <c r="C210" s="4">
        <f t="shared" ref="C210:C212" ca="1" si="55">DATE(YEAR($C$2),MONTH($C$2),DAY($C$2)+53)</f>
        <v>43481</v>
      </c>
      <c r="D210" s="18">
        <v>0.7416666666666667</v>
      </c>
      <c r="E210" s="5">
        <v>278</v>
      </c>
      <c r="F210" s="10"/>
      <c r="G210" s="15" t="str">
        <f t="shared" ca="1" si="51"/>
        <v>01/16/2019-17:48</v>
      </c>
      <c r="H210" s="15" t="str">
        <f t="shared" ca="1" si="51"/>
        <v>01/16/2019-17:48</v>
      </c>
      <c r="I210" s="6" t="s">
        <v>14</v>
      </c>
      <c r="J210" s="6"/>
    </row>
    <row r="211" spans="1:10" s="7" customFormat="1" ht="15.75" customHeight="1" x14ac:dyDescent="0.15">
      <c r="A211" s="6" t="s">
        <v>15</v>
      </c>
      <c r="B211" s="6" t="s">
        <v>16</v>
      </c>
      <c r="C211" s="4">
        <f t="shared" ca="1" si="55"/>
        <v>43481</v>
      </c>
      <c r="D211" s="18">
        <v>0.71597222222222223</v>
      </c>
      <c r="E211" s="5">
        <v>5</v>
      </c>
      <c r="F211" s="8"/>
      <c r="G211" s="15" t="str">
        <f t="shared" ca="1" si="51"/>
        <v>01/16/2019-17:11</v>
      </c>
      <c r="H211" s="15" t="str">
        <f t="shared" ca="1" si="51"/>
        <v>01/16/2019-17:11</v>
      </c>
      <c r="I211" s="6" t="s">
        <v>17</v>
      </c>
      <c r="J211" s="13" t="str">
        <f>'1 basal and 1 bolus plan'!G3</f>
        <v>f79d2dd6-a574-414d-aad9-859ac7c3e7b3</v>
      </c>
    </row>
    <row r="212" spans="1:10" s="7" customFormat="1" ht="15.75" customHeight="1" x14ac:dyDescent="0.15">
      <c r="A212" s="6" t="s">
        <v>15</v>
      </c>
      <c r="B212" s="6" t="s">
        <v>19</v>
      </c>
      <c r="C212" s="4">
        <f t="shared" ca="1" si="55"/>
        <v>43481</v>
      </c>
      <c r="D212" s="18">
        <v>0.90555555555555556</v>
      </c>
      <c r="E212" s="5">
        <v>20</v>
      </c>
      <c r="F212" s="8"/>
      <c r="G212" s="15" t="str">
        <f t="shared" ca="1" si="51"/>
        <v>01/16/2019-21:44</v>
      </c>
      <c r="H212" s="15" t="str">
        <f t="shared" ca="1" si="51"/>
        <v>01/16/2019-21:44</v>
      </c>
      <c r="I212" s="6" t="s">
        <v>17</v>
      </c>
      <c r="J212" s="14" t="str">
        <f>'1 basal and 1 bolus plan'!G4</f>
        <v>fd3eea4c-bcbb-4719-87b0-b9a2e7d4421f</v>
      </c>
    </row>
    <row r="213" spans="1:10" s="7" customFormat="1" ht="13" x14ac:dyDescent="0.15">
      <c r="A213" s="6" t="s">
        <v>13</v>
      </c>
      <c r="B213" s="6"/>
      <c r="C213" s="4">
        <f ca="1">DATE(YEAR($C$2),MONTH($C$2),DAY($C$2)+54)</f>
        <v>43482</v>
      </c>
      <c r="D213" s="19">
        <v>0.28541666666666665</v>
      </c>
      <c r="E213" s="5">
        <v>245</v>
      </c>
      <c r="F213" s="9"/>
      <c r="G213" s="15" t="str">
        <f t="shared" ca="1" si="51"/>
        <v>01/17/2019-06:51</v>
      </c>
      <c r="H213" s="15" t="str">
        <f t="shared" ca="1" si="51"/>
        <v>01/17/2019-06:51</v>
      </c>
      <c r="I213" s="6" t="s">
        <v>14</v>
      </c>
      <c r="J213" s="6"/>
    </row>
    <row r="214" spans="1:10" s="7" customFormat="1" ht="14" x14ac:dyDescent="0.15">
      <c r="A214" s="6" t="s">
        <v>18</v>
      </c>
      <c r="B214" s="6"/>
      <c r="C214" s="4">
        <f t="shared" ref="C214:C216" ca="1" si="56">DATE(YEAR($C$2),MONTH($C$2),DAY($C$2)+54)</f>
        <v>43482</v>
      </c>
      <c r="D214" s="18">
        <v>0.72430555555555554</v>
      </c>
      <c r="E214" s="5">
        <v>350</v>
      </c>
      <c r="F214" s="10" t="s">
        <v>22</v>
      </c>
      <c r="G214" s="15" t="str">
        <f t="shared" ca="1" si="51"/>
        <v>01/17/2019-17:23</v>
      </c>
      <c r="H214" s="15" t="str">
        <f t="shared" ca="1" si="51"/>
        <v>01/17/2019-17:23</v>
      </c>
      <c r="I214" s="6" t="s">
        <v>14</v>
      </c>
      <c r="J214" s="6"/>
    </row>
    <row r="215" spans="1:10" s="7" customFormat="1" ht="15.75" customHeight="1" x14ac:dyDescent="0.15">
      <c r="A215" s="6" t="s">
        <v>15</v>
      </c>
      <c r="B215" s="6" t="s">
        <v>16</v>
      </c>
      <c r="C215" s="4">
        <f t="shared" ca="1" si="56"/>
        <v>43482</v>
      </c>
      <c r="D215" s="18">
        <v>0.79236111111111107</v>
      </c>
      <c r="E215" s="5">
        <v>10</v>
      </c>
      <c r="F215" s="8"/>
      <c r="G215" s="15" t="str">
        <f t="shared" ca="1" si="51"/>
        <v>01/17/2019-19:01</v>
      </c>
      <c r="H215" s="15" t="str">
        <f t="shared" ca="1" si="51"/>
        <v>01/17/2019-19:01</v>
      </c>
      <c r="I215" s="6" t="s">
        <v>17</v>
      </c>
      <c r="J215" s="13" t="str">
        <f>'1 basal and 1 bolus plan'!G3</f>
        <v>f79d2dd6-a574-414d-aad9-859ac7c3e7b3</v>
      </c>
    </row>
    <row r="216" spans="1:10" s="7" customFormat="1" ht="15.75" customHeight="1" x14ac:dyDescent="0.15">
      <c r="A216" s="6" t="s">
        <v>15</v>
      </c>
      <c r="B216" s="6" t="s">
        <v>19</v>
      </c>
      <c r="C216" s="4">
        <f t="shared" ca="1" si="56"/>
        <v>43482</v>
      </c>
      <c r="D216" s="18">
        <v>0.90555555555555556</v>
      </c>
      <c r="E216" s="5">
        <v>20</v>
      </c>
      <c r="F216" s="8"/>
      <c r="G216" s="15" t="str">
        <f t="shared" ca="1" si="51"/>
        <v>01/17/2019-21:44</v>
      </c>
      <c r="H216" s="15" t="str">
        <f t="shared" ca="1" si="51"/>
        <v>01/17/2019-21:44</v>
      </c>
      <c r="I216" s="6" t="s">
        <v>17</v>
      </c>
      <c r="J216" s="14" t="str">
        <f>'1 basal and 1 bolus plan'!G4</f>
        <v>fd3eea4c-bcbb-4719-87b0-b9a2e7d4421f</v>
      </c>
    </row>
    <row r="217" spans="1:10" s="7" customFormat="1" ht="13" x14ac:dyDescent="0.15">
      <c r="A217" s="6" t="s">
        <v>13</v>
      </c>
      <c r="B217" s="6"/>
      <c r="C217" s="4">
        <f ca="1">DATE(YEAR($C$2),MONTH($C$2),DAY($C$2)+55)</f>
        <v>43483</v>
      </c>
      <c r="D217" s="19">
        <v>0.27083333333333331</v>
      </c>
      <c r="E217" s="5">
        <v>200</v>
      </c>
      <c r="F217" s="9"/>
      <c r="G217" s="15" t="str">
        <f t="shared" ca="1" si="51"/>
        <v>01/18/2019-06:30</v>
      </c>
      <c r="H217" s="15" t="str">
        <f t="shared" ca="1" si="51"/>
        <v>01/18/2019-06:30</v>
      </c>
      <c r="I217" s="6" t="s">
        <v>14</v>
      </c>
      <c r="J217" s="6"/>
    </row>
    <row r="218" spans="1:10" s="7" customFormat="1" ht="13" x14ac:dyDescent="0.15">
      <c r="A218" s="6" t="s">
        <v>18</v>
      </c>
      <c r="B218" s="6"/>
      <c r="C218" s="4">
        <f t="shared" ref="C218:C220" ca="1" si="57">DATE(YEAR($C$2),MONTH($C$2),DAY($C$2)+55)</f>
        <v>43483</v>
      </c>
      <c r="D218" s="18">
        <v>0.71666666666666667</v>
      </c>
      <c r="E218" s="5">
        <v>198</v>
      </c>
      <c r="F218" s="10"/>
      <c r="G218" s="15" t="str">
        <f t="shared" ca="1" si="51"/>
        <v>01/18/2019-17:12</v>
      </c>
      <c r="H218" s="15" t="str">
        <f t="shared" ca="1" si="51"/>
        <v>01/18/2019-17:12</v>
      </c>
      <c r="I218" s="6" t="s">
        <v>14</v>
      </c>
      <c r="J218" s="6"/>
    </row>
    <row r="219" spans="1:10" s="7" customFormat="1" ht="15.75" customHeight="1" x14ac:dyDescent="0.15">
      <c r="A219" s="6" t="s">
        <v>15</v>
      </c>
      <c r="B219" s="6" t="s">
        <v>16</v>
      </c>
      <c r="C219" s="4">
        <f t="shared" ca="1" si="57"/>
        <v>43483</v>
      </c>
      <c r="D219" s="18">
        <v>0.73958333333333337</v>
      </c>
      <c r="E219" s="5">
        <v>5</v>
      </c>
      <c r="F219" s="8"/>
      <c r="G219" s="15" t="str">
        <f t="shared" ca="1" si="51"/>
        <v>01/18/2019-17:45</v>
      </c>
      <c r="H219" s="15" t="str">
        <f t="shared" ca="1" si="51"/>
        <v>01/18/2019-17:45</v>
      </c>
      <c r="I219" s="6" t="s">
        <v>17</v>
      </c>
      <c r="J219" s="13" t="str">
        <f>'1 basal and 1 bolus plan'!G3</f>
        <v>f79d2dd6-a574-414d-aad9-859ac7c3e7b3</v>
      </c>
    </row>
    <row r="220" spans="1:10" s="7" customFormat="1" ht="15.75" customHeight="1" x14ac:dyDescent="0.15">
      <c r="A220" s="6" t="s">
        <v>15</v>
      </c>
      <c r="B220" s="6" t="s">
        <v>19</v>
      </c>
      <c r="C220" s="4">
        <f t="shared" ca="1" si="57"/>
        <v>43483</v>
      </c>
      <c r="D220" s="18">
        <v>0.89166666666666661</v>
      </c>
      <c r="E220" s="5">
        <v>20</v>
      </c>
      <c r="F220" s="8"/>
      <c r="G220" s="15" t="str">
        <f t="shared" ca="1" si="51"/>
        <v>01/18/2019-21:24</v>
      </c>
      <c r="H220" s="15" t="str">
        <f t="shared" ca="1" si="51"/>
        <v>01/18/2019-21:24</v>
      </c>
      <c r="I220" s="6" t="s">
        <v>17</v>
      </c>
      <c r="J220" s="14" t="str">
        <f>'1 basal and 1 bolus plan'!G4</f>
        <v>fd3eea4c-bcbb-4719-87b0-b9a2e7d4421f</v>
      </c>
    </row>
    <row r="221" spans="1:10" s="7" customFormat="1" ht="15.75" customHeight="1" x14ac:dyDescent="0.15">
      <c r="A221" s="6" t="s">
        <v>13</v>
      </c>
      <c r="B221" s="6"/>
      <c r="C221" s="4">
        <f ca="1">DATE(YEAR($C$2),MONTH($C$2),DAY($C$2)+56)</f>
        <v>43484</v>
      </c>
      <c r="D221" s="18">
        <v>0.27083333333333331</v>
      </c>
      <c r="E221" s="5">
        <v>110</v>
      </c>
      <c r="F221" s="8"/>
      <c r="G221" s="15" t="str">
        <f t="shared" ca="1" si="51"/>
        <v>01/19/2019-06:30</v>
      </c>
      <c r="H221" s="15" t="str">
        <f t="shared" ca="1" si="51"/>
        <v>01/19/2019-06:30</v>
      </c>
      <c r="I221" s="6" t="s">
        <v>14</v>
      </c>
      <c r="J221" s="6"/>
    </row>
    <row r="222" spans="1:10" s="7" customFormat="1" ht="15.75" customHeight="1" x14ac:dyDescent="0.15">
      <c r="A222" s="6" t="s">
        <v>18</v>
      </c>
      <c r="B222" s="6"/>
      <c r="C222" s="4">
        <f t="shared" ref="C222:C224" ca="1" si="58">DATE(YEAR($C$2),MONTH($C$2),DAY($C$2)+56)</f>
        <v>43484</v>
      </c>
      <c r="D222" s="18">
        <v>0.70833333333333337</v>
      </c>
      <c r="E222" s="5">
        <v>164</v>
      </c>
      <c r="F222" s="8"/>
      <c r="G222" s="15" t="str">
        <f t="shared" ca="1" si="51"/>
        <v>01/19/2019-17:00</v>
      </c>
      <c r="H222" s="15" t="str">
        <f t="shared" ca="1" si="51"/>
        <v>01/19/2019-17:00</v>
      </c>
      <c r="I222" s="6" t="s">
        <v>14</v>
      </c>
      <c r="J222" s="6"/>
    </row>
    <row r="223" spans="1:10" s="7" customFormat="1" ht="15.75" customHeight="1" x14ac:dyDescent="0.15">
      <c r="A223" s="6" t="s">
        <v>15</v>
      </c>
      <c r="B223" s="6" t="s">
        <v>16</v>
      </c>
      <c r="C223" s="4">
        <f t="shared" ca="1" si="58"/>
        <v>43484</v>
      </c>
      <c r="D223" s="18">
        <v>0.73958333333333337</v>
      </c>
      <c r="E223" s="5">
        <v>5</v>
      </c>
      <c r="F223" s="8"/>
      <c r="G223" s="15" t="str">
        <f t="shared" ca="1" si="51"/>
        <v>01/19/2019-17:45</v>
      </c>
      <c r="H223" s="15" t="str">
        <f t="shared" ca="1" si="51"/>
        <v>01/19/2019-17:45</v>
      </c>
      <c r="I223" s="6" t="s">
        <v>17</v>
      </c>
      <c r="J223" s="13" t="str">
        <f>'1 basal and 1 bolus plan'!G3</f>
        <v>f79d2dd6-a574-414d-aad9-859ac7c3e7b3</v>
      </c>
    </row>
    <row r="224" spans="1:10" s="7" customFormat="1" ht="15.75" customHeight="1" x14ac:dyDescent="0.15">
      <c r="A224" s="6" t="s">
        <v>15</v>
      </c>
      <c r="B224" s="6" t="s">
        <v>19</v>
      </c>
      <c r="C224" s="4">
        <f t="shared" ca="1" si="58"/>
        <v>43484</v>
      </c>
      <c r="D224" s="18">
        <v>0.89583333333333337</v>
      </c>
      <c r="E224" s="5">
        <v>2</v>
      </c>
      <c r="F224" s="8"/>
      <c r="G224" s="15" t="str">
        <f t="shared" ca="1" si="51"/>
        <v>01/19/2019-21:30</v>
      </c>
      <c r="H224" s="15" t="str">
        <f t="shared" ca="1" si="51"/>
        <v>01/19/2019-21:30</v>
      </c>
      <c r="I224" s="6" t="s">
        <v>17</v>
      </c>
      <c r="J224" s="14" t="str">
        <f>'1 basal and 1 bolus plan'!G4</f>
        <v>fd3eea4c-bcbb-4719-87b0-b9a2e7d4421f</v>
      </c>
    </row>
    <row r="225" spans="1:10" s="7" customFormat="1" ht="13" x14ac:dyDescent="0.15">
      <c r="A225" s="6" t="s">
        <v>13</v>
      </c>
      <c r="B225" s="6"/>
      <c r="C225" s="4">
        <f ca="1">DATE(YEAR($C$2),MONTH($C$2),DAY($C$2)+57)</f>
        <v>43485</v>
      </c>
      <c r="D225" s="19">
        <v>0.28541666666666665</v>
      </c>
      <c r="E225" s="5">
        <v>135</v>
      </c>
      <c r="F225" s="9"/>
      <c r="G225" s="15" t="str">
        <f t="shared" ca="1" si="51"/>
        <v>01/20/2019-06:51</v>
      </c>
      <c r="H225" s="15" t="str">
        <f t="shared" ca="1" si="51"/>
        <v>01/20/2019-06:51</v>
      </c>
      <c r="I225" s="6" t="s">
        <v>14</v>
      </c>
      <c r="J225" s="6"/>
    </row>
    <row r="226" spans="1:10" s="7" customFormat="1" ht="13" x14ac:dyDescent="0.15">
      <c r="A226" s="6" t="s">
        <v>18</v>
      </c>
      <c r="B226" s="6"/>
      <c r="C226" s="4">
        <f t="shared" ref="C226:C229" ca="1" si="59">DATE(YEAR($C$2),MONTH($C$2),DAY($C$2)+57)</f>
        <v>43485</v>
      </c>
      <c r="D226" s="18">
        <v>0.72430555555555554</v>
      </c>
      <c r="E226" s="5">
        <v>218</v>
      </c>
      <c r="F226" s="10"/>
      <c r="G226" s="15" t="str">
        <f t="shared" ca="1" si="51"/>
        <v>01/20/2019-17:23</v>
      </c>
      <c r="H226" s="15" t="str">
        <f t="shared" ca="1" si="51"/>
        <v>01/20/2019-17:23</v>
      </c>
      <c r="I226" s="6" t="s">
        <v>14</v>
      </c>
      <c r="J226" s="6"/>
    </row>
    <row r="227" spans="1:10" s="7" customFormat="1" ht="15.75" customHeight="1" x14ac:dyDescent="0.15">
      <c r="A227" s="6" t="s">
        <v>15</v>
      </c>
      <c r="B227" s="6" t="s">
        <v>16</v>
      </c>
      <c r="C227" s="4">
        <f t="shared" ca="1" si="59"/>
        <v>43485</v>
      </c>
      <c r="D227" s="18">
        <v>0.71597222222222223</v>
      </c>
      <c r="E227" s="5">
        <v>5</v>
      </c>
      <c r="F227" s="8"/>
      <c r="G227" s="15" t="str">
        <f t="shared" ca="1" si="51"/>
        <v>01/20/2019-17:11</v>
      </c>
      <c r="H227" s="15" t="str">
        <f t="shared" ca="1" si="51"/>
        <v>01/20/2019-17:11</v>
      </c>
      <c r="I227" s="6" t="s">
        <v>17</v>
      </c>
      <c r="J227" s="13" t="str">
        <f>'1 basal and 1 bolus plan'!G3</f>
        <v>f79d2dd6-a574-414d-aad9-859ac7c3e7b3</v>
      </c>
    </row>
    <row r="228" spans="1:10" s="7" customFormat="1" ht="15.75" customHeight="1" x14ac:dyDescent="0.15">
      <c r="A228" s="6" t="s">
        <v>15</v>
      </c>
      <c r="B228" s="6" t="s">
        <v>19</v>
      </c>
      <c r="C228" s="4">
        <f t="shared" ca="1" si="59"/>
        <v>43485</v>
      </c>
      <c r="D228" s="18">
        <v>0.89583333333333337</v>
      </c>
      <c r="E228" s="5">
        <v>2</v>
      </c>
      <c r="F228" s="8"/>
      <c r="G228" s="15" t="str">
        <f t="shared" ca="1" si="51"/>
        <v>01/20/2019-21:30</v>
      </c>
      <c r="H228" s="15" t="str">
        <f t="shared" ca="1" si="51"/>
        <v>01/20/2019-21:30</v>
      </c>
      <c r="I228" s="6" t="s">
        <v>17</v>
      </c>
      <c r="J228" s="14" t="str">
        <f>'1 basal and 1 bolus plan'!G4</f>
        <v>fd3eea4c-bcbb-4719-87b0-b9a2e7d4421f</v>
      </c>
    </row>
    <row r="229" spans="1:10" s="7" customFormat="1" ht="15.75" customHeight="1" x14ac:dyDescent="0.15">
      <c r="A229" s="6" t="s">
        <v>15</v>
      </c>
      <c r="B229" s="6" t="s">
        <v>19</v>
      </c>
      <c r="C229" s="4">
        <f t="shared" ca="1" si="59"/>
        <v>43485</v>
      </c>
      <c r="D229" s="18">
        <v>0.8965277777777777</v>
      </c>
      <c r="E229" s="5">
        <v>20</v>
      </c>
      <c r="F229" s="8"/>
      <c r="G229" s="15" t="str">
        <f t="shared" ca="1" si="51"/>
        <v>01/20/2019-21:31</v>
      </c>
      <c r="H229" s="15" t="str">
        <f t="shared" ca="1" si="51"/>
        <v>01/20/2019-21:31</v>
      </c>
      <c r="I229" s="6" t="s">
        <v>17</v>
      </c>
      <c r="J229" s="14" t="str">
        <f>'1 basal and 1 bolus plan'!G4</f>
        <v>fd3eea4c-bcbb-4719-87b0-b9a2e7d4421f</v>
      </c>
    </row>
    <row r="230" spans="1:10" s="7" customFormat="1" ht="15.75" customHeight="1" x14ac:dyDescent="0.15">
      <c r="A230" s="6" t="s">
        <v>13</v>
      </c>
      <c r="B230" s="6"/>
      <c r="C230" s="4">
        <f ca="1">DATE(YEAR($C$2),MONTH($C$2),DAY($C$2)+58)</f>
        <v>43486</v>
      </c>
      <c r="D230" s="18">
        <v>0.27430555555555552</v>
      </c>
      <c r="E230" s="5">
        <v>139</v>
      </c>
      <c r="F230" s="8"/>
      <c r="G230" s="15" t="str">
        <f t="shared" ca="1" si="51"/>
        <v>01/21/2019-06:35</v>
      </c>
      <c r="H230" s="15" t="str">
        <f t="shared" ca="1" si="51"/>
        <v>01/21/2019-06:35</v>
      </c>
      <c r="I230" s="6" t="s">
        <v>14</v>
      </c>
      <c r="J230" s="6"/>
    </row>
    <row r="231" spans="1:10" s="7" customFormat="1" ht="15.75" customHeight="1" x14ac:dyDescent="0.15">
      <c r="A231" s="6" t="s">
        <v>18</v>
      </c>
      <c r="B231" s="6"/>
      <c r="C231" s="4">
        <f t="shared" ref="C231:C233" ca="1" si="60">DATE(YEAR($C$2),MONTH($C$2),DAY($C$2)+58)</f>
        <v>43486</v>
      </c>
      <c r="D231" s="18">
        <v>0.71180555555555547</v>
      </c>
      <c r="E231" s="5">
        <v>186</v>
      </c>
      <c r="F231" s="8"/>
      <c r="G231" s="15" t="str">
        <f t="shared" ca="1" si="51"/>
        <v>01/21/2019-17:05</v>
      </c>
      <c r="H231" s="15" t="str">
        <f t="shared" ca="1" si="51"/>
        <v>01/21/2019-17:05</v>
      </c>
      <c r="I231" s="6" t="s">
        <v>14</v>
      </c>
      <c r="J231" s="6"/>
    </row>
    <row r="232" spans="1:10" s="7" customFormat="1" ht="15.75" customHeight="1" x14ac:dyDescent="0.15">
      <c r="A232" s="6" t="s">
        <v>15</v>
      </c>
      <c r="B232" s="6" t="s">
        <v>16</v>
      </c>
      <c r="C232" s="4">
        <f t="shared" ca="1" si="60"/>
        <v>43486</v>
      </c>
      <c r="D232" s="18">
        <v>0.77569444444444446</v>
      </c>
      <c r="E232" s="5">
        <v>5</v>
      </c>
      <c r="F232" s="8"/>
      <c r="G232" s="15" t="str">
        <f t="shared" ca="1" si="51"/>
        <v>01/21/2019-18:37</v>
      </c>
      <c r="H232" s="15" t="str">
        <f t="shared" ca="1" si="51"/>
        <v>01/21/2019-18:37</v>
      </c>
      <c r="I232" s="7" t="s">
        <v>17</v>
      </c>
      <c r="J232" s="13" t="str">
        <f>'1 basal and 1 bolus plan'!G3</f>
        <v>f79d2dd6-a574-414d-aad9-859ac7c3e7b3</v>
      </c>
    </row>
    <row r="233" spans="1:10" s="7" customFormat="1" ht="15.75" customHeight="1" x14ac:dyDescent="0.15">
      <c r="A233" s="6" t="s">
        <v>15</v>
      </c>
      <c r="B233" s="6" t="s">
        <v>19</v>
      </c>
      <c r="C233" s="4">
        <f t="shared" ca="1" si="60"/>
        <v>43486</v>
      </c>
      <c r="D233" s="18">
        <v>0.90069444444444446</v>
      </c>
      <c r="E233" s="5">
        <v>20</v>
      </c>
      <c r="F233" s="8"/>
      <c r="G233" s="15" t="str">
        <f t="shared" ca="1" si="51"/>
        <v>01/21/2019-21:37</v>
      </c>
      <c r="H233" s="15" t="str">
        <f t="shared" ca="1" si="51"/>
        <v>01/21/2019-21:37</v>
      </c>
      <c r="I233" s="6" t="s">
        <v>17</v>
      </c>
      <c r="J233" s="14" t="str">
        <f>'1 basal and 1 bolus plan'!G4</f>
        <v>fd3eea4c-bcbb-4719-87b0-b9a2e7d4421f</v>
      </c>
    </row>
    <row r="234" spans="1:10" s="7" customFormat="1" ht="15.75" customHeight="1" x14ac:dyDescent="0.15">
      <c r="A234" s="6" t="s">
        <v>13</v>
      </c>
      <c r="B234" s="6"/>
      <c r="C234" s="4">
        <f ca="1">DATE(YEAR($C$2),MONTH($C$2),DAY($C$2)+59)</f>
        <v>43487</v>
      </c>
      <c r="D234" s="18">
        <v>0.25694444444444442</v>
      </c>
      <c r="E234" s="5">
        <v>91</v>
      </c>
      <c r="F234" s="8"/>
      <c r="G234" s="15" t="str">
        <f t="shared" ca="1" si="51"/>
        <v>01/22/2019-06:10</v>
      </c>
      <c r="H234" s="15" t="str">
        <f t="shared" ca="1" si="51"/>
        <v>01/22/2019-06:10</v>
      </c>
      <c r="I234" s="6" t="s">
        <v>14</v>
      </c>
      <c r="J234" s="6"/>
    </row>
    <row r="235" spans="1:10" s="7" customFormat="1" ht="15.75" customHeight="1" x14ac:dyDescent="0.15">
      <c r="A235" s="6" t="s">
        <v>18</v>
      </c>
      <c r="B235" s="6"/>
      <c r="C235" s="4">
        <f t="shared" ref="C235:C237" ca="1" si="61">DATE(YEAR($C$2),MONTH($C$2),DAY($C$2)+59)</f>
        <v>43487</v>
      </c>
      <c r="D235" s="18">
        <v>0.71805555555555556</v>
      </c>
      <c r="E235" s="5">
        <v>154</v>
      </c>
      <c r="F235" s="8"/>
      <c r="G235" s="15" t="str">
        <f t="shared" ca="1" si="51"/>
        <v>01/22/2019-17:14</v>
      </c>
      <c r="H235" s="15" t="str">
        <f t="shared" ca="1" si="51"/>
        <v>01/22/2019-17:14</v>
      </c>
      <c r="I235" s="6" t="s">
        <v>14</v>
      </c>
      <c r="J235" s="6"/>
    </row>
    <row r="236" spans="1:10" s="7" customFormat="1" ht="15.75" customHeight="1" x14ac:dyDescent="0.15">
      <c r="A236" s="6" t="s">
        <v>15</v>
      </c>
      <c r="B236" s="6" t="s">
        <v>16</v>
      </c>
      <c r="C236" s="4">
        <f t="shared" ca="1" si="61"/>
        <v>43487</v>
      </c>
      <c r="D236" s="18">
        <v>0.74513888888888891</v>
      </c>
      <c r="E236" s="5">
        <v>5</v>
      </c>
      <c r="F236" s="8"/>
      <c r="G236" s="15" t="str">
        <f t="shared" ca="1" si="51"/>
        <v>01/22/2019-17:53</v>
      </c>
      <c r="H236" s="15" t="str">
        <f t="shared" ca="1" si="51"/>
        <v>01/22/2019-17:53</v>
      </c>
      <c r="I236" s="6" t="s">
        <v>17</v>
      </c>
      <c r="J236" s="13" t="str">
        <f>'1 basal and 1 bolus plan'!G3</f>
        <v>f79d2dd6-a574-414d-aad9-859ac7c3e7b3</v>
      </c>
    </row>
    <row r="237" spans="1:10" s="7" customFormat="1" ht="15.75" customHeight="1" x14ac:dyDescent="0.15">
      <c r="A237" s="6" t="s">
        <v>15</v>
      </c>
      <c r="B237" s="6" t="s">
        <v>19</v>
      </c>
      <c r="C237" s="4">
        <f t="shared" ca="1" si="61"/>
        <v>43487</v>
      </c>
      <c r="D237" s="18">
        <v>0.88888888888888884</v>
      </c>
      <c r="E237" s="5">
        <v>20</v>
      </c>
      <c r="F237" s="8"/>
      <c r="G237" s="15" t="str">
        <f t="shared" ca="1" si="51"/>
        <v>01/22/2019-21:20</v>
      </c>
      <c r="H237" s="15" t="str">
        <f t="shared" ca="1" si="51"/>
        <v>01/22/2019-21:20</v>
      </c>
      <c r="I237" s="6" t="s">
        <v>17</v>
      </c>
      <c r="J237" s="14" t="str">
        <f>'1 basal and 1 bolus plan'!G4</f>
        <v>fd3eea4c-bcbb-4719-87b0-b9a2e7d4421f</v>
      </c>
    </row>
    <row r="238" spans="1:10" s="7" customFormat="1" ht="15.75" customHeight="1" x14ac:dyDescent="0.15">
      <c r="A238" s="6" t="s">
        <v>13</v>
      </c>
      <c r="B238" s="6"/>
      <c r="C238" s="4">
        <f ca="1">DATE(YEAR($C$2),MONTH($C$2),DAY($C$2)+60)</f>
        <v>43488</v>
      </c>
      <c r="D238" s="18">
        <v>0.27361111111111108</v>
      </c>
      <c r="E238" s="5">
        <v>69</v>
      </c>
      <c r="F238" s="8"/>
      <c r="G238" s="15" t="str">
        <f t="shared" ca="1" si="51"/>
        <v>01/23/2019-06:34</v>
      </c>
      <c r="H238" s="15" t="str">
        <f t="shared" ca="1" si="51"/>
        <v>01/23/2019-06:34</v>
      </c>
      <c r="I238" s="6" t="s">
        <v>14</v>
      </c>
      <c r="J238" s="6"/>
    </row>
    <row r="239" spans="1:10" s="7" customFormat="1" ht="15.75" customHeight="1" x14ac:dyDescent="0.15">
      <c r="A239" s="6" t="s">
        <v>18</v>
      </c>
      <c r="B239" s="6"/>
      <c r="C239" s="4">
        <f t="shared" ref="C239:C241" ca="1" si="62">DATE(YEAR($C$2),MONTH($C$2),DAY($C$2)+60)</f>
        <v>43488</v>
      </c>
      <c r="D239" s="18">
        <v>0.74305555555555547</v>
      </c>
      <c r="E239" s="5">
        <v>173</v>
      </c>
      <c r="F239" s="8"/>
      <c r="G239" s="15" t="str">
        <f t="shared" ca="1" si="51"/>
        <v>01/23/2019-17:50</v>
      </c>
      <c r="H239" s="15" t="str">
        <f t="shared" ca="1" si="51"/>
        <v>01/23/2019-17:50</v>
      </c>
      <c r="I239" s="6" t="s">
        <v>14</v>
      </c>
      <c r="J239" s="6"/>
    </row>
    <row r="240" spans="1:10" s="7" customFormat="1" ht="15.75" customHeight="1" x14ac:dyDescent="0.15">
      <c r="A240" s="6" t="s">
        <v>15</v>
      </c>
      <c r="B240" s="6" t="s">
        <v>16</v>
      </c>
      <c r="C240" s="4">
        <f t="shared" ca="1" si="62"/>
        <v>43488</v>
      </c>
      <c r="D240" s="18">
        <v>0.75624999999999998</v>
      </c>
      <c r="E240" s="5">
        <v>5</v>
      </c>
      <c r="F240" s="8"/>
      <c r="G240" s="15" t="str">
        <f t="shared" ca="1" si="51"/>
        <v>01/23/2019-18:09</v>
      </c>
      <c r="H240" s="15" t="str">
        <f t="shared" ca="1" si="51"/>
        <v>01/23/2019-18:09</v>
      </c>
      <c r="I240" s="6" t="s">
        <v>17</v>
      </c>
      <c r="J240" s="13" t="str">
        <f>'1 basal and 1 bolus plan'!G3</f>
        <v>f79d2dd6-a574-414d-aad9-859ac7c3e7b3</v>
      </c>
    </row>
    <row r="241" spans="1:10" s="7" customFormat="1" ht="15.75" customHeight="1" x14ac:dyDescent="0.15">
      <c r="A241" s="6" t="s">
        <v>15</v>
      </c>
      <c r="B241" s="6" t="s">
        <v>19</v>
      </c>
      <c r="C241" s="4">
        <f t="shared" ca="1" si="62"/>
        <v>43488</v>
      </c>
      <c r="D241" s="18">
        <v>0.8979166666666667</v>
      </c>
      <c r="E241" s="5">
        <v>21</v>
      </c>
      <c r="F241" s="8"/>
      <c r="G241" s="15" t="str">
        <f t="shared" ca="1" si="51"/>
        <v>01/23/2019-21:33</v>
      </c>
      <c r="H241" s="15" t="str">
        <f t="shared" ca="1" si="51"/>
        <v>01/23/2019-21:33</v>
      </c>
      <c r="I241" s="6" t="s">
        <v>17</v>
      </c>
      <c r="J241" s="14" t="str">
        <f>'1 basal and 1 bolus plan'!G4</f>
        <v>fd3eea4c-bcbb-4719-87b0-b9a2e7d4421f</v>
      </c>
    </row>
    <row r="242" spans="1:10" s="7" customFormat="1" ht="15.75" customHeight="1" x14ac:dyDescent="0.15">
      <c r="A242" s="6" t="s">
        <v>13</v>
      </c>
      <c r="B242" s="6"/>
      <c r="C242" s="4">
        <f ca="1">DATE(YEAR($C$2),MONTH($C$2),DAY($C$2)+61)</f>
        <v>43489</v>
      </c>
      <c r="D242" s="18">
        <v>0.27083333333333331</v>
      </c>
      <c r="E242" s="5">
        <v>74</v>
      </c>
      <c r="F242" s="8"/>
      <c r="G242" s="15" t="str">
        <f t="shared" ca="1" si="51"/>
        <v>01/24/2019-06:30</v>
      </c>
      <c r="H242" s="15" t="str">
        <f t="shared" ca="1" si="51"/>
        <v>01/24/2019-06:30</v>
      </c>
      <c r="I242" s="6" t="s">
        <v>14</v>
      </c>
      <c r="J242" s="6"/>
    </row>
    <row r="243" spans="1:10" s="7" customFormat="1" ht="15.75" customHeight="1" x14ac:dyDescent="0.15">
      <c r="A243" s="6" t="s">
        <v>18</v>
      </c>
      <c r="B243" s="6"/>
      <c r="C243" s="4">
        <f t="shared" ref="C243:C245" ca="1" si="63">DATE(YEAR($C$2),MONTH($C$2),DAY($C$2)+61)</f>
        <v>43489</v>
      </c>
      <c r="D243" s="18">
        <v>0.74097222222222225</v>
      </c>
      <c r="E243" s="5">
        <v>123</v>
      </c>
      <c r="F243" s="8"/>
      <c r="G243" s="15" t="str">
        <f t="shared" ca="1" si="51"/>
        <v>01/24/2019-17:47</v>
      </c>
      <c r="H243" s="15" t="str">
        <f t="shared" ca="1" si="51"/>
        <v>01/24/2019-17:47</v>
      </c>
      <c r="I243" s="6" t="s">
        <v>14</v>
      </c>
      <c r="J243" s="6"/>
    </row>
    <row r="244" spans="1:10" s="7" customFormat="1" ht="15.75" customHeight="1" x14ac:dyDescent="0.15">
      <c r="A244" s="6" t="s">
        <v>15</v>
      </c>
      <c r="B244" s="6" t="s">
        <v>16</v>
      </c>
      <c r="C244" s="4">
        <f t="shared" ca="1" si="63"/>
        <v>43489</v>
      </c>
      <c r="D244" s="18">
        <v>0.7583333333333333</v>
      </c>
      <c r="E244" s="5">
        <v>5</v>
      </c>
      <c r="F244" s="8"/>
      <c r="G244" s="15" t="str">
        <f t="shared" ca="1" si="51"/>
        <v>01/24/2019-18:12</v>
      </c>
      <c r="H244" s="15" t="str">
        <f t="shared" ca="1" si="51"/>
        <v>01/24/2019-18:12</v>
      </c>
      <c r="I244" s="6" t="s">
        <v>17</v>
      </c>
      <c r="J244" s="13" t="str">
        <f>'1 basal and 1 bolus plan'!G3</f>
        <v>f79d2dd6-a574-414d-aad9-859ac7c3e7b3</v>
      </c>
    </row>
    <row r="245" spans="1:10" s="7" customFormat="1" ht="15.75" customHeight="1" x14ac:dyDescent="0.15">
      <c r="A245" s="6" t="s">
        <v>15</v>
      </c>
      <c r="B245" s="6" t="s">
        <v>19</v>
      </c>
      <c r="C245" s="4">
        <f t="shared" ca="1" si="63"/>
        <v>43489</v>
      </c>
      <c r="D245" s="18">
        <v>0.8979166666666667</v>
      </c>
      <c r="E245" s="5">
        <v>20</v>
      </c>
      <c r="F245" s="8"/>
      <c r="G245" s="15" t="str">
        <f t="shared" ca="1" si="51"/>
        <v>01/24/2019-21:33</v>
      </c>
      <c r="H245" s="15" t="str">
        <f t="shared" ca="1" si="51"/>
        <v>01/24/2019-21:33</v>
      </c>
      <c r="I245" s="6" t="s">
        <v>17</v>
      </c>
      <c r="J245" s="14" t="str">
        <f>'1 basal and 1 bolus plan'!G4</f>
        <v>fd3eea4c-bcbb-4719-87b0-b9a2e7d4421f</v>
      </c>
    </row>
    <row r="246" spans="1:10" s="7" customFormat="1" ht="15.75" customHeight="1" x14ac:dyDescent="0.15">
      <c r="A246" s="6" t="s">
        <v>13</v>
      </c>
      <c r="B246" s="6"/>
      <c r="C246" s="4">
        <f ca="1">DATE(YEAR($C$2),MONTH($C$2),DAY($C$2)+62)</f>
        <v>43490</v>
      </c>
      <c r="D246" s="18">
        <v>0.27083333333333331</v>
      </c>
      <c r="E246" s="5">
        <v>112</v>
      </c>
      <c r="F246" s="8"/>
      <c r="G246" s="15" t="str">
        <f t="shared" ca="1" si="51"/>
        <v>01/25/2019-06:30</v>
      </c>
      <c r="H246" s="15" t="str">
        <f t="shared" ca="1" si="51"/>
        <v>01/25/2019-06:30</v>
      </c>
      <c r="I246" s="6" t="s">
        <v>14</v>
      </c>
      <c r="J246" s="6"/>
    </row>
    <row r="247" spans="1:10" s="7" customFormat="1" ht="15.75" customHeight="1" x14ac:dyDescent="0.15">
      <c r="A247" s="6" t="s">
        <v>18</v>
      </c>
      <c r="B247" s="6"/>
      <c r="C247" s="4">
        <f t="shared" ref="C247:C249" ca="1" si="64">DATE(YEAR($C$2),MONTH($C$2),DAY($C$2)+62)</f>
        <v>43490</v>
      </c>
      <c r="D247" s="18">
        <v>0.74097222222222225</v>
      </c>
      <c r="E247" s="5">
        <v>83</v>
      </c>
      <c r="F247" s="8"/>
      <c r="G247" s="15" t="str">
        <f t="shared" ca="1" si="51"/>
        <v>01/25/2019-17:47</v>
      </c>
      <c r="H247" s="15" t="str">
        <f t="shared" ca="1" si="51"/>
        <v>01/25/2019-17:47</v>
      </c>
      <c r="I247" s="6" t="s">
        <v>14</v>
      </c>
      <c r="J247" s="6"/>
    </row>
    <row r="248" spans="1:10" s="7" customFormat="1" ht="15.75" customHeight="1" x14ac:dyDescent="0.15">
      <c r="A248" s="6" t="s">
        <v>15</v>
      </c>
      <c r="B248" s="6" t="s">
        <v>16</v>
      </c>
      <c r="C248" s="4">
        <f t="shared" ca="1" si="64"/>
        <v>43490</v>
      </c>
      <c r="D248" s="18">
        <v>0.75624999999999998</v>
      </c>
      <c r="E248" s="5">
        <v>5</v>
      </c>
      <c r="F248" s="8"/>
      <c r="G248" s="15" t="str">
        <f t="shared" ca="1" si="51"/>
        <v>01/25/2019-18:09</v>
      </c>
      <c r="H248" s="15" t="str">
        <f t="shared" ca="1" si="51"/>
        <v>01/25/2019-18:09</v>
      </c>
      <c r="I248" s="6" t="s">
        <v>17</v>
      </c>
      <c r="J248" s="13" t="str">
        <f>'1 basal and 1 bolus plan'!G3</f>
        <v>f79d2dd6-a574-414d-aad9-859ac7c3e7b3</v>
      </c>
    </row>
    <row r="249" spans="1:10" s="7" customFormat="1" ht="15.75" customHeight="1" x14ac:dyDescent="0.15">
      <c r="A249" s="6" t="s">
        <v>15</v>
      </c>
      <c r="B249" s="6" t="s">
        <v>19</v>
      </c>
      <c r="C249" s="4">
        <f t="shared" ca="1" si="64"/>
        <v>43490</v>
      </c>
      <c r="D249" s="18">
        <v>0.88958333333333339</v>
      </c>
      <c r="E249" s="5">
        <v>20</v>
      </c>
      <c r="F249" s="8"/>
      <c r="G249" s="15" t="str">
        <f t="shared" ca="1" si="51"/>
        <v>01/25/2019-21:21</v>
      </c>
      <c r="H249" s="15" t="str">
        <f t="shared" ca="1" si="51"/>
        <v>01/25/2019-21:21</v>
      </c>
      <c r="I249" s="6" t="s">
        <v>17</v>
      </c>
      <c r="J249" s="14" t="str">
        <f>'1 basal and 1 bolus plan'!G4</f>
        <v>fd3eea4c-bcbb-4719-87b0-b9a2e7d4421f</v>
      </c>
    </row>
    <row r="250" spans="1:10" s="7" customFormat="1" ht="15.75" customHeight="1" x14ac:dyDescent="0.15">
      <c r="A250" s="6" t="s">
        <v>13</v>
      </c>
      <c r="B250" s="6"/>
      <c r="C250" s="4">
        <f ca="1">DATE(YEAR($C$2),MONTH($C$2),DAY($C$2)+63)</f>
        <v>43491</v>
      </c>
      <c r="D250" s="18">
        <v>0.28541666666666665</v>
      </c>
      <c r="E250" s="5">
        <v>67</v>
      </c>
      <c r="F250" s="8"/>
      <c r="G250" s="15" t="str">
        <f t="shared" ca="1" si="51"/>
        <v>01/26/2019-06:51</v>
      </c>
      <c r="H250" s="15" t="str">
        <f t="shared" ca="1" si="51"/>
        <v>01/26/2019-06:51</v>
      </c>
      <c r="I250" s="6" t="s">
        <v>14</v>
      </c>
      <c r="J250" s="6"/>
    </row>
    <row r="251" spans="1:10" s="7" customFormat="1" ht="15.75" customHeight="1" x14ac:dyDescent="0.15">
      <c r="A251" s="6" t="s">
        <v>18</v>
      </c>
      <c r="B251" s="6"/>
      <c r="C251" s="4">
        <f t="shared" ref="C251:C253" ca="1" si="65">DATE(YEAR($C$2),MONTH($C$2),DAY($C$2)+63)</f>
        <v>43491</v>
      </c>
      <c r="D251" s="18">
        <v>0.74097222222222225</v>
      </c>
      <c r="E251" s="5">
        <v>152</v>
      </c>
      <c r="F251" s="8"/>
      <c r="G251" s="15" t="str">
        <f t="shared" ca="1" si="51"/>
        <v>01/26/2019-17:47</v>
      </c>
      <c r="H251" s="15" t="str">
        <f t="shared" ca="1" si="51"/>
        <v>01/26/2019-17:47</v>
      </c>
      <c r="I251" s="6" t="s">
        <v>14</v>
      </c>
      <c r="J251" s="6"/>
    </row>
    <row r="252" spans="1:10" s="7" customFormat="1" ht="15.75" customHeight="1" x14ac:dyDescent="0.15">
      <c r="A252" s="6" t="s">
        <v>15</v>
      </c>
      <c r="B252" s="6" t="s">
        <v>16</v>
      </c>
      <c r="C252" s="4">
        <f t="shared" ca="1" si="65"/>
        <v>43491</v>
      </c>
      <c r="D252" s="18">
        <v>0.75624999999999998</v>
      </c>
      <c r="E252" s="5">
        <v>6</v>
      </c>
      <c r="F252" s="8"/>
      <c r="G252" s="15" t="str">
        <f t="shared" ca="1" si="51"/>
        <v>01/26/2019-18:09</v>
      </c>
      <c r="H252" s="15" t="str">
        <f t="shared" ca="1" si="51"/>
        <v>01/26/2019-18:09</v>
      </c>
      <c r="I252" s="6" t="s">
        <v>17</v>
      </c>
      <c r="J252" s="13" t="str">
        <f>'1 basal and 1 bolus plan'!G3</f>
        <v>f79d2dd6-a574-414d-aad9-859ac7c3e7b3</v>
      </c>
    </row>
    <row r="253" spans="1:10" s="7" customFormat="1" ht="15.75" customHeight="1" x14ac:dyDescent="0.15">
      <c r="A253" s="6" t="s">
        <v>15</v>
      </c>
      <c r="B253" s="6" t="s">
        <v>19</v>
      </c>
      <c r="C253" s="4">
        <f t="shared" ca="1" si="65"/>
        <v>43491</v>
      </c>
      <c r="D253" s="18">
        <v>0.88958333333333339</v>
      </c>
      <c r="E253" s="5">
        <v>23</v>
      </c>
      <c r="F253" s="8"/>
      <c r="G253" s="15" t="str">
        <f t="shared" ca="1" si="51"/>
        <v>01/26/2019-21:21</v>
      </c>
      <c r="H253" s="15" t="str">
        <f t="shared" ca="1" si="51"/>
        <v>01/26/2019-21:21</v>
      </c>
      <c r="I253" s="6" t="s">
        <v>17</v>
      </c>
      <c r="J253" s="14" t="str">
        <f>'1 basal and 1 bolus plan'!G4</f>
        <v>fd3eea4c-bcbb-4719-87b0-b9a2e7d4421f</v>
      </c>
    </row>
    <row r="254" spans="1:10" s="7" customFormat="1" ht="15.75" customHeight="1" x14ac:dyDescent="0.15">
      <c r="A254" s="6" t="s">
        <v>13</v>
      </c>
      <c r="B254" s="6"/>
      <c r="C254" s="4">
        <f ca="1">DATE(YEAR($C$2),MONTH($C$2),DAY($C$2)+64)</f>
        <v>43492</v>
      </c>
      <c r="D254" s="18">
        <v>0.27083333333333331</v>
      </c>
      <c r="E254" s="5">
        <v>72</v>
      </c>
      <c r="F254" s="8"/>
      <c r="G254" s="15" t="str">
        <f t="shared" ca="1" si="51"/>
        <v>01/27/2019-06:30</v>
      </c>
      <c r="H254" s="15" t="str">
        <f t="shared" ca="1" si="51"/>
        <v>01/27/2019-06:30</v>
      </c>
      <c r="I254" s="6" t="s">
        <v>14</v>
      </c>
      <c r="J254" s="6"/>
    </row>
    <row r="255" spans="1:10" s="7" customFormat="1" ht="15.75" customHeight="1" x14ac:dyDescent="0.15">
      <c r="A255" s="6" t="s">
        <v>18</v>
      </c>
      <c r="B255" s="6"/>
      <c r="C255" s="4">
        <f t="shared" ref="C255:C257" ca="1" si="66">DATE(YEAR($C$2),MONTH($C$2),DAY($C$2)+64)</f>
        <v>43492</v>
      </c>
      <c r="D255" s="18">
        <v>0.70833333333333337</v>
      </c>
      <c r="E255" s="5">
        <v>132</v>
      </c>
      <c r="F255" s="8"/>
      <c r="G255" s="15" t="str">
        <f t="shared" ca="1" si="51"/>
        <v>01/27/2019-17:00</v>
      </c>
      <c r="H255" s="15" t="str">
        <f t="shared" ca="1" si="51"/>
        <v>01/27/2019-17:00</v>
      </c>
      <c r="I255" s="6" t="s">
        <v>14</v>
      </c>
      <c r="J255" s="6"/>
    </row>
    <row r="256" spans="1:10" s="7" customFormat="1" ht="15.75" customHeight="1" x14ac:dyDescent="0.15">
      <c r="A256" s="6" t="s">
        <v>15</v>
      </c>
      <c r="B256" s="6" t="s">
        <v>16</v>
      </c>
      <c r="C256" s="4">
        <f t="shared" ca="1" si="66"/>
        <v>43492</v>
      </c>
      <c r="D256" s="18">
        <v>0.73958333333333337</v>
      </c>
      <c r="E256" s="5">
        <v>5</v>
      </c>
      <c r="F256" s="8"/>
      <c r="G256" s="15" t="str">
        <f t="shared" ca="1" si="51"/>
        <v>01/27/2019-17:45</v>
      </c>
      <c r="H256" s="15" t="str">
        <f t="shared" ca="1" si="51"/>
        <v>01/27/2019-17:45</v>
      </c>
      <c r="I256" s="6" t="s">
        <v>17</v>
      </c>
      <c r="J256" s="13" t="str">
        <f>'1 basal and 1 bolus plan'!G3</f>
        <v>f79d2dd6-a574-414d-aad9-859ac7c3e7b3</v>
      </c>
    </row>
    <row r="257" spans="1:10" s="7" customFormat="1" ht="15.75" customHeight="1" x14ac:dyDescent="0.15">
      <c r="A257" s="6" t="s">
        <v>15</v>
      </c>
      <c r="B257" s="6" t="s">
        <v>19</v>
      </c>
      <c r="C257" s="4">
        <f t="shared" ca="1" si="66"/>
        <v>43492</v>
      </c>
      <c r="D257" s="18">
        <v>0.88958333333333339</v>
      </c>
      <c r="E257" s="5">
        <v>20</v>
      </c>
      <c r="F257" s="8"/>
      <c r="G257" s="15" t="str">
        <f t="shared" ca="1" si="51"/>
        <v>01/27/2019-21:21</v>
      </c>
      <c r="H257" s="15" t="str">
        <f t="shared" ca="1" si="51"/>
        <v>01/27/2019-21:21</v>
      </c>
      <c r="I257" s="6" t="s">
        <v>17</v>
      </c>
      <c r="J257" s="14" t="str">
        <f>'1 basal and 1 bolus plan'!G4</f>
        <v>fd3eea4c-bcbb-4719-87b0-b9a2e7d4421f</v>
      </c>
    </row>
    <row r="258" spans="1:10" s="7" customFormat="1" ht="13" x14ac:dyDescent="0.15">
      <c r="A258" s="6" t="s">
        <v>13</v>
      </c>
      <c r="B258" s="6"/>
      <c r="C258" s="4">
        <f ca="1">DATE(YEAR($C$2),MONTH($C$2),DAY($C$2)+66)</f>
        <v>43494</v>
      </c>
      <c r="D258" s="19">
        <v>0.34791666666666665</v>
      </c>
      <c r="E258" s="5">
        <v>86</v>
      </c>
      <c r="F258" s="9"/>
      <c r="G258" s="15" t="str">
        <f t="shared" ca="1" si="51"/>
        <v>01/29/2019-08:21</v>
      </c>
      <c r="H258" s="15" t="str">
        <f t="shared" ca="1" si="51"/>
        <v>01/29/2019-08:21</v>
      </c>
      <c r="I258" s="6" t="s">
        <v>14</v>
      </c>
      <c r="J258" s="6"/>
    </row>
    <row r="259" spans="1:10" s="7" customFormat="1" ht="13" x14ac:dyDescent="0.15">
      <c r="A259" s="6" t="s">
        <v>18</v>
      </c>
      <c r="B259" s="6"/>
      <c r="C259" s="4">
        <f t="shared" ref="C259:C261" ca="1" si="67">DATE(YEAR($C$2),MONTH($C$2),DAY($C$2)+66)</f>
        <v>43494</v>
      </c>
      <c r="D259" s="18">
        <v>0.71736111111111101</v>
      </c>
      <c r="E259" s="5">
        <v>210</v>
      </c>
      <c r="F259" s="10"/>
      <c r="G259" s="15" t="str">
        <f t="shared" ref="G259:H312" ca="1" si="68">TEXT(DATE(YEAR($C259),MONTH($C259),DAY($C259)),"mm/dd/yyyy")&amp;"-"&amp;TEXT($D259,  "hh:mm")</f>
        <v>01/29/2019-17:13</v>
      </c>
      <c r="H259" s="15" t="str">
        <f t="shared" ca="1" si="68"/>
        <v>01/29/2019-17:13</v>
      </c>
      <c r="I259" s="6" t="s">
        <v>14</v>
      </c>
      <c r="J259" s="6"/>
    </row>
    <row r="260" spans="1:10" s="7" customFormat="1" ht="15.75" customHeight="1" x14ac:dyDescent="0.15">
      <c r="A260" s="6" t="s">
        <v>15</v>
      </c>
      <c r="B260" s="6" t="s">
        <v>16</v>
      </c>
      <c r="C260" s="4">
        <f t="shared" ca="1" si="67"/>
        <v>43494</v>
      </c>
      <c r="D260" s="18">
        <v>0.73958333333333337</v>
      </c>
      <c r="E260" s="5">
        <v>10</v>
      </c>
      <c r="F260" s="8"/>
      <c r="G260" s="15" t="str">
        <f t="shared" ca="1" si="68"/>
        <v>01/29/2019-17:45</v>
      </c>
      <c r="H260" s="15" t="str">
        <f t="shared" ca="1" si="68"/>
        <v>01/29/2019-17:45</v>
      </c>
      <c r="I260" s="6" t="s">
        <v>17</v>
      </c>
      <c r="J260" s="13" t="str">
        <f>'1 basal and 1 bolus plan'!G3</f>
        <v>f79d2dd6-a574-414d-aad9-859ac7c3e7b3</v>
      </c>
    </row>
    <row r="261" spans="1:10" s="7" customFormat="1" ht="15.75" customHeight="1" x14ac:dyDescent="0.15">
      <c r="A261" s="6" t="s">
        <v>15</v>
      </c>
      <c r="B261" s="6" t="s">
        <v>19</v>
      </c>
      <c r="C261" s="4">
        <f t="shared" ca="1" si="67"/>
        <v>43494</v>
      </c>
      <c r="D261" s="18">
        <v>0.89583333333333337</v>
      </c>
      <c r="E261" s="5">
        <v>20</v>
      </c>
      <c r="F261" s="8"/>
      <c r="G261" s="15" t="str">
        <f t="shared" ca="1" si="68"/>
        <v>01/29/2019-21:30</v>
      </c>
      <c r="H261" s="15" t="str">
        <f t="shared" ca="1" si="68"/>
        <v>01/29/2019-21:30</v>
      </c>
      <c r="I261" s="6" t="s">
        <v>17</v>
      </c>
      <c r="J261" s="14" t="str">
        <f>'1 basal and 1 bolus plan'!G4</f>
        <v>fd3eea4c-bcbb-4719-87b0-b9a2e7d4421f</v>
      </c>
    </row>
    <row r="262" spans="1:10" s="7" customFormat="1" ht="13" x14ac:dyDescent="0.15">
      <c r="A262" s="6" t="s">
        <v>13</v>
      </c>
      <c r="B262" s="6"/>
      <c r="C262" s="4">
        <f ca="1">DATE(YEAR($C$2),MONTH($C$2),DAY($C$2)+67)</f>
        <v>43495</v>
      </c>
      <c r="D262" s="19">
        <v>0.2722222222222222</v>
      </c>
      <c r="E262" s="5">
        <v>113</v>
      </c>
      <c r="F262" s="9"/>
      <c r="G262" s="15" t="str">
        <f t="shared" ca="1" si="68"/>
        <v>01/30/2019-06:32</v>
      </c>
      <c r="H262" s="15" t="str">
        <f t="shared" ca="1" si="68"/>
        <v>01/30/2019-06:32</v>
      </c>
      <c r="I262" s="6" t="s">
        <v>14</v>
      </c>
      <c r="J262" s="6"/>
    </row>
    <row r="263" spans="1:10" s="7" customFormat="1" ht="13" x14ac:dyDescent="0.15">
      <c r="A263" s="6" t="s">
        <v>18</v>
      </c>
      <c r="B263" s="6"/>
      <c r="C263" s="4">
        <f t="shared" ref="C263:C266" ca="1" si="69">DATE(YEAR($C$2),MONTH($C$2),DAY($C$2)+67)</f>
        <v>43495</v>
      </c>
      <c r="D263" s="18">
        <v>0.72777777777777775</v>
      </c>
      <c r="E263" s="5">
        <v>176</v>
      </c>
      <c r="F263" s="10"/>
      <c r="G263" s="15" t="str">
        <f t="shared" ca="1" si="68"/>
        <v>01/30/2019-17:28</v>
      </c>
      <c r="H263" s="15" t="str">
        <f t="shared" ca="1" si="68"/>
        <v>01/30/2019-17:28</v>
      </c>
      <c r="I263" s="6" t="s">
        <v>14</v>
      </c>
      <c r="J263" s="6"/>
    </row>
    <row r="264" spans="1:10" s="7" customFormat="1" ht="15.75" customHeight="1" x14ac:dyDescent="0.15">
      <c r="A264" s="6" t="s">
        <v>15</v>
      </c>
      <c r="B264" s="6" t="s">
        <v>16</v>
      </c>
      <c r="C264" s="4">
        <f t="shared" ca="1" si="69"/>
        <v>43495</v>
      </c>
      <c r="D264" s="18">
        <v>0.74791666666666667</v>
      </c>
      <c r="E264" s="5">
        <v>2</v>
      </c>
      <c r="F264" s="8"/>
      <c r="G264" s="15" t="str">
        <f t="shared" ca="1" si="68"/>
        <v>01/30/2019-17:57</v>
      </c>
      <c r="H264" s="15" t="str">
        <f t="shared" ca="1" si="68"/>
        <v>01/30/2019-17:57</v>
      </c>
      <c r="I264" s="6" t="s">
        <v>17</v>
      </c>
      <c r="J264" s="13" t="str">
        <f>'1 basal and 1 bolus plan'!G3</f>
        <v>f79d2dd6-a574-414d-aad9-859ac7c3e7b3</v>
      </c>
    </row>
    <row r="265" spans="1:10" s="7" customFormat="1" ht="15.75" customHeight="1" x14ac:dyDescent="0.15">
      <c r="A265" s="6" t="s">
        <v>15</v>
      </c>
      <c r="B265" s="6" t="s">
        <v>16</v>
      </c>
      <c r="C265" s="4">
        <f t="shared" ca="1" si="69"/>
        <v>43495</v>
      </c>
      <c r="D265" s="18">
        <v>0.74930555555555556</v>
      </c>
      <c r="E265" s="5">
        <v>5</v>
      </c>
      <c r="F265" s="8"/>
      <c r="G265" s="15" t="str">
        <f t="shared" ca="1" si="68"/>
        <v>01/30/2019-17:59</v>
      </c>
      <c r="H265" s="15" t="str">
        <f t="shared" ca="1" si="68"/>
        <v>01/30/2019-17:59</v>
      </c>
      <c r="I265" s="6" t="s">
        <v>17</v>
      </c>
      <c r="J265" s="13" t="str">
        <f>'1 basal and 1 bolus plan'!G3</f>
        <v>f79d2dd6-a574-414d-aad9-859ac7c3e7b3</v>
      </c>
    </row>
    <row r="266" spans="1:10" s="7" customFormat="1" ht="15.75" customHeight="1" x14ac:dyDescent="0.15">
      <c r="A266" s="6" t="s">
        <v>15</v>
      </c>
      <c r="B266" s="6" t="s">
        <v>19</v>
      </c>
      <c r="C266" s="4">
        <f t="shared" ca="1" si="69"/>
        <v>43495</v>
      </c>
      <c r="D266" s="18">
        <v>0.92638888888888893</v>
      </c>
      <c r="E266" s="5">
        <v>20</v>
      </c>
      <c r="F266" s="8"/>
      <c r="G266" s="15" t="str">
        <f t="shared" ca="1" si="68"/>
        <v>01/30/2019-22:14</v>
      </c>
      <c r="H266" s="15" t="str">
        <f t="shared" ca="1" si="68"/>
        <v>01/30/2019-22:14</v>
      </c>
      <c r="I266" s="6" t="s">
        <v>17</v>
      </c>
      <c r="J266" s="14" t="str">
        <f>'1 basal and 1 bolus plan'!G4</f>
        <v>fd3eea4c-bcbb-4719-87b0-b9a2e7d4421f</v>
      </c>
    </row>
    <row r="267" spans="1:10" s="7" customFormat="1" ht="13" x14ac:dyDescent="0.15">
      <c r="A267" s="6" t="s">
        <v>13</v>
      </c>
      <c r="B267" s="6"/>
      <c r="C267" s="4">
        <f ca="1">DATE(YEAR($C$2),MONTH($C$2),DAY($C$2)+68)</f>
        <v>43496</v>
      </c>
      <c r="D267" s="19">
        <v>0.24236111111111111</v>
      </c>
      <c r="E267" s="5">
        <v>78</v>
      </c>
      <c r="F267" s="9"/>
      <c r="G267" s="15" t="str">
        <f t="shared" ca="1" si="68"/>
        <v>01/31/2019-05:49</v>
      </c>
      <c r="H267" s="15" t="str">
        <f t="shared" ca="1" si="68"/>
        <v>01/31/2019-05:49</v>
      </c>
      <c r="I267" s="6" t="s">
        <v>14</v>
      </c>
      <c r="J267" s="6"/>
    </row>
    <row r="268" spans="1:10" s="7" customFormat="1" ht="13" x14ac:dyDescent="0.15">
      <c r="A268" s="6" t="s">
        <v>18</v>
      </c>
      <c r="B268" s="6"/>
      <c r="C268" s="4">
        <f t="shared" ref="C268:C270" ca="1" si="70">DATE(YEAR($C$2),MONTH($C$2),DAY($C$2)+68)</f>
        <v>43496</v>
      </c>
      <c r="D268" s="18">
        <v>0.71666666666666667</v>
      </c>
      <c r="E268" s="5">
        <v>189</v>
      </c>
      <c r="F268" s="10"/>
      <c r="G268" s="15" t="str">
        <f t="shared" ca="1" si="68"/>
        <v>01/31/2019-17:12</v>
      </c>
      <c r="H268" s="15" t="str">
        <f t="shared" ca="1" si="68"/>
        <v>01/31/2019-17:12</v>
      </c>
      <c r="I268" s="6" t="s">
        <v>14</v>
      </c>
      <c r="J268" s="6"/>
    </row>
    <row r="269" spans="1:10" s="7" customFormat="1" ht="15.75" customHeight="1" x14ac:dyDescent="0.15">
      <c r="A269" s="6" t="s">
        <v>15</v>
      </c>
      <c r="B269" s="6" t="s">
        <v>16</v>
      </c>
      <c r="C269" s="4">
        <f t="shared" ca="1" si="70"/>
        <v>43496</v>
      </c>
      <c r="D269" s="18">
        <v>0.75069444444444444</v>
      </c>
      <c r="E269" s="5">
        <v>5</v>
      </c>
      <c r="F269" s="8"/>
      <c r="G269" s="15" t="str">
        <f t="shared" ca="1" si="68"/>
        <v>01/31/2019-18:01</v>
      </c>
      <c r="H269" s="15" t="str">
        <f t="shared" ca="1" si="68"/>
        <v>01/31/2019-18:01</v>
      </c>
      <c r="I269" s="6" t="s">
        <v>17</v>
      </c>
      <c r="J269" s="13" t="str">
        <f>'1 basal and 1 bolus plan'!G3</f>
        <v>f79d2dd6-a574-414d-aad9-859ac7c3e7b3</v>
      </c>
    </row>
    <row r="270" spans="1:10" s="7" customFormat="1" ht="15.75" customHeight="1" x14ac:dyDescent="0.15">
      <c r="A270" s="6" t="s">
        <v>15</v>
      </c>
      <c r="B270" s="6" t="s">
        <v>19</v>
      </c>
      <c r="C270" s="4">
        <f t="shared" ca="1" si="70"/>
        <v>43496</v>
      </c>
      <c r="D270" s="18">
        <v>0.90902777777777777</v>
      </c>
      <c r="E270" s="5">
        <v>20</v>
      </c>
      <c r="F270" s="8"/>
      <c r="G270" s="15" t="str">
        <f t="shared" ca="1" si="68"/>
        <v>01/31/2019-21:49</v>
      </c>
      <c r="H270" s="15" t="str">
        <f t="shared" ca="1" si="68"/>
        <v>01/31/2019-21:49</v>
      </c>
      <c r="I270" s="6" t="s">
        <v>17</v>
      </c>
      <c r="J270" s="14" t="str">
        <f>'1 basal and 1 bolus plan'!G4</f>
        <v>fd3eea4c-bcbb-4719-87b0-b9a2e7d4421f</v>
      </c>
    </row>
    <row r="271" spans="1:10" s="7" customFormat="1" ht="13" x14ac:dyDescent="0.15">
      <c r="A271" s="6" t="s">
        <v>13</v>
      </c>
      <c r="B271" s="6"/>
      <c r="C271" s="4">
        <f ca="1">DATE(YEAR($C$2),MONTH($C$2),DAY($C$2)+69)</f>
        <v>43497</v>
      </c>
      <c r="D271" s="19">
        <v>0.27152777777777776</v>
      </c>
      <c r="E271" s="5">
        <v>91</v>
      </c>
      <c r="F271" s="9"/>
      <c r="G271" s="15" t="str">
        <f t="shared" ca="1" si="68"/>
        <v>02/01/2019-06:31</v>
      </c>
      <c r="H271" s="15" t="str">
        <f t="shared" ca="1" si="68"/>
        <v>02/01/2019-06:31</v>
      </c>
      <c r="I271" s="6" t="s">
        <v>14</v>
      </c>
      <c r="J271" s="6"/>
    </row>
    <row r="272" spans="1:10" s="7" customFormat="1" ht="13" x14ac:dyDescent="0.15">
      <c r="A272" s="6" t="s">
        <v>18</v>
      </c>
      <c r="B272" s="6"/>
      <c r="C272" s="4">
        <f t="shared" ref="C272:C274" ca="1" si="71">DATE(YEAR($C$2),MONTH($C$2),DAY($C$2)+69)</f>
        <v>43497</v>
      </c>
      <c r="D272" s="18">
        <v>0.74722222222222223</v>
      </c>
      <c r="E272" s="5">
        <v>212</v>
      </c>
      <c r="F272" s="10"/>
      <c r="G272" s="15" t="str">
        <f t="shared" ca="1" si="68"/>
        <v>02/01/2019-17:56</v>
      </c>
      <c r="H272" s="15" t="str">
        <f t="shared" ca="1" si="68"/>
        <v>02/01/2019-17:56</v>
      </c>
      <c r="I272" s="6" t="s">
        <v>14</v>
      </c>
      <c r="J272" s="6"/>
    </row>
    <row r="273" spans="1:10" s="7" customFormat="1" ht="15.75" customHeight="1" x14ac:dyDescent="0.15">
      <c r="A273" s="6" t="s">
        <v>15</v>
      </c>
      <c r="B273" s="6" t="s">
        <v>16</v>
      </c>
      <c r="C273" s="4">
        <f t="shared" ca="1" si="71"/>
        <v>43497</v>
      </c>
      <c r="D273" s="18">
        <v>0.73819444444444438</v>
      </c>
      <c r="E273" s="5">
        <v>5</v>
      </c>
      <c r="F273" s="8"/>
      <c r="G273" s="15" t="str">
        <f t="shared" ca="1" si="68"/>
        <v>02/01/2019-17:43</v>
      </c>
      <c r="H273" s="15" t="str">
        <f t="shared" ca="1" si="68"/>
        <v>02/01/2019-17:43</v>
      </c>
      <c r="I273" s="6" t="s">
        <v>17</v>
      </c>
      <c r="J273" s="13" t="str">
        <f>'1 basal and 1 bolus plan'!G3</f>
        <v>f79d2dd6-a574-414d-aad9-859ac7c3e7b3</v>
      </c>
    </row>
    <row r="274" spans="1:10" s="7" customFormat="1" ht="15.75" customHeight="1" x14ac:dyDescent="0.15">
      <c r="A274" s="6" t="s">
        <v>15</v>
      </c>
      <c r="B274" s="6" t="s">
        <v>19</v>
      </c>
      <c r="C274" s="4">
        <f t="shared" ca="1" si="71"/>
        <v>43497</v>
      </c>
      <c r="D274" s="18">
        <v>0.91111111111111109</v>
      </c>
      <c r="E274" s="5">
        <v>20</v>
      </c>
      <c r="F274" s="8"/>
      <c r="G274" s="15" t="str">
        <f t="shared" ca="1" si="68"/>
        <v>02/01/2019-21:52</v>
      </c>
      <c r="H274" s="15" t="str">
        <f t="shared" ca="1" si="68"/>
        <v>02/01/2019-21:52</v>
      </c>
      <c r="I274" s="6" t="s">
        <v>17</v>
      </c>
      <c r="J274" s="14" t="str">
        <f>'1 basal and 1 bolus plan'!G4</f>
        <v>fd3eea4c-bcbb-4719-87b0-b9a2e7d4421f</v>
      </c>
    </row>
    <row r="275" spans="1:10" s="7" customFormat="1" ht="13" x14ac:dyDescent="0.15">
      <c r="A275" s="6" t="s">
        <v>13</v>
      </c>
      <c r="B275" s="6"/>
      <c r="C275" s="4">
        <f ca="1">DATE(YEAR($C$2),MONTH($C$2),DAY($C$2)+70)</f>
        <v>43498</v>
      </c>
      <c r="D275" s="19">
        <v>0.27083333333333331</v>
      </c>
      <c r="E275" s="5">
        <v>129</v>
      </c>
      <c r="F275" s="9"/>
      <c r="G275" s="15" t="str">
        <f t="shared" ca="1" si="68"/>
        <v>02/02/2019-06:30</v>
      </c>
      <c r="H275" s="15" t="str">
        <f t="shared" ca="1" si="68"/>
        <v>02/02/2019-06:30</v>
      </c>
      <c r="I275" s="6" t="s">
        <v>14</v>
      </c>
      <c r="J275" s="6"/>
    </row>
    <row r="276" spans="1:10" s="7" customFormat="1" ht="15.75" customHeight="1" x14ac:dyDescent="0.15">
      <c r="A276" s="6" t="s">
        <v>15</v>
      </c>
      <c r="B276" s="6" t="s">
        <v>19</v>
      </c>
      <c r="C276" s="4">
        <f t="shared" ref="C276" ca="1" si="72">DATE(YEAR($C$2),MONTH($C$2),DAY($C$2)+70)</f>
        <v>43498</v>
      </c>
      <c r="D276" s="18">
        <v>0.91041666666666676</v>
      </c>
      <c r="E276" s="5">
        <v>20</v>
      </c>
      <c r="F276" s="8"/>
      <c r="G276" s="15" t="str">
        <f t="shared" ca="1" si="68"/>
        <v>02/02/2019-21:51</v>
      </c>
      <c r="H276" s="15" t="str">
        <f t="shared" ca="1" si="68"/>
        <v>02/02/2019-21:51</v>
      </c>
      <c r="I276" s="6" t="s">
        <v>17</v>
      </c>
      <c r="J276" s="14" t="str">
        <f>'1 basal and 1 bolus plan'!G4</f>
        <v>fd3eea4c-bcbb-4719-87b0-b9a2e7d4421f</v>
      </c>
    </row>
    <row r="277" spans="1:10" s="7" customFormat="1" ht="13" x14ac:dyDescent="0.15">
      <c r="A277" s="6" t="s">
        <v>13</v>
      </c>
      <c r="B277" s="6"/>
      <c r="C277" s="4">
        <f ca="1">DATE(YEAR($C$2),MONTH($C$2),DAY($C$2)+71)</f>
        <v>43499</v>
      </c>
      <c r="D277" s="19">
        <v>0.28333333333333333</v>
      </c>
      <c r="E277" s="5">
        <v>226</v>
      </c>
      <c r="F277" s="9"/>
      <c r="G277" s="15" t="str">
        <f t="shared" ca="1" si="68"/>
        <v>02/03/2019-06:48</v>
      </c>
      <c r="H277" s="15" t="str">
        <f t="shared" ca="1" si="68"/>
        <v>02/03/2019-06:48</v>
      </c>
      <c r="I277" s="6" t="s">
        <v>14</v>
      </c>
      <c r="J277" s="6"/>
    </row>
    <row r="278" spans="1:10" s="7" customFormat="1" ht="13" x14ac:dyDescent="0.15">
      <c r="A278" s="6" t="s">
        <v>18</v>
      </c>
      <c r="B278" s="6"/>
      <c r="C278" s="4">
        <f t="shared" ref="C278:C280" ca="1" si="73">DATE(YEAR($C$2),MONTH($C$2),DAY($C$2)+71)</f>
        <v>43499</v>
      </c>
      <c r="D278" s="18">
        <v>0.7416666666666667</v>
      </c>
      <c r="E278" s="5">
        <v>212</v>
      </c>
      <c r="F278" s="10"/>
      <c r="G278" s="15" t="str">
        <f t="shared" ca="1" si="68"/>
        <v>02/03/2019-17:48</v>
      </c>
      <c r="H278" s="15" t="str">
        <f t="shared" ca="1" si="68"/>
        <v>02/03/2019-17:48</v>
      </c>
      <c r="I278" s="6" t="s">
        <v>14</v>
      </c>
      <c r="J278" s="6"/>
    </row>
    <row r="279" spans="1:10" s="7" customFormat="1" ht="15.75" customHeight="1" x14ac:dyDescent="0.15">
      <c r="A279" s="6" t="s">
        <v>15</v>
      </c>
      <c r="B279" s="6" t="s">
        <v>16</v>
      </c>
      <c r="C279" s="4">
        <f t="shared" ca="1" si="73"/>
        <v>43499</v>
      </c>
      <c r="D279" s="18">
        <v>0.71597222222222223</v>
      </c>
      <c r="E279" s="5">
        <v>5</v>
      </c>
      <c r="F279" s="8"/>
      <c r="G279" s="15" t="str">
        <f t="shared" ca="1" si="68"/>
        <v>02/03/2019-17:11</v>
      </c>
      <c r="H279" s="15" t="str">
        <f t="shared" ca="1" si="68"/>
        <v>02/03/2019-17:11</v>
      </c>
      <c r="I279" s="6" t="s">
        <v>17</v>
      </c>
      <c r="J279" s="13" t="str">
        <f>'1 basal and 1 bolus plan'!G3</f>
        <v>f79d2dd6-a574-414d-aad9-859ac7c3e7b3</v>
      </c>
    </row>
    <row r="280" spans="1:10" s="7" customFormat="1" ht="15.75" customHeight="1" x14ac:dyDescent="0.15">
      <c r="A280" s="6" t="s">
        <v>15</v>
      </c>
      <c r="B280" s="6" t="s">
        <v>19</v>
      </c>
      <c r="C280" s="4">
        <f t="shared" ca="1" si="73"/>
        <v>43499</v>
      </c>
      <c r="D280" s="18">
        <v>0.90555555555555556</v>
      </c>
      <c r="E280" s="5">
        <v>20</v>
      </c>
      <c r="F280" s="8"/>
      <c r="G280" s="15" t="str">
        <f t="shared" ca="1" si="68"/>
        <v>02/03/2019-21:44</v>
      </c>
      <c r="H280" s="15" t="str">
        <f t="shared" ca="1" si="68"/>
        <v>02/03/2019-21:44</v>
      </c>
      <c r="I280" s="6" t="s">
        <v>17</v>
      </c>
      <c r="J280" s="14" t="str">
        <f>'1 basal and 1 bolus plan'!G4</f>
        <v>fd3eea4c-bcbb-4719-87b0-b9a2e7d4421f</v>
      </c>
    </row>
    <row r="281" spans="1:10" s="7" customFormat="1" ht="13" x14ac:dyDescent="0.15">
      <c r="A281" s="6" t="s">
        <v>13</v>
      </c>
      <c r="B281" s="6"/>
      <c r="C281" s="4">
        <f ca="1">DATE(YEAR($C$2),MONTH($C$2),DAY($C$2)+72)</f>
        <v>43500</v>
      </c>
      <c r="D281" s="19">
        <v>0.28541666666666665</v>
      </c>
      <c r="E281" s="5">
        <v>167</v>
      </c>
      <c r="F281" s="9"/>
      <c r="G281" s="15" t="str">
        <f t="shared" ca="1" si="68"/>
        <v>02/04/2019-06:51</v>
      </c>
      <c r="H281" s="15" t="str">
        <f t="shared" ca="1" si="68"/>
        <v>02/04/2019-06:51</v>
      </c>
      <c r="I281" s="6" t="s">
        <v>14</v>
      </c>
      <c r="J281" s="6"/>
    </row>
    <row r="282" spans="1:10" s="7" customFormat="1" ht="13" x14ac:dyDescent="0.15">
      <c r="A282" s="6" t="s">
        <v>18</v>
      </c>
      <c r="B282" s="6"/>
      <c r="C282" s="4">
        <f t="shared" ref="C282:C284" ca="1" si="74">DATE(YEAR($C$2),MONTH($C$2),DAY($C$2)+72)</f>
        <v>43500</v>
      </c>
      <c r="D282" s="18">
        <v>0.72430555555555554</v>
      </c>
      <c r="E282" s="5">
        <v>321</v>
      </c>
      <c r="F282" s="10"/>
      <c r="G282" s="15" t="str">
        <f t="shared" ca="1" si="68"/>
        <v>02/04/2019-17:23</v>
      </c>
      <c r="H282" s="15" t="str">
        <f t="shared" ca="1" si="68"/>
        <v>02/04/2019-17:23</v>
      </c>
      <c r="I282" s="6" t="s">
        <v>14</v>
      </c>
      <c r="J282" s="6"/>
    </row>
    <row r="283" spans="1:10" s="7" customFormat="1" ht="15.75" customHeight="1" x14ac:dyDescent="0.15">
      <c r="A283" s="6" t="s">
        <v>15</v>
      </c>
      <c r="B283" s="6" t="s">
        <v>16</v>
      </c>
      <c r="C283" s="4">
        <f t="shared" ca="1" si="74"/>
        <v>43500</v>
      </c>
      <c r="D283" s="18">
        <v>0.79236111111111107</v>
      </c>
      <c r="E283" s="5">
        <v>10</v>
      </c>
      <c r="F283" s="8"/>
      <c r="G283" s="15" t="str">
        <f t="shared" ca="1" si="68"/>
        <v>02/04/2019-19:01</v>
      </c>
      <c r="H283" s="15" t="str">
        <f t="shared" ca="1" si="68"/>
        <v>02/04/2019-19:01</v>
      </c>
      <c r="I283" s="6" t="s">
        <v>17</v>
      </c>
      <c r="J283" s="13" t="str">
        <f>'1 basal and 1 bolus plan'!G3</f>
        <v>f79d2dd6-a574-414d-aad9-859ac7c3e7b3</v>
      </c>
    </row>
    <row r="284" spans="1:10" s="7" customFormat="1" ht="15.75" customHeight="1" x14ac:dyDescent="0.15">
      <c r="A284" s="6" t="s">
        <v>15</v>
      </c>
      <c r="B284" s="6" t="s">
        <v>19</v>
      </c>
      <c r="C284" s="4">
        <f t="shared" ca="1" si="74"/>
        <v>43500</v>
      </c>
      <c r="D284" s="18">
        <v>0.90555555555555556</v>
      </c>
      <c r="E284" s="5">
        <v>20</v>
      </c>
      <c r="F284" s="8"/>
      <c r="G284" s="15" t="str">
        <f t="shared" ca="1" si="68"/>
        <v>02/04/2019-21:44</v>
      </c>
      <c r="H284" s="15" t="str">
        <f t="shared" ca="1" si="68"/>
        <v>02/04/2019-21:44</v>
      </c>
      <c r="I284" s="6" t="s">
        <v>17</v>
      </c>
      <c r="J284" s="14" t="str">
        <f>'1 basal and 1 bolus plan'!G4</f>
        <v>fd3eea4c-bcbb-4719-87b0-b9a2e7d4421f</v>
      </c>
    </row>
    <row r="285" spans="1:10" s="7" customFormat="1" ht="13" x14ac:dyDescent="0.15">
      <c r="A285" s="6" t="s">
        <v>13</v>
      </c>
      <c r="B285" s="6"/>
      <c r="C285" s="4">
        <f ca="1">DATE(YEAR($C$2),MONTH($C$2),DAY($C$2)+73)</f>
        <v>43501</v>
      </c>
      <c r="D285" s="19">
        <v>0.27083333333333331</v>
      </c>
      <c r="E285" s="5">
        <v>200</v>
      </c>
      <c r="F285" s="9"/>
      <c r="G285" s="15" t="str">
        <f t="shared" ca="1" si="68"/>
        <v>02/05/2019-06:30</v>
      </c>
      <c r="H285" s="15" t="str">
        <f t="shared" ca="1" si="68"/>
        <v>02/05/2019-06:30</v>
      </c>
      <c r="I285" s="6" t="s">
        <v>14</v>
      </c>
      <c r="J285" s="6"/>
    </row>
    <row r="286" spans="1:10" s="7" customFormat="1" ht="13" x14ac:dyDescent="0.15">
      <c r="A286" s="6" t="s">
        <v>18</v>
      </c>
      <c r="B286" s="6"/>
      <c r="C286" s="4">
        <f t="shared" ref="C286:C288" ca="1" si="75">DATE(YEAR($C$2),MONTH($C$2),DAY($C$2)+73)</f>
        <v>43501</v>
      </c>
      <c r="D286" s="18">
        <v>0.71666666666666667</v>
      </c>
      <c r="E286" s="5">
        <v>198</v>
      </c>
      <c r="F286" s="10"/>
      <c r="G286" s="15" t="str">
        <f t="shared" ca="1" si="68"/>
        <v>02/05/2019-17:12</v>
      </c>
      <c r="H286" s="15" t="str">
        <f t="shared" ca="1" si="68"/>
        <v>02/05/2019-17:12</v>
      </c>
      <c r="I286" s="6" t="s">
        <v>14</v>
      </c>
      <c r="J286" s="6"/>
    </row>
    <row r="287" spans="1:10" s="7" customFormat="1" ht="15.75" customHeight="1" x14ac:dyDescent="0.15">
      <c r="A287" s="6" t="s">
        <v>15</v>
      </c>
      <c r="B287" s="6" t="s">
        <v>16</v>
      </c>
      <c r="C287" s="4">
        <f t="shared" ca="1" si="75"/>
        <v>43501</v>
      </c>
      <c r="D287" s="18">
        <v>0.73958333333333337</v>
      </c>
      <c r="E287" s="5">
        <v>5</v>
      </c>
      <c r="F287" s="8"/>
      <c r="G287" s="15" t="str">
        <f t="shared" ca="1" si="68"/>
        <v>02/05/2019-17:45</v>
      </c>
      <c r="H287" s="15" t="str">
        <f t="shared" ca="1" si="68"/>
        <v>02/05/2019-17:45</v>
      </c>
      <c r="I287" s="6" t="s">
        <v>17</v>
      </c>
      <c r="J287" s="13" t="str">
        <f>'1 basal and 1 bolus plan'!G3</f>
        <v>f79d2dd6-a574-414d-aad9-859ac7c3e7b3</v>
      </c>
    </row>
    <row r="288" spans="1:10" s="7" customFormat="1" ht="15.75" customHeight="1" x14ac:dyDescent="0.15">
      <c r="A288" s="6" t="s">
        <v>15</v>
      </c>
      <c r="B288" s="6" t="s">
        <v>19</v>
      </c>
      <c r="C288" s="4">
        <f t="shared" ca="1" si="75"/>
        <v>43501</v>
      </c>
      <c r="D288" s="18">
        <v>0.89166666666666661</v>
      </c>
      <c r="E288" s="5">
        <v>20</v>
      </c>
      <c r="F288" s="8"/>
      <c r="G288" s="15" t="str">
        <f t="shared" ca="1" si="68"/>
        <v>02/05/2019-21:24</v>
      </c>
      <c r="H288" s="15" t="str">
        <f t="shared" ca="1" si="68"/>
        <v>02/05/2019-21:24</v>
      </c>
      <c r="I288" s="6" t="s">
        <v>17</v>
      </c>
      <c r="J288" s="14" t="str">
        <f>'1 basal and 1 bolus plan'!G4</f>
        <v>fd3eea4c-bcbb-4719-87b0-b9a2e7d4421f</v>
      </c>
    </row>
    <row r="289" spans="1:10" s="7" customFormat="1" ht="15.75" customHeight="1" x14ac:dyDescent="0.15">
      <c r="A289" s="6" t="s">
        <v>13</v>
      </c>
      <c r="B289" s="6"/>
      <c r="C289" s="4">
        <f ca="1">DATE(YEAR($C$2),MONTH($C$2),DAY($C$2)+74)</f>
        <v>43502</v>
      </c>
      <c r="D289" s="18">
        <v>0.25694444444444442</v>
      </c>
      <c r="E289" s="5">
        <v>91</v>
      </c>
      <c r="F289" s="8"/>
      <c r="G289" s="15" t="str">
        <f t="shared" ca="1" si="68"/>
        <v>02/06/2019-06:10</v>
      </c>
      <c r="H289" s="15" t="str">
        <f t="shared" ca="1" si="68"/>
        <v>02/06/2019-06:10</v>
      </c>
      <c r="I289" s="6" t="s">
        <v>14</v>
      </c>
      <c r="J289" s="6"/>
    </row>
    <row r="290" spans="1:10" s="7" customFormat="1" ht="15.75" customHeight="1" x14ac:dyDescent="0.15">
      <c r="A290" s="6" t="s">
        <v>18</v>
      </c>
      <c r="B290" s="6"/>
      <c r="C290" s="4">
        <f t="shared" ref="C290:C292" ca="1" si="76">DATE(YEAR($C$2),MONTH($C$2),DAY($C$2)+74)</f>
        <v>43502</v>
      </c>
      <c r="D290" s="18">
        <v>0.71805555555555556</v>
      </c>
      <c r="E290" s="5">
        <v>154</v>
      </c>
      <c r="F290" s="8"/>
      <c r="G290" s="15" t="str">
        <f t="shared" ca="1" si="68"/>
        <v>02/06/2019-17:14</v>
      </c>
      <c r="H290" s="15" t="str">
        <f t="shared" ca="1" si="68"/>
        <v>02/06/2019-17:14</v>
      </c>
      <c r="I290" s="6" t="s">
        <v>14</v>
      </c>
      <c r="J290" s="6"/>
    </row>
    <row r="291" spans="1:10" s="7" customFormat="1" ht="15.75" customHeight="1" x14ac:dyDescent="0.15">
      <c r="A291" s="6" t="s">
        <v>15</v>
      </c>
      <c r="B291" s="6" t="s">
        <v>16</v>
      </c>
      <c r="C291" s="4">
        <f t="shared" ca="1" si="76"/>
        <v>43502</v>
      </c>
      <c r="D291" s="18">
        <v>0.74513888888888891</v>
      </c>
      <c r="E291" s="5">
        <v>5</v>
      </c>
      <c r="F291" s="8"/>
      <c r="G291" s="15" t="str">
        <f t="shared" ca="1" si="68"/>
        <v>02/06/2019-17:53</v>
      </c>
      <c r="H291" s="15" t="str">
        <f t="shared" ca="1" si="68"/>
        <v>02/06/2019-17:53</v>
      </c>
      <c r="I291" s="6" t="s">
        <v>17</v>
      </c>
      <c r="J291" s="13" t="str">
        <f>'1 basal and 1 bolus plan'!G3</f>
        <v>f79d2dd6-a574-414d-aad9-859ac7c3e7b3</v>
      </c>
    </row>
    <row r="292" spans="1:10" s="7" customFormat="1" ht="15.75" customHeight="1" x14ac:dyDescent="0.15">
      <c r="A292" s="6" t="s">
        <v>15</v>
      </c>
      <c r="B292" s="6" t="s">
        <v>19</v>
      </c>
      <c r="C292" s="4">
        <f t="shared" ca="1" si="76"/>
        <v>43502</v>
      </c>
      <c r="D292" s="18">
        <v>0.88888888888888884</v>
      </c>
      <c r="E292" s="5">
        <v>20</v>
      </c>
      <c r="F292" s="8"/>
      <c r="G292" s="15" t="str">
        <f t="shared" ca="1" si="68"/>
        <v>02/06/2019-21:20</v>
      </c>
      <c r="H292" s="15" t="str">
        <f t="shared" ca="1" si="68"/>
        <v>02/06/2019-21:20</v>
      </c>
      <c r="I292" s="6" t="s">
        <v>17</v>
      </c>
      <c r="J292" s="14" t="str">
        <f>'1 basal and 1 bolus plan'!G4</f>
        <v>fd3eea4c-bcbb-4719-87b0-b9a2e7d4421f</v>
      </c>
    </row>
    <row r="293" spans="1:10" s="7" customFormat="1" ht="15.75" customHeight="1" x14ac:dyDescent="0.15">
      <c r="A293" s="6" t="s">
        <v>13</v>
      </c>
      <c r="B293" s="6"/>
      <c r="C293" s="4">
        <f ca="1">DATE(YEAR($C$2),MONTH($C$2),DAY($C$2)+75)</f>
        <v>43503</v>
      </c>
      <c r="D293" s="18">
        <v>0.27361111111111108</v>
      </c>
      <c r="E293" s="5">
        <v>69</v>
      </c>
      <c r="F293" s="8"/>
      <c r="G293" s="15" t="str">
        <f t="shared" ca="1" si="68"/>
        <v>02/07/2019-06:34</v>
      </c>
      <c r="H293" s="15" t="str">
        <f t="shared" ca="1" si="68"/>
        <v>02/07/2019-06:34</v>
      </c>
      <c r="I293" s="6" t="s">
        <v>14</v>
      </c>
      <c r="J293" s="6"/>
    </row>
    <row r="294" spans="1:10" s="7" customFormat="1" ht="15.75" customHeight="1" x14ac:dyDescent="0.15">
      <c r="A294" s="6" t="s">
        <v>18</v>
      </c>
      <c r="B294" s="6"/>
      <c r="C294" s="4">
        <f t="shared" ref="C294:C296" ca="1" si="77">DATE(YEAR($C$2),MONTH($C$2),DAY($C$2)+75)</f>
        <v>43503</v>
      </c>
      <c r="D294" s="18">
        <v>0.74305555555555547</v>
      </c>
      <c r="E294" s="5">
        <v>173</v>
      </c>
      <c r="F294" s="8"/>
      <c r="G294" s="15" t="str">
        <f t="shared" ca="1" si="68"/>
        <v>02/07/2019-17:50</v>
      </c>
      <c r="H294" s="15" t="str">
        <f t="shared" ca="1" si="68"/>
        <v>02/07/2019-17:50</v>
      </c>
      <c r="I294" s="6" t="s">
        <v>14</v>
      </c>
      <c r="J294" s="6"/>
    </row>
    <row r="295" spans="1:10" s="7" customFormat="1" ht="15.75" customHeight="1" x14ac:dyDescent="0.15">
      <c r="A295" s="6" t="s">
        <v>15</v>
      </c>
      <c r="B295" s="6" t="s">
        <v>16</v>
      </c>
      <c r="C295" s="4">
        <f t="shared" ca="1" si="77"/>
        <v>43503</v>
      </c>
      <c r="D295" s="18">
        <v>0.75624999999999998</v>
      </c>
      <c r="E295" s="5">
        <v>5</v>
      </c>
      <c r="F295" s="8"/>
      <c r="G295" s="15" t="str">
        <f t="shared" ca="1" si="68"/>
        <v>02/07/2019-18:09</v>
      </c>
      <c r="H295" s="15" t="str">
        <f t="shared" ca="1" si="68"/>
        <v>02/07/2019-18:09</v>
      </c>
      <c r="I295" s="6" t="s">
        <v>17</v>
      </c>
      <c r="J295" s="13" t="str">
        <f>'1 basal and 1 bolus plan'!G3</f>
        <v>f79d2dd6-a574-414d-aad9-859ac7c3e7b3</v>
      </c>
    </row>
    <row r="296" spans="1:10" s="7" customFormat="1" ht="15.75" customHeight="1" x14ac:dyDescent="0.15">
      <c r="A296" s="6" t="s">
        <v>15</v>
      </c>
      <c r="B296" s="6" t="s">
        <v>19</v>
      </c>
      <c r="C296" s="4">
        <f t="shared" ca="1" si="77"/>
        <v>43503</v>
      </c>
      <c r="D296" s="18">
        <v>0.8979166666666667</v>
      </c>
      <c r="E296" s="5">
        <v>21</v>
      </c>
      <c r="F296" s="8"/>
      <c r="G296" s="15" t="str">
        <f t="shared" ca="1" si="68"/>
        <v>02/07/2019-21:33</v>
      </c>
      <c r="H296" s="15" t="str">
        <f t="shared" ca="1" si="68"/>
        <v>02/07/2019-21:33</v>
      </c>
      <c r="I296" s="6" t="s">
        <v>17</v>
      </c>
      <c r="J296" s="14" t="str">
        <f>'1 basal and 1 bolus plan'!G4</f>
        <v>fd3eea4c-bcbb-4719-87b0-b9a2e7d4421f</v>
      </c>
    </row>
    <row r="297" spans="1:10" s="7" customFormat="1" ht="15.75" customHeight="1" x14ac:dyDescent="0.15">
      <c r="A297" s="6" t="s">
        <v>13</v>
      </c>
      <c r="B297" s="6"/>
      <c r="C297" s="4">
        <f ca="1">DATE(YEAR($C$2),MONTH($C$2),DAY($C$2)+76)</f>
        <v>43504</v>
      </c>
      <c r="D297" s="18">
        <v>0.27083333333333331</v>
      </c>
      <c r="E297" s="5">
        <v>74</v>
      </c>
      <c r="F297" s="8"/>
      <c r="G297" s="15" t="str">
        <f t="shared" ca="1" si="68"/>
        <v>02/08/2019-06:30</v>
      </c>
      <c r="H297" s="15" t="str">
        <f t="shared" ca="1" si="68"/>
        <v>02/08/2019-06:30</v>
      </c>
      <c r="I297" s="6" t="s">
        <v>14</v>
      </c>
      <c r="J297" s="6"/>
    </row>
    <row r="298" spans="1:10" s="7" customFormat="1" ht="15.75" customHeight="1" x14ac:dyDescent="0.15">
      <c r="A298" s="6" t="s">
        <v>18</v>
      </c>
      <c r="B298" s="6"/>
      <c r="C298" s="4">
        <f t="shared" ref="C298:C300" ca="1" si="78">DATE(YEAR($C$2),MONTH($C$2),DAY($C$2)+76)</f>
        <v>43504</v>
      </c>
      <c r="D298" s="18">
        <v>0.74097222222222225</v>
      </c>
      <c r="E298" s="5">
        <v>123</v>
      </c>
      <c r="F298" s="8"/>
      <c r="G298" s="15" t="str">
        <f t="shared" ca="1" si="68"/>
        <v>02/08/2019-17:47</v>
      </c>
      <c r="H298" s="15" t="str">
        <f t="shared" ca="1" si="68"/>
        <v>02/08/2019-17:47</v>
      </c>
      <c r="I298" s="6" t="s">
        <v>14</v>
      </c>
      <c r="J298" s="6"/>
    </row>
    <row r="299" spans="1:10" s="7" customFormat="1" ht="15.75" customHeight="1" x14ac:dyDescent="0.15">
      <c r="A299" s="6" t="s">
        <v>15</v>
      </c>
      <c r="B299" s="6" t="s">
        <v>16</v>
      </c>
      <c r="C299" s="4">
        <f t="shared" ca="1" si="78"/>
        <v>43504</v>
      </c>
      <c r="D299" s="18">
        <v>0.7583333333333333</v>
      </c>
      <c r="E299" s="5">
        <v>5</v>
      </c>
      <c r="F299" s="8"/>
      <c r="G299" s="15" t="str">
        <f t="shared" ca="1" si="68"/>
        <v>02/08/2019-18:12</v>
      </c>
      <c r="H299" s="15" t="str">
        <f t="shared" ca="1" si="68"/>
        <v>02/08/2019-18:12</v>
      </c>
      <c r="I299" s="6" t="s">
        <v>17</v>
      </c>
      <c r="J299" s="13" t="str">
        <f>'1 basal and 1 bolus plan'!G3</f>
        <v>f79d2dd6-a574-414d-aad9-859ac7c3e7b3</v>
      </c>
    </row>
    <row r="300" spans="1:10" s="7" customFormat="1" ht="15.75" customHeight="1" x14ac:dyDescent="0.15">
      <c r="A300" s="6" t="s">
        <v>15</v>
      </c>
      <c r="B300" s="6" t="s">
        <v>19</v>
      </c>
      <c r="C300" s="4">
        <f t="shared" ca="1" si="78"/>
        <v>43504</v>
      </c>
      <c r="D300" s="18">
        <v>0.8979166666666667</v>
      </c>
      <c r="E300" s="5">
        <v>20</v>
      </c>
      <c r="F300" s="8"/>
      <c r="G300" s="15" t="str">
        <f t="shared" ca="1" si="68"/>
        <v>02/08/2019-21:33</v>
      </c>
      <c r="H300" s="15" t="str">
        <f t="shared" ca="1" si="68"/>
        <v>02/08/2019-21:33</v>
      </c>
      <c r="I300" s="6" t="s">
        <v>17</v>
      </c>
      <c r="J300" s="14" t="str">
        <f>'1 basal and 1 bolus plan'!G4</f>
        <v>fd3eea4c-bcbb-4719-87b0-b9a2e7d4421f</v>
      </c>
    </row>
    <row r="301" spans="1:10" s="7" customFormat="1" ht="15.75" customHeight="1" x14ac:dyDescent="0.15">
      <c r="A301" s="6" t="s">
        <v>13</v>
      </c>
      <c r="B301" s="6"/>
      <c r="C301" s="4">
        <f ca="1">DATE(YEAR($C$2),MONTH($C$2),DAY($C$2)+77)</f>
        <v>43505</v>
      </c>
      <c r="D301" s="18">
        <v>0.27083333333333331</v>
      </c>
      <c r="E301" s="5">
        <v>112</v>
      </c>
      <c r="F301" s="8"/>
      <c r="G301" s="15" t="str">
        <f t="shared" ca="1" si="68"/>
        <v>02/09/2019-06:30</v>
      </c>
      <c r="H301" s="15" t="str">
        <f t="shared" ca="1" si="68"/>
        <v>02/09/2019-06:30</v>
      </c>
      <c r="I301" s="6" t="s">
        <v>14</v>
      </c>
      <c r="J301" s="6"/>
    </row>
    <row r="302" spans="1:10" s="7" customFormat="1" ht="15.75" customHeight="1" x14ac:dyDescent="0.15">
      <c r="A302" s="6" t="s">
        <v>18</v>
      </c>
      <c r="B302" s="6"/>
      <c r="C302" s="4">
        <f t="shared" ref="C302:C304" ca="1" si="79">DATE(YEAR($C$2),MONTH($C$2),DAY($C$2)+77)</f>
        <v>43505</v>
      </c>
      <c r="D302" s="18">
        <v>0.74097222222222225</v>
      </c>
      <c r="E302" s="5">
        <v>83</v>
      </c>
      <c r="F302" s="8"/>
      <c r="G302" s="15" t="str">
        <f t="shared" ca="1" si="68"/>
        <v>02/09/2019-17:47</v>
      </c>
      <c r="H302" s="15" t="str">
        <f t="shared" ca="1" si="68"/>
        <v>02/09/2019-17:47</v>
      </c>
      <c r="I302" s="6" t="s">
        <v>14</v>
      </c>
      <c r="J302" s="6"/>
    </row>
    <row r="303" spans="1:10" s="7" customFormat="1" ht="15.75" customHeight="1" x14ac:dyDescent="0.15">
      <c r="A303" s="6" t="s">
        <v>15</v>
      </c>
      <c r="B303" s="6" t="s">
        <v>16</v>
      </c>
      <c r="C303" s="4">
        <f t="shared" ca="1" si="79"/>
        <v>43505</v>
      </c>
      <c r="D303" s="18">
        <v>0.75624999999999998</v>
      </c>
      <c r="E303" s="5">
        <v>5</v>
      </c>
      <c r="F303" s="8"/>
      <c r="G303" s="15" t="str">
        <f t="shared" ca="1" si="68"/>
        <v>02/09/2019-18:09</v>
      </c>
      <c r="H303" s="15" t="str">
        <f t="shared" ca="1" si="68"/>
        <v>02/09/2019-18:09</v>
      </c>
      <c r="I303" s="6" t="s">
        <v>17</v>
      </c>
      <c r="J303" s="13" t="str">
        <f>'1 basal and 1 bolus plan'!G3</f>
        <v>f79d2dd6-a574-414d-aad9-859ac7c3e7b3</v>
      </c>
    </row>
    <row r="304" spans="1:10" s="7" customFormat="1" ht="15.75" customHeight="1" x14ac:dyDescent="0.15">
      <c r="A304" s="6" t="s">
        <v>15</v>
      </c>
      <c r="B304" s="6" t="s">
        <v>19</v>
      </c>
      <c r="C304" s="4">
        <f t="shared" ca="1" si="79"/>
        <v>43505</v>
      </c>
      <c r="D304" s="18">
        <v>0.88958333333333339</v>
      </c>
      <c r="E304" s="5">
        <v>20</v>
      </c>
      <c r="F304" s="8"/>
      <c r="G304" s="15" t="str">
        <f t="shared" ca="1" si="68"/>
        <v>02/09/2019-21:21</v>
      </c>
      <c r="H304" s="15" t="str">
        <f t="shared" ca="1" si="68"/>
        <v>02/09/2019-21:21</v>
      </c>
      <c r="I304" s="6" t="s">
        <v>17</v>
      </c>
      <c r="J304" s="14" t="str">
        <f>'1 basal and 1 bolus plan'!G4</f>
        <v>fd3eea4c-bcbb-4719-87b0-b9a2e7d4421f</v>
      </c>
    </row>
    <row r="305" spans="1:10" s="7" customFormat="1" ht="15.75" customHeight="1" x14ac:dyDescent="0.15">
      <c r="A305" s="6" t="s">
        <v>13</v>
      </c>
      <c r="B305" s="6"/>
      <c r="C305" s="4">
        <f ca="1">DATE(YEAR($C$2),MONTH($C$2),DAY($C$2)+78)</f>
        <v>43506</v>
      </c>
      <c r="D305" s="18">
        <v>0.28541666666666665</v>
      </c>
      <c r="E305" s="5">
        <v>67</v>
      </c>
      <c r="F305" s="8"/>
      <c r="G305" s="15" t="str">
        <f t="shared" ca="1" si="68"/>
        <v>02/10/2019-06:51</v>
      </c>
      <c r="H305" s="15" t="str">
        <f t="shared" ca="1" si="68"/>
        <v>02/10/2019-06:51</v>
      </c>
      <c r="I305" s="6" t="s">
        <v>14</v>
      </c>
      <c r="J305" s="6"/>
    </row>
    <row r="306" spans="1:10" s="7" customFormat="1" ht="15.75" customHeight="1" x14ac:dyDescent="0.15">
      <c r="A306" s="6" t="s">
        <v>18</v>
      </c>
      <c r="B306" s="6"/>
      <c r="C306" s="4">
        <f t="shared" ref="C306:C308" ca="1" si="80">DATE(YEAR($C$2),MONTH($C$2),DAY($C$2)+78)</f>
        <v>43506</v>
      </c>
      <c r="D306" s="18">
        <v>0.74097222222222225</v>
      </c>
      <c r="E306" s="5">
        <v>152</v>
      </c>
      <c r="F306" s="8"/>
      <c r="G306" s="15" t="str">
        <f t="shared" ca="1" si="68"/>
        <v>02/10/2019-17:47</v>
      </c>
      <c r="H306" s="15" t="str">
        <f t="shared" ca="1" si="68"/>
        <v>02/10/2019-17:47</v>
      </c>
      <c r="I306" s="6" t="s">
        <v>14</v>
      </c>
      <c r="J306" s="6"/>
    </row>
    <row r="307" spans="1:10" s="7" customFormat="1" ht="15.75" customHeight="1" x14ac:dyDescent="0.15">
      <c r="A307" s="6" t="s">
        <v>15</v>
      </c>
      <c r="B307" s="6" t="s">
        <v>16</v>
      </c>
      <c r="C307" s="4">
        <f t="shared" ca="1" si="80"/>
        <v>43506</v>
      </c>
      <c r="D307" s="18">
        <v>0.75624999999999998</v>
      </c>
      <c r="E307" s="5">
        <v>6</v>
      </c>
      <c r="F307" s="8"/>
      <c r="G307" s="15" t="str">
        <f t="shared" ca="1" si="68"/>
        <v>02/10/2019-18:09</v>
      </c>
      <c r="H307" s="15" t="str">
        <f t="shared" ca="1" si="68"/>
        <v>02/10/2019-18:09</v>
      </c>
      <c r="I307" s="6" t="s">
        <v>17</v>
      </c>
      <c r="J307" s="13" t="str">
        <f>'1 basal and 1 bolus plan'!G3</f>
        <v>f79d2dd6-a574-414d-aad9-859ac7c3e7b3</v>
      </c>
    </row>
    <row r="308" spans="1:10" s="7" customFormat="1" ht="15.75" customHeight="1" x14ac:dyDescent="0.15">
      <c r="A308" s="6" t="s">
        <v>15</v>
      </c>
      <c r="B308" s="6" t="s">
        <v>19</v>
      </c>
      <c r="C308" s="4">
        <f t="shared" ca="1" si="80"/>
        <v>43506</v>
      </c>
      <c r="D308" s="18">
        <v>0.88958333333333339</v>
      </c>
      <c r="E308" s="5">
        <v>23</v>
      </c>
      <c r="F308" s="8"/>
      <c r="G308" s="15" t="str">
        <f t="shared" ca="1" si="68"/>
        <v>02/10/2019-21:21</v>
      </c>
      <c r="H308" s="15" t="str">
        <f t="shared" ca="1" si="68"/>
        <v>02/10/2019-21:21</v>
      </c>
      <c r="I308" s="6" t="s">
        <v>17</v>
      </c>
      <c r="J308" s="14" t="str">
        <f>'1 basal and 1 bolus plan'!G4</f>
        <v>fd3eea4c-bcbb-4719-87b0-b9a2e7d4421f</v>
      </c>
    </row>
    <row r="309" spans="1:10" s="7" customFormat="1" ht="15.75" customHeight="1" x14ac:dyDescent="0.15">
      <c r="A309" s="6" t="s">
        <v>13</v>
      </c>
      <c r="B309" s="6"/>
      <c r="C309" s="4">
        <f ca="1">DATE(YEAR($C$2),MONTH($C$2),DAY($C$2)+79)</f>
        <v>43507</v>
      </c>
      <c r="D309" s="18">
        <v>0.27083333333333331</v>
      </c>
      <c r="E309" s="5">
        <v>72</v>
      </c>
      <c r="F309" s="8"/>
      <c r="G309" s="15" t="str">
        <f t="shared" ca="1" si="68"/>
        <v>02/11/2019-06:30</v>
      </c>
      <c r="H309" s="15" t="str">
        <f t="shared" ca="1" si="68"/>
        <v>02/11/2019-06:30</v>
      </c>
      <c r="I309" s="6" t="s">
        <v>14</v>
      </c>
      <c r="J309" s="6"/>
    </row>
    <row r="310" spans="1:10" s="7" customFormat="1" ht="15.75" customHeight="1" x14ac:dyDescent="0.15">
      <c r="A310" s="6" t="s">
        <v>18</v>
      </c>
      <c r="B310" s="6"/>
      <c r="C310" s="4">
        <f t="shared" ref="C310:C312" ca="1" si="81">DATE(YEAR($C$2),MONTH($C$2),DAY($C$2)+79)</f>
        <v>43507</v>
      </c>
      <c r="D310" s="18">
        <v>0.70833333333333337</v>
      </c>
      <c r="E310" s="5">
        <v>132</v>
      </c>
      <c r="F310" s="8"/>
      <c r="G310" s="15" t="str">
        <f t="shared" ca="1" si="68"/>
        <v>02/11/2019-17:00</v>
      </c>
      <c r="H310" s="15" t="str">
        <f t="shared" ca="1" si="68"/>
        <v>02/11/2019-17:00</v>
      </c>
      <c r="I310" s="6" t="s">
        <v>14</v>
      </c>
      <c r="J310" s="6"/>
    </row>
    <row r="311" spans="1:10" s="7" customFormat="1" ht="15.75" customHeight="1" x14ac:dyDescent="0.15">
      <c r="A311" s="6" t="s">
        <v>15</v>
      </c>
      <c r="B311" s="6" t="s">
        <v>16</v>
      </c>
      <c r="C311" s="4">
        <f t="shared" ca="1" si="81"/>
        <v>43507</v>
      </c>
      <c r="D311" s="18">
        <v>0.73958333333333337</v>
      </c>
      <c r="E311" s="5">
        <v>5</v>
      </c>
      <c r="F311" s="8"/>
      <c r="G311" s="15" t="str">
        <f t="shared" ca="1" si="68"/>
        <v>02/11/2019-17:45</v>
      </c>
      <c r="H311" s="15" t="str">
        <f t="shared" ca="1" si="68"/>
        <v>02/11/2019-17:45</v>
      </c>
      <c r="I311" s="6" t="s">
        <v>17</v>
      </c>
      <c r="J311" s="13" t="str">
        <f>'1 basal and 1 bolus plan'!G3</f>
        <v>f79d2dd6-a574-414d-aad9-859ac7c3e7b3</v>
      </c>
    </row>
    <row r="312" spans="1:10" s="7" customFormat="1" ht="15.75" customHeight="1" x14ac:dyDescent="0.15">
      <c r="A312" s="6" t="s">
        <v>15</v>
      </c>
      <c r="B312" s="6" t="s">
        <v>19</v>
      </c>
      <c r="C312" s="4">
        <f ca="1">DATE(YEAR($C$2),MONTH($C$2),DAY($C$2)+79)</f>
        <v>43507</v>
      </c>
      <c r="D312" s="18">
        <v>0.88958333333333339</v>
      </c>
      <c r="E312" s="5">
        <v>20</v>
      </c>
      <c r="F312" s="8"/>
      <c r="G312" s="15" t="str">
        <f t="shared" ca="1" si="68"/>
        <v>02/11/2019-21:21</v>
      </c>
      <c r="H312" s="15" t="str">
        <f t="shared" ca="1" si="68"/>
        <v>02/11/2019-21:21</v>
      </c>
      <c r="I312" s="6" t="s">
        <v>17</v>
      </c>
      <c r="J312" s="14" t="str">
        <f>'1 basal and 1 bolus plan'!G4</f>
        <v>fd3eea4c-bcbb-4719-87b0-b9a2e7d4421f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8"/>
  <sheetViews>
    <sheetView zoomScale="150" zoomScaleNormal="150" workbookViewId="0">
      <selection activeCell="G3" sqref="G3"/>
    </sheetView>
  </sheetViews>
  <sheetFormatPr baseColWidth="10" defaultColWidth="14.5" defaultRowHeight="15.75" customHeight="1" x14ac:dyDescent="0.15"/>
  <cols>
    <col min="1" max="1" width="28.5" customWidth="1"/>
    <col min="2" max="2" width="5.33203125" style="13" bestFit="1" customWidth="1"/>
    <col min="3" max="3" width="18.33203125" bestFit="1" customWidth="1"/>
    <col min="4" max="4" width="25.5" bestFit="1" customWidth="1"/>
    <col min="5" max="5" width="6.33203125" customWidth="1"/>
    <col min="7" max="7" width="35" bestFit="1" customWidth="1"/>
  </cols>
  <sheetData>
    <row r="1" spans="1:7" ht="15.75" customHeight="1" x14ac:dyDescent="0.15">
      <c r="A1" s="11" t="s">
        <v>25</v>
      </c>
      <c r="B1" s="11"/>
      <c r="C1" s="11" t="s">
        <v>26</v>
      </c>
      <c r="G1" t="s">
        <v>33</v>
      </c>
    </row>
    <row r="2" spans="1:7" s="7" customFormat="1" ht="15.75" customHeight="1" x14ac:dyDescent="0.15">
      <c r="A2" s="12" t="s">
        <v>27</v>
      </c>
      <c r="B2" s="12"/>
      <c r="C2" s="12" t="s">
        <v>28</v>
      </c>
    </row>
    <row r="3" spans="1:7" ht="15.75" customHeight="1" x14ac:dyDescent="0.15">
      <c r="A3" s="1" t="s">
        <v>3</v>
      </c>
      <c r="B3" s="1" t="s">
        <v>16</v>
      </c>
      <c r="C3" s="1" t="s">
        <v>4</v>
      </c>
      <c r="D3" s="11" t="s">
        <v>24</v>
      </c>
      <c r="G3" t="s">
        <v>32</v>
      </c>
    </row>
    <row r="4" spans="1:7" ht="15.75" customHeight="1" x14ac:dyDescent="0.15">
      <c r="A4" s="11" t="s">
        <v>23</v>
      </c>
      <c r="B4" s="11" t="s">
        <v>19</v>
      </c>
      <c r="C4" s="11" t="s">
        <v>4</v>
      </c>
      <c r="D4" s="1" t="s">
        <v>1</v>
      </c>
      <c r="F4" s="1" t="s">
        <v>2</v>
      </c>
      <c r="G4" t="s">
        <v>34</v>
      </c>
    </row>
    <row r="7" spans="1:7" ht="15.75" customHeight="1" x14ac:dyDescent="0.15">
      <c r="C7" s="1"/>
    </row>
    <row r="8" spans="1:7" ht="15.75" customHeight="1" x14ac:dyDescent="0.15">
      <c r="C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DEMO-Bolus-9-7-2018</vt:lpstr>
      <vt:lpstr>1 basal and 1 bolus plan</vt:lpstr>
      <vt:lpstr>'DEMO-Bolus-9-7-2018'!Print_Area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Phillips, Sean /US</dc:creator>
  <cp:lastModifiedBy>John Wolfe</cp:lastModifiedBy>
  <dcterms:created xsi:type="dcterms:W3CDTF">2018-09-07T16:50:58Z</dcterms:created>
  <dcterms:modified xsi:type="dcterms:W3CDTF">2019-02-12T16:14:30Z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1536393057</vt:i4>
  </property>
  <property fmtid="{D5CDD505-2E9C-101B-9397-08002B2CF9AE}" pid="3" name="_NewReviewCycle">
    <vt:lpwstr/>
  </property>
  <property fmtid="{D5CDD505-2E9C-101B-9397-08002B2CF9AE}" pid="4" name="_EmailSubject">
    <vt:lpwstr>Updated mock data</vt:lpwstr>
  </property>
  <property fmtid="{D5CDD505-2E9C-101B-9397-08002B2CF9AE}" pid="5" name="_AuthorEmail">
    <vt:lpwstr>Sean.Phillips@sanofi.com</vt:lpwstr>
  </property>
  <property fmtid="{D5CDD505-2E9C-101B-9397-08002B2CF9AE}" pid="6" name="_AuthorEmailDisplayName">
    <vt:lpwstr>Phillips, Sean /US</vt:lpwstr>
  </property>
</Properties>
</file>