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analisis-economico\"/>
    </mc:Choice>
  </mc:AlternateContent>
  <xr:revisionPtr revIDLastSave="0" documentId="13_ncr:1_{D94B7AEE-3D83-4E03-B741-68CE3E4CEEB9}" xr6:coauthVersionLast="47" xr6:coauthVersionMax="47" xr10:uidLastSave="{00000000-0000-0000-0000-000000000000}"/>
  <bookViews>
    <workbookView xWindow="-108" yWindow="-108" windowWidth="23256" windowHeight="12456" tabRatio="664" activeTab="1" xr2:uid="{F88F103A-AD35-45C9-9307-C4B5E54861C8}"/>
  </bookViews>
  <sheets>
    <sheet name="ACTUAL" sheetId="2" r:id="rId1"/>
    <sheet name="PROPUESTA" sheetId="3" r:id="rId2"/>
    <sheet name="CRONOGRAMA" sheetId="5" r:id="rId3"/>
    <sheet name="POSTERIOR PROYECTO" sheetId="7" r:id="rId4"/>
    <sheet name="RESUMEN" sheetId="8" r:id="rId5"/>
    <sheet name="FLUJO DE CAJA " sheetId="1" r:id="rId6"/>
  </sheets>
  <definedNames>
    <definedName name="_xlnm.Print_Area" localSheetId="0">ACTUAL!$B$1:$G$82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7" l="1"/>
  <c r="D23" i="7"/>
  <c r="D24" i="7"/>
  <c r="F24" i="7" s="1"/>
  <c r="D25" i="7"/>
  <c r="D26" i="7"/>
  <c r="D27" i="7"/>
  <c r="D22" i="7"/>
  <c r="D26" i="2"/>
  <c r="E23" i="7"/>
  <c r="E24" i="7"/>
  <c r="E25" i="7"/>
  <c r="E26" i="7"/>
  <c r="E27" i="7"/>
  <c r="E22" i="7"/>
  <c r="F23" i="7"/>
  <c r="F25" i="7"/>
  <c r="D22" i="2"/>
  <c r="D23" i="2"/>
  <c r="D24" i="2"/>
  <c r="D25" i="2"/>
  <c r="D21" i="2"/>
  <c r="D6" i="8"/>
  <c r="C6" i="8"/>
  <c r="D5" i="8"/>
  <c r="C5" i="8"/>
  <c r="E5" i="8" s="1"/>
  <c r="C4" i="8"/>
  <c r="E4" i="8" s="1"/>
  <c r="D4" i="8"/>
  <c r="D3" i="8"/>
  <c r="C3" i="8"/>
  <c r="E3" i="8" s="1"/>
  <c r="F22" i="7" l="1"/>
  <c r="F27" i="7"/>
  <c r="F26" i="7"/>
  <c r="E6" i="8"/>
  <c r="F21" i="2"/>
  <c r="F26" i="2"/>
  <c r="F25" i="2"/>
  <c r="F24" i="2"/>
  <c r="E67" i="7"/>
  <c r="D67" i="7"/>
  <c r="C67" i="7"/>
  <c r="C56" i="3"/>
  <c r="C55" i="3" s="1"/>
  <c r="B67" i="7"/>
  <c r="G44" i="3"/>
  <c r="G43" i="3"/>
  <c r="G42" i="3"/>
  <c r="B69" i="2"/>
  <c r="F27" i="3"/>
  <c r="H26" i="3"/>
  <c r="E54" i="2"/>
  <c r="E55" i="2"/>
  <c r="E56" i="2"/>
  <c r="E57" i="2"/>
  <c r="E58" i="2"/>
  <c r="E59" i="2"/>
  <c r="E53" i="2"/>
  <c r="E43" i="7"/>
  <c r="E42" i="7"/>
  <c r="C47" i="7"/>
  <c r="E47" i="7" s="1"/>
  <c r="C44" i="7"/>
  <c r="E44" i="7" s="1"/>
  <c r="C37" i="7"/>
  <c r="E37" i="7" s="1"/>
  <c r="C38" i="7"/>
  <c r="E38" i="7" s="1"/>
  <c r="C39" i="7"/>
  <c r="E39" i="7" s="1"/>
  <c r="C40" i="7"/>
  <c r="E40" i="7" s="1"/>
  <c r="C41" i="7"/>
  <c r="E41" i="7" s="1"/>
  <c r="C36" i="7"/>
  <c r="E36" i="7" s="1"/>
  <c r="C32" i="7"/>
  <c r="E32" i="7" s="1"/>
  <c r="C33" i="7"/>
  <c r="E33" i="7" s="1"/>
  <c r="C31" i="7"/>
  <c r="E7" i="7"/>
  <c r="D16" i="7"/>
  <c r="D17" i="7" s="1"/>
  <c r="D9" i="7"/>
  <c r="E9" i="7" s="1"/>
  <c r="D8" i="7"/>
  <c r="E6" i="7"/>
  <c r="F61" i="7"/>
  <c r="G61" i="7" s="1"/>
  <c r="E59" i="7"/>
  <c r="G59" i="7" s="1"/>
  <c r="D59" i="7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C16" i="7"/>
  <c r="C17" i="7" s="1"/>
  <c r="C8" i="7"/>
  <c r="C10" i="7" s="1"/>
  <c r="C12" i="7" s="1"/>
  <c r="J15" i="1"/>
  <c r="E15" i="1"/>
  <c r="F15" i="1"/>
  <c r="H15" i="1"/>
  <c r="K15" i="1"/>
  <c r="M15" i="1"/>
  <c r="N15" i="1"/>
  <c r="D25" i="3"/>
  <c r="F25" i="3" s="1"/>
  <c r="H25" i="3" s="1"/>
  <c r="C48" i="3"/>
  <c r="C14" i="2"/>
  <c r="C15" i="2" s="1"/>
  <c r="E41" i="3"/>
  <c r="G41" i="3" s="1"/>
  <c r="G45" i="3" s="1"/>
  <c r="D22" i="3"/>
  <c r="F22" i="3" s="1"/>
  <c r="H22" i="3" s="1"/>
  <c r="C32" i="3" s="1"/>
  <c r="D23" i="3"/>
  <c r="F23" i="3" s="1"/>
  <c r="H23" i="3" s="1"/>
  <c r="C33" i="3" s="1"/>
  <c r="D24" i="3"/>
  <c r="F24" i="3" s="1"/>
  <c r="H24" i="3" s="1"/>
  <c r="C34" i="3" s="1"/>
  <c r="D21" i="3"/>
  <c r="F21" i="3" s="1"/>
  <c r="H21" i="3" s="1"/>
  <c r="C31" i="3" s="1"/>
  <c r="D60" i="2"/>
  <c r="E60" i="2" s="1"/>
  <c r="F59" i="2"/>
  <c r="F62" i="2"/>
  <c r="G62" i="2" s="1"/>
  <c r="F58" i="2"/>
  <c r="F61" i="2" s="1"/>
  <c r="G61" i="2" s="1"/>
  <c r="F57" i="2"/>
  <c r="F56" i="2"/>
  <c r="F55" i="2"/>
  <c r="F54" i="2"/>
  <c r="F53" i="2"/>
  <c r="E46" i="2"/>
  <c r="C44" i="2"/>
  <c r="E44" i="2" s="1"/>
  <c r="E43" i="2"/>
  <c r="E40" i="2"/>
  <c r="E39" i="2"/>
  <c r="E38" i="2"/>
  <c r="E37" i="2"/>
  <c r="E36" i="2"/>
  <c r="E35" i="2"/>
  <c r="E32" i="2"/>
  <c r="E31" i="2"/>
  <c r="E30" i="2"/>
  <c r="C33" i="2"/>
  <c r="E33" i="2" s="1"/>
  <c r="C6" i="2"/>
  <c r="C8" i="2" s="1"/>
  <c r="F28" i="7" l="1"/>
  <c r="F22" i="2"/>
  <c r="F23" i="2"/>
  <c r="E17" i="7"/>
  <c r="C34" i="7"/>
  <c r="E34" i="7" s="1"/>
  <c r="G57" i="2"/>
  <c r="E8" i="7"/>
  <c r="C45" i="7"/>
  <c r="E45" i="7" s="1"/>
  <c r="D10" i="7"/>
  <c r="E16" i="7"/>
  <c r="E31" i="7"/>
  <c r="H27" i="3"/>
  <c r="H28" i="3" s="1"/>
  <c r="G54" i="2"/>
  <c r="G59" i="2"/>
  <c r="G55" i="2"/>
  <c r="G56" i="2"/>
  <c r="G60" i="2"/>
  <c r="G53" i="2"/>
  <c r="F60" i="7"/>
  <c r="G60" i="7" s="1"/>
  <c r="G62" i="7" s="1"/>
  <c r="D73" i="7" s="1"/>
  <c r="C11" i="7"/>
  <c r="C13" i="7" s="1"/>
  <c r="C35" i="3"/>
  <c r="C37" i="3" s="1"/>
  <c r="C50" i="3" s="1"/>
  <c r="C51" i="3"/>
  <c r="E47" i="2"/>
  <c r="C73" i="2" s="1"/>
  <c r="G58" i="2"/>
  <c r="C10" i="2"/>
  <c r="C9" i="2"/>
  <c r="C11" i="2" s="1"/>
  <c r="F27" i="2" l="1"/>
  <c r="C72" i="2" s="1"/>
  <c r="D8" i="1" s="1"/>
  <c r="O8" i="1"/>
  <c r="N6" i="1"/>
  <c r="AB6" i="1"/>
  <c r="O6" i="1"/>
  <c r="AA6" i="1"/>
  <c r="P6" i="1"/>
  <c r="E6" i="1"/>
  <c r="Q6" i="1"/>
  <c r="Z6" i="1"/>
  <c r="Y6" i="1"/>
  <c r="F6" i="1"/>
  <c r="R6" i="1"/>
  <c r="K6" i="1"/>
  <c r="W6" i="1"/>
  <c r="G6" i="1"/>
  <c r="S6" i="1"/>
  <c r="J6" i="1"/>
  <c r="L6" i="1"/>
  <c r="H6" i="1"/>
  <c r="T6" i="1"/>
  <c r="V6" i="1"/>
  <c r="X6" i="1"/>
  <c r="D6" i="1"/>
  <c r="I6" i="1"/>
  <c r="U6" i="1"/>
  <c r="M6" i="1"/>
  <c r="E48" i="7"/>
  <c r="D72" i="7" s="1"/>
  <c r="O9" i="1" s="1"/>
  <c r="G63" i="2"/>
  <c r="C74" i="2" s="1"/>
  <c r="C73" i="7" s="1"/>
  <c r="E73" i="7" s="1"/>
  <c r="M10" i="1"/>
  <c r="N10" i="1" s="1"/>
  <c r="O10" i="1"/>
  <c r="E10" i="7"/>
  <c r="D12" i="7"/>
  <c r="E12" i="7" s="1"/>
  <c r="D11" i="7"/>
  <c r="C13" i="2"/>
  <c r="C12" i="2"/>
  <c r="C72" i="7"/>
  <c r="D9" i="1"/>
  <c r="E9" i="1" s="1"/>
  <c r="F9" i="1" s="1"/>
  <c r="G9" i="1" s="1"/>
  <c r="H9" i="1" s="1"/>
  <c r="I9" i="1" s="1"/>
  <c r="C15" i="7"/>
  <c r="C14" i="7"/>
  <c r="C18" i="7" s="1"/>
  <c r="J34" i="3"/>
  <c r="K28" i="3"/>
  <c r="L28" i="3" s="1"/>
  <c r="C76" i="2" s="1"/>
  <c r="C75" i="7" s="1"/>
  <c r="D75" i="7" s="1"/>
  <c r="E75" i="7" s="1"/>
  <c r="C49" i="3"/>
  <c r="C52" i="3" s="1"/>
  <c r="C54" i="3" s="1"/>
  <c r="C71" i="7" l="1"/>
  <c r="E71" i="7" s="1"/>
  <c r="D10" i="1"/>
  <c r="E10" i="1" s="1"/>
  <c r="F10" i="1" s="1"/>
  <c r="G10" i="1" s="1"/>
  <c r="H10" i="1" s="1"/>
  <c r="I10" i="1" s="1"/>
  <c r="J10" i="1" s="1"/>
  <c r="K10" i="1" s="1"/>
  <c r="L10" i="1" s="1"/>
  <c r="Y10" i="1"/>
  <c r="AB10" i="1"/>
  <c r="AA10" i="1"/>
  <c r="Z10" i="1"/>
  <c r="Y8" i="1"/>
  <c r="AB8" i="1"/>
  <c r="AA8" i="1"/>
  <c r="Z8" i="1"/>
  <c r="AB9" i="1"/>
  <c r="AA9" i="1"/>
  <c r="Z9" i="1"/>
  <c r="Y9" i="1"/>
  <c r="X10" i="1"/>
  <c r="Q10" i="1"/>
  <c r="R10" i="1"/>
  <c r="S10" i="1"/>
  <c r="T10" i="1"/>
  <c r="P10" i="1"/>
  <c r="W10" i="1"/>
  <c r="U10" i="1"/>
  <c r="V10" i="1"/>
  <c r="X9" i="1"/>
  <c r="R9" i="1"/>
  <c r="S9" i="1"/>
  <c r="P9" i="1"/>
  <c r="Q9" i="1"/>
  <c r="T9" i="1"/>
  <c r="V9" i="1"/>
  <c r="U9" i="1"/>
  <c r="W9" i="1"/>
  <c r="X8" i="1"/>
  <c r="P8" i="1"/>
  <c r="Q8" i="1"/>
  <c r="R8" i="1"/>
  <c r="S8" i="1"/>
  <c r="T8" i="1"/>
  <c r="U8" i="1"/>
  <c r="V8" i="1"/>
  <c r="W8" i="1"/>
  <c r="E72" i="7"/>
  <c r="E11" i="7"/>
  <c r="D13" i="7"/>
  <c r="C16" i="2"/>
  <c r="D7" i="1" s="1"/>
  <c r="E7" i="1" s="1"/>
  <c r="C1" i="5"/>
  <c r="J9" i="1"/>
  <c r="K9" i="1" s="1"/>
  <c r="L9" i="1" s="1"/>
  <c r="N9" i="1"/>
  <c r="M9" i="1"/>
  <c r="E8" i="1"/>
  <c r="F7" i="1" l="1"/>
  <c r="G7" i="1" s="1"/>
  <c r="H7" i="1" s="1"/>
  <c r="I7" i="1" s="1"/>
  <c r="J7" i="1" s="1"/>
  <c r="K7" i="1" s="1"/>
  <c r="L7" i="1" s="1"/>
  <c r="C69" i="2"/>
  <c r="C75" i="2"/>
  <c r="C77" i="2" s="1"/>
  <c r="C78" i="2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D14" i="7"/>
  <c r="E14" i="7" s="1"/>
  <c r="E13" i="7"/>
  <c r="H13" i="7"/>
  <c r="D15" i="7"/>
  <c r="C16" i="5"/>
  <c r="N16" i="5"/>
  <c r="H16" i="5"/>
  <c r="K16" i="5"/>
  <c r="F16" i="5"/>
  <c r="F8" i="1"/>
  <c r="Y13" i="1" l="1"/>
  <c r="AB13" i="1"/>
  <c r="Z13" i="1"/>
  <c r="AA13" i="1"/>
  <c r="C74" i="7"/>
  <c r="C76" i="7" s="1"/>
  <c r="C7" i="8" s="1"/>
  <c r="T13" i="1"/>
  <c r="U13" i="1"/>
  <c r="S13" i="1"/>
  <c r="V13" i="1"/>
  <c r="Q13" i="1"/>
  <c r="W13" i="1"/>
  <c r="X13" i="1"/>
  <c r="R13" i="1"/>
  <c r="P13" i="1"/>
  <c r="G15" i="1"/>
  <c r="C19" i="5"/>
  <c r="L15" i="1"/>
  <c r="C21" i="5"/>
  <c r="I15" i="1"/>
  <c r="C20" i="5"/>
  <c r="O15" i="1"/>
  <c r="C22" i="5"/>
  <c r="D15" i="1"/>
  <c r="C18" i="5"/>
  <c r="M7" i="1"/>
  <c r="N7" i="1"/>
  <c r="D11" i="1"/>
  <c r="E11" i="1" s="1"/>
  <c r="C79" i="2"/>
  <c r="C81" i="2" s="1"/>
  <c r="C82" i="2" s="1"/>
  <c r="C77" i="7"/>
  <c r="D18" i="7"/>
  <c r="E15" i="7"/>
  <c r="G8" i="1"/>
  <c r="D77" i="7" l="1"/>
  <c r="C8" i="8"/>
  <c r="D12" i="1"/>
  <c r="D14" i="1" s="1"/>
  <c r="D16" i="1" s="1"/>
  <c r="D17" i="1" s="1"/>
  <c r="O7" i="1"/>
  <c r="E18" i="7"/>
  <c r="D74" i="7"/>
  <c r="H8" i="1"/>
  <c r="F11" i="1"/>
  <c r="E12" i="1"/>
  <c r="E14" i="1" s="1"/>
  <c r="E16" i="1" s="1"/>
  <c r="E17" i="1" s="1"/>
  <c r="E26" i="1" s="1"/>
  <c r="C78" i="7"/>
  <c r="C80" i="7" l="1"/>
  <c r="C84" i="7"/>
  <c r="C13" i="8" s="1"/>
  <c r="C9" i="8"/>
  <c r="C83" i="7"/>
  <c r="C12" i="8" s="1"/>
  <c r="E77" i="7"/>
  <c r="D8" i="8"/>
  <c r="E8" i="8" s="1"/>
  <c r="Y7" i="1"/>
  <c r="AB7" i="1"/>
  <c r="Z7" i="1"/>
  <c r="AA7" i="1"/>
  <c r="D18" i="1"/>
  <c r="E18" i="1" s="1"/>
  <c r="D26" i="1"/>
  <c r="X7" i="1"/>
  <c r="S7" i="1"/>
  <c r="Q7" i="1"/>
  <c r="P7" i="1"/>
  <c r="R7" i="1"/>
  <c r="T7" i="1"/>
  <c r="W7" i="1"/>
  <c r="U7" i="1"/>
  <c r="V7" i="1"/>
  <c r="M11" i="1"/>
  <c r="N11" i="1" s="1"/>
  <c r="O11" i="1"/>
  <c r="D76" i="7"/>
  <c r="D7" i="8" s="1"/>
  <c r="E7" i="8" s="1"/>
  <c r="E74" i="7"/>
  <c r="I8" i="1"/>
  <c r="D22" i="1"/>
  <c r="D25" i="1" s="1"/>
  <c r="G11" i="1"/>
  <c r="F12" i="1"/>
  <c r="F14" i="1" s="1"/>
  <c r="F16" i="1" s="1"/>
  <c r="F17" i="1" s="1"/>
  <c r="F26" i="1" s="1"/>
  <c r="C81" i="7" l="1"/>
  <c r="C11" i="8" s="1"/>
  <c r="C10" i="8"/>
  <c r="AB11" i="1"/>
  <c r="AA11" i="1"/>
  <c r="Y11" i="1"/>
  <c r="Z11" i="1"/>
  <c r="D27" i="1"/>
  <c r="O12" i="1"/>
  <c r="X11" i="1"/>
  <c r="S11" i="1"/>
  <c r="Q11" i="1"/>
  <c r="R11" i="1"/>
  <c r="T11" i="1"/>
  <c r="W11" i="1"/>
  <c r="U11" i="1"/>
  <c r="P11" i="1"/>
  <c r="V11" i="1"/>
  <c r="D78" i="7"/>
  <c r="E76" i="7"/>
  <c r="F18" i="1"/>
  <c r="D23" i="1"/>
  <c r="E22" i="1"/>
  <c r="E25" i="1" s="1"/>
  <c r="E27" i="1" s="1"/>
  <c r="E31" i="1" s="1"/>
  <c r="H11" i="1"/>
  <c r="G12" i="1"/>
  <c r="G14" i="1" s="1"/>
  <c r="G16" i="1" s="1"/>
  <c r="G17" i="1" s="1"/>
  <c r="G26" i="1" s="1"/>
  <c r="M8" i="1"/>
  <c r="M12" i="1" s="1"/>
  <c r="M14" i="1" s="1"/>
  <c r="M16" i="1" s="1"/>
  <c r="M17" i="1" s="1"/>
  <c r="M26" i="1" s="1"/>
  <c r="N8" i="1"/>
  <c r="N12" i="1" s="1"/>
  <c r="N14" i="1" s="1"/>
  <c r="N16" i="1" s="1"/>
  <c r="N17" i="1" s="1"/>
  <c r="N26" i="1" s="1"/>
  <c r="J8" i="1"/>
  <c r="D84" i="7" l="1"/>
  <c r="D83" i="7"/>
  <c r="D9" i="8"/>
  <c r="E9" i="8" s="1"/>
  <c r="AB12" i="1"/>
  <c r="AA12" i="1"/>
  <c r="Z12" i="1"/>
  <c r="Y12" i="1"/>
  <c r="D31" i="1"/>
  <c r="X12" i="1"/>
  <c r="R12" i="1"/>
  <c r="S12" i="1"/>
  <c r="Q12" i="1"/>
  <c r="T12" i="1"/>
  <c r="V12" i="1"/>
  <c r="P12" i="1"/>
  <c r="U12" i="1"/>
  <c r="W12" i="1"/>
  <c r="O14" i="1"/>
  <c r="D80" i="7"/>
  <c r="D10" i="8" s="1"/>
  <c r="E10" i="8" s="1"/>
  <c r="E78" i="7"/>
  <c r="G18" i="1"/>
  <c r="I11" i="1"/>
  <c r="H12" i="1"/>
  <c r="H14" i="1" s="1"/>
  <c r="H16" i="1" s="1"/>
  <c r="H17" i="1" s="1"/>
  <c r="H26" i="1" s="1"/>
  <c r="E23" i="1"/>
  <c r="F22" i="1"/>
  <c r="F25" i="1" s="1"/>
  <c r="F27" i="1" s="1"/>
  <c r="F31" i="1" s="1"/>
  <c r="K8" i="1"/>
  <c r="E83" i="7" l="1"/>
  <c r="D12" i="8"/>
  <c r="E12" i="8" s="1"/>
  <c r="E84" i="7"/>
  <c r="D13" i="8"/>
  <c r="E13" i="8" s="1"/>
  <c r="AB14" i="1"/>
  <c r="AB16" i="1" s="1"/>
  <c r="Y14" i="1"/>
  <c r="Y16" i="1" s="1"/>
  <c r="AA14" i="1"/>
  <c r="AA16" i="1" s="1"/>
  <c r="Z14" i="1"/>
  <c r="Z16" i="1" s="1"/>
  <c r="O16" i="1"/>
  <c r="O17" i="1" s="1"/>
  <c r="O26" i="1" s="1"/>
  <c r="X14" i="1"/>
  <c r="X16" i="1" s="1"/>
  <c r="P14" i="1"/>
  <c r="P16" i="1" s="1"/>
  <c r="P17" i="1" s="1"/>
  <c r="S14" i="1"/>
  <c r="S16" i="1" s="1"/>
  <c r="Q14" i="1"/>
  <c r="Q16" i="1" s="1"/>
  <c r="R14" i="1"/>
  <c r="R16" i="1" s="1"/>
  <c r="T14" i="1"/>
  <c r="T16" i="1" s="1"/>
  <c r="W14" i="1"/>
  <c r="W16" i="1" s="1"/>
  <c r="U14" i="1"/>
  <c r="U16" i="1" s="1"/>
  <c r="V14" i="1"/>
  <c r="V16" i="1" s="1"/>
  <c r="E80" i="7"/>
  <c r="D81" i="7"/>
  <c r="H18" i="1"/>
  <c r="L8" i="1"/>
  <c r="J11" i="1"/>
  <c r="I12" i="1"/>
  <c r="I14" i="1" s="1"/>
  <c r="I16" i="1" s="1"/>
  <c r="I17" i="1" s="1"/>
  <c r="I26" i="1" s="1"/>
  <c r="G22" i="1"/>
  <c r="F23" i="1"/>
  <c r="E81" i="7" l="1"/>
  <c r="D11" i="8"/>
  <c r="E11" i="8" s="1"/>
  <c r="H22" i="1"/>
  <c r="G25" i="1"/>
  <c r="G27" i="1" s="1"/>
  <c r="Q17" i="1"/>
  <c r="P26" i="1"/>
  <c r="I18" i="1"/>
  <c r="K11" i="1"/>
  <c r="J12" i="1"/>
  <c r="J14" i="1" s="1"/>
  <c r="G23" i="1"/>
  <c r="H23" i="1" l="1"/>
  <c r="R17" i="1"/>
  <c r="Q26" i="1"/>
  <c r="G31" i="1"/>
  <c r="I22" i="1"/>
  <c r="H25" i="1"/>
  <c r="H27" i="1" s="1"/>
  <c r="H31" i="1" s="1"/>
  <c r="J16" i="1"/>
  <c r="J17" i="1" s="1"/>
  <c r="K14" i="1"/>
  <c r="L11" i="1"/>
  <c r="L12" i="1" s="1"/>
  <c r="K12" i="1"/>
  <c r="J18" i="1" l="1"/>
  <c r="J26" i="1"/>
  <c r="J22" i="1"/>
  <c r="I25" i="1"/>
  <c r="I27" i="1" s="1"/>
  <c r="S17" i="1"/>
  <c r="R26" i="1"/>
  <c r="I23" i="1"/>
  <c r="L14" i="1"/>
  <c r="L16" i="1" s="1"/>
  <c r="L17" i="1" s="1"/>
  <c r="L26" i="1" s="1"/>
  <c r="K16" i="1"/>
  <c r="K17" i="1" s="1"/>
  <c r="J23" i="1" l="1"/>
  <c r="K18" i="1"/>
  <c r="L18" i="1" s="1"/>
  <c r="M18" i="1" s="1"/>
  <c r="N18" i="1" s="1"/>
  <c r="O18" i="1" s="1"/>
  <c r="P18" i="1" s="1"/>
  <c r="Q18" i="1" s="1"/>
  <c r="R18" i="1" s="1"/>
  <c r="S18" i="1" s="1"/>
  <c r="K26" i="1"/>
  <c r="T17" i="1"/>
  <c r="S26" i="1"/>
  <c r="I31" i="1"/>
  <c r="K22" i="1"/>
  <c r="J25" i="1"/>
  <c r="J27" i="1" s="1"/>
  <c r="J31" i="1" s="1"/>
  <c r="L22" i="1" l="1"/>
  <c r="K25" i="1"/>
  <c r="K27" i="1" s="1"/>
  <c r="K31" i="1" s="1"/>
  <c r="U17" i="1"/>
  <c r="T26" i="1"/>
  <c r="K23" i="1"/>
  <c r="T18" i="1"/>
  <c r="U18" i="1" l="1"/>
  <c r="L23" i="1"/>
  <c r="V17" i="1"/>
  <c r="U26" i="1"/>
  <c r="M22" i="1"/>
  <c r="L25" i="1"/>
  <c r="L27" i="1" s="1"/>
  <c r="L31" i="1" s="1"/>
  <c r="M23" i="1" l="1"/>
  <c r="N22" i="1"/>
  <c r="M25" i="1"/>
  <c r="M27" i="1" s="1"/>
  <c r="M31" i="1" s="1"/>
  <c r="W17" i="1"/>
  <c r="V26" i="1"/>
  <c r="V18" i="1"/>
  <c r="W18" i="1" l="1"/>
  <c r="X17" i="1"/>
  <c r="W26" i="1"/>
  <c r="O22" i="1"/>
  <c r="N25" i="1"/>
  <c r="N27" i="1" s="1"/>
  <c r="N31" i="1" s="1"/>
  <c r="N23" i="1"/>
  <c r="O23" i="1" l="1"/>
  <c r="P22" i="1"/>
  <c r="O25" i="1"/>
  <c r="O27" i="1" s="1"/>
  <c r="O31" i="1" s="1"/>
  <c r="X26" i="1"/>
  <c r="Y17" i="1"/>
  <c r="X18" i="1"/>
  <c r="Z17" i="1" l="1"/>
  <c r="Y26" i="1"/>
  <c r="Y18" i="1"/>
  <c r="Q22" i="1"/>
  <c r="P25" i="1"/>
  <c r="P27" i="1" s="1"/>
  <c r="P31" i="1" s="1"/>
  <c r="P23" i="1"/>
  <c r="Q23" i="1" l="1"/>
  <c r="R22" i="1"/>
  <c r="Q25" i="1"/>
  <c r="Q27" i="1" s="1"/>
  <c r="Q31" i="1" s="1"/>
  <c r="Z26" i="1"/>
  <c r="AA17" i="1"/>
  <c r="Z18" i="1"/>
  <c r="AA26" i="1" l="1"/>
  <c r="AB17" i="1"/>
  <c r="AA18" i="1"/>
  <c r="S22" i="1"/>
  <c r="R25" i="1"/>
  <c r="R27" i="1" s="1"/>
  <c r="R31" i="1" s="1"/>
  <c r="R23" i="1"/>
  <c r="S23" i="1" l="1"/>
  <c r="AB26" i="1"/>
  <c r="AB18" i="1"/>
  <c r="T22" i="1"/>
  <c r="S25" i="1"/>
  <c r="S27" i="1" s="1"/>
  <c r="S31" i="1" s="1"/>
  <c r="U22" i="1" l="1"/>
  <c r="T25" i="1"/>
  <c r="T27" i="1" s="1"/>
  <c r="T31" i="1" s="1"/>
  <c r="T23" i="1"/>
  <c r="U23" i="1" l="1"/>
  <c r="V22" i="1"/>
  <c r="U25" i="1"/>
  <c r="U27" i="1" s="1"/>
  <c r="U31" i="1" s="1"/>
  <c r="W22" i="1" l="1"/>
  <c r="V25" i="1"/>
  <c r="V27" i="1" s="1"/>
  <c r="V31" i="1" s="1"/>
  <c r="V23" i="1"/>
  <c r="W23" i="1" l="1"/>
  <c r="X22" i="1"/>
  <c r="W25" i="1"/>
  <c r="W27" i="1" s="1"/>
  <c r="W31" i="1" s="1"/>
  <c r="Y22" i="1" l="1"/>
  <c r="X25" i="1"/>
  <c r="X27" i="1" s="1"/>
  <c r="X31" i="1" s="1"/>
  <c r="X23" i="1"/>
  <c r="Z22" i="1" l="1"/>
  <c r="Y25" i="1"/>
  <c r="Y27" i="1" s="1"/>
  <c r="Y31" i="1" s="1"/>
  <c r="Y23" i="1"/>
  <c r="Z23" i="1" l="1"/>
  <c r="AA22" i="1"/>
  <c r="Z25" i="1"/>
  <c r="Z27" i="1" s="1"/>
  <c r="Z31" i="1" s="1"/>
  <c r="AA23" i="1" l="1"/>
  <c r="AB22" i="1"/>
  <c r="AA25" i="1"/>
  <c r="AA27" i="1" s="1"/>
  <c r="AA31" i="1" s="1"/>
  <c r="AB23" i="1" l="1"/>
  <c r="AB25" i="1"/>
  <c r="AB27" i="1" s="1"/>
  <c r="AB31" i="1" l="1"/>
  <c r="D32" i="1" s="1"/>
  <c r="D29" i="1"/>
</calcChain>
</file>

<file path=xl/sharedStrings.xml><?xml version="1.0" encoding="utf-8"?>
<sst xmlns="http://schemas.openxmlformats.org/spreadsheetml/2006/main" count="335" uniqueCount="188">
  <si>
    <t>PRODUCCION M2</t>
  </si>
  <si>
    <t>INGRESOS POR VENTAS</t>
  </si>
  <si>
    <t>PRECIO M2 DE BALDOSA</t>
  </si>
  <si>
    <t>MES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</si>
  <si>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</si>
  <si>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</si>
  <si>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</si>
  <si>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</si>
  <si>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</si>
  <si>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</si>
  <si>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</si>
  <si>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</si>
  <si>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</si>
  <si>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</si>
  <si>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</si>
  <si>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</si>
  <si>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</si>
  <si>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</si>
  <si>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</si>
  <si>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</si>
  <si>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</si>
  <si>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TOTAL</t>
  </si>
  <si>
    <t>INSUMOS O MATERIALES</t>
  </si>
  <si>
    <t>SERVICIOS PUBLICOS</t>
  </si>
  <si>
    <t>Horno</t>
  </si>
  <si>
    <t xml:space="preserve">COMBUSTIBLE GAS </t>
  </si>
  <si>
    <t xml:space="preserve">VALOR M3 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</si>
  <si>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</si>
  <si>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</si>
  <si>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</si>
  <si>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</si>
  <si>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</si>
  <si>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</si>
  <si>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TOTAL SERVICIOS PUBLICO</t>
  </si>
  <si>
    <t>CARGO</t>
  </si>
  <si>
    <t>TOTAL CARGOS</t>
  </si>
  <si>
    <t>COSTO MES</t>
  </si>
  <si>
    <t>VALOR TOTAL MES</t>
  </si>
  <si>
    <t>AREA</t>
  </si>
  <si>
    <t>PUESTOS POR TURNO</t>
  </si>
  <si>
    <t>COSTO MES CARGO</t>
  </si>
  <si>
    <t>CONCEPTO</t>
  </si>
  <si>
    <t>VALOR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</si>
  <si>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</si>
  <si>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</si>
  <si>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</si>
  <si>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</si>
  <si>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</si>
  <si>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</si>
  <si>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</si>
  <si>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</si>
  <si>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COSTOS DEL PROYECTO</t>
  </si>
  <si>
    <t>EQUIPOS</t>
  </si>
  <si>
    <t>TRM</t>
  </si>
  <si>
    <t>VALOR $US</t>
  </si>
  <si>
    <t>IVA</t>
  </si>
  <si>
    <t>VALOR FINAL</t>
  </si>
  <si>
    <t>Adquisición de Esmaltadora</t>
  </si>
  <si>
    <t>Adquisición  de empacadora</t>
  </si>
  <si>
    <t>Adquisición Robot KR22 R1610-2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</si>
  <si>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</si>
  <si>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</si>
  <si>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</si>
  <si>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</si>
  <si>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</si>
  <si>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>NUMERO</t>
  </si>
  <si>
    <t xml:space="preserve">SALARIO </t>
  </si>
  <si>
    <t xml:space="preserve">TIEMPO </t>
  </si>
  <si>
    <t>VALOR TOTAL</t>
  </si>
  <si>
    <t>Ingeniero en formacion</t>
  </si>
  <si>
    <t xml:space="preserve">VALOR COP </t>
  </si>
  <si>
    <t>VALOR CON IVA</t>
  </si>
  <si>
    <t>Controlador</t>
  </si>
  <si>
    <t>Reja separadora</t>
  </si>
  <si>
    <t>PRECIO ESTIMADO DEL PROYECTO</t>
  </si>
  <si>
    <t>MESES</t>
  </si>
  <si>
    <t>VALOR PROYECTO</t>
  </si>
  <si>
    <t>PROYECTO INVERSION</t>
  </si>
  <si>
    <t>SALDO FINAL</t>
  </si>
  <si>
    <t>Fábrica produce 8820 baldosas por hora</t>
  </si>
  <si>
    <t>Se aumenta la produccion al superar el cuello de botella del esmaltado por lo cual el limite de produccion lo da el Horno.
Se reducen la perdidas de 3,4% AL 2,05%</t>
  </si>
  <si>
    <t>% VARIACION</t>
  </si>
  <si>
    <t>VALOR ACTAUL</t>
  </si>
  <si>
    <t>VALOR POSTERIOR PROYECTO</t>
  </si>
  <si>
    <t xml:space="preserve">GASTOS </t>
  </si>
  <si>
    <t>ACUMULADO</t>
  </si>
  <si>
    <t>SALDO</t>
  </si>
  <si>
    <t>EGRESOS +INVERSION</t>
  </si>
  <si>
    <t>CANTIDA MES [kg]</t>
  </si>
  <si>
    <t xml:space="preserve">Defectos </t>
  </si>
  <si>
    <t>Disponibilidad</t>
  </si>
  <si>
    <t>Perido de transición produción en un</t>
  </si>
  <si>
    <t>Producción disminuida por defectos</t>
  </si>
  <si>
    <t>Precio venta M2 calidad 1</t>
  </si>
  <si>
    <t>Precio venta M2 calidad 2</t>
  </si>
  <si>
    <t>Atomizador</t>
  </si>
  <si>
    <t>Secador</t>
  </si>
  <si>
    <t>Molino</t>
  </si>
  <si>
    <t>Prensa</t>
  </si>
  <si>
    <t>Esmaltadora</t>
  </si>
  <si>
    <t>Empaque</t>
  </si>
  <si>
    <t>Paletizado</t>
  </si>
  <si>
    <t>Otros planta</t>
  </si>
  <si>
    <t>VALOR kg</t>
  </si>
  <si>
    <t>INGRESOS</t>
  </si>
  <si>
    <t>INGRESOS Y EGRESO MENSUALES PRODUCCION ACTUAL</t>
  </si>
  <si>
    <t>INSTALACIONES DE EQUIPOS 
(Suministros, transporte y mano de obra)</t>
  </si>
  <si>
    <t>12 MESES</t>
  </si>
  <si>
    <t>COSTOS EQUIPO DE PROYECTO EN SEDE</t>
  </si>
  <si>
    <t>CONSOLIDADO VALOR DEL PROYECTO</t>
  </si>
  <si>
    <t>AIU</t>
  </si>
  <si>
    <t>INGRESOS Y EGRESO MENSUALES PRODUCCION POSTERIOR AL PROYECTO</t>
  </si>
  <si>
    <t>Operario</t>
  </si>
  <si>
    <t>Supervisor</t>
  </si>
  <si>
    <t>Ingeniero de producción</t>
  </si>
  <si>
    <t>Molienda</t>
  </si>
  <si>
    <t>Atomizado</t>
  </si>
  <si>
    <t>Prensado</t>
  </si>
  <si>
    <t>Secado</t>
  </si>
  <si>
    <t>Esmaltado</t>
  </si>
  <si>
    <t>Empaquetado</t>
  </si>
  <si>
    <t>Producción ideal</t>
  </si>
  <si>
    <t>Produccin final baldosas por hora</t>
  </si>
  <si>
    <t>Producción final en M2 por hora</t>
  </si>
  <si>
    <t>Producción final baldosas por mes</t>
  </si>
  <si>
    <t>Producción final en M2 por mes</t>
  </si>
  <si>
    <t>Producción en M2  baldosas calidad 1 (80%)</t>
  </si>
  <si>
    <t>Producción en M2  baldosas calidad 2 (20%)</t>
  </si>
  <si>
    <t>ENERGÍA</t>
  </si>
  <si>
    <t>TOTAL SERVICIOS PÚBLICOS</t>
  </si>
  <si>
    <t>Depreciación (15 AÑOS)</t>
  </si>
  <si>
    <t>Servicios públicos</t>
  </si>
  <si>
    <t>Recurso humano</t>
  </si>
  <si>
    <t>Servicios (mantenimiento) 1% ventas</t>
  </si>
  <si>
    <t>% VARIACIÓN</t>
  </si>
  <si>
    <t>ANÁLIS TÉCNICO Y FINACIERO DE LA PROPUESTA DE AUTOMATIZACIÓN</t>
  </si>
  <si>
    <t xml:space="preserve">Consultoría del proyecto 12 MESES
</t>
  </si>
  <si>
    <t>Realización de los estudios y diseños integrales técnicos y financieros del proyecto de automatización de la planta incluye la puesta en operación</t>
  </si>
  <si>
    <t>DISEÑOS AUTOMATIZACÓN PLANTA</t>
  </si>
  <si>
    <t>ARANCEL</t>
  </si>
  <si>
    <t>Valor puesto en Colombia</t>
  </si>
  <si>
    <t>Capacitación y entrenamiento al personal</t>
  </si>
  <si>
    <t>Suministros</t>
  </si>
  <si>
    <t>Gastos de desplazamiento</t>
  </si>
  <si>
    <t>Otros gastos</t>
  </si>
  <si>
    <t>Diseño automatización de planta</t>
  </si>
  <si>
    <t>Equipos</t>
  </si>
  <si>
    <t>Servicios de instalación</t>
  </si>
  <si>
    <t>Asesoría y acompañamiento</t>
  </si>
  <si>
    <t>Markup por riesgo</t>
  </si>
  <si>
    <t xml:space="preserve">Evaluación y diseño </t>
  </si>
  <si>
    <t>Adquisición y recepción equipos</t>
  </si>
  <si>
    <t>Instalación y puesta en funcionamiento propuesta</t>
  </si>
  <si>
    <t>Estabilización producción</t>
  </si>
  <si>
    <t xml:space="preserve">Pagos </t>
  </si>
  <si>
    <t>Anticipo</t>
  </si>
  <si>
    <t>Último pago</t>
  </si>
  <si>
    <t>pago 1</t>
  </si>
  <si>
    <t>pago 2</t>
  </si>
  <si>
    <t>pago 3</t>
  </si>
  <si>
    <t>Sin automatización</t>
  </si>
  <si>
    <t>FLUJO DE CAJA</t>
  </si>
  <si>
    <t xml:space="preserve">CRONOGRAMA  DE IMPLEMETACIÓN </t>
  </si>
  <si>
    <t>CONSOLIDADO INGRESOS Y GASTOS POSTERIOR A PROYECTO</t>
  </si>
  <si>
    <t>CONSOLIDADO INGRESOS Y GASTOS  ACTUAL</t>
  </si>
  <si>
    <t xml:space="preserve">Periodo de transición </t>
  </si>
  <si>
    <t>aumento paulatino de la producción</t>
  </si>
  <si>
    <t>Producción mensual respecto a producción inicial</t>
  </si>
  <si>
    <t>Inicio de instalacion de equipos,  se afecta la produción</t>
  </si>
  <si>
    <t>Periodo de recuperación</t>
  </si>
  <si>
    <t>Tasa interna de retorno</t>
  </si>
  <si>
    <t>Valor presente neto</t>
  </si>
  <si>
    <t>Con automatización</t>
  </si>
  <si>
    <t>Tasa de descuento</t>
  </si>
  <si>
    <t>Diferencia generada por el proyecto</t>
  </si>
  <si>
    <t>Sumatoria</t>
  </si>
  <si>
    <t>COMPOSICIÓN [%]</t>
  </si>
  <si>
    <t>Esmalte</t>
  </si>
  <si>
    <t>-</t>
  </si>
  <si>
    <t>Costo promedio por Baldosa</t>
  </si>
  <si>
    <t>Costo promedio por metro cuadrado</t>
  </si>
  <si>
    <t>ANTES DE PROYECTO</t>
  </si>
  <si>
    <t>CON PROYECTO</t>
  </si>
  <si>
    <t>META</t>
  </si>
  <si>
    <t>% RENTABILIDAD (MARGEN)</t>
  </si>
  <si>
    <t>costo promedio por baldosa</t>
  </si>
  <si>
    <t>Costo promedio por m2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</si>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</sst>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  <numFmt numFmtId="168" formatCode="_-&quot;$&quot;\ * #,##0.000_-;\-&quot;$&quot;\ * #,##0.000_-;_-&quot;$&quot;\ * &quot;-&quot;??_-;_-@_-"/>
    <numFmt numFmtId="169" formatCode="_-&quot;$&quot;\ * #,##0.000_-;\-&quot;$&quot;\ * #,##0.000_-;_-&quot;$&quot;\ * &quot;-&quot;?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5" xfId="0" applyBorder="1"/>
    <xf numFmtId="164" fontId="0" fillId="0" borderId="6" xfId="2" applyNumberFormat="1" applyFont="1" applyBorder="1"/>
    <xf numFmtId="0" fontId="2" fillId="0" borderId="0" xfId="0" applyFont="1"/>
    <xf numFmtId="165" fontId="0" fillId="0" borderId="0" xfId="0" applyNumberForma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164" fontId="2" fillId="0" borderId="0" xfId="0" applyNumberFormat="1" applyFont="1"/>
    <xf numFmtId="165" fontId="0" fillId="0" borderId="1" xfId="1" applyNumberFormat="1" applyFont="1" applyBorder="1" applyAlignment="1">
      <alignment vertical="top"/>
    </xf>
    <xf numFmtId="164" fontId="2" fillId="0" borderId="1" xfId="0" applyNumberFormat="1" applyFont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0" fillId="0" borderId="6" xfId="0" applyNumberForma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17" xfId="0" applyBorder="1"/>
    <xf numFmtId="164" fontId="0" fillId="0" borderId="18" xfId="0" applyNumberFormat="1" applyBorder="1"/>
    <xf numFmtId="0" fontId="0" fillId="0" borderId="15" xfId="0" applyBorder="1"/>
    <xf numFmtId="164" fontId="0" fillId="0" borderId="15" xfId="2" applyNumberFormat="1" applyFont="1" applyBorder="1"/>
    <xf numFmtId="164" fontId="2" fillId="0" borderId="20" xfId="0" applyNumberFormat="1" applyFont="1" applyBorder="1"/>
    <xf numFmtId="164" fontId="0" fillId="0" borderId="28" xfId="2" applyNumberFormat="1" applyFont="1" applyBorder="1"/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5" xfId="3" applyFont="1" applyBorder="1"/>
    <xf numFmtId="0" fontId="2" fillId="0" borderId="12" xfId="0" applyFont="1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164" fontId="5" fillId="0" borderId="13" xfId="2" applyNumberFormat="1" applyFont="1" applyBorder="1"/>
    <xf numFmtId="164" fontId="4" fillId="0" borderId="0" xfId="2" applyNumberFormat="1" applyFont="1"/>
    <xf numFmtId="0" fontId="0" fillId="0" borderId="12" xfId="0" applyBorder="1" applyAlignment="1">
      <alignment wrapText="1"/>
    </xf>
    <xf numFmtId="0" fontId="0" fillId="5" borderId="10" xfId="0" applyFill="1" applyBorder="1"/>
    <xf numFmtId="0" fontId="0" fillId="5" borderId="11" xfId="0" applyFill="1" applyBorder="1"/>
    <xf numFmtId="0" fontId="0" fillId="5" borderId="22" xfId="0" applyFill="1" applyBorder="1"/>
    <xf numFmtId="0" fontId="4" fillId="3" borderId="0" xfId="0" applyFont="1" applyFill="1"/>
    <xf numFmtId="0" fontId="0" fillId="3" borderId="1" xfId="0" applyFill="1" applyBorder="1"/>
    <xf numFmtId="10" fontId="0" fillId="0" borderId="1" xfId="0" applyNumberFormat="1" applyBorder="1"/>
    <xf numFmtId="166" fontId="0" fillId="0" borderId="1" xfId="3" applyNumberFormat="1" applyFont="1" applyBorder="1"/>
    <xf numFmtId="0" fontId="4" fillId="3" borderId="1" xfId="0" applyFont="1" applyFill="1" applyBorder="1"/>
    <xf numFmtId="8" fontId="6" fillId="0" borderId="15" xfId="0" applyNumberFormat="1" applyFont="1" applyBorder="1" applyAlignment="1">
      <alignment horizontal="right" wrapText="1"/>
    </xf>
    <xf numFmtId="10" fontId="0" fillId="0" borderId="1" xfId="3" applyNumberFormat="1" applyFont="1" applyBorder="1"/>
    <xf numFmtId="166" fontId="0" fillId="0" borderId="1" xfId="0" applyNumberFormat="1" applyBorder="1"/>
    <xf numFmtId="9" fontId="0" fillId="0" borderId="6" xfId="3" applyFont="1" applyBorder="1"/>
    <xf numFmtId="0" fontId="3" fillId="0" borderId="5" xfId="0" applyFont="1" applyBorder="1"/>
    <xf numFmtId="0" fontId="0" fillId="0" borderId="6" xfId="0" applyBorder="1"/>
    <xf numFmtId="0" fontId="5" fillId="0" borderId="5" xfId="0" applyFont="1" applyBorder="1"/>
    <xf numFmtId="0" fontId="5" fillId="0" borderId="7" xfId="0" applyFont="1" applyBorder="1"/>
    <xf numFmtId="166" fontId="5" fillId="0" borderId="8" xfId="3" applyNumberFormat="1" applyFont="1" applyBorder="1"/>
    <xf numFmtId="9" fontId="0" fillId="0" borderId="9" xfId="3" applyFont="1" applyBorder="1"/>
    <xf numFmtId="164" fontId="0" fillId="0" borderId="16" xfId="0" applyNumberFormat="1" applyBorder="1"/>
    <xf numFmtId="9" fontId="0" fillId="0" borderId="18" xfId="3" applyFont="1" applyBorder="1"/>
    <xf numFmtId="0" fontId="0" fillId="7" borderId="19" xfId="0" applyFill="1" applyBorder="1"/>
    <xf numFmtId="0" fontId="0" fillId="7" borderId="23" xfId="0" applyFill="1" applyBorder="1" applyAlignment="1">
      <alignment horizontal="center"/>
    </xf>
    <xf numFmtId="0" fontId="0" fillId="7" borderId="20" xfId="0" applyFill="1" applyBorder="1"/>
    <xf numFmtId="0" fontId="0" fillId="7" borderId="23" xfId="0" applyFill="1" applyBorder="1" applyAlignment="1">
      <alignment horizontal="center" wrapText="1"/>
    </xf>
    <xf numFmtId="165" fontId="2" fillId="0" borderId="1" xfId="1" applyNumberFormat="1" applyFont="1" applyBorder="1"/>
    <xf numFmtId="0" fontId="0" fillId="6" borderId="1" xfId="0" applyFill="1" applyBorder="1"/>
    <xf numFmtId="9" fontId="0" fillId="0" borderId="1" xfId="0" applyNumberFormat="1" applyBorder="1"/>
    <xf numFmtId="0" fontId="4" fillId="0" borderId="0" xfId="0" applyFont="1" applyAlignment="1">
      <alignment horizontal="center" vertical="center"/>
    </xf>
    <xf numFmtId="9" fontId="7" fillId="0" borderId="0" xfId="0" applyNumberFormat="1" applyFont="1" applyAlignment="1">
      <alignment wrapText="1"/>
    </xf>
    <xf numFmtId="0" fontId="0" fillId="8" borderId="1" xfId="0" applyFill="1" applyBorder="1"/>
    <xf numFmtId="0" fontId="0" fillId="3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164" fontId="4" fillId="0" borderId="0" xfId="2" applyNumberFormat="1" applyFont="1" applyBorder="1"/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2" fillId="0" borderId="0" xfId="0" applyFont="1" applyAlignment="1">
      <alignment wrapText="1"/>
    </xf>
    <xf numFmtId="9" fontId="1" fillId="0" borderId="1" xfId="3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0" fontId="7" fillId="0" borderId="1" xfId="0" applyFont="1" applyBorder="1"/>
    <xf numFmtId="166" fontId="7" fillId="0" borderId="1" xfId="0" applyNumberFormat="1" applyFont="1" applyBorder="1"/>
    <xf numFmtId="165" fontId="0" fillId="0" borderId="0" xfId="2" applyNumberFormat="1" applyFont="1"/>
    <xf numFmtId="164" fontId="0" fillId="8" borderId="0" xfId="2" applyNumberFormat="1" applyFont="1" applyFill="1"/>
    <xf numFmtId="164" fontId="0" fillId="8" borderId="1" xfId="2" applyNumberFormat="1" applyFont="1" applyFill="1" applyBorder="1"/>
    <xf numFmtId="164" fontId="2" fillId="8" borderId="1" xfId="2" applyNumberFormat="1" applyFont="1" applyFill="1" applyBorder="1"/>
    <xf numFmtId="0" fontId="0" fillId="0" borderId="5" xfId="0" applyBorder="1" applyAlignment="1">
      <alignment wrapText="1"/>
    </xf>
    <xf numFmtId="0" fontId="4" fillId="0" borderId="1" xfId="0" applyFont="1" applyBorder="1"/>
    <xf numFmtId="164" fontId="0" fillId="8" borderId="0" xfId="2" applyNumberFormat="1" applyFont="1" applyFill="1" applyBorder="1"/>
    <xf numFmtId="164" fontId="1" fillId="9" borderId="1" xfId="2" applyNumberFormat="1" applyFont="1" applyFill="1" applyBorder="1"/>
    <xf numFmtId="164" fontId="0" fillId="6" borderId="1" xfId="2" applyNumberFormat="1" applyFont="1" applyFill="1" applyBorder="1"/>
    <xf numFmtId="0" fontId="3" fillId="3" borderId="1" xfId="0" applyFont="1" applyFill="1" applyBorder="1"/>
    <xf numFmtId="164" fontId="0" fillId="3" borderId="1" xfId="2" applyNumberFormat="1" applyFont="1" applyFill="1" applyBorder="1"/>
    <xf numFmtId="0" fontId="0" fillId="3" borderId="0" xfId="0" applyFill="1"/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0" fontId="3" fillId="0" borderId="24" xfId="0" applyFont="1" applyBorder="1"/>
    <xf numFmtId="164" fontId="5" fillId="0" borderId="28" xfId="0" applyNumberFormat="1" applyFont="1" applyBorder="1"/>
    <xf numFmtId="164" fontId="4" fillId="0" borderId="1" xfId="0" applyNumberFormat="1" applyFont="1" applyBorder="1"/>
    <xf numFmtId="166" fontId="4" fillId="0" borderId="1" xfId="3" applyNumberFormat="1" applyFont="1" applyBorder="1"/>
    <xf numFmtId="0" fontId="2" fillId="7" borderId="29" xfId="0" applyFont="1" applyFill="1" applyBorder="1"/>
    <xf numFmtId="0" fontId="0" fillId="7" borderId="30" xfId="0" applyFill="1" applyBorder="1" applyAlignment="1">
      <alignment horizontal="center"/>
    </xf>
    <xf numFmtId="0" fontId="0" fillId="7" borderId="30" xfId="0" applyFill="1" applyBorder="1" applyAlignment="1">
      <alignment horizontal="center" wrapText="1"/>
    </xf>
    <xf numFmtId="0" fontId="0" fillId="7" borderId="31" xfId="0" applyFill="1" applyBorder="1"/>
    <xf numFmtId="0" fontId="9" fillId="0" borderId="0" xfId="0" applyFont="1" applyAlignment="1">
      <alignment horizontal="center"/>
    </xf>
    <xf numFmtId="0" fontId="7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32" xfId="0" applyBorder="1"/>
    <xf numFmtId="10" fontId="0" fillId="0" borderId="0" xfId="0" applyNumberFormat="1"/>
    <xf numFmtId="10" fontId="0" fillId="10" borderId="0" xfId="0" applyNumberFormat="1" applyFill="1"/>
    <xf numFmtId="8" fontId="0" fillId="0" borderId="0" xfId="0" applyNumberFormat="1"/>
    <xf numFmtId="1" fontId="0" fillId="0" borderId="0" xfId="0" applyNumberFormat="1"/>
    <xf numFmtId="0" fontId="2" fillId="4" borderId="33" xfId="0" applyFont="1" applyFill="1" applyBorder="1"/>
    <xf numFmtId="164" fontId="0" fillId="0" borderId="34" xfId="2" applyNumberFormat="1" applyFont="1" applyBorder="1"/>
    <xf numFmtId="164" fontId="2" fillId="0" borderId="35" xfId="2" applyNumberFormat="1" applyFont="1" applyBorder="1"/>
    <xf numFmtId="10" fontId="0" fillId="0" borderId="1" xfId="0" applyNumberFormat="1" applyBorder="1" applyAlignment="1">
      <alignment horizontal="right" wrapText="1"/>
    </xf>
    <xf numFmtId="10" fontId="10" fillId="0" borderId="1" xfId="0" applyNumberFormat="1" applyFont="1" applyBorder="1" applyAlignment="1">
      <alignment horizontal="right" wrapText="1"/>
    </xf>
    <xf numFmtId="3" fontId="0" fillId="0" borderId="0" xfId="0" applyNumberFormat="1"/>
    <xf numFmtId="6" fontId="0" fillId="0" borderId="0" xfId="0" applyNumberFormat="1"/>
    <xf numFmtId="3" fontId="0" fillId="0" borderId="1" xfId="0" applyNumberFormat="1" applyBorder="1"/>
    <xf numFmtId="6" fontId="0" fillId="0" borderId="1" xfId="0" applyNumberFormat="1" applyBorder="1"/>
    <xf numFmtId="165" fontId="0" fillId="0" borderId="1" xfId="0" applyNumberFormat="1" applyBorder="1"/>
    <xf numFmtId="0" fontId="0" fillId="0" borderId="19" xfId="0" applyBorder="1"/>
    <xf numFmtId="0" fontId="0" fillId="0" borderId="23" xfId="0" applyBorder="1"/>
    <xf numFmtId="0" fontId="0" fillId="0" borderId="37" xfId="0" applyBorder="1"/>
    <xf numFmtId="0" fontId="0" fillId="0" borderId="36" xfId="0" applyBorder="1" applyAlignment="1">
      <alignment horizontal="center" vertical="center"/>
    </xf>
    <xf numFmtId="165" fontId="0" fillId="0" borderId="16" xfId="1" applyNumberFormat="1" applyFont="1" applyBorder="1"/>
    <xf numFmtId="9" fontId="0" fillId="0" borderId="38" xfId="3" applyFont="1" applyBorder="1"/>
    <xf numFmtId="9" fontId="0" fillId="0" borderId="39" xfId="0" applyNumberFormat="1" applyBorder="1" applyAlignment="1">
      <alignment horizontal="center"/>
    </xf>
    <xf numFmtId="9" fontId="0" fillId="0" borderId="12" xfId="3" applyFont="1" applyBorder="1"/>
    <xf numFmtId="9" fontId="0" fillId="0" borderId="40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8" xfId="2" applyNumberFormat="1" applyFont="1" applyBorder="1"/>
    <xf numFmtId="9" fontId="0" fillId="0" borderId="42" xfId="3" applyFont="1" applyBorder="1"/>
    <xf numFmtId="0" fontId="0" fillId="0" borderId="17" xfId="0" applyBorder="1" applyAlignment="1">
      <alignment wrapText="1"/>
    </xf>
    <xf numFmtId="0" fontId="0" fillId="0" borderId="7" xfId="0" applyBorder="1" applyAlignment="1">
      <alignment wrapText="1"/>
    </xf>
    <xf numFmtId="43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9" fontId="0" fillId="0" borderId="41" xfId="0" applyNumberFormat="1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/>
    </xf>
    <xf numFmtId="9" fontId="0" fillId="0" borderId="40" xfId="0" applyNumberFormat="1" applyBorder="1" applyAlignment="1">
      <alignment horizontal="center" vertical="center"/>
    </xf>
    <xf numFmtId="9" fontId="0" fillId="0" borderId="43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68" fontId="0" fillId="0" borderId="0" xfId="0" applyNumberFormat="1"/>
    <xf numFmtId="16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1:K82"/>
  <sheetViews>
    <sheetView topLeftCell="A38" zoomScale="85" zoomScaleNormal="85" workbookViewId="0">
      <selection activeCell="B27" sqref="B27:E27"/>
    </sheetView>
  </sheetViews>
  <sheetFormatPr defaultColWidth="11.5546875" defaultRowHeight="14.4" x14ac:dyDescent="0.3"/>
  <cols>
    <col min="1" max="1" width="2.33203125" customWidth="1"/>
    <col min="2" max="2" width="27.5546875" customWidth="1"/>
    <col min="3" max="3" width="22.33203125" customWidth="1"/>
    <col min="4" max="4" width="16.5546875" customWidth="1"/>
    <col min="5" max="5" width="15.5546875" bestFit="1" customWidth="1"/>
    <col min="6" max="6" width="17.33203125" customWidth="1"/>
    <col min="7" max="7" width="16.6640625" bestFit="1" customWidth="1"/>
    <col min="8" max="8" width="18.5546875" bestFit="1" customWidth="1"/>
    <col min="11" max="11" width="14.77734375" bestFit="1" customWidth="1"/>
  </cols>
  <sheetData>
    <row r="1" spans="2:11" x14ac:dyDescent="0.3">
      <c r="B1" s="160" t="s">
        <v>105</v>
      </c>
      <c r="C1" s="160"/>
      <c r="D1" s="160"/>
      <c r="E1" s="160"/>
      <c r="F1" s="160"/>
      <c r="G1" s="160"/>
    </row>
    <row r="2" spans="2:11" x14ac:dyDescent="0.3">
      <c r="C2" s="95"/>
    </row>
    <row r="3" spans="2:11" x14ac:dyDescent="0.3">
      <c r="B3" s="6"/>
      <c r="C3" s="22" t="s">
        <v>4</v>
      </c>
    </row>
    <row r="4" spans="2:11" x14ac:dyDescent="0.3">
      <c r="B4" s="56" t="s">
        <v>121</v>
      </c>
      <c r="C4" s="6">
        <v>7200</v>
      </c>
    </row>
    <row r="5" spans="2:11" x14ac:dyDescent="0.3">
      <c r="B5" s="56" t="s">
        <v>89</v>
      </c>
      <c r="C5" s="57">
        <v>3.8699999999999998E-2</v>
      </c>
    </row>
    <row r="6" spans="2:11" ht="28.8" customHeight="1" x14ac:dyDescent="0.3">
      <c r="B6" s="82" t="s">
        <v>92</v>
      </c>
      <c r="C6" s="8">
        <f>7200*0.9613</f>
        <v>6921.3600000000006</v>
      </c>
    </row>
    <row r="7" spans="2:11" x14ac:dyDescent="0.3">
      <c r="B7" s="56" t="s">
        <v>90</v>
      </c>
      <c r="C7" s="58">
        <v>0.95599999999999996</v>
      </c>
    </row>
    <row r="8" spans="2:11" ht="28.8" customHeight="1" x14ac:dyDescent="0.3">
      <c r="B8" s="82" t="s">
        <v>122</v>
      </c>
      <c r="C8" s="8">
        <f>+C6*C7</f>
        <v>6616.8201600000002</v>
      </c>
    </row>
    <row r="9" spans="2:11" x14ac:dyDescent="0.3">
      <c r="B9" s="82" t="s">
        <v>123</v>
      </c>
      <c r="C9" s="8">
        <f>+C8/25</f>
        <v>264.67280640000001</v>
      </c>
    </row>
    <row r="10" spans="2:11" ht="28.8" customHeight="1" x14ac:dyDescent="0.3">
      <c r="B10" s="82" t="s">
        <v>124</v>
      </c>
      <c r="C10" s="8">
        <f>+C8*24*30</f>
        <v>4764110.5152000003</v>
      </c>
    </row>
    <row r="11" spans="2:11" x14ac:dyDescent="0.3">
      <c r="B11" s="82" t="s">
        <v>125</v>
      </c>
      <c r="C11" s="8">
        <f>+C9*24*30</f>
        <v>190564.42060800001</v>
      </c>
      <c r="H11" s="14"/>
      <c r="I11" s="14"/>
      <c r="J11" s="159"/>
      <c r="K11" s="14"/>
    </row>
    <row r="12" spans="2:11" ht="28.8" customHeight="1" x14ac:dyDescent="0.3">
      <c r="B12" s="82" t="s">
        <v>126</v>
      </c>
      <c r="C12" s="8">
        <f>+C11*0.8</f>
        <v>152451.53648640003</v>
      </c>
    </row>
    <row r="13" spans="2:11" ht="28.8" customHeight="1" x14ac:dyDescent="0.3">
      <c r="B13" s="82" t="s">
        <v>127</v>
      </c>
      <c r="C13" s="8">
        <f>+C11*0.2</f>
        <v>38112.884121600007</v>
      </c>
    </row>
    <row r="14" spans="2:11" x14ac:dyDescent="0.3">
      <c r="B14" s="56" t="s">
        <v>93</v>
      </c>
      <c r="C14" s="9">
        <f>30800</f>
        <v>30800</v>
      </c>
    </row>
    <row r="15" spans="2:11" x14ac:dyDescent="0.3">
      <c r="B15" s="56" t="s">
        <v>94</v>
      </c>
      <c r="C15" s="9">
        <f>+C14*60%</f>
        <v>18480</v>
      </c>
    </row>
    <row r="16" spans="2:11" ht="18" x14ac:dyDescent="0.35">
      <c r="B16" s="59" t="s">
        <v>1</v>
      </c>
      <c r="C16" s="10">
        <f>+INT(C12)*C14+INT(C13)*C15</f>
        <v>5399800560</v>
      </c>
    </row>
    <row r="17" spans="2:10" ht="18" x14ac:dyDescent="0.35">
      <c r="B17" s="55"/>
      <c r="C17" s="92"/>
    </row>
    <row r="18" spans="2:10" ht="17.25" customHeight="1" x14ac:dyDescent="0.3">
      <c r="B18" s="161" t="s">
        <v>6</v>
      </c>
      <c r="C18" s="161"/>
      <c r="D18" s="161"/>
      <c r="E18" s="161"/>
    </row>
    <row r="19" spans="2:10" ht="7.5" customHeight="1" thickBot="1" x14ac:dyDescent="0.35">
      <c r="B19" s="79"/>
      <c r="C19" s="79"/>
      <c r="D19" s="79"/>
      <c r="E19" s="79"/>
    </row>
    <row r="20" spans="2:10" x14ac:dyDescent="0.3">
      <c r="B20" s="90" t="s">
        <v>22</v>
      </c>
      <c r="C20" s="91" t="s">
        <v>176</v>
      </c>
      <c r="D20" s="91" t="s">
        <v>88</v>
      </c>
      <c r="E20" s="91" t="s">
        <v>103</v>
      </c>
      <c r="F20" s="135" t="s">
        <v>28</v>
      </c>
    </row>
    <row r="21" spans="2:10" x14ac:dyDescent="0.3">
      <c r="B21" s="11" t="s">
        <v>16</v>
      </c>
      <c r="C21" s="138">
        <v>0.5</v>
      </c>
      <c r="D21" s="142">
        <f>C$4*24*30*0.522*C21</f>
        <v>1353024</v>
      </c>
      <c r="E21" s="143">
        <v>844</v>
      </c>
      <c r="F21" s="136">
        <f>+E21*D21</f>
        <v>1141952256</v>
      </c>
      <c r="I21" s="140"/>
      <c r="J21" s="141"/>
    </row>
    <row r="22" spans="2:10" x14ac:dyDescent="0.3">
      <c r="B22" s="11" t="s">
        <v>17</v>
      </c>
      <c r="C22" s="138">
        <v>0.25</v>
      </c>
      <c r="D22" s="142">
        <f t="shared" ref="D22:D25" si="0">C$4*24*30*0.522*C22</f>
        <v>676512</v>
      </c>
      <c r="E22" s="143">
        <v>740</v>
      </c>
      <c r="F22" s="136">
        <f t="shared" ref="F22:F26" si="1">+E22*D22</f>
        <v>500618880</v>
      </c>
      <c r="I22" s="140"/>
      <c r="J22" s="141"/>
    </row>
    <row r="23" spans="2:10" x14ac:dyDescent="0.3">
      <c r="B23" s="11" t="s">
        <v>18</v>
      </c>
      <c r="C23" s="138">
        <v>0.15</v>
      </c>
      <c r="D23" s="142">
        <f t="shared" si="0"/>
        <v>405907.20000000001</v>
      </c>
      <c r="E23" s="143">
        <v>627</v>
      </c>
      <c r="F23" s="136">
        <f t="shared" si="1"/>
        <v>254503814.40000001</v>
      </c>
      <c r="I23" s="140"/>
      <c r="J23" s="141"/>
    </row>
    <row r="24" spans="2:10" x14ac:dyDescent="0.3">
      <c r="B24" s="11" t="s">
        <v>19</v>
      </c>
      <c r="C24" s="139">
        <v>7.0000000000000007E-2</v>
      </c>
      <c r="D24" s="142">
        <f t="shared" si="0"/>
        <v>189423.36000000002</v>
      </c>
      <c r="E24" s="143">
        <v>1058</v>
      </c>
      <c r="F24" s="136">
        <f t="shared" si="1"/>
        <v>200409914.88000003</v>
      </c>
      <c r="I24" s="140"/>
      <c r="J24" s="141"/>
    </row>
    <row r="25" spans="2:10" x14ac:dyDescent="0.3">
      <c r="B25" s="11" t="s">
        <v>20</v>
      </c>
      <c r="C25" s="138">
        <v>0.03</v>
      </c>
      <c r="D25" s="142">
        <f t="shared" si="0"/>
        <v>81181.440000000002</v>
      </c>
      <c r="E25" s="143">
        <v>900</v>
      </c>
      <c r="F25" s="136">
        <f t="shared" si="1"/>
        <v>73063296</v>
      </c>
      <c r="I25" s="140"/>
      <c r="J25" s="141"/>
    </row>
    <row r="26" spans="2:10" x14ac:dyDescent="0.3">
      <c r="B26" s="11" t="s">
        <v>177</v>
      </c>
      <c r="C26" s="138" t="s">
        <v>178</v>
      </c>
      <c r="D26" s="142">
        <f>C$4*24*30*0.522*0.034</f>
        <v>92005.632000000012</v>
      </c>
      <c r="E26" s="143">
        <v>1840</v>
      </c>
      <c r="F26" s="136">
        <f t="shared" si="1"/>
        <v>169290362.88000003</v>
      </c>
      <c r="I26" s="140"/>
    </row>
    <row r="27" spans="2:10" ht="15" thickBot="1" x14ac:dyDescent="0.35">
      <c r="B27" s="177" t="s">
        <v>21</v>
      </c>
      <c r="C27" s="178"/>
      <c r="D27" s="178"/>
      <c r="E27" s="178"/>
      <c r="F27" s="137">
        <f>SUM(F21:F26)</f>
        <v>2339838524.1600003</v>
      </c>
      <c r="H27" s="2"/>
      <c r="J27" s="134"/>
    </row>
    <row r="28" spans="2:10" x14ac:dyDescent="0.3">
      <c r="B28" s="173" t="s">
        <v>23</v>
      </c>
      <c r="C28" s="173"/>
      <c r="D28" s="173"/>
      <c r="E28" s="173"/>
    </row>
    <row r="29" spans="2:10" ht="28.8" x14ac:dyDescent="0.3">
      <c r="B29" s="21" t="s">
        <v>25</v>
      </c>
      <c r="C29" s="22" t="s">
        <v>27</v>
      </c>
      <c r="D29" s="23" t="s">
        <v>26</v>
      </c>
      <c r="E29" s="23" t="s">
        <v>28</v>
      </c>
      <c r="H29" s="2"/>
    </row>
    <row r="30" spans="2:10" x14ac:dyDescent="0.3">
      <c r="B30" s="6" t="s">
        <v>95</v>
      </c>
      <c r="C30" s="6">
        <v>141120</v>
      </c>
      <c r="D30" s="16">
        <v>2219</v>
      </c>
      <c r="E30" s="9">
        <f>+D30*C30</f>
        <v>313145280</v>
      </c>
    </row>
    <row r="31" spans="2:10" x14ac:dyDescent="0.3">
      <c r="B31" s="6" t="s">
        <v>96</v>
      </c>
      <c r="C31" s="6">
        <v>18000</v>
      </c>
      <c r="D31" s="16">
        <v>2219</v>
      </c>
      <c r="E31" s="9">
        <f t="shared" ref="E31:E33" si="2">+D31*C31</f>
        <v>39942000</v>
      </c>
    </row>
    <row r="32" spans="2:10" x14ac:dyDescent="0.3">
      <c r="B32" s="6" t="s">
        <v>24</v>
      </c>
      <c r="C32" s="6">
        <v>108000</v>
      </c>
      <c r="D32" s="16">
        <v>2219</v>
      </c>
      <c r="E32" s="9">
        <f t="shared" si="2"/>
        <v>239652000</v>
      </c>
    </row>
    <row r="33" spans="2:11" x14ac:dyDescent="0.3">
      <c r="B33" s="17" t="s">
        <v>21</v>
      </c>
      <c r="C33" s="17">
        <f>SUM(C30:C32)</f>
        <v>267120</v>
      </c>
      <c r="D33" s="18">
        <v>2219</v>
      </c>
      <c r="E33" s="19">
        <f t="shared" si="2"/>
        <v>592739280</v>
      </c>
      <c r="K33" s="2"/>
    </row>
    <row r="34" spans="2:11" ht="28.8" x14ac:dyDescent="0.3">
      <c r="B34" s="23" t="s">
        <v>128</v>
      </c>
      <c r="C34" s="22" t="s">
        <v>29</v>
      </c>
      <c r="D34" s="23" t="s">
        <v>30</v>
      </c>
      <c r="E34" s="23" t="s">
        <v>28</v>
      </c>
    </row>
    <row r="35" spans="2:11" x14ac:dyDescent="0.3">
      <c r="B35" s="6" t="s">
        <v>97</v>
      </c>
      <c r="C35" s="24">
        <v>270600</v>
      </c>
      <c r="D35" s="16">
        <v>845</v>
      </c>
      <c r="E35" s="9">
        <f>+D35*C35</f>
        <v>228657000</v>
      </c>
    </row>
    <row r="36" spans="2:11" x14ac:dyDescent="0.3">
      <c r="B36" s="6" t="s">
        <v>95</v>
      </c>
      <c r="C36" s="24">
        <v>96000</v>
      </c>
      <c r="D36" s="16">
        <v>845</v>
      </c>
      <c r="E36" s="9">
        <f t="shared" ref="E36:E46" si="3">+D36*C36</f>
        <v>81120000</v>
      </c>
    </row>
    <row r="37" spans="2:11" x14ac:dyDescent="0.3">
      <c r="B37" s="6" t="s">
        <v>98</v>
      </c>
      <c r="C37" s="24">
        <v>24000</v>
      </c>
      <c r="D37" s="16">
        <v>845</v>
      </c>
      <c r="E37" s="9">
        <f t="shared" si="3"/>
        <v>20280000</v>
      </c>
    </row>
    <row r="38" spans="2:11" x14ac:dyDescent="0.3">
      <c r="B38" s="6" t="s">
        <v>96</v>
      </c>
      <c r="C38" s="24">
        <v>1500</v>
      </c>
      <c r="D38" s="16">
        <v>845</v>
      </c>
      <c r="E38" s="9">
        <f t="shared" si="3"/>
        <v>1267500</v>
      </c>
    </row>
    <row r="39" spans="2:11" x14ac:dyDescent="0.3">
      <c r="B39" s="6" t="s">
        <v>99</v>
      </c>
      <c r="C39" s="24">
        <v>21600</v>
      </c>
      <c r="D39" s="16">
        <v>845</v>
      </c>
      <c r="E39" s="9">
        <f t="shared" si="3"/>
        <v>18252000</v>
      </c>
    </row>
    <row r="40" spans="2:11" x14ac:dyDescent="0.3">
      <c r="B40" s="6" t="s">
        <v>24</v>
      </c>
      <c r="C40" s="24">
        <v>1700</v>
      </c>
      <c r="D40" s="16">
        <v>845</v>
      </c>
      <c r="E40" s="9">
        <f t="shared" si="3"/>
        <v>1436500</v>
      </c>
    </row>
    <row r="41" spans="2:11" x14ac:dyDescent="0.3">
      <c r="B41" s="6" t="s">
        <v>100</v>
      </c>
      <c r="C41" s="24" t="s">
        <v>31</v>
      </c>
      <c r="D41" s="16">
        <v>845</v>
      </c>
      <c r="E41" s="24" t="s">
        <v>31</v>
      </c>
    </row>
    <row r="42" spans="2:11" x14ac:dyDescent="0.3">
      <c r="B42" s="6" t="s">
        <v>101</v>
      </c>
      <c r="C42" s="24" t="s">
        <v>31</v>
      </c>
      <c r="D42" s="16">
        <v>845</v>
      </c>
      <c r="E42" s="24" t="s">
        <v>31</v>
      </c>
    </row>
    <row r="43" spans="2:11" x14ac:dyDescent="0.3">
      <c r="B43" s="6" t="s">
        <v>102</v>
      </c>
      <c r="C43" s="24">
        <v>12600</v>
      </c>
      <c r="D43" s="16">
        <v>845</v>
      </c>
      <c r="E43" s="9">
        <f t="shared" si="3"/>
        <v>10647000</v>
      </c>
    </row>
    <row r="44" spans="2:11" x14ac:dyDescent="0.3">
      <c r="B44" s="17" t="s">
        <v>21</v>
      </c>
      <c r="C44" s="20">
        <f>SUM(C35:C43)</f>
        <v>428000</v>
      </c>
      <c r="D44" s="18">
        <v>845</v>
      </c>
      <c r="E44" s="19">
        <f t="shared" si="3"/>
        <v>361660000</v>
      </c>
    </row>
    <row r="45" spans="2:11" ht="28.8" x14ac:dyDescent="0.3">
      <c r="B45" s="17" t="s">
        <v>32</v>
      </c>
      <c r="C45" s="22" t="s">
        <v>27</v>
      </c>
      <c r="D45" s="23" t="s">
        <v>26</v>
      </c>
      <c r="E45" s="23" t="s">
        <v>28</v>
      </c>
    </row>
    <row r="46" spans="2:11" x14ac:dyDescent="0.3">
      <c r="B46" s="17" t="s">
        <v>97</v>
      </c>
      <c r="C46" s="17">
        <v>86400</v>
      </c>
      <c r="D46" s="17">
        <v>28.7</v>
      </c>
      <c r="E46" s="19">
        <f t="shared" si="3"/>
        <v>2479680</v>
      </c>
    </row>
    <row r="47" spans="2:11" x14ac:dyDescent="0.3">
      <c r="B47" s="174" t="s">
        <v>129</v>
      </c>
      <c r="C47" s="174"/>
      <c r="D47" s="174"/>
      <c r="E47" s="27">
        <f>+E46+E44+E33</f>
        <v>956878960</v>
      </c>
    </row>
    <row r="48" spans="2:11" ht="7.5" customHeight="1" x14ac:dyDescent="0.3">
      <c r="B48" s="83"/>
      <c r="C48" s="83"/>
      <c r="D48" s="83"/>
      <c r="E48" s="25"/>
    </row>
    <row r="49" spans="2:7" ht="11.25" customHeight="1" x14ac:dyDescent="0.3">
      <c r="D49" s="13"/>
    </row>
    <row r="50" spans="2:7" ht="19.5" customHeight="1" x14ac:dyDescent="0.3">
      <c r="B50" s="161" t="s">
        <v>6</v>
      </c>
      <c r="C50" s="161"/>
      <c r="D50" s="161"/>
      <c r="E50" s="161"/>
    </row>
    <row r="51" spans="2:7" ht="14.25" customHeight="1" x14ac:dyDescent="0.3">
      <c r="B51" s="174" t="s">
        <v>9</v>
      </c>
      <c r="C51" s="174"/>
      <c r="D51" s="174"/>
      <c r="E51" s="174"/>
      <c r="F51" s="174"/>
      <c r="G51" s="174"/>
    </row>
    <row r="52" spans="2:7" ht="28.8" x14ac:dyDescent="0.3">
      <c r="B52" s="84" t="s">
        <v>34</v>
      </c>
      <c r="C52" s="85" t="s">
        <v>38</v>
      </c>
      <c r="D52" s="86" t="s">
        <v>39</v>
      </c>
      <c r="E52" s="86" t="s">
        <v>35</v>
      </c>
      <c r="F52" s="86" t="s">
        <v>40</v>
      </c>
      <c r="G52" s="87" t="s">
        <v>37</v>
      </c>
    </row>
    <row r="53" spans="2:7" x14ac:dyDescent="0.3">
      <c r="B53" s="167" t="s">
        <v>112</v>
      </c>
      <c r="C53" s="6" t="s">
        <v>115</v>
      </c>
      <c r="D53" s="6">
        <v>1</v>
      </c>
      <c r="E53" s="6">
        <f>4*D53</f>
        <v>4</v>
      </c>
      <c r="F53" s="9">
        <f t="shared" ref="F53:F59" si="4">1700000*1.56</f>
        <v>2652000</v>
      </c>
      <c r="G53" s="12">
        <f t="shared" ref="G53:G62" si="5">+F53*E53</f>
        <v>10608000</v>
      </c>
    </row>
    <row r="54" spans="2:7" x14ac:dyDescent="0.3">
      <c r="B54" s="168"/>
      <c r="C54" s="6" t="s">
        <v>116</v>
      </c>
      <c r="D54" s="6">
        <v>1</v>
      </c>
      <c r="E54" s="6">
        <f t="shared" ref="E54:E60" si="6">4*D54</f>
        <v>4</v>
      </c>
      <c r="F54" s="9">
        <f t="shared" si="4"/>
        <v>2652000</v>
      </c>
      <c r="G54" s="12">
        <f t="shared" si="5"/>
        <v>10608000</v>
      </c>
    </row>
    <row r="55" spans="2:7" x14ac:dyDescent="0.3">
      <c r="B55" s="168"/>
      <c r="C55" s="6" t="s">
        <v>117</v>
      </c>
      <c r="D55" s="6">
        <v>2</v>
      </c>
      <c r="E55" s="6">
        <f t="shared" si="6"/>
        <v>8</v>
      </c>
      <c r="F55" s="9">
        <f t="shared" si="4"/>
        <v>2652000</v>
      </c>
      <c r="G55" s="12">
        <f t="shared" si="5"/>
        <v>21216000</v>
      </c>
    </row>
    <row r="56" spans="2:7" x14ac:dyDescent="0.3">
      <c r="B56" s="168"/>
      <c r="C56" s="6" t="s">
        <v>118</v>
      </c>
      <c r="D56" s="6">
        <v>1</v>
      </c>
      <c r="E56" s="6">
        <f t="shared" si="6"/>
        <v>4</v>
      </c>
      <c r="F56" s="9">
        <f t="shared" si="4"/>
        <v>2652000</v>
      </c>
      <c r="G56" s="12">
        <f t="shared" si="5"/>
        <v>10608000</v>
      </c>
    </row>
    <row r="57" spans="2:7" x14ac:dyDescent="0.3">
      <c r="B57" s="168"/>
      <c r="C57" s="6" t="s">
        <v>119</v>
      </c>
      <c r="D57" s="6">
        <v>1</v>
      </c>
      <c r="E57" s="6">
        <f t="shared" si="6"/>
        <v>4</v>
      </c>
      <c r="F57" s="9">
        <f t="shared" si="4"/>
        <v>2652000</v>
      </c>
      <c r="G57" s="12">
        <f t="shared" si="5"/>
        <v>10608000</v>
      </c>
    </row>
    <row r="58" spans="2:7" x14ac:dyDescent="0.3">
      <c r="B58" s="168"/>
      <c r="C58" s="6" t="s">
        <v>120</v>
      </c>
      <c r="D58" s="6">
        <v>4</v>
      </c>
      <c r="E58" s="6">
        <f t="shared" si="6"/>
        <v>16</v>
      </c>
      <c r="F58" s="9">
        <f t="shared" si="4"/>
        <v>2652000</v>
      </c>
      <c r="G58" s="12">
        <f t="shared" si="5"/>
        <v>42432000</v>
      </c>
    </row>
    <row r="59" spans="2:7" x14ac:dyDescent="0.3">
      <c r="B59" s="168"/>
      <c r="C59" s="6" t="s">
        <v>101</v>
      </c>
      <c r="D59" s="6">
        <v>6</v>
      </c>
      <c r="E59" s="6">
        <f t="shared" si="6"/>
        <v>24</v>
      </c>
      <c r="F59" s="9">
        <f t="shared" si="4"/>
        <v>2652000</v>
      </c>
      <c r="G59" s="12">
        <f t="shared" si="5"/>
        <v>63648000</v>
      </c>
    </row>
    <row r="60" spans="2:7" x14ac:dyDescent="0.3">
      <c r="B60" s="169"/>
      <c r="C60" s="6" t="s">
        <v>21</v>
      </c>
      <c r="D60" s="6">
        <f>SUM(D53:D59)</f>
        <v>16</v>
      </c>
      <c r="E60" s="6">
        <f t="shared" si="6"/>
        <v>64</v>
      </c>
      <c r="F60" s="9"/>
      <c r="G60" s="12">
        <f t="shared" si="5"/>
        <v>0</v>
      </c>
    </row>
    <row r="61" spans="2:7" x14ac:dyDescent="0.3">
      <c r="B61" s="175" t="s">
        <v>113</v>
      </c>
      <c r="C61" s="176"/>
      <c r="D61" s="6">
        <v>2</v>
      </c>
      <c r="E61" s="6">
        <v>8</v>
      </c>
      <c r="F61" s="9">
        <f>+F58*3</f>
        <v>7956000</v>
      </c>
      <c r="G61" s="12">
        <f t="shared" si="5"/>
        <v>63648000</v>
      </c>
    </row>
    <row r="62" spans="2:7" ht="15" thickBot="1" x14ac:dyDescent="0.35">
      <c r="B62" s="164" t="s">
        <v>114</v>
      </c>
      <c r="C62" s="165"/>
      <c r="D62" s="166"/>
      <c r="E62" s="35">
        <v>1</v>
      </c>
      <c r="F62" s="36">
        <f>7000000*1.56</f>
        <v>10920000</v>
      </c>
      <c r="G62" s="38">
        <f t="shared" si="5"/>
        <v>10920000</v>
      </c>
    </row>
    <row r="63" spans="2:7" ht="15" thickBot="1" x14ac:dyDescent="0.35">
      <c r="B63" s="170" t="s">
        <v>21</v>
      </c>
      <c r="C63" s="171"/>
      <c r="D63" s="171"/>
      <c r="E63" s="171"/>
      <c r="F63" s="171"/>
      <c r="G63" s="37">
        <f>SUM(G53:G62)</f>
        <v>244296000</v>
      </c>
    </row>
    <row r="64" spans="2:7" x14ac:dyDescent="0.3">
      <c r="B64" s="7"/>
      <c r="C64" s="7"/>
      <c r="D64" s="7"/>
      <c r="E64" s="7"/>
      <c r="F64" s="7"/>
      <c r="G64" s="25"/>
    </row>
    <row r="65" spans="2:7" ht="21" x14ac:dyDescent="0.4">
      <c r="B65" s="162" t="s">
        <v>164</v>
      </c>
      <c r="C65" s="162"/>
      <c r="D65" s="162"/>
      <c r="E65" s="162"/>
      <c r="F65" s="162"/>
      <c r="G65" s="25"/>
    </row>
    <row r="66" spans="2:7" x14ac:dyDescent="0.3">
      <c r="B66" s="127"/>
      <c r="C66" s="83"/>
      <c r="D66" s="7"/>
      <c r="E66" s="7"/>
      <c r="F66" s="7"/>
      <c r="G66" s="25"/>
    </row>
    <row r="67" spans="2:7" ht="18.600000000000001" thickBot="1" x14ac:dyDescent="0.4">
      <c r="B67" s="163" t="s">
        <v>104</v>
      </c>
      <c r="C67" s="163"/>
      <c r="D67" s="7"/>
      <c r="E67" s="7"/>
      <c r="F67" s="7"/>
      <c r="G67" s="25"/>
    </row>
    <row r="68" spans="2:7" ht="15" thickBot="1" x14ac:dyDescent="0.35">
      <c r="B68" s="88" t="s">
        <v>41</v>
      </c>
      <c r="C68" s="89" t="s">
        <v>42</v>
      </c>
      <c r="D68" s="7"/>
      <c r="E68" s="7"/>
      <c r="F68" s="7"/>
      <c r="G68" s="25"/>
    </row>
    <row r="69" spans="2:7" ht="15.6" x14ac:dyDescent="0.3">
      <c r="B69" s="117" t="str">
        <f>+B16</f>
        <v>INGRESOS POR VENTAS</v>
      </c>
      <c r="C69" s="118">
        <f>+C16</f>
        <v>5399800560</v>
      </c>
      <c r="D69" s="7"/>
      <c r="E69" s="7"/>
      <c r="F69" s="7"/>
      <c r="G69" s="25"/>
    </row>
    <row r="70" spans="2:7" ht="22.5" customHeight="1" thickBot="1" x14ac:dyDescent="0.35">
      <c r="B70" s="172" t="s">
        <v>6</v>
      </c>
      <c r="C70" s="172"/>
      <c r="D70" s="7"/>
      <c r="E70" s="7"/>
      <c r="F70" s="7"/>
      <c r="G70" s="25"/>
    </row>
    <row r="71" spans="2:7" ht="15" thickBot="1" x14ac:dyDescent="0.35">
      <c r="B71" s="88" t="s">
        <v>41</v>
      </c>
      <c r="C71" s="89" t="s">
        <v>42</v>
      </c>
    </row>
    <row r="72" spans="2:7" x14ac:dyDescent="0.3">
      <c r="B72" s="33" t="s">
        <v>7</v>
      </c>
      <c r="C72" s="34">
        <f>+F27</f>
        <v>2339838524.1600003</v>
      </c>
    </row>
    <row r="73" spans="2:7" x14ac:dyDescent="0.3">
      <c r="B73" s="11" t="s">
        <v>131</v>
      </c>
      <c r="C73" s="30">
        <f>+E47</f>
        <v>956878960</v>
      </c>
    </row>
    <row r="74" spans="2:7" x14ac:dyDescent="0.3">
      <c r="B74" s="11" t="s">
        <v>132</v>
      </c>
      <c r="C74" s="30">
        <f>+G63</f>
        <v>244296000</v>
      </c>
    </row>
    <row r="75" spans="2:7" ht="28.8" x14ac:dyDescent="0.3">
      <c r="B75" s="105" t="s">
        <v>133</v>
      </c>
      <c r="C75" s="30">
        <f>+C16*1%</f>
        <v>53998005.600000001</v>
      </c>
    </row>
    <row r="76" spans="2:7" x14ac:dyDescent="0.3">
      <c r="B76" s="11" t="s">
        <v>130</v>
      </c>
      <c r="C76" s="30">
        <f>+PROPUESTA!L28</f>
        <v>44720100.233044446</v>
      </c>
    </row>
    <row r="77" spans="2:7" x14ac:dyDescent="0.3">
      <c r="B77" s="31" t="s">
        <v>11</v>
      </c>
      <c r="C77" s="32">
        <f>SUM(C72:C76)</f>
        <v>3639731589.9930449</v>
      </c>
    </row>
    <row r="78" spans="2:7" x14ac:dyDescent="0.3">
      <c r="B78" s="31" t="s">
        <v>12</v>
      </c>
      <c r="C78" s="32">
        <f>+C77*0.25</f>
        <v>909932897.49826121</v>
      </c>
    </row>
    <row r="79" spans="2:7" ht="17.399999999999999" x14ac:dyDescent="0.35">
      <c r="B79" s="119" t="s">
        <v>43</v>
      </c>
      <c r="C79" s="120">
        <f>+C78+C77</f>
        <v>4549664487.4913063</v>
      </c>
    </row>
    <row r="80" spans="2:7" x14ac:dyDescent="0.3">
      <c r="B80" s="6"/>
      <c r="C80" s="6"/>
    </row>
    <row r="81" spans="2:3" ht="18" x14ac:dyDescent="0.35">
      <c r="B81" s="106" t="s">
        <v>44</v>
      </c>
      <c r="C81" s="121">
        <f>+C16-C79</f>
        <v>850136072.5086937</v>
      </c>
    </row>
    <row r="82" spans="2:3" ht="18" x14ac:dyDescent="0.35">
      <c r="B82" s="106" t="s">
        <v>45</v>
      </c>
      <c r="C82" s="122">
        <f>+C81/C16</f>
        <v>0.15743842074580133</v>
      </c>
    </row>
  </sheetData>
  <mergeCells count="14">
    <mergeCell ref="B70:C70"/>
    <mergeCell ref="B18:E18"/>
    <mergeCell ref="B28:E28"/>
    <mergeCell ref="B47:D47"/>
    <mergeCell ref="B61:C61"/>
    <mergeCell ref="B51:G51"/>
    <mergeCell ref="B27:E27"/>
    <mergeCell ref="B1:G1"/>
    <mergeCell ref="B50:E50"/>
    <mergeCell ref="B65:F65"/>
    <mergeCell ref="B67:C67"/>
    <mergeCell ref="B62:D62"/>
    <mergeCell ref="B53:B60"/>
    <mergeCell ref="B63:F63"/>
  </mergeCells>
  <pageMargins left="0.25" right="0.25" top="0.75" bottom="0.75" header="0.3" footer="0.3"/>
  <pageSetup orientation="landscape" horizontalDpi="300" verticalDpi="300" r:id="rId1"/>
  <rowBreaks count="2" manualBreakCount="2">
    <brk id="17" min="1" max="6" man="1"/>
    <brk id="63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B2:L56"/>
  <sheetViews>
    <sheetView tabSelected="1" topLeftCell="A38" workbookViewId="0">
      <selection activeCell="G56" sqref="G56"/>
    </sheetView>
  </sheetViews>
  <sheetFormatPr defaultColWidth="11.5546875" defaultRowHeight="14.4" x14ac:dyDescent="0.3"/>
  <cols>
    <col min="1" max="1" width="8.44140625" customWidth="1"/>
    <col min="2" max="2" width="31.88671875" customWidth="1"/>
    <col min="3" max="3" width="17.109375" customWidth="1"/>
    <col min="4" max="4" width="15.33203125" customWidth="1"/>
    <col min="5" max="5" width="12" bestFit="1" customWidth="1"/>
    <col min="6" max="6" width="14" bestFit="1" customWidth="1"/>
    <col min="7" max="7" width="7.6640625" customWidth="1"/>
    <col min="8" max="8" width="17.33203125" bestFit="1" customWidth="1"/>
    <col min="10" max="10" width="16.109375" hidden="1" customWidth="1"/>
    <col min="11" max="12" width="0" hidden="1" customWidth="1"/>
  </cols>
  <sheetData>
    <row r="2" spans="2:8" x14ac:dyDescent="0.3">
      <c r="B2" t="s">
        <v>135</v>
      </c>
    </row>
    <row r="4" spans="2:8" x14ac:dyDescent="0.3">
      <c r="B4" s="181" t="s">
        <v>46</v>
      </c>
      <c r="C4" s="181"/>
      <c r="D4" s="181"/>
    </row>
    <row r="5" spans="2:8" x14ac:dyDescent="0.3">
      <c r="B5" s="181" t="s">
        <v>47</v>
      </c>
      <c r="C5" s="181"/>
      <c r="D5" s="181"/>
    </row>
    <row r="6" spans="2:8" x14ac:dyDescent="0.3">
      <c r="B6" s="181" t="s">
        <v>48</v>
      </c>
      <c r="C6" s="181"/>
      <c r="D6" s="181"/>
    </row>
    <row r="7" spans="2:8" x14ac:dyDescent="0.3">
      <c r="B7" s="181" t="s">
        <v>49</v>
      </c>
      <c r="C7" s="181"/>
      <c r="D7" s="181"/>
    </row>
    <row r="9" spans="2:8" x14ac:dyDescent="0.3">
      <c r="B9" t="s">
        <v>50</v>
      </c>
    </row>
    <row r="11" spans="2:8" x14ac:dyDescent="0.3">
      <c r="B11" s="185" t="s">
        <v>136</v>
      </c>
      <c r="C11" s="185"/>
      <c r="D11" s="185"/>
      <c r="E11" s="185"/>
      <c r="F11" s="185"/>
    </row>
    <row r="12" spans="2:8" ht="28.5" customHeight="1" x14ac:dyDescent="0.3">
      <c r="B12" s="180" t="s">
        <v>137</v>
      </c>
      <c r="C12" s="180"/>
      <c r="D12" s="180"/>
      <c r="E12" s="180"/>
      <c r="F12" s="180"/>
      <c r="G12" s="180"/>
      <c r="H12" s="180"/>
    </row>
    <row r="14" spans="2:8" x14ac:dyDescent="0.3">
      <c r="B14" s="181" t="s">
        <v>51</v>
      </c>
      <c r="C14" s="181"/>
      <c r="D14" s="181"/>
      <c r="E14" s="181"/>
      <c r="F14" s="181"/>
      <c r="G14" s="181"/>
      <c r="H14" s="181"/>
    </row>
    <row r="15" spans="2:8" x14ac:dyDescent="0.3">
      <c r="B15" s="7"/>
      <c r="C15" s="7"/>
      <c r="D15" s="7"/>
      <c r="E15" s="7"/>
      <c r="F15" s="7"/>
      <c r="G15" s="7"/>
      <c r="H15" s="7"/>
    </row>
    <row r="16" spans="2:8" x14ac:dyDescent="0.3">
      <c r="B16" s="182" t="s">
        <v>138</v>
      </c>
      <c r="C16" s="182"/>
      <c r="D16" s="9">
        <v>300000000</v>
      </c>
    </row>
    <row r="17" spans="2:12" x14ac:dyDescent="0.3">
      <c r="B17" s="97"/>
      <c r="C17" s="97"/>
      <c r="D17" s="98"/>
    </row>
    <row r="18" spans="2:12" ht="15.6" x14ac:dyDescent="0.3">
      <c r="B18" s="39" t="s">
        <v>52</v>
      </c>
    </row>
    <row r="19" spans="2:12" x14ac:dyDescent="0.3">
      <c r="B19" t="s">
        <v>53</v>
      </c>
      <c r="C19" s="4">
        <v>3900</v>
      </c>
    </row>
    <row r="20" spans="2:12" ht="28.8" x14ac:dyDescent="0.3">
      <c r="B20" s="15" t="s">
        <v>52</v>
      </c>
      <c r="C20" s="15" t="s">
        <v>54</v>
      </c>
      <c r="D20" s="15" t="s">
        <v>70</v>
      </c>
      <c r="E20" s="15" t="s">
        <v>139</v>
      </c>
      <c r="F20" s="15" t="s">
        <v>140</v>
      </c>
      <c r="G20" s="15" t="s">
        <v>55</v>
      </c>
      <c r="H20" s="15" t="s">
        <v>56</v>
      </c>
    </row>
    <row r="21" spans="2:12" x14ac:dyDescent="0.3">
      <c r="B21" s="6" t="s">
        <v>57</v>
      </c>
      <c r="C21" s="40">
        <v>10000</v>
      </c>
      <c r="D21" s="9">
        <f>+C21*$C$19</f>
        <v>39000000</v>
      </c>
      <c r="E21" s="41">
        <v>0.05</v>
      </c>
      <c r="F21" s="9">
        <f>+D21*1.05</f>
        <v>40950000</v>
      </c>
      <c r="G21" s="41">
        <v>0.19</v>
      </c>
      <c r="H21" s="9">
        <f>+F21*1.19</f>
        <v>48730500</v>
      </c>
    </row>
    <row r="22" spans="2:12" x14ac:dyDescent="0.3">
      <c r="B22" s="6" t="s">
        <v>58</v>
      </c>
      <c r="C22" s="40">
        <v>80946.67</v>
      </c>
      <c r="D22" s="9">
        <f t="shared" ref="D22:D25" si="0">+C22*$C$19</f>
        <v>315692013</v>
      </c>
      <c r="E22" s="41">
        <v>0.05</v>
      </c>
      <c r="F22" s="9">
        <f t="shared" ref="F22:F24" si="1">+D22*1.05</f>
        <v>331476613.65000004</v>
      </c>
      <c r="G22" s="41">
        <v>0.19</v>
      </c>
      <c r="H22" s="9">
        <f t="shared" ref="H22:H27" si="2">+F22*1.19</f>
        <v>394457170.24350005</v>
      </c>
    </row>
    <row r="23" spans="2:12" x14ac:dyDescent="0.3">
      <c r="B23" s="42" t="s">
        <v>59</v>
      </c>
      <c r="C23" s="43">
        <v>82000</v>
      </c>
      <c r="D23" s="9">
        <f t="shared" si="0"/>
        <v>319800000</v>
      </c>
      <c r="E23" s="41">
        <v>0.05</v>
      </c>
      <c r="F23" s="9">
        <f t="shared" si="1"/>
        <v>335790000</v>
      </c>
      <c r="G23" s="41">
        <v>0.19</v>
      </c>
      <c r="H23" s="9">
        <f t="shared" si="2"/>
        <v>399590100</v>
      </c>
    </row>
    <row r="24" spans="2:12" x14ac:dyDescent="0.3">
      <c r="B24" s="42" t="s">
        <v>60</v>
      </c>
      <c r="C24" s="43">
        <v>12700</v>
      </c>
      <c r="D24" s="9">
        <f t="shared" si="0"/>
        <v>49530000</v>
      </c>
      <c r="E24" s="41">
        <v>0.05</v>
      </c>
      <c r="F24" s="9">
        <f t="shared" si="1"/>
        <v>52006500</v>
      </c>
      <c r="G24" s="41">
        <v>0.19</v>
      </c>
      <c r="H24" s="9">
        <f t="shared" si="2"/>
        <v>61887735</v>
      </c>
    </row>
    <row r="25" spans="2:12" x14ac:dyDescent="0.3">
      <c r="B25" s="42" t="s">
        <v>72</v>
      </c>
      <c r="C25" s="60">
        <v>15000</v>
      </c>
      <c r="D25" s="9">
        <f t="shared" si="0"/>
        <v>58500000</v>
      </c>
      <c r="E25" s="41">
        <v>0.05</v>
      </c>
      <c r="F25" s="9">
        <f t="shared" ref="F25" si="3">+D25*1.05</f>
        <v>61425000</v>
      </c>
      <c r="G25" s="41">
        <v>0.19</v>
      </c>
      <c r="H25" s="9">
        <f t="shared" ref="H25" si="4">+F25*1.19</f>
        <v>73095750</v>
      </c>
    </row>
    <row r="26" spans="2:12" x14ac:dyDescent="0.3">
      <c r="B26" s="42" t="s">
        <v>73</v>
      </c>
      <c r="C26" s="60"/>
      <c r="D26" s="36">
        <v>20000000</v>
      </c>
      <c r="E26" s="44"/>
      <c r="F26" s="36">
        <v>20000000</v>
      </c>
      <c r="G26" s="41">
        <v>0.19</v>
      </c>
      <c r="H26" s="9">
        <f>+F26*1.19</f>
        <v>23800000</v>
      </c>
    </row>
    <row r="27" spans="2:12" x14ac:dyDescent="0.3">
      <c r="B27" s="15" t="s">
        <v>61</v>
      </c>
      <c r="C27" s="36"/>
      <c r="D27" s="9">
        <v>3900000</v>
      </c>
      <c r="E27" s="44"/>
      <c r="F27" s="36">
        <f>+D27</f>
        <v>3900000</v>
      </c>
      <c r="G27" s="44">
        <v>0.19</v>
      </c>
      <c r="H27" s="9">
        <f t="shared" si="2"/>
        <v>4641000</v>
      </c>
    </row>
    <row r="28" spans="2:12" ht="15.6" x14ac:dyDescent="0.3">
      <c r="B28" s="45" t="s">
        <v>21</v>
      </c>
      <c r="C28" s="46"/>
      <c r="D28" s="47"/>
      <c r="E28" s="47"/>
      <c r="F28" s="47"/>
      <c r="G28" s="48"/>
      <c r="H28" s="49">
        <f>SUM(H21:H27)</f>
        <v>1006202255.2435</v>
      </c>
      <c r="K28">
        <f>+H28/15/12</f>
        <v>5590012.5291305557</v>
      </c>
      <c r="L28">
        <f>+K28*8</f>
        <v>44720100.233044446</v>
      </c>
    </row>
    <row r="30" spans="2:12" ht="34.5" customHeight="1" x14ac:dyDescent="0.3">
      <c r="B30" s="186" t="s">
        <v>106</v>
      </c>
      <c r="C30" s="186"/>
    </row>
    <row r="31" spans="2:12" x14ac:dyDescent="0.3">
      <c r="B31" s="6" t="s">
        <v>62</v>
      </c>
      <c r="C31" s="9">
        <f>+H21*15%</f>
        <v>7309575</v>
      </c>
    </row>
    <row r="32" spans="2:12" x14ac:dyDescent="0.3">
      <c r="B32" s="6" t="s">
        <v>63</v>
      </c>
      <c r="C32" s="9">
        <f>+H22*15%</f>
        <v>59168575.536525004</v>
      </c>
    </row>
    <row r="33" spans="2:10" x14ac:dyDescent="0.3">
      <c r="B33" s="6" t="s">
        <v>64</v>
      </c>
      <c r="C33" s="9">
        <f>+H23*15%</f>
        <v>59938515</v>
      </c>
    </row>
    <row r="34" spans="2:10" ht="28.8" x14ac:dyDescent="0.3">
      <c r="B34" s="15" t="s">
        <v>141</v>
      </c>
      <c r="C34" s="9">
        <f>+H24*150%</f>
        <v>92831602.5</v>
      </c>
      <c r="J34" s="5">
        <f>+H28+C35</f>
        <v>1225450523.280025</v>
      </c>
    </row>
    <row r="35" spans="2:10" x14ac:dyDescent="0.3">
      <c r="B35" s="17" t="s">
        <v>21</v>
      </c>
      <c r="C35" s="27">
        <f>SUM(C31:C34)</f>
        <v>219248268.03652501</v>
      </c>
    </row>
    <row r="36" spans="2:10" x14ac:dyDescent="0.3">
      <c r="B36" s="6" t="s">
        <v>55</v>
      </c>
      <c r="C36" s="96">
        <v>0.19</v>
      </c>
    </row>
    <row r="37" spans="2:10" x14ac:dyDescent="0.3">
      <c r="B37" s="17" t="s">
        <v>71</v>
      </c>
      <c r="C37" s="19">
        <f>+C35*1.19</f>
        <v>260905438.96346474</v>
      </c>
    </row>
    <row r="39" spans="2:10" x14ac:dyDescent="0.3">
      <c r="B39" s="13" t="s">
        <v>108</v>
      </c>
    </row>
    <row r="40" spans="2:10" x14ac:dyDescent="0.3">
      <c r="B40" s="6"/>
      <c r="C40" s="6" t="s">
        <v>65</v>
      </c>
      <c r="D40" s="6" t="s">
        <v>66</v>
      </c>
      <c r="E40" s="6" t="s">
        <v>36</v>
      </c>
      <c r="F40" s="6" t="s">
        <v>67</v>
      </c>
      <c r="G40" s="183" t="s">
        <v>68</v>
      </c>
      <c r="H40" s="183"/>
    </row>
    <row r="41" spans="2:10" x14ac:dyDescent="0.3">
      <c r="B41" s="15" t="s">
        <v>69</v>
      </c>
      <c r="C41" s="6">
        <v>4</v>
      </c>
      <c r="D41" s="9">
        <v>2500000</v>
      </c>
      <c r="E41" s="9">
        <f>+D41*1.56</f>
        <v>3900000</v>
      </c>
      <c r="F41" s="6" t="s">
        <v>107</v>
      </c>
      <c r="G41" s="184">
        <f>+E41*12</f>
        <v>46800000</v>
      </c>
      <c r="H41" s="184"/>
    </row>
    <row r="42" spans="2:10" x14ac:dyDescent="0.3">
      <c r="B42" s="15" t="s">
        <v>142</v>
      </c>
      <c r="C42" s="6"/>
      <c r="D42" s="6"/>
      <c r="E42" s="9">
        <v>4000000</v>
      </c>
      <c r="F42" s="6" t="s">
        <v>107</v>
      </c>
      <c r="G42" s="184">
        <f t="shared" ref="G42:G44" si="5">+E42*12</f>
        <v>48000000</v>
      </c>
      <c r="H42" s="184"/>
    </row>
    <row r="43" spans="2:10" x14ac:dyDescent="0.3">
      <c r="B43" s="15" t="s">
        <v>143</v>
      </c>
      <c r="C43" s="6"/>
      <c r="D43" s="6"/>
      <c r="E43" s="9">
        <v>2000000</v>
      </c>
      <c r="F43" s="6" t="s">
        <v>107</v>
      </c>
      <c r="G43" s="184">
        <f t="shared" si="5"/>
        <v>24000000</v>
      </c>
      <c r="H43" s="184"/>
    </row>
    <row r="44" spans="2:10" x14ac:dyDescent="0.3">
      <c r="B44" s="15" t="s">
        <v>144</v>
      </c>
      <c r="C44" s="35"/>
      <c r="D44" s="35"/>
      <c r="E44" s="36">
        <v>1000000</v>
      </c>
      <c r="F44" s="6" t="s">
        <v>107</v>
      </c>
      <c r="G44" s="184">
        <f t="shared" si="5"/>
        <v>12000000</v>
      </c>
      <c r="H44" s="184"/>
    </row>
    <row r="45" spans="2:10" x14ac:dyDescent="0.3">
      <c r="B45" s="51" t="s">
        <v>21</v>
      </c>
      <c r="C45" s="52"/>
      <c r="D45" s="53"/>
      <c r="E45" s="53"/>
      <c r="F45" s="54"/>
      <c r="G45" s="179">
        <f>SUM(G41:G44)</f>
        <v>130800000</v>
      </c>
      <c r="H45" s="179"/>
    </row>
    <row r="47" spans="2:10" ht="30" customHeight="1" x14ac:dyDescent="0.3">
      <c r="B47" s="180" t="s">
        <v>109</v>
      </c>
      <c r="C47" s="180"/>
    </row>
    <row r="48" spans="2:10" x14ac:dyDescent="0.3">
      <c r="B48" s="6" t="s">
        <v>145</v>
      </c>
      <c r="C48" s="28">
        <f>+D16</f>
        <v>300000000</v>
      </c>
    </row>
    <row r="49" spans="2:3" x14ac:dyDescent="0.3">
      <c r="B49" s="6" t="s">
        <v>146</v>
      </c>
      <c r="C49" s="28">
        <f>+H28</f>
        <v>1006202255.2435</v>
      </c>
    </row>
    <row r="50" spans="2:3" x14ac:dyDescent="0.3">
      <c r="B50" s="6" t="s">
        <v>147</v>
      </c>
      <c r="C50" s="28">
        <f>+C37</f>
        <v>260905438.96346474</v>
      </c>
    </row>
    <row r="51" spans="2:3" x14ac:dyDescent="0.3">
      <c r="B51" s="6" t="s">
        <v>148</v>
      </c>
      <c r="C51" s="28">
        <f>+G45</f>
        <v>130800000</v>
      </c>
    </row>
    <row r="52" spans="2:3" ht="15.6" x14ac:dyDescent="0.3">
      <c r="B52" s="6" t="s">
        <v>21</v>
      </c>
      <c r="C52" s="29">
        <f>SUM(C49:C50)</f>
        <v>1267107694.2069647</v>
      </c>
    </row>
    <row r="53" spans="2:3" x14ac:dyDescent="0.3">
      <c r="B53" s="99" t="s">
        <v>149</v>
      </c>
      <c r="C53" s="100">
        <v>0.3</v>
      </c>
    </row>
    <row r="54" spans="2:3" x14ac:dyDescent="0.3">
      <c r="B54" s="6" t="s">
        <v>21</v>
      </c>
      <c r="C54" s="9">
        <f>+C52*1.3</f>
        <v>1647240002.4690542</v>
      </c>
    </row>
    <row r="55" spans="2:3" x14ac:dyDescent="0.3">
      <c r="B55" s="6" t="s">
        <v>110</v>
      </c>
      <c r="C55" s="28">
        <f>+C56-C54</f>
        <v>329759997.53094578</v>
      </c>
    </row>
    <row r="56" spans="2:3" x14ac:dyDescent="0.3">
      <c r="B56" s="17" t="s">
        <v>74</v>
      </c>
      <c r="C56" s="19">
        <f>MROUND(C54*1.2,1000000)</f>
        <v>1977000000</v>
      </c>
    </row>
  </sheetData>
  <mergeCells count="16">
    <mergeCell ref="B11:F11"/>
    <mergeCell ref="B30:C30"/>
    <mergeCell ref="B4:D4"/>
    <mergeCell ref="B5:D5"/>
    <mergeCell ref="B6:D6"/>
    <mergeCell ref="B7:D7"/>
    <mergeCell ref="G45:H45"/>
    <mergeCell ref="B12:H12"/>
    <mergeCell ref="B14:H14"/>
    <mergeCell ref="B16:C16"/>
    <mergeCell ref="B47:C47"/>
    <mergeCell ref="G40:H40"/>
    <mergeCell ref="G41:H41"/>
    <mergeCell ref="G42:H42"/>
    <mergeCell ref="G43:H43"/>
    <mergeCell ref="G44:H44"/>
  </mergeCells>
  <pageMargins left="0.25" right="0.25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F07B-C8D6-4625-88E0-C4F1A65093DC}">
  <dimension ref="B1:N22"/>
  <sheetViews>
    <sheetView workbookViewId="0">
      <selection activeCell="B6" sqref="B6:B9"/>
    </sheetView>
  </sheetViews>
  <sheetFormatPr defaultColWidth="11.5546875" defaultRowHeight="14.4" x14ac:dyDescent="0.3"/>
  <cols>
    <col min="1" max="1" width="4.109375" customWidth="1"/>
    <col min="2" max="2" width="28.109375" customWidth="1"/>
    <col min="3" max="14" width="7.6640625" customWidth="1"/>
  </cols>
  <sheetData>
    <row r="1" spans="2:14" x14ac:dyDescent="0.3">
      <c r="B1" s="13" t="s">
        <v>76</v>
      </c>
      <c r="C1" s="187">
        <f>+PROPUESTA!C56</f>
        <v>1977000000</v>
      </c>
      <c r="D1" s="187"/>
    </row>
    <row r="3" spans="2:14" x14ac:dyDescent="0.3">
      <c r="B3" t="s">
        <v>162</v>
      </c>
    </row>
    <row r="5" spans="2:14" x14ac:dyDescent="0.3">
      <c r="B5" s="15" t="s">
        <v>75</v>
      </c>
      <c r="C5" s="6">
        <v>0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</row>
    <row r="6" spans="2:14" ht="24" customHeight="1" x14ac:dyDescent="0.3">
      <c r="B6" s="15" t="s">
        <v>150</v>
      </c>
      <c r="C6" s="77"/>
      <c r="D6" s="77"/>
      <c r="E6" s="77"/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15" t="s">
        <v>151</v>
      </c>
      <c r="C7" s="6"/>
      <c r="D7" s="6"/>
      <c r="E7" s="6"/>
      <c r="F7" s="77"/>
      <c r="G7" s="77"/>
      <c r="H7" s="77"/>
      <c r="I7" s="6"/>
      <c r="J7" s="6"/>
      <c r="K7" s="6"/>
      <c r="L7" s="6"/>
      <c r="M7" s="6"/>
      <c r="N7" s="6"/>
    </row>
    <row r="8" spans="2:14" ht="29.25" customHeight="1" x14ac:dyDescent="0.3">
      <c r="B8" s="15" t="s">
        <v>152</v>
      </c>
      <c r="C8" s="6"/>
      <c r="D8" s="6"/>
      <c r="E8" s="6"/>
      <c r="F8" s="6"/>
      <c r="G8" s="6"/>
      <c r="H8" s="6"/>
      <c r="I8" s="77"/>
      <c r="J8" s="77"/>
      <c r="K8" s="77"/>
      <c r="L8" s="6"/>
      <c r="M8" s="6"/>
      <c r="N8" s="6"/>
    </row>
    <row r="9" spans="2:14" ht="24" customHeight="1" x14ac:dyDescent="0.3">
      <c r="B9" s="15" t="s">
        <v>153</v>
      </c>
      <c r="C9" s="6"/>
      <c r="D9" s="6"/>
      <c r="E9" s="6"/>
      <c r="F9" s="6"/>
      <c r="G9" s="6"/>
      <c r="H9" s="6"/>
      <c r="I9" s="6"/>
      <c r="J9" s="6"/>
      <c r="K9" s="6"/>
      <c r="L9" s="77"/>
      <c r="M9" s="77"/>
      <c r="N9" s="77"/>
    </row>
    <row r="10" spans="2:14" x14ac:dyDescent="0.3">
      <c r="B10" s="15" t="s">
        <v>154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15" t="s">
        <v>155</v>
      </c>
      <c r="C11" s="78">
        <v>0.2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2:14" x14ac:dyDescent="0.3">
      <c r="B12" s="15" t="s">
        <v>157</v>
      </c>
      <c r="C12" s="6"/>
      <c r="D12" s="6"/>
      <c r="E12" s="6"/>
      <c r="F12" s="78">
        <v>0.2</v>
      </c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15" t="s">
        <v>158</v>
      </c>
      <c r="C13" s="6"/>
      <c r="D13" s="6"/>
      <c r="E13" s="6"/>
      <c r="F13" s="6"/>
      <c r="G13" s="6"/>
      <c r="H13" s="78">
        <v>0.2</v>
      </c>
      <c r="I13" s="6"/>
      <c r="J13" s="6"/>
      <c r="K13" s="6"/>
      <c r="L13" s="6"/>
      <c r="M13" s="6"/>
      <c r="N13" s="6"/>
    </row>
    <row r="14" spans="2:14" x14ac:dyDescent="0.3">
      <c r="B14" s="15" t="s">
        <v>159</v>
      </c>
      <c r="C14" s="6"/>
      <c r="D14" s="6"/>
      <c r="E14" s="6"/>
      <c r="F14" s="6"/>
      <c r="G14" s="6"/>
      <c r="H14" s="6"/>
      <c r="I14" s="6"/>
      <c r="J14" s="6"/>
      <c r="K14" s="78">
        <v>0.3</v>
      </c>
      <c r="L14" s="6"/>
      <c r="M14" s="6"/>
      <c r="N14" s="6"/>
    </row>
    <row r="15" spans="2:14" x14ac:dyDescent="0.3">
      <c r="B15" s="15" t="s">
        <v>156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8">
        <v>0.1</v>
      </c>
    </row>
    <row r="16" spans="2:14" hidden="1" x14ac:dyDescent="0.3">
      <c r="B16" s="15" t="s">
        <v>42</v>
      </c>
      <c r="C16" s="9">
        <f>+C1*$C$11</f>
        <v>395400000</v>
      </c>
      <c r="D16" s="6"/>
      <c r="E16" s="6"/>
      <c r="F16" s="9">
        <f>+C1*F12</f>
        <v>395400000</v>
      </c>
      <c r="G16" s="6"/>
      <c r="H16" s="9">
        <f>+C1*H13</f>
        <v>395400000</v>
      </c>
      <c r="I16" s="6"/>
      <c r="J16" s="6"/>
      <c r="K16" s="9">
        <f>+C1*K14</f>
        <v>593100000</v>
      </c>
      <c r="L16" s="6"/>
      <c r="M16" s="6"/>
      <c r="N16" s="9">
        <f>+C1*N15</f>
        <v>197700000</v>
      </c>
    </row>
    <row r="18" spans="2:13" x14ac:dyDescent="0.3">
      <c r="B18" s="15" t="s">
        <v>155</v>
      </c>
      <c r="C18" s="179">
        <f>+C16</f>
        <v>395400000</v>
      </c>
      <c r="D18" s="179"/>
    </row>
    <row r="19" spans="2:13" x14ac:dyDescent="0.3">
      <c r="B19" s="15" t="s">
        <v>157</v>
      </c>
      <c r="C19" s="179">
        <f>+F16</f>
        <v>395400000</v>
      </c>
      <c r="D19" s="179"/>
    </row>
    <row r="20" spans="2:13" x14ac:dyDescent="0.3">
      <c r="B20" s="15" t="s">
        <v>158</v>
      </c>
      <c r="C20" s="179">
        <f>+H16</f>
        <v>395400000</v>
      </c>
      <c r="D20" s="179"/>
    </row>
    <row r="21" spans="2:13" x14ac:dyDescent="0.3">
      <c r="B21" s="15" t="s">
        <v>159</v>
      </c>
      <c r="C21" s="179">
        <f>+K16</f>
        <v>593100000</v>
      </c>
      <c r="D21" s="179"/>
      <c r="M21" s="2"/>
    </row>
    <row r="22" spans="2:13" x14ac:dyDescent="0.3">
      <c r="B22" s="15" t="s">
        <v>156</v>
      </c>
      <c r="C22" s="179">
        <f>+N16</f>
        <v>197700000</v>
      </c>
      <c r="D22" s="179"/>
    </row>
  </sheetData>
  <mergeCells count="6">
    <mergeCell ref="C22:D22"/>
    <mergeCell ref="C1:D1"/>
    <mergeCell ref="C18:D18"/>
    <mergeCell ref="C19:D19"/>
    <mergeCell ref="C20:D20"/>
    <mergeCell ref="C21:D21"/>
  </mergeCells>
  <pageMargins left="0.25" right="0.25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9884-3E5C-400A-BA14-73D8C7B1295A}">
  <dimension ref="B1:N84"/>
  <sheetViews>
    <sheetView topLeftCell="A62" zoomScale="90" zoomScaleNormal="90" workbookViewId="0">
      <selection activeCell="L68" sqref="L68"/>
    </sheetView>
  </sheetViews>
  <sheetFormatPr defaultColWidth="11.5546875" defaultRowHeight="14.4" x14ac:dyDescent="0.3"/>
  <cols>
    <col min="1" max="1" width="4.88671875" customWidth="1"/>
    <col min="2" max="2" width="33.109375" customWidth="1"/>
    <col min="3" max="3" width="22.33203125" customWidth="1"/>
    <col min="4" max="4" width="21.5546875" bestFit="1" customWidth="1"/>
    <col min="5" max="5" width="17.109375" customWidth="1"/>
    <col min="6" max="6" width="17.33203125" customWidth="1"/>
    <col min="7" max="7" width="16.6640625" bestFit="1" customWidth="1"/>
    <col min="8" max="11" width="0" hidden="1" customWidth="1"/>
  </cols>
  <sheetData>
    <row r="1" spans="2:9" x14ac:dyDescent="0.3">
      <c r="B1" s="160" t="s">
        <v>111</v>
      </c>
      <c r="C1" s="160"/>
      <c r="D1" s="160"/>
      <c r="E1" s="160"/>
      <c r="F1" s="160"/>
      <c r="G1" s="160"/>
    </row>
    <row r="2" spans="2:9" ht="33" customHeight="1" x14ac:dyDescent="0.3">
      <c r="B2" s="188" t="s">
        <v>80</v>
      </c>
      <c r="C2" s="188"/>
      <c r="D2" s="188"/>
      <c r="E2" s="188"/>
      <c r="F2" s="188"/>
    </row>
    <row r="5" spans="2:9" ht="28.8" x14ac:dyDescent="0.3">
      <c r="B5" s="6"/>
      <c r="C5" s="15" t="s">
        <v>4</v>
      </c>
      <c r="D5" s="15" t="s">
        <v>5</v>
      </c>
      <c r="E5" s="6" t="s">
        <v>81</v>
      </c>
    </row>
    <row r="6" spans="2:9" x14ac:dyDescent="0.3">
      <c r="B6" s="82" t="s">
        <v>121</v>
      </c>
      <c r="C6" s="6">
        <v>7200</v>
      </c>
      <c r="D6" s="8">
        <v>8820</v>
      </c>
      <c r="E6" s="41">
        <f>+D6/C6-1</f>
        <v>0.22500000000000009</v>
      </c>
      <c r="I6" s="3" t="s">
        <v>79</v>
      </c>
    </row>
    <row r="7" spans="2:9" x14ac:dyDescent="0.3">
      <c r="B7" s="82" t="s">
        <v>89</v>
      </c>
      <c r="C7" s="57">
        <v>3.8699999999999998E-2</v>
      </c>
      <c r="D7" s="61">
        <v>2.0500000000000001E-2</v>
      </c>
      <c r="E7" s="41">
        <f t="shared" ref="E7:E18" si="0">+D7/C7-1</f>
        <v>-0.47028423772609818</v>
      </c>
    </row>
    <row r="8" spans="2:9" x14ac:dyDescent="0.3">
      <c r="B8" s="82" t="s">
        <v>92</v>
      </c>
      <c r="C8" s="8">
        <f>7200*0.9613</f>
        <v>6921.3600000000006</v>
      </c>
      <c r="D8" s="8">
        <f>+D6*(100%-D7)</f>
        <v>8639.19</v>
      </c>
      <c r="E8" s="41">
        <f t="shared" si="0"/>
        <v>0.24819255175283472</v>
      </c>
    </row>
    <row r="9" spans="2:9" x14ac:dyDescent="0.3">
      <c r="B9" s="82" t="s">
        <v>90</v>
      </c>
      <c r="C9" s="58">
        <v>0.95599999999999996</v>
      </c>
      <c r="D9" s="62">
        <f>+C9</f>
        <v>0.95599999999999996</v>
      </c>
      <c r="E9" s="41">
        <f t="shared" si="0"/>
        <v>0</v>
      </c>
    </row>
    <row r="10" spans="2:9" x14ac:dyDescent="0.3">
      <c r="B10" s="82" t="s">
        <v>122</v>
      </c>
      <c r="C10" s="8">
        <f>+C8*C9</f>
        <v>6616.8201600000002</v>
      </c>
      <c r="D10" s="8">
        <f>+D8*D9</f>
        <v>8259.0656400000007</v>
      </c>
      <c r="E10" s="41">
        <f t="shared" si="0"/>
        <v>0.24819255175283472</v>
      </c>
    </row>
    <row r="11" spans="2:9" x14ac:dyDescent="0.3">
      <c r="B11" s="82" t="s">
        <v>123</v>
      </c>
      <c r="C11" s="8">
        <f>+C10/25</f>
        <v>264.67280640000001</v>
      </c>
      <c r="D11" s="8">
        <f>+D10/25</f>
        <v>330.3626256</v>
      </c>
      <c r="E11" s="41">
        <f t="shared" si="0"/>
        <v>0.24819255175283472</v>
      </c>
    </row>
    <row r="12" spans="2:9" x14ac:dyDescent="0.3">
      <c r="B12" s="82" t="s">
        <v>124</v>
      </c>
      <c r="C12" s="8">
        <f>+C10*24*30</f>
        <v>4764110.5152000003</v>
      </c>
      <c r="D12" s="8">
        <f>+D10*24*30</f>
        <v>5946527.2608000003</v>
      </c>
      <c r="E12" s="41">
        <f t="shared" si="0"/>
        <v>0.24819255175283472</v>
      </c>
    </row>
    <row r="13" spans="2:9" x14ac:dyDescent="0.3">
      <c r="B13" s="205" t="s">
        <v>125</v>
      </c>
      <c r="C13" s="76">
        <f>+C11*24*30</f>
        <v>190564.42060800001</v>
      </c>
      <c r="D13" s="76">
        <f>+D11*24*30</f>
        <v>237861.090432</v>
      </c>
      <c r="E13" s="41">
        <f t="shared" si="0"/>
        <v>0.2481925517528345</v>
      </c>
      <c r="H13" s="14">
        <f>+D13-C13</f>
        <v>47296.669823999982</v>
      </c>
    </row>
    <row r="14" spans="2:9" ht="28.8" x14ac:dyDescent="0.3">
      <c r="B14" s="82" t="s">
        <v>126</v>
      </c>
      <c r="C14" s="8">
        <f>+C13*0.8</f>
        <v>152451.53648640003</v>
      </c>
      <c r="D14" s="8">
        <f>+D13*0.8</f>
        <v>190288.87234560002</v>
      </c>
      <c r="E14" s="41">
        <f t="shared" si="0"/>
        <v>0.2481925517528345</v>
      </c>
    </row>
    <row r="15" spans="2:9" ht="28.8" x14ac:dyDescent="0.3">
      <c r="B15" s="82" t="s">
        <v>127</v>
      </c>
      <c r="C15" s="8">
        <f>+C13*0.2</f>
        <v>38112.884121600007</v>
      </c>
      <c r="D15" s="8">
        <f>+D13*0.2</f>
        <v>47572.218086400004</v>
      </c>
      <c r="E15" s="41">
        <f t="shared" si="0"/>
        <v>0.2481925517528345</v>
      </c>
    </row>
    <row r="16" spans="2:9" x14ac:dyDescent="0.3">
      <c r="B16" s="82" t="s">
        <v>93</v>
      </c>
      <c r="C16" s="9">
        <f>30800</f>
        <v>30800</v>
      </c>
      <c r="D16" s="9">
        <f>30800</f>
        <v>30800</v>
      </c>
      <c r="E16" s="41">
        <f t="shared" si="0"/>
        <v>0</v>
      </c>
    </row>
    <row r="17" spans="2:14" x14ac:dyDescent="0.3">
      <c r="B17" s="82" t="s">
        <v>94</v>
      </c>
      <c r="C17" s="9">
        <f>+C16*60%</f>
        <v>18480</v>
      </c>
      <c r="D17" s="9">
        <f>+D16*60%</f>
        <v>18480</v>
      </c>
      <c r="E17" s="41">
        <f t="shared" si="0"/>
        <v>0</v>
      </c>
    </row>
    <row r="18" spans="2:14" ht="18" x14ac:dyDescent="0.35">
      <c r="B18" s="59" t="s">
        <v>1</v>
      </c>
      <c r="C18" s="10">
        <f>+INT(C14)*C16+INT(C15)*C17</f>
        <v>5399800560</v>
      </c>
      <c r="D18" s="10">
        <f>+INT(D14)*D16+INT(D15)*D17</f>
        <v>6740000960</v>
      </c>
      <c r="E18" s="41">
        <f t="shared" si="0"/>
        <v>0.2481944259067228</v>
      </c>
    </row>
    <row r="19" spans="2:14" ht="9" customHeight="1" x14ac:dyDescent="0.35">
      <c r="B19" s="55"/>
      <c r="C19" s="50"/>
    </row>
    <row r="20" spans="2:14" ht="16.5" customHeight="1" thickBot="1" x14ac:dyDescent="0.35">
      <c r="B20" s="190" t="s">
        <v>6</v>
      </c>
      <c r="C20" s="190"/>
      <c r="D20" s="190"/>
      <c r="E20" s="190"/>
    </row>
    <row r="21" spans="2:14" x14ac:dyDescent="0.3">
      <c r="B21" s="90" t="s">
        <v>22</v>
      </c>
      <c r="C21" s="91" t="s">
        <v>176</v>
      </c>
      <c r="D21" s="91" t="s">
        <v>88</v>
      </c>
      <c r="E21" s="91" t="s">
        <v>103</v>
      </c>
      <c r="F21" s="135" t="s">
        <v>28</v>
      </c>
    </row>
    <row r="22" spans="2:14" x14ac:dyDescent="0.3">
      <c r="B22" s="11" t="s">
        <v>16</v>
      </c>
      <c r="C22" s="138">
        <v>0.5</v>
      </c>
      <c r="D22" s="142">
        <f>ACTUAL!D21*1.23</f>
        <v>1664219.52</v>
      </c>
      <c r="E22" s="143">
        <f>ACTUAL!E21</f>
        <v>844</v>
      </c>
      <c r="F22" s="136">
        <f>+E22*D22</f>
        <v>1404601274.8800001</v>
      </c>
    </row>
    <row r="23" spans="2:14" x14ac:dyDescent="0.3">
      <c r="B23" s="11" t="s">
        <v>17</v>
      </c>
      <c r="C23" s="138">
        <v>0.25</v>
      </c>
      <c r="D23" s="142">
        <f>ACTUAL!D22*1.23</f>
        <v>832109.76</v>
      </c>
      <c r="E23" s="143">
        <f>ACTUAL!E22</f>
        <v>740</v>
      </c>
      <c r="F23" s="136">
        <f t="shared" ref="F23:F27" si="1">+E23*D23</f>
        <v>615761222.39999998</v>
      </c>
    </row>
    <row r="24" spans="2:14" x14ac:dyDescent="0.3">
      <c r="B24" s="11" t="s">
        <v>18</v>
      </c>
      <c r="C24" s="138">
        <v>0.15</v>
      </c>
      <c r="D24" s="142">
        <f>ACTUAL!D23*1.23</f>
        <v>499265.85600000003</v>
      </c>
      <c r="E24" s="143">
        <f>ACTUAL!E23</f>
        <v>627</v>
      </c>
      <c r="F24" s="136">
        <f t="shared" si="1"/>
        <v>313039691.71200001</v>
      </c>
    </row>
    <row r="25" spans="2:14" x14ac:dyDescent="0.3">
      <c r="B25" s="11" t="s">
        <v>19</v>
      </c>
      <c r="C25" s="139">
        <v>7.0000000000000007E-2</v>
      </c>
      <c r="D25" s="142">
        <f>ACTUAL!D24*1.23</f>
        <v>232990.73280000003</v>
      </c>
      <c r="E25" s="143">
        <f>ACTUAL!E24</f>
        <v>1058</v>
      </c>
      <c r="F25" s="136">
        <f t="shared" si="1"/>
        <v>246504195.30240002</v>
      </c>
      <c r="N25" t="s">
        <v>187</v>
      </c>
    </row>
    <row r="26" spans="2:14" x14ac:dyDescent="0.3">
      <c r="B26" s="11" t="s">
        <v>20</v>
      </c>
      <c r="C26" s="138">
        <v>0.03</v>
      </c>
      <c r="D26" s="142">
        <f>ACTUAL!D25*1.23</f>
        <v>99853.171199999997</v>
      </c>
      <c r="E26" s="143">
        <f>ACTUAL!E25</f>
        <v>900</v>
      </c>
      <c r="F26" s="136">
        <f t="shared" si="1"/>
        <v>89867854.079999998</v>
      </c>
    </row>
    <row r="27" spans="2:14" x14ac:dyDescent="0.3">
      <c r="B27" s="11" t="s">
        <v>177</v>
      </c>
      <c r="C27" s="138" t="s">
        <v>178</v>
      </c>
      <c r="D27" s="142">
        <f>ACTUAL!D26*1.23</f>
        <v>113166.92736000002</v>
      </c>
      <c r="E27" s="143">
        <f>ACTUAL!E26</f>
        <v>1840</v>
      </c>
      <c r="F27" s="136">
        <f t="shared" si="1"/>
        <v>208227146.34240004</v>
      </c>
    </row>
    <row r="28" spans="2:14" ht="15" thickBot="1" x14ac:dyDescent="0.35">
      <c r="B28" s="177" t="s">
        <v>21</v>
      </c>
      <c r="C28" s="178"/>
      <c r="D28" s="178"/>
      <c r="E28" s="178"/>
      <c r="F28" s="137">
        <f>SUM(F22:F27)</f>
        <v>2878001384.7168002</v>
      </c>
    </row>
    <row r="29" spans="2:14" x14ac:dyDescent="0.3">
      <c r="B29" s="191" t="s">
        <v>23</v>
      </c>
      <c r="C29" s="191"/>
      <c r="D29" s="191"/>
      <c r="E29" s="191"/>
    </row>
    <row r="30" spans="2:14" ht="27.75" customHeight="1" x14ac:dyDescent="0.3">
      <c r="B30" s="21" t="s">
        <v>25</v>
      </c>
      <c r="C30" s="22" t="s">
        <v>27</v>
      </c>
      <c r="D30" s="23" t="s">
        <v>26</v>
      </c>
      <c r="E30" s="23" t="s">
        <v>28</v>
      </c>
    </row>
    <row r="31" spans="2:14" x14ac:dyDescent="0.3">
      <c r="B31" s="6" t="s">
        <v>95</v>
      </c>
      <c r="C31" s="8">
        <f>+ACTUAL!C30*1.23</f>
        <v>173577.60000000001</v>
      </c>
      <c r="D31" s="16">
        <v>2219</v>
      </c>
      <c r="E31" s="9">
        <f>+D31*C31</f>
        <v>385168694.40000004</v>
      </c>
    </row>
    <row r="32" spans="2:14" x14ac:dyDescent="0.3">
      <c r="B32" s="6" t="s">
        <v>96</v>
      </c>
      <c r="C32" s="8">
        <f>+ACTUAL!C31*1.23</f>
        <v>22140</v>
      </c>
      <c r="D32" s="16">
        <v>2219</v>
      </c>
      <c r="E32" s="9">
        <f t="shared" ref="E32:E34" si="2">+D32*C32</f>
        <v>49128660</v>
      </c>
    </row>
    <row r="33" spans="2:5" x14ac:dyDescent="0.3">
      <c r="B33" s="6" t="s">
        <v>24</v>
      </c>
      <c r="C33" s="8">
        <f>+ACTUAL!C32*1.23</f>
        <v>132840</v>
      </c>
      <c r="D33" s="16">
        <v>2219</v>
      </c>
      <c r="E33" s="9">
        <f t="shared" si="2"/>
        <v>294771960</v>
      </c>
    </row>
    <row r="34" spans="2:5" x14ac:dyDescent="0.3">
      <c r="B34" s="17" t="s">
        <v>21</v>
      </c>
      <c r="C34" s="17">
        <f>SUM(C31:C33)</f>
        <v>328557.59999999998</v>
      </c>
      <c r="D34" s="18">
        <v>2219</v>
      </c>
      <c r="E34" s="19">
        <f t="shared" si="2"/>
        <v>729069314.39999998</v>
      </c>
    </row>
    <row r="35" spans="2:5" ht="28.8" x14ac:dyDescent="0.3">
      <c r="B35" s="23" t="s">
        <v>128</v>
      </c>
      <c r="C35" s="22" t="s">
        <v>29</v>
      </c>
      <c r="D35" s="23" t="s">
        <v>30</v>
      </c>
      <c r="E35" s="23" t="s">
        <v>28</v>
      </c>
    </row>
    <row r="36" spans="2:5" x14ac:dyDescent="0.3">
      <c r="B36" s="6" t="s">
        <v>97</v>
      </c>
      <c r="C36" s="8">
        <f>+ACTUAL!C35*1.23</f>
        <v>332838</v>
      </c>
      <c r="D36" s="16">
        <v>845</v>
      </c>
      <c r="E36" s="9">
        <f>+D36*C36</f>
        <v>281248110</v>
      </c>
    </row>
    <row r="37" spans="2:5" x14ac:dyDescent="0.3">
      <c r="B37" s="6" t="s">
        <v>95</v>
      </c>
      <c r="C37" s="8">
        <f>+ACTUAL!C36*1.23</f>
        <v>118080</v>
      </c>
      <c r="D37" s="16">
        <v>845</v>
      </c>
      <c r="E37" s="9">
        <f t="shared" ref="E37:E47" si="3">+D37*C37</f>
        <v>99777600</v>
      </c>
    </row>
    <row r="38" spans="2:5" x14ac:dyDescent="0.3">
      <c r="B38" s="6" t="s">
        <v>98</v>
      </c>
      <c r="C38" s="8">
        <f>+ACTUAL!C37*1.23</f>
        <v>29520</v>
      </c>
      <c r="D38" s="16">
        <v>845</v>
      </c>
      <c r="E38" s="9">
        <f t="shared" si="3"/>
        <v>24944400</v>
      </c>
    </row>
    <row r="39" spans="2:5" x14ac:dyDescent="0.3">
      <c r="B39" s="6" t="s">
        <v>96</v>
      </c>
      <c r="C39" s="8">
        <f>+ACTUAL!C38*1.23</f>
        <v>1845</v>
      </c>
      <c r="D39" s="16">
        <v>845</v>
      </c>
      <c r="E39" s="9">
        <f t="shared" si="3"/>
        <v>1559025</v>
      </c>
    </row>
    <row r="40" spans="2:5" x14ac:dyDescent="0.3">
      <c r="B40" s="6" t="s">
        <v>99</v>
      </c>
      <c r="C40" s="8">
        <f>+ACTUAL!C39*1.23</f>
        <v>26568</v>
      </c>
      <c r="D40" s="16">
        <v>845</v>
      </c>
      <c r="E40" s="9">
        <f t="shared" si="3"/>
        <v>22449960</v>
      </c>
    </row>
    <row r="41" spans="2:5" x14ac:dyDescent="0.3">
      <c r="B41" s="6" t="s">
        <v>24</v>
      </c>
      <c r="C41" s="8">
        <f>+ACTUAL!C40*1.23</f>
        <v>2091</v>
      </c>
      <c r="D41" s="16">
        <v>845</v>
      </c>
      <c r="E41" s="9">
        <f t="shared" si="3"/>
        <v>1766895</v>
      </c>
    </row>
    <row r="42" spans="2:5" x14ac:dyDescent="0.3">
      <c r="B42" s="6" t="s">
        <v>100</v>
      </c>
      <c r="C42" s="24">
        <v>26568</v>
      </c>
      <c r="D42" s="16">
        <v>845</v>
      </c>
      <c r="E42" s="9">
        <f t="shared" si="3"/>
        <v>22449960</v>
      </c>
    </row>
    <row r="43" spans="2:5" x14ac:dyDescent="0.3">
      <c r="B43" s="6" t="s">
        <v>101</v>
      </c>
      <c r="C43" s="24">
        <v>29520</v>
      </c>
      <c r="D43" s="16">
        <v>845</v>
      </c>
      <c r="E43" s="9">
        <f t="shared" si="3"/>
        <v>24944400</v>
      </c>
    </row>
    <row r="44" spans="2:5" x14ac:dyDescent="0.3">
      <c r="B44" s="6" t="s">
        <v>102</v>
      </c>
      <c r="C44" s="8">
        <f>+ACTUAL!C43*1.23</f>
        <v>15498</v>
      </c>
      <c r="D44" s="16">
        <v>845</v>
      </c>
      <c r="E44" s="9">
        <f t="shared" si="3"/>
        <v>13095810</v>
      </c>
    </row>
    <row r="45" spans="2:5" x14ac:dyDescent="0.3">
      <c r="B45" s="17" t="s">
        <v>21</v>
      </c>
      <c r="C45" s="20">
        <f>SUM(C36:C44)</f>
        <v>582528</v>
      </c>
      <c r="D45" s="18">
        <v>845</v>
      </c>
      <c r="E45" s="19">
        <f t="shared" si="3"/>
        <v>492236160</v>
      </c>
    </row>
    <row r="46" spans="2:5" ht="28.8" x14ac:dyDescent="0.3">
      <c r="B46" s="17" t="s">
        <v>32</v>
      </c>
      <c r="C46" s="22" t="s">
        <v>27</v>
      </c>
      <c r="D46" s="23" t="s">
        <v>26</v>
      </c>
      <c r="E46" s="23" t="s">
        <v>28</v>
      </c>
    </row>
    <row r="47" spans="2:5" x14ac:dyDescent="0.3">
      <c r="B47" s="17" t="s">
        <v>97</v>
      </c>
      <c r="C47" s="8">
        <f>+ACTUAL!C46*1.23</f>
        <v>106272</v>
      </c>
      <c r="D47" s="17">
        <v>28.7</v>
      </c>
      <c r="E47" s="19">
        <f t="shared" si="3"/>
        <v>3050006.4</v>
      </c>
    </row>
    <row r="48" spans="2:5" x14ac:dyDescent="0.3">
      <c r="B48" s="192" t="s">
        <v>33</v>
      </c>
      <c r="C48" s="193"/>
      <c r="D48" s="193"/>
      <c r="E48" s="25">
        <f>+E47+E45+E34</f>
        <v>1224355480.8</v>
      </c>
    </row>
    <row r="49" spans="2:14" x14ac:dyDescent="0.3">
      <c r="D49" s="13"/>
    </row>
    <row r="50" spans="2:14" x14ac:dyDescent="0.3">
      <c r="B50" s="183" t="s">
        <v>9</v>
      </c>
      <c r="C50" s="183"/>
      <c r="D50" s="183"/>
      <c r="E50" s="183"/>
      <c r="F50" s="183"/>
      <c r="G50" s="183"/>
    </row>
    <row r="51" spans="2:14" ht="28.8" x14ac:dyDescent="0.3">
      <c r="B51" s="113" t="s">
        <v>34</v>
      </c>
      <c r="C51" s="114" t="s">
        <v>38</v>
      </c>
      <c r="D51" s="115" t="s">
        <v>39</v>
      </c>
      <c r="E51" s="115" t="s">
        <v>35</v>
      </c>
      <c r="F51" s="115" t="s">
        <v>40</v>
      </c>
      <c r="G51" s="116" t="s">
        <v>37</v>
      </c>
    </row>
    <row r="52" spans="2:14" x14ac:dyDescent="0.3">
      <c r="B52" s="167" t="s">
        <v>112</v>
      </c>
      <c r="C52" s="6" t="s">
        <v>115</v>
      </c>
      <c r="D52" s="6">
        <v>1</v>
      </c>
      <c r="E52" s="6">
        <v>4</v>
      </c>
      <c r="F52" s="9">
        <f t="shared" ref="F52:F58" si="4">1700000*1.56</f>
        <v>2652000</v>
      </c>
      <c r="G52" s="12">
        <f t="shared" ref="G52:G61" si="5">+F52*E52</f>
        <v>10608000</v>
      </c>
    </row>
    <row r="53" spans="2:14" x14ac:dyDescent="0.3">
      <c r="B53" s="168"/>
      <c r="C53" s="6" t="s">
        <v>116</v>
      </c>
      <c r="D53" s="6">
        <v>1</v>
      </c>
      <c r="E53" s="6">
        <v>4</v>
      </c>
      <c r="F53" s="9">
        <f t="shared" si="4"/>
        <v>2652000</v>
      </c>
      <c r="G53" s="12">
        <f t="shared" si="5"/>
        <v>10608000</v>
      </c>
    </row>
    <row r="54" spans="2:14" x14ac:dyDescent="0.3">
      <c r="B54" s="168"/>
      <c r="C54" s="6" t="s">
        <v>117</v>
      </c>
      <c r="D54" s="6">
        <v>2</v>
      </c>
      <c r="E54" s="6">
        <v>8</v>
      </c>
      <c r="F54" s="9">
        <f t="shared" si="4"/>
        <v>2652000</v>
      </c>
      <c r="G54" s="12">
        <f t="shared" si="5"/>
        <v>21216000</v>
      </c>
    </row>
    <row r="55" spans="2:14" x14ac:dyDescent="0.3">
      <c r="B55" s="168"/>
      <c r="C55" s="6" t="s">
        <v>118</v>
      </c>
      <c r="D55" s="6">
        <v>1</v>
      </c>
      <c r="E55" s="6">
        <v>4</v>
      </c>
      <c r="F55" s="9">
        <f t="shared" si="4"/>
        <v>2652000</v>
      </c>
      <c r="G55" s="12">
        <f t="shared" si="5"/>
        <v>10608000</v>
      </c>
    </row>
    <row r="56" spans="2:14" x14ac:dyDescent="0.3">
      <c r="B56" s="168"/>
      <c r="C56" s="6" t="s">
        <v>119</v>
      </c>
      <c r="D56" s="6">
        <v>1</v>
      </c>
      <c r="E56" s="6">
        <v>4</v>
      </c>
      <c r="F56" s="9">
        <f t="shared" si="4"/>
        <v>2652000</v>
      </c>
      <c r="G56" s="12">
        <f t="shared" si="5"/>
        <v>10608000</v>
      </c>
    </row>
    <row r="57" spans="2:14" x14ac:dyDescent="0.3">
      <c r="B57" s="168"/>
      <c r="C57" s="6" t="s">
        <v>120</v>
      </c>
      <c r="D57" s="6">
        <v>1</v>
      </c>
      <c r="E57" s="6">
        <v>4</v>
      </c>
      <c r="F57" s="9">
        <f t="shared" si="4"/>
        <v>2652000</v>
      </c>
      <c r="G57" s="12">
        <f t="shared" si="5"/>
        <v>10608000</v>
      </c>
    </row>
    <row r="58" spans="2:14" x14ac:dyDescent="0.3">
      <c r="B58" s="168"/>
      <c r="C58" s="6" t="s">
        <v>101</v>
      </c>
      <c r="D58" s="6">
        <v>1</v>
      </c>
      <c r="E58" s="6">
        <v>4</v>
      </c>
      <c r="F58" s="9">
        <f t="shared" si="4"/>
        <v>2652000</v>
      </c>
      <c r="G58" s="12">
        <f t="shared" si="5"/>
        <v>10608000</v>
      </c>
    </row>
    <row r="59" spans="2:14" x14ac:dyDescent="0.3">
      <c r="B59" s="169"/>
      <c r="C59" s="6" t="s">
        <v>21</v>
      </c>
      <c r="D59" s="6">
        <f>SUM(D52:D58)</f>
        <v>8</v>
      </c>
      <c r="E59" s="6">
        <f>SUM(E52:E58)</f>
        <v>32</v>
      </c>
      <c r="F59" s="9"/>
      <c r="G59" s="12">
        <f t="shared" si="5"/>
        <v>0</v>
      </c>
    </row>
    <row r="60" spans="2:14" x14ac:dyDescent="0.3">
      <c r="B60" s="175" t="s">
        <v>113</v>
      </c>
      <c r="C60" s="176"/>
      <c r="D60" s="6">
        <v>2</v>
      </c>
      <c r="E60" s="6">
        <v>8</v>
      </c>
      <c r="F60" s="9">
        <f>+F57*3</f>
        <v>7956000</v>
      </c>
      <c r="G60" s="12">
        <f t="shared" si="5"/>
        <v>63648000</v>
      </c>
    </row>
    <row r="61" spans="2:14" ht="15" thickBot="1" x14ac:dyDescent="0.35">
      <c r="B61" s="164" t="s">
        <v>114</v>
      </c>
      <c r="C61" s="165"/>
      <c r="D61" s="166"/>
      <c r="E61" s="35">
        <v>1</v>
      </c>
      <c r="F61" s="36">
        <f>7000000*1.56</f>
        <v>10920000</v>
      </c>
      <c r="G61" s="38">
        <f t="shared" si="5"/>
        <v>10920000</v>
      </c>
    </row>
    <row r="62" spans="2:14" ht="15" thickBot="1" x14ac:dyDescent="0.35">
      <c r="B62" s="170" t="s">
        <v>21</v>
      </c>
      <c r="C62" s="171"/>
      <c r="D62" s="171"/>
      <c r="E62" s="171"/>
      <c r="F62" s="171"/>
      <c r="G62" s="37">
        <f>SUM(G52:G61)</f>
        <v>159432000</v>
      </c>
    </row>
    <row r="63" spans="2:14" x14ac:dyDescent="0.3">
      <c r="B63" s="7"/>
      <c r="C63" s="7"/>
      <c r="D63" s="7"/>
      <c r="E63" s="7"/>
      <c r="F63" s="7"/>
      <c r="G63" s="25"/>
      <c r="M63" s="206"/>
      <c r="N63" s="207"/>
    </row>
    <row r="64" spans="2:14" ht="21" x14ac:dyDescent="0.4">
      <c r="B64" s="162" t="s">
        <v>163</v>
      </c>
      <c r="C64" s="162"/>
      <c r="D64" s="162"/>
      <c r="E64" s="162"/>
      <c r="F64" s="162"/>
      <c r="G64" s="25"/>
    </row>
    <row r="65" spans="2:7" ht="15" thickBot="1" x14ac:dyDescent="0.35">
      <c r="B65" s="194" t="s">
        <v>104</v>
      </c>
      <c r="C65" s="194"/>
      <c r="D65" s="7"/>
      <c r="E65" s="7"/>
      <c r="F65" s="7"/>
      <c r="G65" s="25"/>
    </row>
    <row r="66" spans="2:7" ht="28.8" x14ac:dyDescent="0.3">
      <c r="B66" s="123" t="s">
        <v>41</v>
      </c>
      <c r="C66" s="124" t="s">
        <v>82</v>
      </c>
      <c r="D66" s="125" t="s">
        <v>83</v>
      </c>
      <c r="E66" s="126" t="s">
        <v>134</v>
      </c>
      <c r="F66" s="7"/>
      <c r="G66" s="25"/>
    </row>
    <row r="67" spans="2:7" ht="15.6" x14ac:dyDescent="0.3">
      <c r="B67" s="117" t="str">
        <f>+B18</f>
        <v>INGRESOS POR VENTAS</v>
      </c>
      <c r="C67" s="118">
        <f>+C18</f>
        <v>5399800560</v>
      </c>
      <c r="D67" s="118">
        <f>+D18</f>
        <v>6740000960</v>
      </c>
      <c r="E67" s="41">
        <f>+D67/C67-1</f>
        <v>0.2481944259067228</v>
      </c>
      <c r="F67" s="7"/>
      <c r="G67" s="25"/>
    </row>
    <row r="68" spans="2:7" ht="15.6" x14ac:dyDescent="0.3">
      <c r="B68" s="93"/>
      <c r="C68" s="94"/>
      <c r="D68" s="7"/>
      <c r="E68" s="7"/>
      <c r="F68" s="7"/>
      <c r="G68" s="25"/>
    </row>
    <row r="69" spans="2:7" ht="22.5" customHeight="1" thickBot="1" x14ac:dyDescent="0.35">
      <c r="B69" s="189" t="s">
        <v>6</v>
      </c>
      <c r="C69" s="189"/>
      <c r="D69" s="7"/>
      <c r="E69" s="7"/>
      <c r="F69" s="7"/>
      <c r="G69" s="25"/>
    </row>
    <row r="70" spans="2:7" ht="29.4" thickBot="1" x14ac:dyDescent="0.35">
      <c r="B70" s="72" t="s">
        <v>41</v>
      </c>
      <c r="C70" s="73" t="s">
        <v>82</v>
      </c>
      <c r="D70" s="75" t="s">
        <v>83</v>
      </c>
      <c r="E70" s="74" t="s">
        <v>134</v>
      </c>
    </row>
    <row r="71" spans="2:7" x14ac:dyDescent="0.3">
      <c r="B71" s="33" t="s">
        <v>7</v>
      </c>
      <c r="C71" s="70">
        <f>+ACTUAL!C72</f>
        <v>2339838524.1600003</v>
      </c>
      <c r="D71" s="70">
        <f>F28</f>
        <v>2878001384.7168002</v>
      </c>
      <c r="E71" s="71">
        <f>+D71/C71-1</f>
        <v>0.22999999999999998</v>
      </c>
    </row>
    <row r="72" spans="2:7" x14ac:dyDescent="0.3">
      <c r="B72" s="11" t="s">
        <v>131</v>
      </c>
      <c r="C72" s="28">
        <f>+ACTUAL!C73</f>
        <v>956878960</v>
      </c>
      <c r="D72" s="28">
        <f>+E48</f>
        <v>1224355480.8</v>
      </c>
      <c r="E72" s="63">
        <f t="shared" ref="E72:E81" si="6">+D72/C72-1</f>
        <v>0.27953015165052841</v>
      </c>
    </row>
    <row r="73" spans="2:7" x14ac:dyDescent="0.3">
      <c r="B73" s="11" t="s">
        <v>132</v>
      </c>
      <c r="C73" s="28">
        <f>+ACTUAL!C74</f>
        <v>244296000</v>
      </c>
      <c r="D73" s="28">
        <f>+G62</f>
        <v>159432000</v>
      </c>
      <c r="E73" s="63">
        <f t="shared" si="6"/>
        <v>-0.34738186462324394</v>
      </c>
    </row>
    <row r="74" spans="2:7" x14ac:dyDescent="0.3">
      <c r="B74" s="105" t="s">
        <v>133</v>
      </c>
      <c r="C74" s="28">
        <f>+ACTUAL!C75</f>
        <v>53998005.600000001</v>
      </c>
      <c r="D74" s="9">
        <f>+D18*1%</f>
        <v>67400009.599999994</v>
      </c>
      <c r="E74" s="63">
        <f t="shared" si="6"/>
        <v>0.24819442590672258</v>
      </c>
    </row>
    <row r="75" spans="2:7" x14ac:dyDescent="0.3">
      <c r="B75" s="11" t="s">
        <v>130</v>
      </c>
      <c r="C75" s="28">
        <f>+ACTUAL!C76</f>
        <v>44720100.233044446</v>
      </c>
      <c r="D75" s="28">
        <f>+C75+PROPUESTA!K28</f>
        <v>50310112.762175001</v>
      </c>
      <c r="E75" s="63">
        <f t="shared" si="6"/>
        <v>0.125</v>
      </c>
    </row>
    <row r="76" spans="2:7" x14ac:dyDescent="0.3">
      <c r="B76" s="31" t="s">
        <v>11</v>
      </c>
      <c r="C76" s="27">
        <f>SUM(C71:C75)</f>
        <v>3639731589.9930449</v>
      </c>
      <c r="D76" s="27">
        <f>SUM(D71:D75)</f>
        <v>4379498987.8789749</v>
      </c>
      <c r="E76" s="63">
        <f t="shared" si="6"/>
        <v>0.20324778890834194</v>
      </c>
    </row>
    <row r="77" spans="2:7" x14ac:dyDescent="0.3">
      <c r="B77" s="31" t="s">
        <v>12</v>
      </c>
      <c r="C77" s="27">
        <f>+ACTUAL!C78</f>
        <v>909932897.49826121</v>
      </c>
      <c r="D77" s="27">
        <f>+C77</f>
        <v>909932897.49826121</v>
      </c>
      <c r="E77" s="63">
        <f t="shared" si="6"/>
        <v>0</v>
      </c>
    </row>
    <row r="78" spans="2:7" ht="17.399999999999999" x14ac:dyDescent="0.35">
      <c r="B78" s="64" t="s">
        <v>43</v>
      </c>
      <c r="C78" s="29">
        <f>+C77+C76</f>
        <v>4549664487.4913063</v>
      </c>
      <c r="D78" s="29">
        <f>+D77+D76</f>
        <v>5289431885.3772364</v>
      </c>
      <c r="E78" s="63">
        <f t="shared" si="6"/>
        <v>0.1625982311266736</v>
      </c>
    </row>
    <row r="79" spans="2:7" x14ac:dyDescent="0.3">
      <c r="B79" s="11"/>
      <c r="C79" s="6"/>
      <c r="D79" s="6"/>
      <c r="E79" s="65"/>
    </row>
    <row r="80" spans="2:7" ht="15.6" x14ac:dyDescent="0.3">
      <c r="B80" s="66" t="s">
        <v>44</v>
      </c>
      <c r="C80" s="29">
        <f>+C18-C78</f>
        <v>850136072.5086937</v>
      </c>
      <c r="D80" s="29">
        <f>+D18-D78</f>
        <v>1450569074.6227636</v>
      </c>
      <c r="E80" s="63">
        <f>+D80/C80-1</f>
        <v>0.70627870235200474</v>
      </c>
    </row>
    <row r="81" spans="2:5" ht="16.2" thickBot="1" x14ac:dyDescent="0.35">
      <c r="B81" s="67" t="s">
        <v>45</v>
      </c>
      <c r="C81" s="68">
        <f>+C80/C18</f>
        <v>0.15743842074580133</v>
      </c>
      <c r="D81" s="68">
        <f>+D80/D18</f>
        <v>0.21521793293969554</v>
      </c>
      <c r="E81" s="69">
        <f t="shared" si="6"/>
        <v>0.36699753414818925</v>
      </c>
    </row>
    <row r="83" spans="2:5" x14ac:dyDescent="0.3">
      <c r="B83" s="6" t="s">
        <v>179</v>
      </c>
      <c r="C83" s="144">
        <f>+C78/C12</f>
        <v>954.9871844860653</v>
      </c>
      <c r="D83" s="144">
        <f>+D78/D12</f>
        <v>889.49930831825304</v>
      </c>
      <c r="E83" s="41">
        <f>+D83/C83-1</f>
        <v>-6.8574612551533964E-2</v>
      </c>
    </row>
    <row r="84" spans="2:5" x14ac:dyDescent="0.3">
      <c r="B84" s="6" t="s">
        <v>180</v>
      </c>
      <c r="C84" s="144">
        <f>+C78/C13</f>
        <v>23874.679612151631</v>
      </c>
      <c r="D84" s="144">
        <f>+D78/D13</f>
        <v>22237.482707956329</v>
      </c>
      <c r="E84" s="41">
        <f>+D84/C84-1</f>
        <v>-6.8574612551533853E-2</v>
      </c>
    </row>
  </sheetData>
  <mergeCells count="14">
    <mergeCell ref="B1:G1"/>
    <mergeCell ref="B61:D61"/>
    <mergeCell ref="B62:F62"/>
    <mergeCell ref="B2:F2"/>
    <mergeCell ref="B69:C69"/>
    <mergeCell ref="B20:E20"/>
    <mergeCell ref="B29:E29"/>
    <mergeCell ref="B48:D48"/>
    <mergeCell ref="B52:B59"/>
    <mergeCell ref="B60:C60"/>
    <mergeCell ref="B50:G50"/>
    <mergeCell ref="B65:C65"/>
    <mergeCell ref="B64:F64"/>
    <mergeCell ref="B28:E28"/>
  </mergeCells>
  <pageMargins left="0.25" right="0.25" top="0.75" bottom="0.75" header="0.3" footer="0.3"/>
  <pageSetup orientation="landscape" horizontalDpi="300" verticalDpi="300" r:id="rId1"/>
  <rowBreaks count="2" manualBreakCount="2">
    <brk id="18" max="16383" man="1"/>
    <brk id="6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15F1-1466-40F2-B7F3-90776ACA19FC}">
  <dimension ref="B1:F13"/>
  <sheetViews>
    <sheetView workbookViewId="0">
      <selection activeCell="D19" sqref="D19"/>
    </sheetView>
  </sheetViews>
  <sheetFormatPr defaultRowHeight="14.4" x14ac:dyDescent="0.3"/>
  <cols>
    <col min="2" max="2" width="27.21875" customWidth="1"/>
    <col min="3" max="3" width="16.6640625" customWidth="1"/>
    <col min="4" max="4" width="17" customWidth="1"/>
    <col min="5" max="5" width="12.109375" customWidth="1"/>
  </cols>
  <sheetData>
    <row r="1" spans="2:6" ht="15" thickBot="1" x14ac:dyDescent="0.35"/>
    <row r="2" spans="2:6" ht="15" thickBot="1" x14ac:dyDescent="0.35">
      <c r="B2" s="145" t="s">
        <v>41</v>
      </c>
      <c r="C2" s="146" t="s">
        <v>181</v>
      </c>
      <c r="D2" s="146" t="s">
        <v>182</v>
      </c>
      <c r="E2" s="147" t="s">
        <v>81</v>
      </c>
      <c r="F2" s="148" t="s">
        <v>183</v>
      </c>
    </row>
    <row r="3" spans="2:6" ht="28.8" x14ac:dyDescent="0.3">
      <c r="B3" s="157" t="s">
        <v>124</v>
      </c>
      <c r="C3" s="149">
        <f>'POSTERIOR PROYECTO'!C12</f>
        <v>4764110.5152000003</v>
      </c>
      <c r="D3" s="149">
        <f>'POSTERIOR PROYECTO'!D12</f>
        <v>5946527.2608000003</v>
      </c>
      <c r="E3" s="150">
        <f>+D3/C3-1</f>
        <v>0.24819255175283472</v>
      </c>
      <c r="F3" s="151">
        <v>0.15</v>
      </c>
    </row>
    <row r="4" spans="2:6" x14ac:dyDescent="0.3">
      <c r="B4" s="105" t="s">
        <v>125</v>
      </c>
      <c r="C4" s="149">
        <f>'POSTERIOR PROYECTO'!C13</f>
        <v>190564.42060800001</v>
      </c>
      <c r="D4" s="149">
        <f>'POSTERIOR PROYECTO'!D13</f>
        <v>237861.090432</v>
      </c>
      <c r="E4" s="152">
        <f t="shared" ref="E4:E13" si="0">+D4/C4-1</f>
        <v>0.2481925517528345</v>
      </c>
      <c r="F4" s="153">
        <v>0.15</v>
      </c>
    </row>
    <row r="5" spans="2:6" x14ac:dyDescent="0.3">
      <c r="B5" s="105" t="s">
        <v>89</v>
      </c>
      <c r="C5" s="61">
        <f>'POSTERIOR PROYECTO'!C7</f>
        <v>3.8699999999999998E-2</v>
      </c>
      <c r="D5" s="61">
        <f>'POSTERIOR PROYECTO'!D7</f>
        <v>2.0500000000000001E-2</v>
      </c>
      <c r="E5" s="152">
        <f t="shared" si="0"/>
        <v>-0.47028423772609818</v>
      </c>
      <c r="F5" s="153">
        <v>0.02</v>
      </c>
    </row>
    <row r="6" spans="2:6" x14ac:dyDescent="0.3">
      <c r="B6" s="105" t="s">
        <v>1</v>
      </c>
      <c r="C6" s="9">
        <f>'POSTERIOR PROYECTO'!C18</f>
        <v>5399800560</v>
      </c>
      <c r="D6" s="9">
        <f>'POSTERIOR PROYECTO'!D18</f>
        <v>6740000960</v>
      </c>
      <c r="E6" s="152">
        <f t="shared" si="0"/>
        <v>0.2481944259067228</v>
      </c>
      <c r="F6" s="154"/>
    </row>
    <row r="7" spans="2:6" x14ac:dyDescent="0.3">
      <c r="B7" s="105" t="s">
        <v>11</v>
      </c>
      <c r="C7" s="9">
        <f>'POSTERIOR PROYECTO'!C76</f>
        <v>3639731589.9930449</v>
      </c>
      <c r="D7" s="9">
        <f>'POSTERIOR PROYECTO'!D76</f>
        <v>4379498987.8789749</v>
      </c>
      <c r="E7" s="152">
        <f t="shared" si="0"/>
        <v>0.20324778890834194</v>
      </c>
      <c r="F7" s="154"/>
    </row>
    <row r="8" spans="2:6" x14ac:dyDescent="0.3">
      <c r="B8" s="105" t="s">
        <v>12</v>
      </c>
      <c r="C8" s="9">
        <f>'POSTERIOR PROYECTO'!C77</f>
        <v>909932897.49826121</v>
      </c>
      <c r="D8" s="9">
        <f>'POSTERIOR PROYECTO'!D77</f>
        <v>909932897.49826121</v>
      </c>
      <c r="E8" s="152">
        <f t="shared" si="0"/>
        <v>0</v>
      </c>
      <c r="F8" s="154"/>
    </row>
    <row r="9" spans="2:6" x14ac:dyDescent="0.3">
      <c r="B9" s="105" t="s">
        <v>43</v>
      </c>
      <c r="C9" s="9">
        <f>'POSTERIOR PROYECTO'!C78</f>
        <v>4549664487.4913063</v>
      </c>
      <c r="D9" s="9">
        <f>'POSTERIOR PROYECTO'!D78</f>
        <v>5289431885.3772364</v>
      </c>
      <c r="E9" s="152">
        <f t="shared" si="0"/>
        <v>0.1625982311266736</v>
      </c>
      <c r="F9" s="154"/>
    </row>
    <row r="10" spans="2:6" x14ac:dyDescent="0.3">
      <c r="B10" s="105" t="s">
        <v>44</v>
      </c>
      <c r="C10" s="9">
        <f>'POSTERIOR PROYECTO'!C80</f>
        <v>850136072.5086937</v>
      </c>
      <c r="D10" s="9">
        <f>'POSTERIOR PROYECTO'!D80</f>
        <v>1450569074.6227636</v>
      </c>
      <c r="E10" s="152">
        <f>+D10/C10-1</f>
        <v>0.70627870235200474</v>
      </c>
      <c r="F10" s="195">
        <v>7.0000000000000007E-2</v>
      </c>
    </row>
    <row r="11" spans="2:6" x14ac:dyDescent="0.3">
      <c r="B11" s="105" t="s">
        <v>184</v>
      </c>
      <c r="C11" s="58">
        <f>'POSTERIOR PROYECTO'!C81</f>
        <v>0.15743842074580133</v>
      </c>
      <c r="D11" s="58">
        <f>'POSTERIOR PROYECTO'!D81</f>
        <v>0.21521793293969554</v>
      </c>
      <c r="E11" s="152">
        <f t="shared" si="0"/>
        <v>0.36699753414818925</v>
      </c>
      <c r="F11" s="196"/>
    </row>
    <row r="12" spans="2:6" x14ac:dyDescent="0.3">
      <c r="B12" s="105" t="s">
        <v>185</v>
      </c>
      <c r="C12" s="9">
        <f>'POSTERIOR PROYECTO'!C83</f>
        <v>954.9871844860653</v>
      </c>
      <c r="D12" s="9">
        <f>'POSTERIOR PROYECTO'!D83</f>
        <v>889.49930831825304</v>
      </c>
      <c r="E12" s="152">
        <f t="shared" si="0"/>
        <v>-6.8574612551533964E-2</v>
      </c>
      <c r="F12" s="197">
        <v>-0.1</v>
      </c>
    </row>
    <row r="13" spans="2:6" ht="15" thickBot="1" x14ac:dyDescent="0.35">
      <c r="B13" s="158" t="s">
        <v>186</v>
      </c>
      <c r="C13" s="155">
        <f>'POSTERIOR PROYECTO'!C84</f>
        <v>23874.679612151631</v>
      </c>
      <c r="D13" s="155">
        <f>'POSTERIOR PROYECTO'!D84</f>
        <v>22237.482707956329</v>
      </c>
      <c r="E13" s="156">
        <f t="shared" si="0"/>
        <v>-6.8574612551533853E-2</v>
      </c>
      <c r="F13" s="198"/>
    </row>
  </sheetData>
  <mergeCells count="2">
    <mergeCell ref="F10:F11"/>
    <mergeCell ref="F12:F13"/>
  </mergeCells>
  <conditionalFormatting sqref="E12:E1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B1:AB32"/>
  <sheetViews>
    <sheetView zoomScale="90" zoomScaleNormal="90" workbookViewId="0">
      <pane xSplit="3" ySplit="7" topLeftCell="D23" activePane="bottomRight" state="frozen"/>
      <selection pane="topRight" activeCell="C1" sqref="C1"/>
      <selection pane="bottomLeft" activeCell="A7" sqref="A7"/>
      <selection pane="bottomRight" activeCell="D37" sqref="D37"/>
    </sheetView>
  </sheetViews>
  <sheetFormatPr defaultColWidth="11.5546875" defaultRowHeight="14.4" x14ac:dyDescent="0.3"/>
  <cols>
    <col min="2" max="2" width="9.5546875" customWidth="1"/>
    <col min="3" max="3" width="25.44140625" customWidth="1"/>
    <col min="4" max="4" width="19.109375" customWidth="1"/>
    <col min="5" max="5" width="20.33203125" customWidth="1"/>
    <col min="6" max="6" width="19.33203125" customWidth="1"/>
    <col min="7" max="7" width="20.6640625" customWidth="1"/>
    <col min="8" max="8" width="21" customWidth="1"/>
    <col min="9" max="9" width="21.33203125" customWidth="1"/>
    <col min="10" max="10" width="19.88671875" customWidth="1"/>
    <col min="11" max="11" width="20.109375" customWidth="1"/>
    <col min="12" max="12" width="19.5546875" customWidth="1"/>
    <col min="13" max="16" width="19.33203125" bestFit="1" customWidth="1"/>
    <col min="17" max="17" width="18.33203125" customWidth="1"/>
    <col min="18" max="18" width="18.6640625" customWidth="1"/>
    <col min="19" max="19" width="18.44140625" customWidth="1"/>
    <col min="20" max="20" width="17.44140625" customWidth="1"/>
    <col min="21" max="21" width="18.44140625" customWidth="1"/>
    <col min="22" max="22" width="18" customWidth="1"/>
    <col min="23" max="23" width="20.44140625" customWidth="1"/>
    <col min="24" max="24" width="21.44140625" customWidth="1"/>
    <col min="25" max="28" width="17.44140625" bestFit="1" customWidth="1"/>
  </cols>
  <sheetData>
    <row r="1" spans="2:28" x14ac:dyDescent="0.3">
      <c r="D1" s="199" t="s">
        <v>161</v>
      </c>
      <c r="E1" s="199"/>
      <c r="F1" s="199"/>
      <c r="G1" s="199"/>
      <c r="J1" s="199" t="s">
        <v>161</v>
      </c>
      <c r="K1" s="199"/>
      <c r="L1" s="199"/>
      <c r="M1" s="199"/>
      <c r="P1" s="199" t="s">
        <v>161</v>
      </c>
      <c r="Q1" s="199"/>
      <c r="R1" s="199"/>
      <c r="S1" s="199"/>
      <c r="W1" s="199" t="s">
        <v>161</v>
      </c>
      <c r="X1" s="199"/>
      <c r="Y1" s="199"/>
      <c r="Z1" s="199"/>
    </row>
    <row r="2" spans="2:28" ht="15" hidden="1" customHeight="1" x14ac:dyDescent="0.3">
      <c r="C2" s="1" t="s">
        <v>2</v>
      </c>
      <c r="D2" s="2">
        <v>30800</v>
      </c>
      <c r="J2" s="80">
        <v>0.5</v>
      </c>
      <c r="M2" s="181" t="s">
        <v>91</v>
      </c>
      <c r="N2" s="181"/>
      <c r="O2" s="181"/>
      <c r="W2" s="112"/>
    </row>
    <row r="3" spans="2:28" ht="29.25" customHeight="1" x14ac:dyDescent="0.3">
      <c r="C3" s="1"/>
      <c r="D3" s="2"/>
      <c r="J3" s="200" t="s">
        <v>168</v>
      </c>
      <c r="K3" s="200"/>
      <c r="M3" s="128" t="s">
        <v>165</v>
      </c>
      <c r="N3" s="128" t="s">
        <v>166</v>
      </c>
      <c r="O3" s="200"/>
      <c r="P3" s="200"/>
      <c r="W3" s="129" t="s">
        <v>169</v>
      </c>
    </row>
    <row r="4" spans="2:28" x14ac:dyDescent="0.3">
      <c r="B4" s="183" t="s">
        <v>3</v>
      </c>
      <c r="C4" s="183"/>
      <c r="D4" s="6">
        <v>0</v>
      </c>
      <c r="E4" s="6">
        <v>1</v>
      </c>
      <c r="F4" s="6">
        <v>2</v>
      </c>
      <c r="G4" s="15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81">
        <v>19</v>
      </c>
      <c r="X4" s="6">
        <v>20</v>
      </c>
      <c r="Y4" s="6">
        <v>21</v>
      </c>
      <c r="Z4" s="130">
        <v>22</v>
      </c>
      <c r="AA4" s="130">
        <v>23</v>
      </c>
      <c r="AB4" s="130">
        <v>24</v>
      </c>
    </row>
    <row r="5" spans="2:28" ht="29.25" customHeight="1" x14ac:dyDescent="0.3">
      <c r="B5" s="203" t="s">
        <v>167</v>
      </c>
      <c r="C5" s="204"/>
      <c r="D5" s="41">
        <v>1</v>
      </c>
      <c r="E5" s="41">
        <v>1</v>
      </c>
      <c r="F5" s="41">
        <v>1</v>
      </c>
      <c r="G5" s="41">
        <v>1</v>
      </c>
      <c r="H5" s="41">
        <v>1</v>
      </c>
      <c r="I5" s="41">
        <v>1</v>
      </c>
      <c r="J5" s="41">
        <v>0.5</v>
      </c>
      <c r="K5" s="41">
        <v>0.5</v>
      </c>
      <c r="L5" s="41">
        <v>0.5</v>
      </c>
      <c r="M5" s="41">
        <v>0.9</v>
      </c>
      <c r="N5" s="41">
        <v>1.1000000000000001</v>
      </c>
      <c r="O5" s="41">
        <v>1.25</v>
      </c>
      <c r="P5" s="41">
        <v>1.25</v>
      </c>
      <c r="Q5" s="41">
        <v>1.25</v>
      </c>
      <c r="R5" s="41">
        <v>1.25</v>
      </c>
      <c r="S5" s="41">
        <v>1.25</v>
      </c>
      <c r="T5" s="41">
        <v>1.25</v>
      </c>
      <c r="U5" s="41">
        <v>1.25</v>
      </c>
      <c r="V5" s="41">
        <v>1.25</v>
      </c>
      <c r="W5" s="41">
        <v>1.25</v>
      </c>
      <c r="X5" s="41">
        <v>1.25</v>
      </c>
      <c r="Y5" s="41">
        <v>1.25</v>
      </c>
      <c r="Z5" s="41">
        <v>1.25</v>
      </c>
      <c r="AA5" s="41">
        <v>1.25</v>
      </c>
      <c r="AB5" s="41">
        <v>1.25</v>
      </c>
    </row>
    <row r="6" spans="2:28" x14ac:dyDescent="0.3">
      <c r="B6" s="182" t="s">
        <v>0</v>
      </c>
      <c r="C6" s="182"/>
      <c r="D6" s="26">
        <f>+INT(ACTUAL!$C$11)*D5</f>
        <v>190564</v>
      </c>
      <c r="E6" s="26">
        <f>+INT(ACTUAL!$C$11)*E5</f>
        <v>190564</v>
      </c>
      <c r="F6" s="26">
        <f>+INT(ACTUAL!$C$11)*F5</f>
        <v>190564</v>
      </c>
      <c r="G6" s="26">
        <f>+INT(ACTUAL!$C$11)*G5</f>
        <v>190564</v>
      </c>
      <c r="H6" s="26">
        <f>+INT(ACTUAL!$C$11)*H5</f>
        <v>190564</v>
      </c>
      <c r="I6" s="26">
        <f>+INT(ACTUAL!$C$11)*I5</f>
        <v>190564</v>
      </c>
      <c r="J6" s="26">
        <f>+INT(ACTUAL!$C$11)*J5</f>
        <v>95282</v>
      </c>
      <c r="K6" s="26">
        <f>+INT(ACTUAL!$C$11)*K5</f>
        <v>95282</v>
      </c>
      <c r="L6" s="26">
        <f>+INT(ACTUAL!$C$11)*L5</f>
        <v>95282</v>
      </c>
      <c r="M6" s="26">
        <f>+INT(ACTUAL!$C$11)*M5</f>
        <v>171507.6</v>
      </c>
      <c r="N6" s="26">
        <f>+INT(ACTUAL!$C$11)*N5</f>
        <v>209620.40000000002</v>
      </c>
      <c r="O6" s="26">
        <f>+INT(ACTUAL!$C$11)*O5</f>
        <v>238205</v>
      </c>
      <c r="P6" s="26">
        <f>+INT(ACTUAL!$C$11)*P5</f>
        <v>238205</v>
      </c>
      <c r="Q6" s="26">
        <f>+INT(ACTUAL!$C$11)*Q5</f>
        <v>238205</v>
      </c>
      <c r="R6" s="26">
        <f>+INT(ACTUAL!$C$11)*R5</f>
        <v>238205</v>
      </c>
      <c r="S6" s="26">
        <f>+INT(ACTUAL!$C$11)*S5</f>
        <v>238205</v>
      </c>
      <c r="T6" s="26">
        <f>+INT(ACTUAL!$C$11)*T5</f>
        <v>238205</v>
      </c>
      <c r="U6" s="26">
        <f>+INT(ACTUAL!$C$11)*U5</f>
        <v>238205</v>
      </c>
      <c r="V6" s="26">
        <f>+INT(ACTUAL!$C$11)*V5</f>
        <v>238205</v>
      </c>
      <c r="W6" s="26">
        <f>+INT(ACTUAL!$C$11)*W5</f>
        <v>238205</v>
      </c>
      <c r="X6" s="26">
        <f>+INT(ACTUAL!$C$11)*X5</f>
        <v>238205</v>
      </c>
      <c r="Y6" s="26">
        <f>+INT(ACTUAL!$C$11)*Y5</f>
        <v>238205</v>
      </c>
      <c r="Z6" s="26">
        <f>+INT(ACTUAL!$C$11)*Z5</f>
        <v>238205</v>
      </c>
      <c r="AA6" s="26">
        <f>+INT(ACTUAL!$C$11)*AA5</f>
        <v>238205</v>
      </c>
      <c r="AB6" s="26">
        <f>+INT(ACTUAL!$C$11)*AB5</f>
        <v>238205</v>
      </c>
    </row>
    <row r="7" spans="2:28" x14ac:dyDescent="0.3">
      <c r="B7" s="202" t="s">
        <v>1</v>
      </c>
      <c r="C7" s="202"/>
      <c r="D7" s="108">
        <f>+ACTUAL!C16</f>
        <v>5399800560</v>
      </c>
      <c r="E7" s="108">
        <f>+D7</f>
        <v>5399800560</v>
      </c>
      <c r="F7" s="108">
        <f t="shared" ref="F7" si="0">+E7</f>
        <v>5399800560</v>
      </c>
      <c r="G7" s="108">
        <f t="shared" ref="G7:I7" si="1">+F7</f>
        <v>5399800560</v>
      </c>
      <c r="H7" s="108">
        <f t="shared" si="1"/>
        <v>5399800560</v>
      </c>
      <c r="I7" s="108">
        <f t="shared" si="1"/>
        <v>5399800560</v>
      </c>
      <c r="J7" s="108">
        <f>+I7/2</f>
        <v>2699900280</v>
      </c>
      <c r="K7" s="108">
        <f t="shared" ref="K7:L8" si="2">+J7</f>
        <v>2699900280</v>
      </c>
      <c r="L7" s="108">
        <f t="shared" si="2"/>
        <v>2699900280</v>
      </c>
      <c r="M7" s="108">
        <f>+I7*0.9</f>
        <v>4859820504</v>
      </c>
      <c r="N7" s="108">
        <f>+I7*1.1</f>
        <v>5939780616.000001</v>
      </c>
      <c r="O7" s="108">
        <f>+'POSTERIOR PROYECTO'!D18</f>
        <v>6740000960</v>
      </c>
      <c r="P7" s="108">
        <f t="shared" ref="P7:AB14" si="3">$O7</f>
        <v>6740000960</v>
      </c>
      <c r="Q7" s="108">
        <f t="shared" si="3"/>
        <v>6740000960</v>
      </c>
      <c r="R7" s="108">
        <f t="shared" si="3"/>
        <v>6740000960</v>
      </c>
      <c r="S7" s="108">
        <f t="shared" si="3"/>
        <v>6740000960</v>
      </c>
      <c r="T7" s="108">
        <f t="shared" si="3"/>
        <v>6740000960</v>
      </c>
      <c r="U7" s="108">
        <f t="shared" si="3"/>
        <v>6740000960</v>
      </c>
      <c r="V7" s="108">
        <f t="shared" si="3"/>
        <v>6740000960</v>
      </c>
      <c r="W7" s="108">
        <f t="shared" si="3"/>
        <v>6740000960</v>
      </c>
      <c r="X7" s="108">
        <f t="shared" si="3"/>
        <v>6740000960</v>
      </c>
      <c r="Y7" s="108">
        <f t="shared" si="3"/>
        <v>6740000960</v>
      </c>
      <c r="Z7" s="108">
        <f t="shared" si="3"/>
        <v>6740000960</v>
      </c>
      <c r="AA7" s="108">
        <f t="shared" si="3"/>
        <v>6740000960</v>
      </c>
      <c r="AB7" s="108">
        <f t="shared" si="3"/>
        <v>6740000960</v>
      </c>
    </row>
    <row r="8" spans="2:28" x14ac:dyDescent="0.3">
      <c r="B8" s="201" t="s">
        <v>14</v>
      </c>
      <c r="C8" s="6" t="s">
        <v>7</v>
      </c>
      <c r="D8" s="9">
        <f>+ACTUAL!C72</f>
        <v>2339838524.1600003</v>
      </c>
      <c r="E8" s="9">
        <f t="shared" ref="E8:F13" si="4">+D8</f>
        <v>2339838524.1600003</v>
      </c>
      <c r="F8" s="9">
        <f t="shared" si="4"/>
        <v>2339838524.1600003</v>
      </c>
      <c r="G8" s="9">
        <f t="shared" ref="G8:I8" si="5">+F8</f>
        <v>2339838524.1600003</v>
      </c>
      <c r="H8" s="9">
        <f t="shared" si="5"/>
        <v>2339838524.1600003</v>
      </c>
      <c r="I8" s="9">
        <f t="shared" si="5"/>
        <v>2339838524.1600003</v>
      </c>
      <c r="J8" s="9">
        <f>+I8/2</f>
        <v>1169919262.0800002</v>
      </c>
      <c r="K8" s="9">
        <f t="shared" si="2"/>
        <v>1169919262.0800002</v>
      </c>
      <c r="L8" s="9">
        <f t="shared" si="2"/>
        <v>1169919262.0800002</v>
      </c>
      <c r="M8" s="9">
        <f>+I8*0.9</f>
        <v>2105854671.7440004</v>
      </c>
      <c r="N8" s="9">
        <f>+I8*1.1</f>
        <v>2573822376.5760007</v>
      </c>
      <c r="O8" s="9">
        <f>+'POSTERIOR PROYECTO'!D71</f>
        <v>2878001384.7168002</v>
      </c>
      <c r="P8" s="9">
        <f t="shared" si="3"/>
        <v>2878001384.7168002</v>
      </c>
      <c r="Q8" s="9">
        <f t="shared" si="3"/>
        <v>2878001384.7168002</v>
      </c>
      <c r="R8" s="9">
        <f t="shared" si="3"/>
        <v>2878001384.7168002</v>
      </c>
      <c r="S8" s="9">
        <f t="shared" si="3"/>
        <v>2878001384.7168002</v>
      </c>
      <c r="T8" s="9">
        <f t="shared" si="3"/>
        <v>2878001384.7168002</v>
      </c>
      <c r="U8" s="9">
        <f t="shared" si="3"/>
        <v>2878001384.7168002</v>
      </c>
      <c r="V8" s="9">
        <f t="shared" si="3"/>
        <v>2878001384.7168002</v>
      </c>
      <c r="W8" s="9">
        <f t="shared" si="3"/>
        <v>2878001384.7168002</v>
      </c>
      <c r="X8" s="9">
        <f t="shared" si="3"/>
        <v>2878001384.7168002</v>
      </c>
      <c r="Y8" s="9">
        <f t="shared" si="3"/>
        <v>2878001384.7168002</v>
      </c>
      <c r="Z8" s="9">
        <f t="shared" si="3"/>
        <v>2878001384.7168002</v>
      </c>
      <c r="AA8" s="9">
        <f t="shared" si="3"/>
        <v>2878001384.7168002</v>
      </c>
      <c r="AB8" s="9">
        <f t="shared" si="3"/>
        <v>2878001384.7168002</v>
      </c>
    </row>
    <row r="9" spans="2:28" x14ac:dyDescent="0.3">
      <c r="B9" s="201"/>
      <c r="C9" s="6" t="s">
        <v>8</v>
      </c>
      <c r="D9" s="9">
        <f>+ACTUAL!C73</f>
        <v>956878960</v>
      </c>
      <c r="E9" s="9">
        <f t="shared" si="4"/>
        <v>956878960</v>
      </c>
      <c r="F9" s="9">
        <f t="shared" si="4"/>
        <v>956878960</v>
      </c>
      <c r="G9" s="9">
        <f t="shared" ref="G9:I9" si="6">+F9</f>
        <v>956878960</v>
      </c>
      <c r="H9" s="9">
        <f t="shared" si="6"/>
        <v>956878960</v>
      </c>
      <c r="I9" s="9">
        <f t="shared" si="6"/>
        <v>956878960</v>
      </c>
      <c r="J9" s="9">
        <f>+I9*0.7</f>
        <v>669815272</v>
      </c>
      <c r="K9" s="9">
        <f t="shared" ref="K9:O13" si="7">+J9</f>
        <v>669815272</v>
      </c>
      <c r="L9" s="9">
        <f t="shared" si="7"/>
        <v>669815272</v>
      </c>
      <c r="M9" s="9">
        <f>+I9*0.9</f>
        <v>861191064</v>
      </c>
      <c r="N9" s="9">
        <f>+I9*1.1</f>
        <v>1052566856.0000001</v>
      </c>
      <c r="O9" s="9">
        <f>+'POSTERIOR PROYECTO'!D72</f>
        <v>1224355480.8</v>
      </c>
      <c r="P9" s="9">
        <f t="shared" si="3"/>
        <v>1224355480.8</v>
      </c>
      <c r="Q9" s="9">
        <f t="shared" si="3"/>
        <v>1224355480.8</v>
      </c>
      <c r="R9" s="9">
        <f t="shared" si="3"/>
        <v>1224355480.8</v>
      </c>
      <c r="S9" s="9">
        <f t="shared" si="3"/>
        <v>1224355480.8</v>
      </c>
      <c r="T9" s="9">
        <f t="shared" si="3"/>
        <v>1224355480.8</v>
      </c>
      <c r="U9" s="9">
        <f t="shared" si="3"/>
        <v>1224355480.8</v>
      </c>
      <c r="V9" s="9">
        <f t="shared" si="3"/>
        <v>1224355480.8</v>
      </c>
      <c r="W9" s="9">
        <f t="shared" si="3"/>
        <v>1224355480.8</v>
      </c>
      <c r="X9" s="9">
        <f t="shared" si="3"/>
        <v>1224355480.8</v>
      </c>
      <c r="Y9" s="9">
        <f t="shared" si="3"/>
        <v>1224355480.8</v>
      </c>
      <c r="Z9" s="9">
        <f t="shared" si="3"/>
        <v>1224355480.8</v>
      </c>
      <c r="AA9" s="9">
        <f t="shared" si="3"/>
        <v>1224355480.8</v>
      </c>
      <c r="AB9" s="9">
        <f t="shared" si="3"/>
        <v>1224355480.8</v>
      </c>
    </row>
    <row r="10" spans="2:28" x14ac:dyDescent="0.3">
      <c r="B10" s="201"/>
      <c r="C10" s="6" t="s">
        <v>15</v>
      </c>
      <c r="D10" s="9">
        <f>+ACTUAL!C74</f>
        <v>244296000</v>
      </c>
      <c r="E10" s="9">
        <f t="shared" si="4"/>
        <v>244296000</v>
      </c>
      <c r="F10" s="9">
        <f t="shared" si="4"/>
        <v>244296000</v>
      </c>
      <c r="G10" s="9">
        <f t="shared" ref="G10:I10" si="8">+F10</f>
        <v>244296000</v>
      </c>
      <c r="H10" s="9">
        <f t="shared" si="8"/>
        <v>244296000</v>
      </c>
      <c r="I10" s="9">
        <f t="shared" si="8"/>
        <v>244296000</v>
      </c>
      <c r="J10" s="9">
        <f t="shared" ref="J10" si="9">+I10</f>
        <v>244296000</v>
      </c>
      <c r="K10" s="9">
        <f t="shared" si="7"/>
        <v>244296000</v>
      </c>
      <c r="L10" s="9">
        <f t="shared" si="7"/>
        <v>244296000</v>
      </c>
      <c r="M10" s="9">
        <f>+'POSTERIOR PROYECTO'!D73</f>
        <v>159432000</v>
      </c>
      <c r="N10" s="9">
        <f>+M10</f>
        <v>159432000</v>
      </c>
      <c r="O10" s="9">
        <f>+'POSTERIOR PROYECTO'!D73</f>
        <v>159432000</v>
      </c>
      <c r="P10" s="9">
        <f t="shared" si="3"/>
        <v>159432000</v>
      </c>
      <c r="Q10" s="9">
        <f t="shared" si="3"/>
        <v>159432000</v>
      </c>
      <c r="R10" s="9">
        <f t="shared" si="3"/>
        <v>159432000</v>
      </c>
      <c r="S10" s="9">
        <f t="shared" si="3"/>
        <v>159432000</v>
      </c>
      <c r="T10" s="9">
        <f t="shared" si="3"/>
        <v>159432000</v>
      </c>
      <c r="U10" s="9">
        <f t="shared" si="3"/>
        <v>159432000</v>
      </c>
      <c r="V10" s="9">
        <f t="shared" si="3"/>
        <v>159432000</v>
      </c>
      <c r="W10" s="9">
        <f t="shared" si="3"/>
        <v>159432000</v>
      </c>
      <c r="X10" s="9">
        <f t="shared" si="3"/>
        <v>159432000</v>
      </c>
      <c r="Y10" s="9">
        <f t="shared" si="3"/>
        <v>159432000</v>
      </c>
      <c r="Z10" s="9">
        <f t="shared" si="3"/>
        <v>159432000</v>
      </c>
      <c r="AA10" s="9">
        <f t="shared" si="3"/>
        <v>159432000</v>
      </c>
      <c r="AB10" s="9">
        <f t="shared" si="3"/>
        <v>159432000</v>
      </c>
    </row>
    <row r="11" spans="2:28" ht="28.8" x14ac:dyDescent="0.3">
      <c r="B11" s="201"/>
      <c r="C11" s="15" t="s">
        <v>10</v>
      </c>
      <c r="D11" s="9">
        <f>+ACTUAL!C75</f>
        <v>53998005.600000001</v>
      </c>
      <c r="E11" s="9">
        <f t="shared" si="4"/>
        <v>53998005.600000001</v>
      </c>
      <c r="F11" s="9">
        <f t="shared" si="4"/>
        <v>53998005.600000001</v>
      </c>
      <c r="G11" s="9">
        <f t="shared" ref="G11:I11" si="10">+F11</f>
        <v>53998005.600000001</v>
      </c>
      <c r="H11" s="9">
        <f t="shared" si="10"/>
        <v>53998005.600000001</v>
      </c>
      <c r="I11" s="9">
        <f t="shared" si="10"/>
        <v>53998005.600000001</v>
      </c>
      <c r="J11" s="9">
        <f t="shared" ref="J11" si="11">+I11</f>
        <v>53998005.600000001</v>
      </c>
      <c r="K11" s="9">
        <f t="shared" si="7"/>
        <v>53998005.600000001</v>
      </c>
      <c r="L11" s="9">
        <f t="shared" si="7"/>
        <v>53998005.600000001</v>
      </c>
      <c r="M11" s="9">
        <f>+'POSTERIOR PROYECTO'!D74</f>
        <v>67400009.599999994</v>
      </c>
      <c r="N11" s="9">
        <f>+M11</f>
        <v>67400009.599999994</v>
      </c>
      <c r="O11" s="9">
        <f>+'POSTERIOR PROYECTO'!D74</f>
        <v>67400009.599999994</v>
      </c>
      <c r="P11" s="9">
        <f t="shared" si="3"/>
        <v>67400009.599999994</v>
      </c>
      <c r="Q11" s="9">
        <f t="shared" si="3"/>
        <v>67400009.599999994</v>
      </c>
      <c r="R11" s="9">
        <f t="shared" si="3"/>
        <v>67400009.599999994</v>
      </c>
      <c r="S11" s="9">
        <f t="shared" si="3"/>
        <v>67400009.599999994</v>
      </c>
      <c r="T11" s="9">
        <f t="shared" si="3"/>
        <v>67400009.599999994</v>
      </c>
      <c r="U11" s="9">
        <f t="shared" si="3"/>
        <v>67400009.599999994</v>
      </c>
      <c r="V11" s="9">
        <f t="shared" si="3"/>
        <v>67400009.599999994</v>
      </c>
      <c r="W11" s="9">
        <f t="shared" si="3"/>
        <v>67400009.599999994</v>
      </c>
      <c r="X11" s="9">
        <f t="shared" si="3"/>
        <v>67400009.599999994</v>
      </c>
      <c r="Y11" s="9">
        <f t="shared" si="3"/>
        <v>67400009.599999994</v>
      </c>
      <c r="Z11" s="9">
        <f t="shared" si="3"/>
        <v>67400009.599999994</v>
      </c>
      <c r="AA11" s="9">
        <f t="shared" si="3"/>
        <v>67400009.599999994</v>
      </c>
      <c r="AB11" s="9">
        <f t="shared" si="3"/>
        <v>67400009.599999994</v>
      </c>
    </row>
    <row r="12" spans="2:28" x14ac:dyDescent="0.3">
      <c r="B12" s="201"/>
      <c r="C12" s="6" t="s">
        <v>11</v>
      </c>
      <c r="D12" s="9">
        <f>SUM(D8:D11)</f>
        <v>3595011489.7600002</v>
      </c>
      <c r="E12" s="9">
        <f t="shared" ref="E12:G12" si="12">SUM(E8:E11)</f>
        <v>3595011489.7600002</v>
      </c>
      <c r="F12" s="9">
        <f t="shared" si="12"/>
        <v>3595011489.7600002</v>
      </c>
      <c r="G12" s="9">
        <f t="shared" si="12"/>
        <v>3595011489.7600002</v>
      </c>
      <c r="H12" s="9">
        <f t="shared" ref="H12" si="13">SUM(H8:H11)</f>
        <v>3595011489.7600002</v>
      </c>
      <c r="I12" s="9">
        <f t="shared" ref="I12" si="14">SUM(I8:I11)</f>
        <v>3595011489.7600002</v>
      </c>
      <c r="J12" s="9">
        <f t="shared" ref="J12" si="15">SUM(J8:J11)</f>
        <v>2138028539.6800001</v>
      </c>
      <c r="K12" s="9">
        <f t="shared" ref="K12" si="16">SUM(K8:K11)</f>
        <v>2138028539.6800001</v>
      </c>
      <c r="L12" s="9">
        <f t="shared" ref="L12" si="17">SUM(L8:L11)</f>
        <v>2138028539.6800001</v>
      </c>
      <c r="M12" s="9">
        <f t="shared" ref="M12" si="18">SUM(M8:M11)</f>
        <v>3193877745.3440003</v>
      </c>
      <c r="N12" s="9">
        <f t="shared" ref="N12" si="19">SUM(N8:N11)</f>
        <v>3853221242.1760006</v>
      </c>
      <c r="O12" s="9">
        <f t="shared" ref="O12" si="20">SUM(O8:O11)</f>
        <v>4329188875.1168003</v>
      </c>
      <c r="P12" s="9">
        <f t="shared" si="3"/>
        <v>4329188875.1168003</v>
      </c>
      <c r="Q12" s="9">
        <f t="shared" si="3"/>
        <v>4329188875.1168003</v>
      </c>
      <c r="R12" s="9">
        <f t="shared" si="3"/>
        <v>4329188875.1168003</v>
      </c>
      <c r="S12" s="9">
        <f t="shared" si="3"/>
        <v>4329188875.1168003</v>
      </c>
      <c r="T12" s="9">
        <f t="shared" si="3"/>
        <v>4329188875.1168003</v>
      </c>
      <c r="U12" s="9">
        <f t="shared" si="3"/>
        <v>4329188875.1168003</v>
      </c>
      <c r="V12" s="9">
        <f t="shared" si="3"/>
        <v>4329188875.1168003</v>
      </c>
      <c r="W12" s="9">
        <f t="shared" si="3"/>
        <v>4329188875.1168003</v>
      </c>
      <c r="X12" s="9">
        <f t="shared" si="3"/>
        <v>4329188875.1168003</v>
      </c>
      <c r="Y12" s="9">
        <f t="shared" si="3"/>
        <v>4329188875.1168003</v>
      </c>
      <c r="Z12" s="9">
        <f t="shared" si="3"/>
        <v>4329188875.1168003</v>
      </c>
      <c r="AA12" s="9">
        <f t="shared" si="3"/>
        <v>4329188875.1168003</v>
      </c>
      <c r="AB12" s="9">
        <f t="shared" si="3"/>
        <v>4329188875.1168003</v>
      </c>
    </row>
    <row r="13" spans="2:28" x14ac:dyDescent="0.3">
      <c r="B13" s="201"/>
      <c r="C13" s="6" t="s">
        <v>84</v>
      </c>
      <c r="D13" s="9">
        <f>+ACTUAL!C78</f>
        <v>909932897.49826121</v>
      </c>
      <c r="E13" s="9">
        <f t="shared" si="4"/>
        <v>909932897.49826121</v>
      </c>
      <c r="F13" s="9">
        <f t="shared" si="4"/>
        <v>909932897.49826121</v>
      </c>
      <c r="G13" s="9">
        <f t="shared" ref="G13:I13" si="21">+F13</f>
        <v>909932897.49826121</v>
      </c>
      <c r="H13" s="9">
        <f t="shared" si="21"/>
        <v>909932897.49826121</v>
      </c>
      <c r="I13" s="9">
        <f t="shared" si="21"/>
        <v>909932897.49826121</v>
      </c>
      <c r="J13" s="9">
        <f t="shared" ref="J13" si="22">+I13</f>
        <v>909932897.49826121</v>
      </c>
      <c r="K13" s="9">
        <f t="shared" si="7"/>
        <v>909932897.49826121</v>
      </c>
      <c r="L13" s="9">
        <f t="shared" si="7"/>
        <v>909932897.49826121</v>
      </c>
      <c r="M13" s="9">
        <f t="shared" si="7"/>
        <v>909932897.49826121</v>
      </c>
      <c r="N13" s="9">
        <f t="shared" si="7"/>
        <v>909932897.49826121</v>
      </c>
      <c r="O13" s="9">
        <f t="shared" si="7"/>
        <v>909932897.49826121</v>
      </c>
      <c r="P13" s="9">
        <f t="shared" si="3"/>
        <v>909932897.49826121</v>
      </c>
      <c r="Q13" s="9">
        <f t="shared" si="3"/>
        <v>909932897.49826121</v>
      </c>
      <c r="R13" s="9">
        <f t="shared" si="3"/>
        <v>909932897.49826121</v>
      </c>
      <c r="S13" s="9">
        <f t="shared" si="3"/>
        <v>909932897.49826121</v>
      </c>
      <c r="T13" s="9">
        <f t="shared" si="3"/>
        <v>909932897.49826121</v>
      </c>
      <c r="U13" s="9">
        <f t="shared" si="3"/>
        <v>909932897.49826121</v>
      </c>
      <c r="V13" s="9">
        <f t="shared" si="3"/>
        <v>909932897.49826121</v>
      </c>
      <c r="W13" s="9">
        <f t="shared" si="3"/>
        <v>909932897.49826121</v>
      </c>
      <c r="X13" s="9">
        <f t="shared" si="3"/>
        <v>909932897.49826121</v>
      </c>
      <c r="Y13" s="9">
        <f t="shared" si="3"/>
        <v>909932897.49826121</v>
      </c>
      <c r="Z13" s="9">
        <f t="shared" si="3"/>
        <v>909932897.49826121</v>
      </c>
      <c r="AA13" s="9">
        <f t="shared" si="3"/>
        <v>909932897.49826121</v>
      </c>
      <c r="AB13" s="9">
        <f t="shared" si="3"/>
        <v>909932897.49826121</v>
      </c>
    </row>
    <row r="14" spans="2:28" ht="17.399999999999999" x14ac:dyDescent="0.35">
      <c r="B14" s="201"/>
      <c r="C14" s="110" t="s">
        <v>13</v>
      </c>
      <c r="D14" s="111">
        <f>+D12+D13</f>
        <v>4504944387.2582617</v>
      </c>
      <c r="E14" s="111">
        <f t="shared" ref="E14:G14" si="23">+E12+E13</f>
        <v>4504944387.2582617</v>
      </c>
      <c r="F14" s="111">
        <f t="shared" si="23"/>
        <v>4504944387.2582617</v>
      </c>
      <c r="G14" s="111">
        <f t="shared" si="23"/>
        <v>4504944387.2582617</v>
      </c>
      <c r="H14" s="111">
        <f t="shared" ref="H14" si="24">+H12+H13</f>
        <v>4504944387.2582617</v>
      </c>
      <c r="I14" s="111">
        <f t="shared" ref="I14" si="25">+I12+I13</f>
        <v>4504944387.2582617</v>
      </c>
      <c r="J14" s="111">
        <f t="shared" ref="J14" si="26">+J12+J13</f>
        <v>3047961437.1782613</v>
      </c>
      <c r="K14" s="111">
        <f>+J14</f>
        <v>3047961437.1782613</v>
      </c>
      <c r="L14" s="111">
        <f>+K14</f>
        <v>3047961437.1782613</v>
      </c>
      <c r="M14" s="111">
        <f t="shared" ref="M14" si="27">+M12+M13</f>
        <v>4103810642.8422613</v>
      </c>
      <c r="N14" s="111">
        <f t="shared" ref="N14" si="28">+N12+N13</f>
        <v>4763154139.674262</v>
      </c>
      <c r="O14" s="111">
        <f t="shared" ref="O14" si="29">+O12+O13</f>
        <v>5239121772.6150618</v>
      </c>
      <c r="P14" s="111">
        <f t="shared" si="3"/>
        <v>5239121772.6150618</v>
      </c>
      <c r="Q14" s="111">
        <f t="shared" si="3"/>
        <v>5239121772.6150618</v>
      </c>
      <c r="R14" s="111">
        <f t="shared" si="3"/>
        <v>5239121772.6150618</v>
      </c>
      <c r="S14" s="111">
        <f t="shared" si="3"/>
        <v>5239121772.6150618</v>
      </c>
      <c r="T14" s="111">
        <f t="shared" si="3"/>
        <v>5239121772.6150618</v>
      </c>
      <c r="U14" s="111">
        <f t="shared" si="3"/>
        <v>5239121772.6150618</v>
      </c>
      <c r="V14" s="111">
        <f t="shared" si="3"/>
        <v>5239121772.6150618</v>
      </c>
      <c r="W14" s="111">
        <f t="shared" si="3"/>
        <v>5239121772.6150618</v>
      </c>
      <c r="X14" s="111">
        <f t="shared" si="3"/>
        <v>5239121772.6150618</v>
      </c>
      <c r="Y14" s="111">
        <f t="shared" si="3"/>
        <v>5239121772.6150618</v>
      </c>
      <c r="Z14" s="111">
        <f t="shared" si="3"/>
        <v>5239121772.6150618</v>
      </c>
      <c r="AA14" s="111">
        <f t="shared" si="3"/>
        <v>5239121772.6150618</v>
      </c>
      <c r="AB14" s="111">
        <f t="shared" si="3"/>
        <v>5239121772.6150618</v>
      </c>
    </row>
    <row r="15" spans="2:28" x14ac:dyDescent="0.3">
      <c r="B15" s="6"/>
      <c r="C15" s="6" t="s">
        <v>77</v>
      </c>
      <c r="D15" s="9">
        <f>+CRONOGRAMA!C16</f>
        <v>395400000</v>
      </c>
      <c r="E15" s="9">
        <f>+CRONOGRAMA!D16</f>
        <v>0</v>
      </c>
      <c r="F15" s="9">
        <f>+CRONOGRAMA!E16</f>
        <v>0</v>
      </c>
      <c r="G15" s="9">
        <f>+CRONOGRAMA!F16</f>
        <v>395400000</v>
      </c>
      <c r="H15" s="9">
        <f>+CRONOGRAMA!G16</f>
        <v>0</v>
      </c>
      <c r="I15" s="9">
        <f>+CRONOGRAMA!H16</f>
        <v>395400000</v>
      </c>
      <c r="J15" s="9">
        <f>+CRONOGRAMA!I16</f>
        <v>0</v>
      </c>
      <c r="K15" s="9">
        <f>+CRONOGRAMA!J16</f>
        <v>0</v>
      </c>
      <c r="L15" s="9">
        <f>+CRONOGRAMA!K16</f>
        <v>593100000</v>
      </c>
      <c r="M15" s="9">
        <f>+CRONOGRAMA!L16</f>
        <v>0</v>
      </c>
      <c r="N15" s="9">
        <f>+CRONOGRAMA!M16</f>
        <v>0</v>
      </c>
      <c r="O15" s="9">
        <f>+CRONOGRAMA!N16</f>
        <v>197700000</v>
      </c>
      <c r="P15" s="9"/>
      <c r="Q15" s="9"/>
      <c r="R15" s="9"/>
      <c r="S15" s="9"/>
      <c r="T15" s="9"/>
      <c r="U15" s="9"/>
      <c r="V15" s="9"/>
      <c r="W15" s="111"/>
      <c r="X15" s="9"/>
      <c r="Y15" s="9"/>
      <c r="Z15" s="9"/>
      <c r="AA15" s="9"/>
      <c r="AB15" s="9"/>
    </row>
    <row r="16" spans="2:28" x14ac:dyDescent="0.3">
      <c r="B16" s="6"/>
      <c r="C16" s="77" t="s">
        <v>87</v>
      </c>
      <c r="D16" s="109">
        <f>+D14+D15</f>
        <v>4900344387.2582617</v>
      </c>
      <c r="E16" s="109">
        <f>+E14+E15</f>
        <v>4504944387.2582617</v>
      </c>
      <c r="F16" s="109">
        <f>+F14+F15</f>
        <v>4504944387.2582617</v>
      </c>
      <c r="G16" s="109">
        <f>+G14+G15</f>
        <v>4900344387.2582617</v>
      </c>
      <c r="H16" s="109">
        <f t="shared" ref="H16:L16" si="30">+H14+H15</f>
        <v>4504944387.2582617</v>
      </c>
      <c r="I16" s="109">
        <f t="shared" si="30"/>
        <v>4900344387.2582617</v>
      </c>
      <c r="J16" s="109">
        <f>+J14+J15</f>
        <v>3047961437.1782613</v>
      </c>
      <c r="K16" s="109">
        <f t="shared" si="30"/>
        <v>3047961437.1782613</v>
      </c>
      <c r="L16" s="109">
        <f t="shared" si="30"/>
        <v>3641061437.1782613</v>
      </c>
      <c r="M16" s="109">
        <f t="shared" ref="M16" si="31">+M14+M15</f>
        <v>4103810642.8422613</v>
      </c>
      <c r="N16" s="109">
        <f t="shared" ref="N16" si="32">+N14+N15</f>
        <v>4763154139.674262</v>
      </c>
      <c r="O16" s="109">
        <f t="shared" ref="O16" si="33">+O14+O15</f>
        <v>5436821772.6150618</v>
      </c>
      <c r="P16" s="109">
        <f>+P14+P15</f>
        <v>5239121772.6150618</v>
      </c>
      <c r="Q16" s="109">
        <f t="shared" ref="Q16:X16" si="34">+Q14+Q15</f>
        <v>5239121772.6150618</v>
      </c>
      <c r="R16" s="109">
        <f t="shared" si="34"/>
        <v>5239121772.6150618</v>
      </c>
      <c r="S16" s="109">
        <f t="shared" si="34"/>
        <v>5239121772.6150618</v>
      </c>
      <c r="T16" s="109">
        <f t="shared" si="34"/>
        <v>5239121772.6150618</v>
      </c>
      <c r="U16" s="109">
        <f t="shared" si="34"/>
        <v>5239121772.6150618</v>
      </c>
      <c r="V16" s="109">
        <f t="shared" si="34"/>
        <v>5239121772.6150618</v>
      </c>
      <c r="W16" s="109">
        <f t="shared" si="34"/>
        <v>5239121772.6150618</v>
      </c>
      <c r="X16" s="109">
        <f t="shared" si="34"/>
        <v>5239121772.6150618</v>
      </c>
      <c r="Y16" s="109">
        <f t="shared" ref="Y16:AB16" si="35">+Y14+Y15</f>
        <v>5239121772.6150618</v>
      </c>
      <c r="Z16" s="109">
        <f t="shared" si="35"/>
        <v>5239121772.6150618</v>
      </c>
      <c r="AA16" s="109">
        <f t="shared" si="35"/>
        <v>5239121772.6150618</v>
      </c>
      <c r="AB16" s="109">
        <f t="shared" si="35"/>
        <v>5239121772.6150618</v>
      </c>
    </row>
    <row r="17" spans="2:28" x14ac:dyDescent="0.3">
      <c r="B17" s="6"/>
      <c r="C17" s="6" t="s">
        <v>78</v>
      </c>
      <c r="D17" s="9">
        <f>+D7-D16</f>
        <v>499456172.74173832</v>
      </c>
      <c r="E17" s="9">
        <f t="shared" ref="E17:P17" si="36">+E7-E16</f>
        <v>894856172.74173832</v>
      </c>
      <c r="F17" s="9">
        <f t="shared" si="36"/>
        <v>894856172.74173832</v>
      </c>
      <c r="G17" s="9">
        <f t="shared" si="36"/>
        <v>499456172.74173832</v>
      </c>
      <c r="H17" s="9">
        <f t="shared" si="36"/>
        <v>894856172.74173832</v>
      </c>
      <c r="I17" s="9">
        <f t="shared" si="36"/>
        <v>499456172.74173832</v>
      </c>
      <c r="J17" s="9">
        <f t="shared" si="36"/>
        <v>-348061157.17826128</v>
      </c>
      <c r="K17" s="9">
        <f t="shared" si="36"/>
        <v>-348061157.17826128</v>
      </c>
      <c r="L17" s="9">
        <f t="shared" si="36"/>
        <v>-941161157.17826128</v>
      </c>
      <c r="M17" s="9">
        <f t="shared" si="36"/>
        <v>756009861.15773869</v>
      </c>
      <c r="N17" s="9">
        <f t="shared" si="36"/>
        <v>1176626476.3257389</v>
      </c>
      <c r="O17" s="9">
        <f t="shared" si="36"/>
        <v>1303179187.3849382</v>
      </c>
      <c r="P17" s="9">
        <f t="shared" si="36"/>
        <v>1500879187.3849382</v>
      </c>
      <c r="Q17" s="9">
        <f>P17</f>
        <v>1500879187.3849382</v>
      </c>
      <c r="R17" s="9">
        <f t="shared" ref="R17:X17" si="37">Q17</f>
        <v>1500879187.3849382</v>
      </c>
      <c r="S17" s="9">
        <f t="shared" si="37"/>
        <v>1500879187.3849382</v>
      </c>
      <c r="T17" s="9">
        <f t="shared" si="37"/>
        <v>1500879187.3849382</v>
      </c>
      <c r="U17" s="9">
        <f t="shared" si="37"/>
        <v>1500879187.3849382</v>
      </c>
      <c r="V17" s="9">
        <f t="shared" si="37"/>
        <v>1500879187.3849382</v>
      </c>
      <c r="W17" s="103">
        <f t="shared" si="37"/>
        <v>1500879187.3849382</v>
      </c>
      <c r="X17" s="9">
        <f t="shared" si="37"/>
        <v>1500879187.3849382</v>
      </c>
      <c r="Y17" s="9">
        <f t="shared" ref="Y17" si="38">X17</f>
        <v>1500879187.3849382</v>
      </c>
      <c r="Z17" s="9">
        <f t="shared" ref="Z17" si="39">Y17</f>
        <v>1500879187.3849382</v>
      </c>
      <c r="AA17" s="9">
        <f t="shared" ref="AA17" si="40">Z17</f>
        <v>1500879187.3849382</v>
      </c>
      <c r="AB17" s="9">
        <f t="shared" ref="AB17" si="41">AA17</f>
        <v>1500879187.3849382</v>
      </c>
    </row>
    <row r="18" spans="2:28" x14ac:dyDescent="0.3">
      <c r="B18" s="6"/>
      <c r="C18" s="6" t="s">
        <v>85</v>
      </c>
      <c r="D18" s="9">
        <f>D17</f>
        <v>499456172.74173832</v>
      </c>
      <c r="E18" s="9">
        <f>E17+D18</f>
        <v>1394312345.4834766</v>
      </c>
      <c r="F18" s="9">
        <f t="shared" ref="F18:V18" si="42">F17+E18</f>
        <v>2289168518.225215</v>
      </c>
      <c r="G18" s="9">
        <f t="shared" si="42"/>
        <v>2788624690.9669533</v>
      </c>
      <c r="H18" s="9">
        <f t="shared" si="42"/>
        <v>3683480863.7086916</v>
      </c>
      <c r="I18" s="9">
        <f t="shared" si="42"/>
        <v>4182937036.4504299</v>
      </c>
      <c r="J18" s="9">
        <f t="shared" si="42"/>
        <v>3834875879.2721686</v>
      </c>
      <c r="K18" s="9">
        <f t="shared" si="42"/>
        <v>3486814722.0939074</v>
      </c>
      <c r="L18" s="9">
        <f t="shared" si="42"/>
        <v>2545653564.9156461</v>
      </c>
      <c r="M18" s="9">
        <f t="shared" si="42"/>
        <v>3301663426.0733848</v>
      </c>
      <c r="N18" s="9">
        <f t="shared" si="42"/>
        <v>4478289902.3991241</v>
      </c>
      <c r="O18" s="9">
        <f t="shared" si="42"/>
        <v>5781469089.7840624</v>
      </c>
      <c r="P18" s="9">
        <f t="shared" si="42"/>
        <v>7282348277.1690006</v>
      </c>
      <c r="Q18" s="9">
        <f t="shared" si="42"/>
        <v>8783227464.5539398</v>
      </c>
      <c r="R18" s="9">
        <f t="shared" si="42"/>
        <v>10284106651.938877</v>
      </c>
      <c r="S18" s="9">
        <f t="shared" si="42"/>
        <v>11784985839.323814</v>
      </c>
      <c r="T18" s="9">
        <f t="shared" si="42"/>
        <v>13285865026.708752</v>
      </c>
      <c r="U18" s="9">
        <f t="shared" si="42"/>
        <v>14786744214.093689</v>
      </c>
      <c r="V18" s="9">
        <f t="shared" si="42"/>
        <v>16287623401.478626</v>
      </c>
      <c r="W18" s="104">
        <f>W17+V18</f>
        <v>17788502588.863564</v>
      </c>
      <c r="X18" s="9">
        <f t="shared" ref="X18" si="43">X17+W18</f>
        <v>19289381776.248501</v>
      </c>
      <c r="Y18" s="9">
        <f t="shared" ref="Y18" si="44">Y17+X18</f>
        <v>20790260963.633438</v>
      </c>
      <c r="Z18" s="9">
        <f t="shared" ref="Z18" si="45">Z17+Y18</f>
        <v>22291140151.018375</v>
      </c>
      <c r="AA18" s="9">
        <f t="shared" ref="AA18" si="46">AA17+Z18</f>
        <v>23792019338.403313</v>
      </c>
      <c r="AB18" s="9">
        <f t="shared" ref="AB18" si="47">AB17+AA18</f>
        <v>25292898525.78825</v>
      </c>
    </row>
    <row r="19" spans="2:28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02"/>
      <c r="X19" s="2"/>
      <c r="Y19" s="2"/>
      <c r="Z19" s="2"/>
      <c r="AA19" s="2"/>
      <c r="AB19" s="2"/>
    </row>
    <row r="20" spans="2:28" x14ac:dyDescent="0.3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02"/>
      <c r="X20" s="2"/>
      <c r="Y20" s="2"/>
      <c r="Z20" s="2"/>
      <c r="AA20" s="2"/>
      <c r="AB20" s="2"/>
    </row>
    <row r="21" spans="2:28" ht="18" x14ac:dyDescent="0.35">
      <c r="C21" s="106" t="s">
        <v>160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107"/>
      <c r="X21" s="98"/>
      <c r="Y21" s="98"/>
      <c r="Z21" s="98"/>
      <c r="AA21" s="98"/>
      <c r="AB21" s="98"/>
    </row>
    <row r="22" spans="2:28" x14ac:dyDescent="0.3">
      <c r="C22" s="6" t="s">
        <v>86</v>
      </c>
      <c r="D22" s="9">
        <f>E17</f>
        <v>894856172.74173832</v>
      </c>
      <c r="E22" s="9">
        <f>D22</f>
        <v>894856172.74173832</v>
      </c>
      <c r="F22" s="9">
        <f t="shared" ref="F22:X22" si="48">E22</f>
        <v>894856172.74173832</v>
      </c>
      <c r="G22" s="9">
        <f t="shared" si="48"/>
        <v>894856172.74173832</v>
      </c>
      <c r="H22" s="9">
        <f t="shared" si="48"/>
        <v>894856172.74173832</v>
      </c>
      <c r="I22" s="9">
        <f t="shared" si="48"/>
        <v>894856172.74173832</v>
      </c>
      <c r="J22" s="9">
        <f t="shared" si="48"/>
        <v>894856172.74173832</v>
      </c>
      <c r="K22" s="9">
        <f t="shared" si="48"/>
        <v>894856172.74173832</v>
      </c>
      <c r="L22" s="9">
        <f t="shared" si="48"/>
        <v>894856172.74173832</v>
      </c>
      <c r="M22" s="9">
        <f t="shared" si="48"/>
        <v>894856172.74173832</v>
      </c>
      <c r="N22" s="9">
        <f t="shared" si="48"/>
        <v>894856172.74173832</v>
      </c>
      <c r="O22" s="9">
        <f t="shared" si="48"/>
        <v>894856172.74173832</v>
      </c>
      <c r="P22" s="9">
        <f t="shared" si="48"/>
        <v>894856172.74173832</v>
      </c>
      <c r="Q22" s="9">
        <f t="shared" si="48"/>
        <v>894856172.74173832</v>
      </c>
      <c r="R22" s="9">
        <f t="shared" si="48"/>
        <v>894856172.74173832</v>
      </c>
      <c r="S22" s="9">
        <f t="shared" si="48"/>
        <v>894856172.74173832</v>
      </c>
      <c r="T22" s="9">
        <f t="shared" si="48"/>
        <v>894856172.74173832</v>
      </c>
      <c r="U22" s="9">
        <f t="shared" si="48"/>
        <v>894856172.74173832</v>
      </c>
      <c r="V22" s="9">
        <f t="shared" si="48"/>
        <v>894856172.74173832</v>
      </c>
      <c r="W22" s="103">
        <f t="shared" si="48"/>
        <v>894856172.74173832</v>
      </c>
      <c r="X22" s="9">
        <f t="shared" si="48"/>
        <v>894856172.74173832</v>
      </c>
      <c r="Y22" s="9">
        <f t="shared" ref="Y22" si="49">X22</f>
        <v>894856172.74173832</v>
      </c>
      <c r="Z22" s="9">
        <f t="shared" ref="Z22" si="50">Y22</f>
        <v>894856172.74173832</v>
      </c>
      <c r="AA22" s="9">
        <f t="shared" ref="AA22" si="51">Z22</f>
        <v>894856172.74173832</v>
      </c>
      <c r="AB22" s="9">
        <f t="shared" ref="AB22" si="52">AA22</f>
        <v>894856172.74173832</v>
      </c>
    </row>
    <row r="23" spans="2:28" x14ac:dyDescent="0.3">
      <c r="C23" s="6" t="s">
        <v>85</v>
      </c>
      <c r="D23" s="9">
        <f>D22</f>
        <v>894856172.74173832</v>
      </c>
      <c r="E23" s="9">
        <f>E22+D23</f>
        <v>1789712345.4834766</v>
      </c>
      <c r="F23" s="9">
        <f t="shared" ref="F23:X23" si="53">F22+E23</f>
        <v>2684568518.225215</v>
      </c>
      <c r="G23" s="9">
        <f t="shared" si="53"/>
        <v>3579424690.9669533</v>
      </c>
      <c r="H23" s="9">
        <f t="shared" si="53"/>
        <v>4474280863.7086916</v>
      </c>
      <c r="I23" s="9">
        <f t="shared" si="53"/>
        <v>5369137036.4504299</v>
      </c>
      <c r="J23" s="9">
        <f t="shared" si="53"/>
        <v>6263993209.1921682</v>
      </c>
      <c r="K23" s="9">
        <f t="shared" si="53"/>
        <v>7158849381.9339066</v>
      </c>
      <c r="L23" s="9">
        <f t="shared" si="53"/>
        <v>8053705554.6756449</v>
      </c>
      <c r="M23" s="9">
        <f t="shared" si="53"/>
        <v>8948561727.4173832</v>
      </c>
      <c r="N23" s="9">
        <f t="shared" si="53"/>
        <v>9843417900.1591225</v>
      </c>
      <c r="O23" s="9">
        <f t="shared" si="53"/>
        <v>10738274072.90086</v>
      </c>
      <c r="P23" s="9">
        <f t="shared" si="53"/>
        <v>11633130245.642597</v>
      </c>
      <c r="Q23" s="9">
        <f t="shared" si="53"/>
        <v>12527986418.384335</v>
      </c>
      <c r="R23" s="9">
        <f t="shared" si="53"/>
        <v>13422842591.126072</v>
      </c>
      <c r="S23" s="9">
        <f t="shared" si="53"/>
        <v>14317698763.867809</v>
      </c>
      <c r="T23" s="9">
        <f t="shared" si="53"/>
        <v>15212554936.609547</v>
      </c>
      <c r="U23" s="9">
        <f t="shared" si="53"/>
        <v>16107411109.351284</v>
      </c>
      <c r="V23" s="9">
        <f t="shared" si="53"/>
        <v>17002267282.093021</v>
      </c>
      <c r="W23" s="104">
        <f t="shared" si="53"/>
        <v>17897123454.834759</v>
      </c>
      <c r="X23" s="9">
        <f t="shared" si="53"/>
        <v>18791979627.576496</v>
      </c>
      <c r="Y23" s="9">
        <f t="shared" ref="Y23" si="54">Y22+X23</f>
        <v>19686835800.318233</v>
      </c>
      <c r="Z23" s="9">
        <f t="shared" ref="Z23" si="55">Z22+Y23</f>
        <v>20581691973.059971</v>
      </c>
      <c r="AA23" s="9">
        <f t="shared" ref="AA23" si="56">AA22+Z23</f>
        <v>21476548145.801708</v>
      </c>
      <c r="AB23" s="9">
        <f t="shared" ref="AB23" si="57">AB22+AA23</f>
        <v>22371404318.543446</v>
      </c>
    </row>
    <row r="24" spans="2:28" x14ac:dyDescent="0.3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8" ht="18" x14ac:dyDescent="0.35">
      <c r="C25" s="106" t="s">
        <v>160</v>
      </c>
      <c r="D25" s="14">
        <f>+D22</f>
        <v>894856172.74173832</v>
      </c>
      <c r="E25" s="14">
        <f t="shared" ref="E25:AB25" si="58">+E22</f>
        <v>894856172.74173832</v>
      </c>
      <c r="F25" s="14">
        <f t="shared" si="58"/>
        <v>894856172.74173832</v>
      </c>
      <c r="G25" s="14">
        <f t="shared" si="58"/>
        <v>894856172.74173832</v>
      </c>
      <c r="H25" s="14">
        <f t="shared" si="58"/>
        <v>894856172.74173832</v>
      </c>
      <c r="I25" s="14">
        <f t="shared" si="58"/>
        <v>894856172.74173832</v>
      </c>
      <c r="J25" s="14">
        <f t="shared" si="58"/>
        <v>894856172.74173832</v>
      </c>
      <c r="K25" s="14">
        <f t="shared" si="58"/>
        <v>894856172.74173832</v>
      </c>
      <c r="L25" s="14">
        <f t="shared" si="58"/>
        <v>894856172.74173832</v>
      </c>
      <c r="M25" s="14">
        <f t="shared" si="58"/>
        <v>894856172.74173832</v>
      </c>
      <c r="N25" s="14">
        <f t="shared" si="58"/>
        <v>894856172.74173832</v>
      </c>
      <c r="O25" s="14">
        <f t="shared" si="58"/>
        <v>894856172.74173832</v>
      </c>
      <c r="P25" s="14">
        <f t="shared" si="58"/>
        <v>894856172.74173832</v>
      </c>
      <c r="Q25" s="14">
        <f t="shared" si="58"/>
        <v>894856172.74173832</v>
      </c>
      <c r="R25" s="14">
        <f t="shared" si="58"/>
        <v>894856172.74173832</v>
      </c>
      <c r="S25" s="14">
        <f t="shared" si="58"/>
        <v>894856172.74173832</v>
      </c>
      <c r="T25" s="14">
        <f t="shared" si="58"/>
        <v>894856172.74173832</v>
      </c>
      <c r="U25" s="14">
        <f t="shared" si="58"/>
        <v>894856172.74173832</v>
      </c>
      <c r="V25" s="14">
        <f t="shared" si="58"/>
        <v>894856172.74173832</v>
      </c>
      <c r="W25" s="14">
        <f t="shared" si="58"/>
        <v>894856172.74173832</v>
      </c>
      <c r="X25" s="14">
        <f t="shared" si="58"/>
        <v>894856172.74173832</v>
      </c>
      <c r="Y25" s="14">
        <f t="shared" si="58"/>
        <v>894856172.74173832</v>
      </c>
      <c r="Z25" s="14">
        <f t="shared" si="58"/>
        <v>894856172.74173832</v>
      </c>
      <c r="AA25" s="14">
        <f t="shared" si="58"/>
        <v>894856172.74173832</v>
      </c>
      <c r="AB25" s="14">
        <f t="shared" si="58"/>
        <v>894856172.74173832</v>
      </c>
    </row>
    <row r="26" spans="2:28" ht="18" x14ac:dyDescent="0.35">
      <c r="C26" s="106" t="s">
        <v>172</v>
      </c>
      <c r="D26" s="101">
        <f>+D17</f>
        <v>499456172.74173832</v>
      </c>
      <c r="E26" s="101">
        <f t="shared" ref="E26:AB26" si="59">+E17</f>
        <v>894856172.74173832</v>
      </c>
      <c r="F26" s="101">
        <f t="shared" si="59"/>
        <v>894856172.74173832</v>
      </c>
      <c r="G26" s="101">
        <f t="shared" si="59"/>
        <v>499456172.74173832</v>
      </c>
      <c r="H26" s="101">
        <f t="shared" si="59"/>
        <v>894856172.74173832</v>
      </c>
      <c r="I26" s="101">
        <f t="shared" si="59"/>
        <v>499456172.74173832</v>
      </c>
      <c r="J26" s="101">
        <f t="shared" si="59"/>
        <v>-348061157.17826128</v>
      </c>
      <c r="K26" s="101">
        <f t="shared" si="59"/>
        <v>-348061157.17826128</v>
      </c>
      <c r="L26" s="101">
        <f t="shared" si="59"/>
        <v>-941161157.17826128</v>
      </c>
      <c r="M26" s="101">
        <f t="shared" si="59"/>
        <v>756009861.15773869</v>
      </c>
      <c r="N26" s="101">
        <f t="shared" si="59"/>
        <v>1176626476.3257389</v>
      </c>
      <c r="O26" s="101">
        <f t="shared" si="59"/>
        <v>1303179187.3849382</v>
      </c>
      <c r="P26" s="101">
        <f t="shared" si="59"/>
        <v>1500879187.3849382</v>
      </c>
      <c r="Q26" s="101">
        <f t="shared" si="59"/>
        <v>1500879187.3849382</v>
      </c>
      <c r="R26" s="101">
        <f t="shared" si="59"/>
        <v>1500879187.3849382</v>
      </c>
      <c r="S26" s="101">
        <f t="shared" si="59"/>
        <v>1500879187.3849382</v>
      </c>
      <c r="T26" s="101">
        <f t="shared" si="59"/>
        <v>1500879187.3849382</v>
      </c>
      <c r="U26" s="101">
        <f t="shared" si="59"/>
        <v>1500879187.3849382</v>
      </c>
      <c r="V26" s="101">
        <f t="shared" si="59"/>
        <v>1500879187.3849382</v>
      </c>
      <c r="W26" s="101">
        <f t="shared" si="59"/>
        <v>1500879187.3849382</v>
      </c>
      <c r="X26" s="101">
        <f t="shared" si="59"/>
        <v>1500879187.3849382</v>
      </c>
      <c r="Y26" s="101">
        <f t="shared" si="59"/>
        <v>1500879187.3849382</v>
      </c>
      <c r="Z26" s="101">
        <f t="shared" si="59"/>
        <v>1500879187.3849382</v>
      </c>
      <c r="AA26" s="101">
        <f t="shared" si="59"/>
        <v>1500879187.3849382</v>
      </c>
      <c r="AB26" s="101">
        <f t="shared" si="59"/>
        <v>1500879187.3849382</v>
      </c>
    </row>
    <row r="27" spans="2:28" ht="28.8" x14ac:dyDescent="0.3">
      <c r="C27" s="95" t="s">
        <v>174</v>
      </c>
      <c r="D27" s="14">
        <f>+D26-D25</f>
        <v>-395400000</v>
      </c>
      <c r="E27" s="14">
        <f t="shared" ref="E27:AB27" si="60">+E26-E25</f>
        <v>0</v>
      </c>
      <c r="F27" s="14">
        <f t="shared" si="60"/>
        <v>0</v>
      </c>
      <c r="G27" s="14">
        <f t="shared" si="60"/>
        <v>-395400000</v>
      </c>
      <c r="H27" s="14">
        <f t="shared" si="60"/>
        <v>0</v>
      </c>
      <c r="I27" s="14">
        <f t="shared" si="60"/>
        <v>-395400000</v>
      </c>
      <c r="J27" s="14">
        <f t="shared" si="60"/>
        <v>-1242917329.9199996</v>
      </c>
      <c r="K27" s="14">
        <f t="shared" si="60"/>
        <v>-1242917329.9199996</v>
      </c>
      <c r="L27" s="14">
        <f t="shared" si="60"/>
        <v>-1836017329.9199996</v>
      </c>
      <c r="M27" s="14">
        <f t="shared" si="60"/>
        <v>-138846311.58399963</v>
      </c>
      <c r="N27" s="14">
        <f t="shared" si="60"/>
        <v>281770303.58400059</v>
      </c>
      <c r="O27" s="14">
        <f t="shared" si="60"/>
        <v>408323014.64319992</v>
      </c>
      <c r="P27" s="14">
        <f t="shared" si="60"/>
        <v>606023014.64319992</v>
      </c>
      <c r="Q27" s="14">
        <f t="shared" si="60"/>
        <v>606023014.64319992</v>
      </c>
      <c r="R27" s="14">
        <f t="shared" si="60"/>
        <v>606023014.64319992</v>
      </c>
      <c r="S27" s="14">
        <f t="shared" si="60"/>
        <v>606023014.64319992</v>
      </c>
      <c r="T27" s="14">
        <f t="shared" si="60"/>
        <v>606023014.64319992</v>
      </c>
      <c r="U27" s="14">
        <f t="shared" si="60"/>
        <v>606023014.64319992</v>
      </c>
      <c r="V27" s="14">
        <f t="shared" si="60"/>
        <v>606023014.64319992</v>
      </c>
      <c r="W27" s="14">
        <f t="shared" si="60"/>
        <v>606023014.64319992</v>
      </c>
      <c r="X27" s="14">
        <f t="shared" si="60"/>
        <v>606023014.64319992</v>
      </c>
      <c r="Y27" s="14">
        <f t="shared" si="60"/>
        <v>606023014.64319992</v>
      </c>
      <c r="Z27" s="14">
        <f t="shared" si="60"/>
        <v>606023014.64319992</v>
      </c>
      <c r="AA27" s="14">
        <f t="shared" si="60"/>
        <v>606023014.64319992</v>
      </c>
      <c r="AB27" s="14">
        <f t="shared" si="60"/>
        <v>606023014.64319992</v>
      </c>
    </row>
    <row r="29" spans="2:28" x14ac:dyDescent="0.3">
      <c r="C29" t="s">
        <v>170</v>
      </c>
      <c r="D29" s="131">
        <f>+IRR(D27:AB27)</f>
        <v>3.8872026524528369E-2</v>
      </c>
    </row>
    <row r="30" spans="2:28" x14ac:dyDescent="0.3">
      <c r="C30" t="s">
        <v>173</v>
      </c>
      <c r="D30" s="132">
        <v>9.9000000000000008E-3</v>
      </c>
    </row>
    <row r="31" spans="2:28" x14ac:dyDescent="0.3">
      <c r="C31" t="s">
        <v>171</v>
      </c>
      <c r="D31" s="5">
        <f>+D27</f>
        <v>-395400000</v>
      </c>
      <c r="E31" s="133">
        <f t="shared" ref="E31:AB31" si="61">+PV($D$30,E4,,E27,0)*-1</f>
        <v>0</v>
      </c>
      <c r="F31" s="133">
        <f t="shared" si="61"/>
        <v>0</v>
      </c>
      <c r="G31" s="133">
        <f t="shared" si="61"/>
        <v>-383885358.55535048</v>
      </c>
      <c r="H31" s="133">
        <f t="shared" si="61"/>
        <v>0</v>
      </c>
      <c r="I31" s="133">
        <f t="shared" si="61"/>
        <v>-376395830.55500853</v>
      </c>
      <c r="J31" s="133">
        <f t="shared" si="61"/>
        <v>-1171580164.4309394</v>
      </c>
      <c r="K31" s="133">
        <f t="shared" si="61"/>
        <v>-1160095221.7357554</v>
      </c>
      <c r="L31" s="133">
        <f t="shared" si="61"/>
        <v>-1696874793.9397304</v>
      </c>
      <c r="M31" s="133">
        <f t="shared" si="61"/>
        <v>-127065894.33259633</v>
      </c>
      <c r="N31" s="133">
        <f>+PV($D$30,N4,,N27,0)*-1</f>
        <v>255335675.04621768</v>
      </c>
      <c r="O31" s="133">
        <f t="shared" si="61"/>
        <v>366388441.86558962</v>
      </c>
      <c r="P31" s="133">
        <f t="shared" si="61"/>
        <v>538454053.96646976</v>
      </c>
      <c r="Q31" s="133">
        <f t="shared" si="61"/>
        <v>533175615.37426448</v>
      </c>
      <c r="R31" s="133">
        <f t="shared" si="61"/>
        <v>527948921.055812</v>
      </c>
      <c r="S31" s="133">
        <f t="shared" si="61"/>
        <v>522773463.76454306</v>
      </c>
      <c r="T31" s="133">
        <f t="shared" si="61"/>
        <v>517648741.22640157</v>
      </c>
      <c r="U31" s="133">
        <f t="shared" si="61"/>
        <v>512574256.09109968</v>
      </c>
      <c r="V31" s="133">
        <f t="shared" si="61"/>
        <v>507549515.88384944</v>
      </c>
      <c r="W31" s="133">
        <f t="shared" si="61"/>
        <v>502574032.95756954</v>
      </c>
      <c r="X31" s="133">
        <f t="shared" si="61"/>
        <v>497647324.44555843</v>
      </c>
      <c r="Y31" s="133">
        <f t="shared" si="61"/>
        <v>492768912.21463352</v>
      </c>
      <c r="Z31" s="133">
        <f t="shared" si="61"/>
        <v>487938322.81872815</v>
      </c>
      <c r="AA31" s="133">
        <f t="shared" si="61"/>
        <v>483155087.45294404</v>
      </c>
      <c r="AB31" s="133">
        <f t="shared" si="61"/>
        <v>478418741.90805417</v>
      </c>
    </row>
    <row r="32" spans="2:28" x14ac:dyDescent="0.3">
      <c r="C32" t="s">
        <v>175</v>
      </c>
      <c r="D32" s="5">
        <f>+SUM(D31:AB31)</f>
        <v>1913053842.5223546</v>
      </c>
    </row>
  </sheetData>
  <mergeCells count="12">
    <mergeCell ref="J3:K3"/>
    <mergeCell ref="O3:P3"/>
    <mergeCell ref="B8:B14"/>
    <mergeCell ref="B7:C7"/>
    <mergeCell ref="B6:C6"/>
    <mergeCell ref="B4:C4"/>
    <mergeCell ref="B5:C5"/>
    <mergeCell ref="D1:G1"/>
    <mergeCell ref="J1:M1"/>
    <mergeCell ref="P1:S1"/>
    <mergeCell ref="W1:Z1"/>
    <mergeCell ref="M2:O2"/>
  </mergeCells>
  <conditionalFormatting sqref="D17:P17">
    <cfRule type="cellIs" dxfId="0" priority="1" operator="lessThan">
      <formula>0</formula>
    </cfRule>
  </conditionalFormatting>
  <pageMargins left="0.25" right="0.25" top="0.75" bottom="0.75" header="0.3" footer="0.3"/>
  <pageSetup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8F787A557CF4E41B7FD33428A03229B" ma:contentTypeVersion="10" ma:contentTypeDescription="Crear nuevo documento." ma:contentTypeScope="" ma:versionID="b898884e0f5772ff725eb5c83ac2d376">
  <xsd:schema xmlns:xsd="http://www.w3.org/2001/XMLSchema" xmlns:xs="http://www.w3.org/2001/XMLSchema" xmlns:p="http://schemas.microsoft.com/office/2006/metadata/properties" xmlns:ns3="043edc3f-420b-4e08-b331-83684868bc7b" xmlns:ns4="7bb47a53-d0be-4ae6-b388-d820c34db808" targetNamespace="http://schemas.microsoft.com/office/2006/metadata/properties" ma:root="true" ma:fieldsID="12d973c3c360468056e72855c6bd0273" ns3:_="" ns4:_="">
    <xsd:import namespace="043edc3f-420b-4e08-b331-83684868bc7b"/>
    <xsd:import namespace="7bb47a53-d0be-4ae6-b388-d820c34db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edc3f-420b-4e08-b331-83684868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47a53-d0be-4ae6-b388-d820c34db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BD61DB-D121-4C41-A471-4418FD648C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BE4D35-E99D-4190-8343-7F975521DD37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043edc3f-420b-4e08-b331-83684868bc7b"/>
    <ds:schemaRef ds:uri="http://schemas.microsoft.com/office/infopath/2007/PartnerControls"/>
    <ds:schemaRef ds:uri="http://www.w3.org/XML/1998/namespace"/>
    <ds:schemaRef ds:uri="http://purl.org/dc/terms/"/>
    <ds:schemaRef ds:uri="7bb47a53-d0be-4ae6-b388-d820c34db808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227983D-C9C3-450E-9680-B84725F81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edc3f-420b-4e08-b331-83684868bc7b"/>
    <ds:schemaRef ds:uri="7bb47a53-d0be-4ae6-b388-d820c34db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ACTUAL</vt:lpstr>
      <vt:lpstr>PROPUESTA</vt:lpstr>
      <vt:lpstr>CRONOGRAMA</vt:lpstr>
      <vt:lpstr>POSTERIOR PROYECTO</vt:lpstr>
      <vt:lpstr>RESUMEN</vt:lpstr>
      <vt:lpstr>FLUJO DE CAJA </vt:lpstr>
      <vt:lpstr>ACTUAL!Print_Area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Sebastian</dc:creator>
  <cp:lastModifiedBy>juan duenas</cp:lastModifiedBy>
  <cp:lastPrinted>2024-06-18T01:07:25Z</cp:lastPrinted>
  <dcterms:created xsi:type="dcterms:W3CDTF">2024-06-10T12:04:57Z</dcterms:created>
  <dcterms:modified xsi:type="dcterms:W3CDTF">2024-06-18T06:50:57Z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0x01010008F787A557CF4E41B7FD33428A03229B</vt:lpwstr>
  </property>
</Properties>
</file>