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.duenas\Desktop\"/>
    </mc:Choice>
  </mc:AlternateContent>
  <xr:revisionPtr revIDLastSave="0" documentId="8_{2FA4B0E6-947D-4810-B103-3AF0257FA592}" xr6:coauthVersionLast="47" xr6:coauthVersionMax="47" xr10:uidLastSave="{00000000-0000-0000-0000-000000000000}"/>
  <bookViews>
    <workbookView xWindow="-120" yWindow="-120" windowWidth="20730" windowHeight="11040" activeTab="1" xr2:uid="{F88F103A-AD35-45C9-9307-C4B5E54861C8}"/>
  </bookViews>
  <sheets>
    <sheet name="ACTUAL" sheetId="2" r:id="rId1"/>
    <sheet name="PROPUESTA" sheetId="3" r:id="rId2"/>
    <sheet name="FLUJO DE CAJA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2" l="1"/>
  <c r="H28" i="3"/>
  <c r="C38" i="3"/>
  <c r="G33" i="3"/>
  <c r="G34" i="3"/>
  <c r="G35" i="3"/>
  <c r="G32" i="3"/>
  <c r="C40" i="3"/>
  <c r="E32" i="3"/>
  <c r="G36" i="3" s="1"/>
  <c r="C11" i="2"/>
  <c r="D21" i="3"/>
  <c r="F21" i="3" s="1"/>
  <c r="H21" i="3" s="1"/>
  <c r="D18" i="3"/>
  <c r="F18" i="3" s="1"/>
  <c r="H18" i="3" s="1"/>
  <c r="C26" i="3" s="1"/>
  <c r="D19" i="3"/>
  <c r="F19" i="3" s="1"/>
  <c r="H19" i="3" s="1"/>
  <c r="C27" i="3" s="1"/>
  <c r="D20" i="3"/>
  <c r="F20" i="3" s="1"/>
  <c r="H20" i="3" s="1"/>
  <c r="C28" i="3" s="1"/>
  <c r="D17" i="3"/>
  <c r="F17" i="3" s="1"/>
  <c r="H17" i="3" s="1"/>
  <c r="C25" i="3" s="1"/>
  <c r="C29" i="3" s="1"/>
  <c r="E56" i="2"/>
  <c r="G56" i="2" s="1"/>
  <c r="D56" i="2"/>
  <c r="F55" i="2"/>
  <c r="G55" i="2" s="1"/>
  <c r="F58" i="2"/>
  <c r="G58" i="2" s="1"/>
  <c r="F54" i="2"/>
  <c r="F57" i="2" s="1"/>
  <c r="G57" i="2" s="1"/>
  <c r="F53" i="2"/>
  <c r="G53" i="2" s="1"/>
  <c r="F52" i="2"/>
  <c r="G52" i="2" s="1"/>
  <c r="F51" i="2"/>
  <c r="G51" i="2" s="1"/>
  <c r="F50" i="2"/>
  <c r="G50" i="2" s="1"/>
  <c r="F49" i="2"/>
  <c r="G49" i="2" s="1"/>
  <c r="E44" i="2"/>
  <c r="C42" i="2"/>
  <c r="E42" i="2" s="1"/>
  <c r="E41" i="2"/>
  <c r="E38" i="2"/>
  <c r="E37" i="2"/>
  <c r="E36" i="2"/>
  <c r="E35" i="2"/>
  <c r="E34" i="2"/>
  <c r="E33" i="2"/>
  <c r="E30" i="2"/>
  <c r="E29" i="2"/>
  <c r="E28" i="2"/>
  <c r="C31" i="2"/>
  <c r="E31" i="2" s="1"/>
  <c r="E23" i="2"/>
  <c r="E22" i="2"/>
  <c r="E21" i="2"/>
  <c r="E20" i="2"/>
  <c r="E19" i="2"/>
  <c r="E18" i="2"/>
  <c r="C5" i="2"/>
  <c r="C7" i="2" s="1"/>
  <c r="H22" i="3" l="1"/>
  <c r="E45" i="2"/>
  <c r="C64" i="2" s="1"/>
  <c r="G54" i="2"/>
  <c r="G59" i="2" s="1"/>
  <c r="C65" i="2" s="1"/>
  <c r="E24" i="2"/>
  <c r="C63" i="2" s="1"/>
  <c r="C9" i="2"/>
  <c r="C8" i="2"/>
  <c r="C10" i="2" s="1"/>
  <c r="C12" i="2" s="1"/>
  <c r="C66" i="2" s="1"/>
  <c r="K22" i="3" l="1"/>
  <c r="L22" i="3" s="1"/>
  <c r="C39" i="3"/>
  <c r="C41" i="3" s="1"/>
  <c r="C5" i="1"/>
  <c r="C6" i="1" s="1"/>
  <c r="C68" i="2" s="1"/>
  <c r="C69" i="2" s="1"/>
  <c r="C70" i="2" s="1"/>
  <c r="C72" i="2" s="1"/>
  <c r="C73" i="2" s="1"/>
</calcChain>
</file>

<file path=xl/sharedStrings.xml><?xml version="1.0" encoding="utf-8"?>
<sst xmlns="http://schemas.openxmlformats.org/spreadsheetml/2006/main" count="149" uniqueCount="118">
  <si>
    <t>PRODUCCION M2</t>
  </si>
  <si>
    <t>INGRESOS POR VENTAS</t>
  </si>
  <si>
    <t>PRECIO M2 DE BALDOSA</t>
  </si>
  <si>
    <t>MES</t>
  </si>
  <si>
    <t>Defectos 3,4%</t>
  </si>
  <si>
    <t>produccion menos defectos</t>
  </si>
  <si>
    <t>disponibilidad</t>
  </si>
  <si>
    <t>produccion final baldosas por hora</t>
  </si>
  <si>
    <t>produccion final en M2 por hora</t>
  </si>
  <si>
    <t>produccion final baldosas por mes</t>
  </si>
  <si>
    <t>produccion final en M2 por mes</t>
  </si>
  <si>
    <t>Produccion ideal</t>
  </si>
  <si>
    <t>ANTES DEL PROYECTO</t>
  </si>
  <si>
    <t>DESPUES DEL PROYECTO</t>
  </si>
  <si>
    <t>COSTOS Y GASTOS</t>
  </si>
  <si>
    <t>Materia primas</t>
  </si>
  <si>
    <t>Servicios</t>
  </si>
  <si>
    <t>RECURSO HUMANO</t>
  </si>
  <si>
    <t>Servicios (Mantenimiento) 1% ventas</t>
  </si>
  <si>
    <t>TOTAL COSTOS</t>
  </si>
  <si>
    <t>GASTOS 25%</t>
  </si>
  <si>
    <t>TOTAL EGRESOS</t>
  </si>
  <si>
    <t>EGRESOS</t>
  </si>
  <si>
    <t>Recurso Humano</t>
  </si>
  <si>
    <t>Arcilla</t>
  </si>
  <si>
    <t>Feldespatos</t>
  </si>
  <si>
    <t>Arenas</t>
  </si>
  <si>
    <t>Carbonatos</t>
  </si>
  <si>
    <t>Caolines</t>
  </si>
  <si>
    <t>ESMALTE</t>
  </si>
  <si>
    <t>TOTAL</t>
  </si>
  <si>
    <t>INSUMOS O MATERIALES</t>
  </si>
  <si>
    <t>CANTIDA MES</t>
  </si>
  <si>
    <t>VALOR Kg</t>
  </si>
  <si>
    <t>VALRO MES</t>
  </si>
  <si>
    <t>SERVICIOS PUBLICOS</t>
  </si>
  <si>
    <t>atomizador</t>
  </si>
  <si>
    <t>secador</t>
  </si>
  <si>
    <t>Horno</t>
  </si>
  <si>
    <t xml:space="preserve">COMBUSTIBLE GAS </t>
  </si>
  <si>
    <t xml:space="preserve">VALOR M3 </t>
  </si>
  <si>
    <t>molino</t>
  </si>
  <si>
    <t>prensa</t>
  </si>
  <si>
    <t>esmaltadora</t>
  </si>
  <si>
    <t>empaque</t>
  </si>
  <si>
    <t>paletizado</t>
  </si>
  <si>
    <t>otros planta</t>
  </si>
  <si>
    <t>ENERGIA</t>
  </si>
  <si>
    <t>CONSUMO M3 PROMEDIO MES</t>
  </si>
  <si>
    <t>VALOR MES</t>
  </si>
  <si>
    <t>CONSUMO KW PROMEDIO MES</t>
  </si>
  <si>
    <t xml:space="preserve">VALOR KW </t>
  </si>
  <si>
    <t>NA</t>
  </si>
  <si>
    <t>AGUA</t>
  </si>
  <si>
    <t>TOTAL SERVICIOS PUBLICO</t>
  </si>
  <si>
    <t>CARGO</t>
  </si>
  <si>
    <t>TOTAL CARGOS</t>
  </si>
  <si>
    <t>COSTO MES</t>
  </si>
  <si>
    <t>VALOR TOTAL MES</t>
  </si>
  <si>
    <t>MOLIENDA</t>
  </si>
  <si>
    <t>OPERARIO</t>
  </si>
  <si>
    <t>ATOMIZADO</t>
  </si>
  <si>
    <t>PRESADO</t>
  </si>
  <si>
    <t>SECADO</t>
  </si>
  <si>
    <t>ESMALTADO</t>
  </si>
  <si>
    <t xml:space="preserve">EMPAQUETADO </t>
  </si>
  <si>
    <t>PALETIZADO</t>
  </si>
  <si>
    <t>SUPERVISOR</t>
  </si>
  <si>
    <t>INGENIERO DE PRODUCCION</t>
  </si>
  <si>
    <t>AREA</t>
  </si>
  <si>
    <t>PUESTOS POR TURNO</t>
  </si>
  <si>
    <t>COSTO MES CARGO</t>
  </si>
  <si>
    <t>Servicios publicos</t>
  </si>
  <si>
    <t>Depresiacion (15 AÑOS)</t>
  </si>
  <si>
    <t>CONCEPTO</t>
  </si>
  <si>
    <t>VALOR</t>
  </si>
  <si>
    <t>PRECIO VENTA M2</t>
  </si>
  <si>
    <t>TOTAL COSTOS Y GASTOS</t>
  </si>
  <si>
    <t>RENTABILIDAD</t>
  </si>
  <si>
    <t>% RENTABILIDAD</t>
  </si>
  <si>
    <t>INTERVENCIONES</t>
  </si>
  <si>
    <t>Nueva esmaltadora</t>
  </si>
  <si>
    <t>Implementar empacadora</t>
  </si>
  <si>
    <t>Robotizar el paletizado</t>
  </si>
  <si>
    <t>INVERSIONES</t>
  </si>
  <si>
    <t>Realizacion de los estudios y diseños integrales tecnicos y financieros del proyecto de automatizacion de la planta incluye la puesta en opoeración</t>
  </si>
  <si>
    <t>COSTOS DEL PROYECTO</t>
  </si>
  <si>
    <t>EQUIPOS</t>
  </si>
  <si>
    <t>TRM</t>
  </si>
  <si>
    <t>VALOR $US</t>
  </si>
  <si>
    <t>aranceles</t>
  </si>
  <si>
    <t>Valor puesto en colombia</t>
  </si>
  <si>
    <t>IVA</t>
  </si>
  <si>
    <t>VALOR FINAL</t>
  </si>
  <si>
    <t>Adquisición de Esmaltadora</t>
  </si>
  <si>
    <t>Adquisición  de empacadora</t>
  </si>
  <si>
    <t>Adquisición Robot KR22 R1610-2</t>
  </si>
  <si>
    <t>Gripper 2FGP20</t>
  </si>
  <si>
    <t>Adquisición de sensores y actuadores</t>
  </si>
  <si>
    <t xml:space="preserve">Instalación de Esmaltadora </t>
  </si>
  <si>
    <t>Instalación de Empacadora</t>
  </si>
  <si>
    <t>Instalación del robot</t>
  </si>
  <si>
    <t>Capacitacion y entrenamiento al personal</t>
  </si>
  <si>
    <t>DISEÑO Automatizacion planta</t>
  </si>
  <si>
    <t>NUMERO</t>
  </si>
  <si>
    <t xml:space="preserve">SALARIO </t>
  </si>
  <si>
    <t xml:space="preserve">TIEMPO </t>
  </si>
  <si>
    <t>VALOR TOTAL</t>
  </si>
  <si>
    <t>SUMINISTROS</t>
  </si>
  <si>
    <t>GASTOS DE DESPLAZAMIENTO</t>
  </si>
  <si>
    <t>OTROS GASTOS</t>
  </si>
  <si>
    <t>Ingeniero en formacion</t>
  </si>
  <si>
    <t>SERIVICIOS</t>
  </si>
  <si>
    <t>9 MESES</t>
  </si>
  <si>
    <t xml:space="preserve">VALOR COP </t>
  </si>
  <si>
    <t>INSTALACIONES DE EQUIPOS (Suministros transporte y mano de obra)</t>
  </si>
  <si>
    <t>ASESORIA Y ACOMPAÑAMIENTO</t>
  </si>
  <si>
    <t xml:space="preserve">Consultoria del proyecto 6 MESES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</si>
</sst>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_-;\-* #,##0_-;_-* &quot;-&quot;??_-;_-@_-"/>
    <numFmt numFmtId="166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wrapText="1"/>
    </xf>
    <xf numFmtId="164" fontId="0" fillId="0" borderId="0" xfId="2" applyNumberFormat="1" applyFont="1"/>
    <xf numFmtId="165" fontId="0" fillId="0" borderId="0" xfId="1" applyNumberFormat="1" applyFont="1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4" fontId="0" fillId="0" borderId="1" xfId="2" applyNumberFormat="1" applyFont="1" applyBorder="1"/>
    <xf numFmtId="164" fontId="4" fillId="0" borderId="1" xfId="2" applyNumberFormat="1" applyFont="1" applyBorder="1"/>
    <xf numFmtId="0" fontId="0" fillId="0" borderId="6" xfId="0" applyBorder="1"/>
    <xf numFmtId="164" fontId="0" fillId="0" borderId="7" xfId="2" applyNumberFormat="1" applyFont="1" applyBorder="1"/>
    <xf numFmtId="0" fontId="0" fillId="0" borderId="0" xfId="0" applyFill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2" fillId="0" borderId="0" xfId="0" applyFont="1"/>
    <xf numFmtId="165" fontId="2" fillId="0" borderId="0" xfId="0" applyNumberFormat="1" applyFont="1"/>
    <xf numFmtId="0" fontId="0" fillId="0" borderId="1" xfId="0" applyBorder="1" applyAlignment="1">
      <alignment wrapText="1"/>
    </xf>
    <xf numFmtId="164" fontId="0" fillId="0" borderId="1" xfId="2" applyNumberFormat="1" applyFont="1" applyBorder="1" applyAlignment="1">
      <alignment vertical="center"/>
    </xf>
    <xf numFmtId="0" fontId="2" fillId="0" borderId="1" xfId="0" applyFont="1" applyBorder="1"/>
    <xf numFmtId="164" fontId="2" fillId="0" borderId="1" xfId="2" applyNumberFormat="1" applyFont="1" applyBorder="1" applyAlignment="1">
      <alignment vertical="center"/>
    </xf>
    <xf numFmtId="164" fontId="2" fillId="0" borderId="1" xfId="2" applyNumberFormat="1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0" fillId="0" borderId="1" xfId="0" applyFill="1" applyBorder="1"/>
    <xf numFmtId="0" fontId="2" fillId="0" borderId="1" xfId="0" applyFont="1" applyFill="1" applyBorder="1"/>
    <xf numFmtId="165" fontId="0" fillId="0" borderId="1" xfId="1" applyNumberFormat="1" applyFont="1" applyFill="1" applyBorder="1"/>
    <xf numFmtId="0" fontId="4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164" fontId="2" fillId="0" borderId="0" xfId="0" applyNumberFormat="1" applyFont="1"/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left"/>
    </xf>
    <xf numFmtId="164" fontId="2" fillId="0" borderId="9" xfId="2" applyNumberFormat="1" applyFont="1" applyBorder="1"/>
    <xf numFmtId="0" fontId="0" fillId="0" borderId="1" xfId="0" applyBorder="1" applyAlignment="1">
      <alignment horizontal="left"/>
    </xf>
    <xf numFmtId="165" fontId="0" fillId="0" borderId="1" xfId="1" applyNumberFormat="1" applyFont="1" applyBorder="1" applyAlignment="1">
      <alignment vertical="top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164" fontId="5" fillId="0" borderId="0" xfId="0" applyNumberFormat="1" applyFont="1"/>
    <xf numFmtId="164" fontId="0" fillId="0" borderId="1" xfId="0" applyNumberFormat="1" applyBorder="1"/>
    <xf numFmtId="164" fontId="5" fillId="0" borderId="1" xfId="0" applyNumberFormat="1" applyFont="1" applyBorder="1"/>
    <xf numFmtId="0" fontId="0" fillId="0" borderId="0" xfId="0" applyBorder="1" applyAlignment="1">
      <alignment horizontal="center"/>
    </xf>
    <xf numFmtId="164" fontId="0" fillId="0" borderId="7" xfId="0" applyNumberFormat="1" applyBorder="1"/>
    <xf numFmtId="0" fontId="2" fillId="0" borderId="6" xfId="0" applyFont="1" applyBorder="1"/>
    <xf numFmtId="164" fontId="2" fillId="0" borderId="7" xfId="0" applyNumberFormat="1" applyFont="1" applyBorder="1"/>
    <xf numFmtId="0" fontId="3" fillId="0" borderId="8" xfId="0" applyFont="1" applyBorder="1"/>
    <xf numFmtId="164" fontId="5" fillId="0" borderId="9" xfId="0" applyNumberFormat="1" applyFont="1" applyBorder="1"/>
    <xf numFmtId="0" fontId="0" fillId="0" borderId="19" xfId="0" applyBorder="1"/>
    <xf numFmtId="164" fontId="0" fillId="0" borderId="20" xfId="0" applyNumberFormat="1" applyBorder="1"/>
    <xf numFmtId="0" fontId="0" fillId="0" borderId="21" xfId="0" applyBorder="1"/>
    <xf numFmtId="0" fontId="2" fillId="0" borderId="23" xfId="0" applyFont="1" applyBorder="1" applyAlignment="1">
      <alignment horizontal="center" vertical="top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8" xfId="0" applyBorder="1"/>
    <xf numFmtId="164" fontId="0" fillId="0" borderId="18" xfId="2" applyNumberFormat="1" applyFont="1" applyBorder="1"/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164" fontId="2" fillId="0" borderId="22" xfId="0" applyNumberFormat="1" applyFont="1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164" fontId="0" fillId="0" borderId="30" xfId="2" applyNumberFormat="1" applyFont="1" applyBorder="1"/>
    <xf numFmtId="0" fontId="5" fillId="0" borderId="0" xfId="0" applyFont="1"/>
    <xf numFmtId="0" fontId="5" fillId="0" borderId="0" xfId="0" applyFont="1" applyFill="1" applyBorder="1"/>
    <xf numFmtId="166" fontId="5" fillId="0" borderId="0" xfId="3" applyNumberFormat="1" applyFont="1"/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8" fontId="6" fillId="0" borderId="1" xfId="0" applyNumberFormat="1" applyFont="1" applyBorder="1"/>
    <xf numFmtId="9" fontId="0" fillId="0" borderId="1" xfId="3" applyFont="1" applyBorder="1"/>
    <xf numFmtId="0" fontId="6" fillId="0" borderId="1" xfId="0" applyFont="1" applyBorder="1" applyAlignment="1">
      <alignment wrapText="1"/>
    </xf>
    <xf numFmtId="8" fontId="6" fillId="0" borderId="1" xfId="0" applyNumberFormat="1" applyFont="1" applyBorder="1" applyAlignment="1">
      <alignment horizontal="right" wrapText="1"/>
    </xf>
    <xf numFmtId="9" fontId="0" fillId="0" borderId="18" xfId="3" applyFont="1" applyBorder="1"/>
    <xf numFmtId="0" fontId="2" fillId="0" borderId="15" xfId="0" applyFont="1" applyBorder="1"/>
    <xf numFmtId="0" fontId="0" fillId="4" borderId="15" xfId="0" applyFill="1" applyBorder="1"/>
    <xf numFmtId="0" fontId="0" fillId="4" borderId="17" xfId="0" applyFill="1" applyBorder="1"/>
    <xf numFmtId="0" fontId="0" fillId="4" borderId="16" xfId="0" applyFill="1" applyBorder="1"/>
    <xf numFmtId="164" fontId="5" fillId="0" borderId="16" xfId="2" applyNumberFormat="1" applyFont="1" applyBorder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164" fontId="4" fillId="0" borderId="0" xfId="2" applyNumberFormat="1" applyFont="1"/>
    <xf numFmtId="0" fontId="0" fillId="0" borderId="15" xfId="0" applyBorder="1" applyAlignment="1">
      <alignment wrapText="1"/>
    </xf>
    <xf numFmtId="0" fontId="0" fillId="4" borderId="13" xfId="0" applyFill="1" applyBorder="1"/>
    <xf numFmtId="0" fontId="0" fillId="4" borderId="14" xfId="0" applyFill="1" applyBorder="1"/>
    <xf numFmtId="0" fontId="0" fillId="4" borderId="24" xfId="0" applyFill="1" applyBorder="1"/>
    <xf numFmtId="164" fontId="0" fillId="0" borderId="16" xfId="0" applyNumberFormat="1" applyBorder="1"/>
    <xf numFmtId="8" fontId="6" fillId="5" borderId="1" xfId="0" applyNumberFormat="1" applyFont="1" applyFill="1" applyBorder="1" applyAlignment="1">
      <alignment horizontal="right" wrapText="1"/>
    </xf>
    <xf numFmtId="0" fontId="4" fillId="2" borderId="0" xfId="0" applyFont="1" applyFill="1"/>
    <xf numFmtId="0" fontId="2" fillId="2" borderId="0" xfId="0" applyFont="1" applyFill="1"/>
    <xf numFmtId="0" fontId="0" fillId="2" borderId="1" xfId="0" applyFill="1" applyBorder="1"/>
    <xf numFmtId="10" fontId="0" fillId="0" borderId="1" xfId="0" applyNumberFormat="1" applyBorder="1"/>
    <xf numFmtId="166" fontId="0" fillId="0" borderId="1" xfId="3" applyNumberFormat="1" applyFont="1" applyBorder="1"/>
    <xf numFmtId="0" fontId="4" fillId="2" borderId="1" xfId="0" applyFon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403C-54EA-4DB7-A3C6-5ABA5B343DBD}">
  <dimension ref="B2:G73"/>
  <sheetViews>
    <sheetView workbookViewId="0">
      <selection activeCell="F68" sqref="F68"/>
    </sheetView>
  </sheetViews>
  <sheetFormatPr baseColWidth="10" defaultRowHeight="15" x14ac:dyDescent="0.25"/>
  <cols>
    <col min="1" max="1" width="4.85546875" customWidth="1"/>
    <col min="2" max="2" width="31.85546875" customWidth="1"/>
    <col min="3" max="3" width="22.28515625" customWidth="1"/>
    <col min="4" max="4" width="15.7109375" customWidth="1"/>
    <col min="5" max="5" width="15.5703125" bestFit="1" customWidth="1"/>
    <col min="6" max="6" width="13" bestFit="1" customWidth="1"/>
    <col min="7" max="7" width="16.7109375" bestFit="1" customWidth="1"/>
  </cols>
  <sheetData>
    <row r="2" spans="2:5" ht="30" x14ac:dyDescent="0.25">
      <c r="B2" s="6"/>
      <c r="C2" s="23" t="s">
        <v>12</v>
      </c>
      <c r="D2" s="23" t="s">
        <v>13</v>
      </c>
    </row>
    <row r="3" spans="2:5" x14ac:dyDescent="0.25">
      <c r="B3" s="104" t="s">
        <v>11</v>
      </c>
      <c r="C3" s="6">
        <v>7200</v>
      </c>
      <c r="D3" s="6"/>
    </row>
    <row r="4" spans="2:5" x14ac:dyDescent="0.25">
      <c r="B4" s="104" t="s">
        <v>4</v>
      </c>
      <c r="C4" s="105">
        <v>3.4000000000000002E-2</v>
      </c>
      <c r="D4" s="6"/>
    </row>
    <row r="5" spans="2:5" x14ac:dyDescent="0.25">
      <c r="B5" s="104" t="s">
        <v>5</v>
      </c>
      <c r="C5" s="9">
        <f>7200*0.9613</f>
        <v>6921.3600000000006</v>
      </c>
      <c r="D5" s="6"/>
    </row>
    <row r="6" spans="2:5" x14ac:dyDescent="0.25">
      <c r="B6" s="104" t="s">
        <v>6</v>
      </c>
      <c r="C6" s="106">
        <v>0.95599999999999996</v>
      </c>
      <c r="D6" s="6"/>
    </row>
    <row r="7" spans="2:5" x14ac:dyDescent="0.25">
      <c r="B7" s="104" t="s">
        <v>7</v>
      </c>
      <c r="C7" s="9">
        <f>+C5*C6</f>
        <v>6616.8201600000002</v>
      </c>
      <c r="D7" s="6"/>
    </row>
    <row r="8" spans="2:5" x14ac:dyDescent="0.25">
      <c r="B8" s="104" t="s">
        <v>8</v>
      </c>
      <c r="C8" s="9">
        <f>+C7/25</f>
        <v>264.67280640000001</v>
      </c>
      <c r="D8" s="6"/>
    </row>
    <row r="9" spans="2:5" x14ac:dyDescent="0.25">
      <c r="B9" s="104" t="s">
        <v>9</v>
      </c>
      <c r="C9" s="9">
        <f>+C7*24*30</f>
        <v>4764110.5152000003</v>
      </c>
      <c r="D9" s="6"/>
    </row>
    <row r="10" spans="2:5" x14ac:dyDescent="0.25">
      <c r="B10" s="104" t="s">
        <v>10</v>
      </c>
      <c r="C10" s="9">
        <f>+C8*24*30</f>
        <v>190564.42060800001</v>
      </c>
      <c r="D10" s="6"/>
    </row>
    <row r="11" spans="2:5" x14ac:dyDescent="0.25">
      <c r="B11" s="104" t="s">
        <v>76</v>
      </c>
      <c r="C11" s="10">
        <f>30800*0.9</f>
        <v>27720</v>
      </c>
      <c r="D11" s="6"/>
    </row>
    <row r="12" spans="2:5" ht="18.75" x14ac:dyDescent="0.3">
      <c r="B12" s="107" t="s">
        <v>1</v>
      </c>
      <c r="C12" s="11">
        <f>+INT(C10)*C11</f>
        <v>5282434080</v>
      </c>
      <c r="D12" s="6"/>
    </row>
    <row r="13" spans="2:5" ht="18.75" x14ac:dyDescent="0.3">
      <c r="B13" s="102"/>
      <c r="C13" s="95"/>
    </row>
    <row r="14" spans="2:5" x14ac:dyDescent="0.25">
      <c r="B14" s="103"/>
      <c r="C14" s="22"/>
    </row>
    <row r="15" spans="2:5" ht="18.75" x14ac:dyDescent="0.25">
      <c r="B15" s="35" t="s">
        <v>14</v>
      </c>
      <c r="C15" s="35"/>
      <c r="D15" s="35"/>
      <c r="E15" s="35"/>
    </row>
    <row r="16" spans="2:5" s="14" customFormat="1" ht="15.75" thickBot="1" x14ac:dyDescent="0.3"/>
    <row r="17" spans="2:5" x14ac:dyDescent="0.25">
      <c r="B17" s="18" t="s">
        <v>31</v>
      </c>
      <c r="C17" s="19" t="s">
        <v>32</v>
      </c>
      <c r="D17" s="19" t="s">
        <v>33</v>
      </c>
      <c r="E17" s="20" t="s">
        <v>34</v>
      </c>
    </row>
    <row r="18" spans="2:5" x14ac:dyDescent="0.25">
      <c r="B18" s="12" t="s">
        <v>24</v>
      </c>
      <c r="C18" s="6">
        <v>2302716</v>
      </c>
      <c r="D18" s="6">
        <v>572</v>
      </c>
      <c r="E18" s="13">
        <f>+D18*C18</f>
        <v>1317153552</v>
      </c>
    </row>
    <row r="19" spans="2:5" x14ac:dyDescent="0.25">
      <c r="B19" s="12" t="s">
        <v>25</v>
      </c>
      <c r="C19" s="6">
        <v>1151358</v>
      </c>
      <c r="D19" s="6">
        <v>220</v>
      </c>
      <c r="E19" s="13">
        <f t="shared" ref="E19:E23" si="0">+D19*C19</f>
        <v>253298760</v>
      </c>
    </row>
    <row r="20" spans="2:5" x14ac:dyDescent="0.25">
      <c r="B20" s="12" t="s">
        <v>26</v>
      </c>
      <c r="C20" s="6">
        <v>690814.79999999993</v>
      </c>
      <c r="D20" s="6">
        <v>272</v>
      </c>
      <c r="E20" s="13">
        <f t="shared" si="0"/>
        <v>187901625.59999999</v>
      </c>
    </row>
    <row r="21" spans="2:5" x14ac:dyDescent="0.25">
      <c r="B21" s="12" t="s">
        <v>27</v>
      </c>
      <c r="C21" s="6">
        <v>322380.24000000005</v>
      </c>
      <c r="D21" s="6">
        <v>879</v>
      </c>
      <c r="E21" s="13">
        <f t="shared" si="0"/>
        <v>283372230.96000004</v>
      </c>
    </row>
    <row r="22" spans="2:5" x14ac:dyDescent="0.25">
      <c r="B22" s="12" t="s">
        <v>28</v>
      </c>
      <c r="C22" s="6">
        <v>138162.96</v>
      </c>
      <c r="D22" s="6">
        <v>770</v>
      </c>
      <c r="E22" s="13">
        <f t="shared" si="0"/>
        <v>106385479.19999999</v>
      </c>
    </row>
    <row r="23" spans="2:5" x14ac:dyDescent="0.25">
      <c r="B23" s="12" t="s">
        <v>29</v>
      </c>
      <c r="C23" s="6">
        <v>92568</v>
      </c>
      <c r="D23" s="6">
        <v>900</v>
      </c>
      <c r="E23" s="13">
        <f t="shared" si="0"/>
        <v>83311200</v>
      </c>
    </row>
    <row r="24" spans="2:5" ht="15.75" thickBot="1" x14ac:dyDescent="0.3">
      <c r="B24" s="15" t="s">
        <v>30</v>
      </c>
      <c r="C24" s="16"/>
      <c r="D24" s="17"/>
      <c r="E24" s="42">
        <f>SUM(E18:E23)</f>
        <v>2231422847.7599998</v>
      </c>
    </row>
    <row r="26" spans="2:5" x14ac:dyDescent="0.25">
      <c r="B26" s="36" t="s">
        <v>35</v>
      </c>
      <c r="C26" s="36"/>
      <c r="D26" s="36"/>
      <c r="E26" s="36"/>
    </row>
    <row r="27" spans="2:5" ht="30" x14ac:dyDescent="0.25">
      <c r="B27" s="29" t="s">
        <v>39</v>
      </c>
      <c r="C27" s="30" t="s">
        <v>48</v>
      </c>
      <c r="D27" s="31" t="s">
        <v>40</v>
      </c>
      <c r="E27" s="31" t="s">
        <v>49</v>
      </c>
    </row>
    <row r="28" spans="2:5" x14ac:dyDescent="0.25">
      <c r="B28" s="6" t="s">
        <v>36</v>
      </c>
      <c r="C28" s="32">
        <v>141120</v>
      </c>
      <c r="D28" s="24">
        <v>2219</v>
      </c>
      <c r="E28" s="10">
        <f>+D28*C28</f>
        <v>313145280</v>
      </c>
    </row>
    <row r="29" spans="2:5" x14ac:dyDescent="0.25">
      <c r="B29" s="6" t="s">
        <v>37</v>
      </c>
      <c r="C29" s="32">
        <v>18000</v>
      </c>
      <c r="D29" s="24">
        <v>2219</v>
      </c>
      <c r="E29" s="10">
        <f t="shared" ref="E29:E31" si="1">+D29*C29</f>
        <v>39942000</v>
      </c>
    </row>
    <row r="30" spans="2:5" x14ac:dyDescent="0.25">
      <c r="B30" s="6" t="s">
        <v>38</v>
      </c>
      <c r="C30" s="32">
        <v>108000</v>
      </c>
      <c r="D30" s="24">
        <v>2219</v>
      </c>
      <c r="E30" s="10">
        <f t="shared" si="1"/>
        <v>239652000</v>
      </c>
    </row>
    <row r="31" spans="2:5" x14ac:dyDescent="0.25">
      <c r="B31" s="25" t="s">
        <v>30</v>
      </c>
      <c r="C31" s="33">
        <f>SUM(C28:C30)</f>
        <v>267120</v>
      </c>
      <c r="D31" s="26">
        <v>2219</v>
      </c>
      <c r="E31" s="27">
        <f t="shared" si="1"/>
        <v>592739280</v>
      </c>
    </row>
    <row r="32" spans="2:5" ht="30" x14ac:dyDescent="0.25">
      <c r="B32" s="31" t="s">
        <v>47</v>
      </c>
      <c r="C32" s="30" t="s">
        <v>50</v>
      </c>
      <c r="D32" s="31" t="s">
        <v>51</v>
      </c>
      <c r="E32" s="31" t="s">
        <v>49</v>
      </c>
    </row>
    <row r="33" spans="2:7" x14ac:dyDescent="0.25">
      <c r="B33" s="6" t="s">
        <v>41</v>
      </c>
      <c r="C33" s="34">
        <v>36000</v>
      </c>
      <c r="D33" s="24">
        <v>845</v>
      </c>
      <c r="E33" s="10">
        <f>+D33*C33</f>
        <v>30420000</v>
      </c>
    </row>
    <row r="34" spans="2:7" x14ac:dyDescent="0.25">
      <c r="B34" s="6" t="s">
        <v>36</v>
      </c>
      <c r="C34" s="34">
        <v>96000</v>
      </c>
      <c r="D34" s="24">
        <v>845</v>
      </c>
      <c r="E34" s="10">
        <f t="shared" ref="E34:E44" si="2">+D34*C34</f>
        <v>81120000</v>
      </c>
    </row>
    <row r="35" spans="2:7" x14ac:dyDescent="0.25">
      <c r="B35" s="6" t="s">
        <v>42</v>
      </c>
      <c r="C35" s="34">
        <v>24000</v>
      </c>
      <c r="D35" s="24">
        <v>845</v>
      </c>
      <c r="E35" s="10">
        <f t="shared" si="2"/>
        <v>20280000</v>
      </c>
    </row>
    <row r="36" spans="2:7" x14ac:dyDescent="0.25">
      <c r="B36" s="6" t="s">
        <v>37</v>
      </c>
      <c r="C36" s="34">
        <v>1500</v>
      </c>
      <c r="D36" s="24">
        <v>845</v>
      </c>
      <c r="E36" s="10">
        <f t="shared" si="2"/>
        <v>1267500</v>
      </c>
    </row>
    <row r="37" spans="2:7" x14ac:dyDescent="0.25">
      <c r="B37" s="6" t="s">
        <v>43</v>
      </c>
      <c r="C37" s="34">
        <v>21600</v>
      </c>
      <c r="D37" s="24">
        <v>845</v>
      </c>
      <c r="E37" s="10">
        <f t="shared" si="2"/>
        <v>18252000</v>
      </c>
    </row>
    <row r="38" spans="2:7" x14ac:dyDescent="0.25">
      <c r="B38" s="6" t="s">
        <v>38</v>
      </c>
      <c r="C38" s="34">
        <v>1700</v>
      </c>
      <c r="D38" s="24">
        <v>845</v>
      </c>
      <c r="E38" s="10">
        <f t="shared" si="2"/>
        <v>1436500</v>
      </c>
    </row>
    <row r="39" spans="2:7" x14ac:dyDescent="0.25">
      <c r="B39" s="6" t="s">
        <v>44</v>
      </c>
      <c r="C39" s="34" t="s">
        <v>52</v>
      </c>
      <c r="D39" s="24">
        <v>845</v>
      </c>
      <c r="E39" s="34" t="s">
        <v>52</v>
      </c>
    </row>
    <row r="40" spans="2:7" x14ac:dyDescent="0.25">
      <c r="B40" s="6" t="s">
        <v>45</v>
      </c>
      <c r="C40" s="34" t="s">
        <v>52</v>
      </c>
      <c r="D40" s="24">
        <v>845</v>
      </c>
      <c r="E40" s="34" t="s">
        <v>52</v>
      </c>
    </row>
    <row r="41" spans="2:7" x14ac:dyDescent="0.25">
      <c r="B41" s="6" t="s">
        <v>46</v>
      </c>
      <c r="C41" s="34">
        <v>12600</v>
      </c>
      <c r="D41" s="24">
        <v>845</v>
      </c>
      <c r="E41" s="10">
        <f t="shared" si="2"/>
        <v>10647000</v>
      </c>
    </row>
    <row r="42" spans="2:7" x14ac:dyDescent="0.25">
      <c r="B42" s="25" t="s">
        <v>30</v>
      </c>
      <c r="C42" s="28">
        <f>SUM(C33:C41)</f>
        <v>193400</v>
      </c>
      <c r="D42" s="26">
        <v>845</v>
      </c>
      <c r="E42" s="27">
        <f t="shared" si="2"/>
        <v>163423000</v>
      </c>
    </row>
    <row r="43" spans="2:7" ht="30" x14ac:dyDescent="0.25">
      <c r="B43" s="25" t="s">
        <v>53</v>
      </c>
      <c r="C43" s="30" t="s">
        <v>48</v>
      </c>
      <c r="D43" s="31" t="s">
        <v>40</v>
      </c>
      <c r="E43" s="31" t="s">
        <v>49</v>
      </c>
    </row>
    <row r="44" spans="2:7" x14ac:dyDescent="0.25">
      <c r="B44" s="25" t="s">
        <v>41</v>
      </c>
      <c r="C44" s="25">
        <v>86400</v>
      </c>
      <c r="D44" s="25">
        <v>28.7</v>
      </c>
      <c r="E44" s="27">
        <f t="shared" si="2"/>
        <v>2479680</v>
      </c>
    </row>
    <row r="45" spans="2:7" x14ac:dyDescent="0.25">
      <c r="B45" s="37" t="s">
        <v>54</v>
      </c>
      <c r="C45" s="38"/>
      <c r="D45" s="38"/>
      <c r="E45" s="39">
        <f>+E44+E42+E31</f>
        <v>758641960</v>
      </c>
    </row>
    <row r="46" spans="2:7" x14ac:dyDescent="0.25">
      <c r="D46" s="21"/>
    </row>
    <row r="47" spans="2:7" ht="15.75" thickBot="1" x14ac:dyDescent="0.3">
      <c r="C47" t="s">
        <v>17</v>
      </c>
    </row>
    <row r="48" spans="2:7" ht="30" x14ac:dyDescent="0.25">
      <c r="B48" s="68" t="s">
        <v>55</v>
      </c>
      <c r="C48" s="69" t="s">
        <v>69</v>
      </c>
      <c r="D48" s="70" t="s">
        <v>70</v>
      </c>
      <c r="E48" s="70" t="s">
        <v>56</v>
      </c>
      <c r="F48" s="70" t="s">
        <v>71</v>
      </c>
      <c r="G48" s="71" t="s">
        <v>58</v>
      </c>
    </row>
    <row r="49" spans="2:7" x14ac:dyDescent="0.25">
      <c r="B49" s="72" t="s">
        <v>60</v>
      </c>
      <c r="C49" s="6" t="s">
        <v>59</v>
      </c>
      <c r="D49" s="6">
        <v>1</v>
      </c>
      <c r="E49" s="6">
        <v>4</v>
      </c>
      <c r="F49" s="10">
        <f>1700000*1.56</f>
        <v>2652000</v>
      </c>
      <c r="G49" s="13">
        <f>+F49*E49</f>
        <v>10608000</v>
      </c>
    </row>
    <row r="50" spans="2:7" x14ac:dyDescent="0.25">
      <c r="B50" s="73"/>
      <c r="C50" s="6" t="s">
        <v>61</v>
      </c>
      <c r="D50" s="6">
        <v>1</v>
      </c>
      <c r="E50" s="6">
        <v>4</v>
      </c>
      <c r="F50" s="10">
        <f>1700000*1.56</f>
        <v>2652000</v>
      </c>
      <c r="G50" s="13">
        <f>+F50*E50</f>
        <v>10608000</v>
      </c>
    </row>
    <row r="51" spans="2:7" x14ac:dyDescent="0.25">
      <c r="B51" s="73"/>
      <c r="C51" s="6" t="s">
        <v>62</v>
      </c>
      <c r="D51" s="6">
        <v>2</v>
      </c>
      <c r="E51" s="6">
        <v>8</v>
      </c>
      <c r="F51" s="10">
        <f>1700000*1.56</f>
        <v>2652000</v>
      </c>
      <c r="G51" s="13">
        <f>+F51*E51</f>
        <v>21216000</v>
      </c>
    </row>
    <row r="52" spans="2:7" x14ac:dyDescent="0.25">
      <c r="B52" s="73"/>
      <c r="C52" s="6" t="s">
        <v>63</v>
      </c>
      <c r="D52" s="6">
        <v>1</v>
      </c>
      <c r="E52" s="6">
        <v>4</v>
      </c>
      <c r="F52" s="10">
        <f>1700000*1.56</f>
        <v>2652000</v>
      </c>
      <c r="G52" s="13">
        <f>+F52*E52</f>
        <v>10608000</v>
      </c>
    </row>
    <row r="53" spans="2:7" x14ac:dyDescent="0.25">
      <c r="B53" s="73"/>
      <c r="C53" s="6" t="s">
        <v>64</v>
      </c>
      <c r="D53" s="6">
        <v>1</v>
      </c>
      <c r="E53" s="6">
        <v>4</v>
      </c>
      <c r="F53" s="10">
        <f>1700000*1.56</f>
        <v>2652000</v>
      </c>
      <c r="G53" s="13">
        <f>+F53*E53</f>
        <v>10608000</v>
      </c>
    </row>
    <row r="54" spans="2:7" x14ac:dyDescent="0.25">
      <c r="B54" s="73"/>
      <c r="C54" s="6" t="s">
        <v>65</v>
      </c>
      <c r="D54" s="6">
        <v>4</v>
      </c>
      <c r="E54" s="6">
        <v>16</v>
      </c>
      <c r="F54" s="10">
        <f>1700000*1.56</f>
        <v>2652000</v>
      </c>
      <c r="G54" s="13">
        <f>+F54*E54</f>
        <v>42432000</v>
      </c>
    </row>
    <row r="55" spans="2:7" x14ac:dyDescent="0.25">
      <c r="B55" s="73"/>
      <c r="C55" s="6" t="s">
        <v>66</v>
      </c>
      <c r="D55" s="6">
        <v>6</v>
      </c>
      <c r="E55" s="6">
        <v>24</v>
      </c>
      <c r="F55" s="10">
        <f>1700000*1.56</f>
        <v>2652000</v>
      </c>
      <c r="G55" s="13">
        <f>+F55*E55</f>
        <v>63648000</v>
      </c>
    </row>
    <row r="56" spans="2:7" x14ac:dyDescent="0.25">
      <c r="B56" s="74"/>
      <c r="C56" s="6" t="s">
        <v>30</v>
      </c>
      <c r="D56" s="6">
        <f>SUM(D49:D55)</f>
        <v>16</v>
      </c>
      <c r="E56" s="6">
        <f>SUM(E49:E55)</f>
        <v>64</v>
      </c>
      <c r="F56" s="10"/>
      <c r="G56" s="13">
        <f>+F56*E56</f>
        <v>0</v>
      </c>
    </row>
    <row r="57" spans="2:7" x14ac:dyDescent="0.25">
      <c r="B57" s="75" t="s">
        <v>67</v>
      </c>
      <c r="C57" s="41"/>
      <c r="D57" s="6">
        <v>2</v>
      </c>
      <c r="E57" s="6">
        <v>8</v>
      </c>
      <c r="F57" s="10">
        <f>+F54*3</f>
        <v>7956000</v>
      </c>
      <c r="G57" s="13">
        <f>+F57*E57</f>
        <v>63648000</v>
      </c>
    </row>
    <row r="58" spans="2:7" ht="15.75" thickBot="1" x14ac:dyDescent="0.3">
      <c r="B58" s="76" t="s">
        <v>68</v>
      </c>
      <c r="C58" s="61"/>
      <c r="D58" s="62"/>
      <c r="E58" s="63">
        <v>1</v>
      </c>
      <c r="F58" s="64">
        <f>7000000*1.56</f>
        <v>10920000</v>
      </c>
      <c r="G58" s="77">
        <f>+F58*E58</f>
        <v>10920000</v>
      </c>
    </row>
    <row r="59" spans="2:7" ht="15.75" thickBot="1" x14ac:dyDescent="0.3">
      <c r="B59" s="65" t="s">
        <v>30</v>
      </c>
      <c r="C59" s="66"/>
      <c r="D59" s="66"/>
      <c r="E59" s="66"/>
      <c r="F59" s="66"/>
      <c r="G59" s="67">
        <f>SUM(G49:G58)</f>
        <v>244296000</v>
      </c>
    </row>
    <row r="60" spans="2:7" x14ac:dyDescent="0.25">
      <c r="B60" s="50"/>
      <c r="C60" s="50"/>
      <c r="D60" s="50"/>
      <c r="E60" s="50"/>
      <c r="F60" s="50"/>
      <c r="G60" s="39"/>
    </row>
    <row r="61" spans="2:7" ht="22.5" customHeight="1" thickBot="1" x14ac:dyDescent="0.3">
      <c r="B61" s="59" t="s">
        <v>14</v>
      </c>
      <c r="C61" s="59"/>
      <c r="D61" s="50"/>
      <c r="E61" s="50"/>
      <c r="F61" s="50"/>
      <c r="G61" s="39"/>
    </row>
    <row r="62" spans="2:7" ht="15.75" thickBot="1" x14ac:dyDescent="0.3">
      <c r="B62" s="58" t="s">
        <v>74</v>
      </c>
      <c r="C62" s="60" t="s">
        <v>75</v>
      </c>
    </row>
    <row r="63" spans="2:7" x14ac:dyDescent="0.25">
      <c r="B63" s="56" t="s">
        <v>15</v>
      </c>
      <c r="C63" s="57">
        <f>+E24</f>
        <v>2231422847.7599998</v>
      </c>
    </row>
    <row r="64" spans="2:7" x14ac:dyDescent="0.25">
      <c r="B64" s="12" t="s">
        <v>72</v>
      </c>
      <c r="C64" s="51">
        <f>+E45</f>
        <v>758641960</v>
      </c>
    </row>
    <row r="65" spans="2:3" x14ac:dyDescent="0.25">
      <c r="B65" s="12" t="s">
        <v>17</v>
      </c>
      <c r="C65" s="51">
        <f>+G59</f>
        <v>244296000</v>
      </c>
    </row>
    <row r="66" spans="2:3" x14ac:dyDescent="0.25">
      <c r="B66" s="12" t="s">
        <v>18</v>
      </c>
      <c r="C66" s="51">
        <f>+C12*1%</f>
        <v>52824340.800000004</v>
      </c>
    </row>
    <row r="67" spans="2:3" x14ac:dyDescent="0.25">
      <c r="B67" s="12" t="s">
        <v>73</v>
      </c>
      <c r="C67" s="51">
        <f>+PROPUESTA!L22</f>
        <v>29594935.788599998</v>
      </c>
    </row>
    <row r="68" spans="2:3" x14ac:dyDescent="0.25">
      <c r="B68" s="52" t="s">
        <v>19</v>
      </c>
      <c r="C68" s="53">
        <f>SUM(C63:C67)</f>
        <v>3316780084.3485999</v>
      </c>
    </row>
    <row r="69" spans="2:3" x14ac:dyDescent="0.25">
      <c r="B69" s="52" t="s">
        <v>20</v>
      </c>
      <c r="C69" s="53">
        <f>+C68*0.25</f>
        <v>829195021.08714998</v>
      </c>
    </row>
    <row r="70" spans="2:3" ht="18" thickBot="1" x14ac:dyDescent="0.35">
      <c r="B70" s="54" t="s">
        <v>77</v>
      </c>
      <c r="C70" s="55">
        <f>+C69+C68</f>
        <v>4145975105.43575</v>
      </c>
    </row>
    <row r="72" spans="2:3" ht="15.75" x14ac:dyDescent="0.25">
      <c r="B72" s="78" t="s">
        <v>78</v>
      </c>
      <c r="C72" s="47">
        <f>+C12-C70</f>
        <v>1136458974.56425</v>
      </c>
    </row>
    <row r="73" spans="2:3" ht="15.75" x14ac:dyDescent="0.25">
      <c r="B73" s="79" t="s">
        <v>79</v>
      </c>
      <c r="C73" s="80">
        <f>+C72/C12</f>
        <v>0.21513926295209915</v>
      </c>
    </row>
  </sheetData>
  <mergeCells count="9">
    <mergeCell ref="B58:D58"/>
    <mergeCell ref="B49:B56"/>
    <mergeCell ref="B59:F59"/>
    <mergeCell ref="B61:C61"/>
    <mergeCell ref="B24:D24"/>
    <mergeCell ref="B15:E15"/>
    <mergeCell ref="B26:E26"/>
    <mergeCell ref="B45:D45"/>
    <mergeCell ref="B57:C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3426-E21D-4B87-859C-E536AB3C07D4}">
  <dimension ref="B2:L41"/>
  <sheetViews>
    <sheetView tabSelected="1" workbookViewId="0">
      <selection activeCell="B10" sqref="B10"/>
    </sheetView>
  </sheetViews>
  <sheetFormatPr baseColWidth="10" defaultRowHeight="15" x14ac:dyDescent="0.25"/>
  <cols>
    <col min="2" max="2" width="36.5703125" customWidth="1"/>
    <col min="3" max="3" width="15.7109375" customWidth="1"/>
    <col min="4" max="4" width="15.28515625" customWidth="1"/>
    <col min="5" max="5" width="13.28515625" customWidth="1"/>
    <col min="6" max="6" width="14" bestFit="1" customWidth="1"/>
    <col min="7" max="7" width="12.85546875" customWidth="1"/>
    <col min="8" max="8" width="15.42578125" bestFit="1" customWidth="1"/>
  </cols>
  <sheetData>
    <row r="2" spans="2:8" x14ac:dyDescent="0.25">
      <c r="B2" s="8" t="s">
        <v>80</v>
      </c>
      <c r="C2" s="8"/>
      <c r="D2" s="8"/>
    </row>
    <row r="3" spans="2:8" x14ac:dyDescent="0.25">
      <c r="B3" s="8" t="s">
        <v>81</v>
      </c>
      <c r="C3" s="8"/>
      <c r="D3" s="8"/>
    </row>
    <row r="4" spans="2:8" x14ac:dyDescent="0.25">
      <c r="B4" s="8" t="s">
        <v>82</v>
      </c>
      <c r="C4" s="8"/>
      <c r="D4" s="8"/>
    </row>
    <row r="5" spans="2:8" x14ac:dyDescent="0.25">
      <c r="B5" s="8" t="s">
        <v>83</v>
      </c>
      <c r="C5" s="8"/>
      <c r="D5" s="8"/>
    </row>
    <row r="7" spans="2:8" x14ac:dyDescent="0.25">
      <c r="B7" t="s">
        <v>84</v>
      </c>
    </row>
    <row r="9" spans="2:8" x14ac:dyDescent="0.25">
      <c r="B9" s="81" t="s">
        <v>117</v>
      </c>
      <c r="C9" s="81"/>
      <c r="D9" s="81"/>
      <c r="E9" s="81"/>
      <c r="F9" s="81"/>
    </row>
    <row r="10" spans="2:8" x14ac:dyDescent="0.25">
      <c r="B10" t="s">
        <v>85</v>
      </c>
    </row>
    <row r="12" spans="2:8" x14ac:dyDescent="0.25">
      <c r="B12" t="s">
        <v>86</v>
      </c>
    </row>
    <row r="13" spans="2:8" x14ac:dyDescent="0.25">
      <c r="B13" t="s">
        <v>103</v>
      </c>
    </row>
    <row r="14" spans="2:8" ht="15.75" x14ac:dyDescent="0.25">
      <c r="B14" s="82" t="s">
        <v>87</v>
      </c>
    </row>
    <row r="15" spans="2:8" x14ac:dyDescent="0.25">
      <c r="B15" t="s">
        <v>88</v>
      </c>
      <c r="C15" s="3">
        <v>3900</v>
      </c>
    </row>
    <row r="16" spans="2:8" ht="30" x14ac:dyDescent="0.25">
      <c r="B16" s="23" t="s">
        <v>87</v>
      </c>
      <c r="C16" s="23" t="s">
        <v>89</v>
      </c>
      <c r="D16" s="23" t="s">
        <v>114</v>
      </c>
      <c r="E16" s="23" t="s">
        <v>90</v>
      </c>
      <c r="F16" s="23" t="s">
        <v>91</v>
      </c>
      <c r="G16" s="23" t="s">
        <v>92</v>
      </c>
      <c r="H16" s="23" t="s">
        <v>93</v>
      </c>
    </row>
    <row r="17" spans="2:12" x14ac:dyDescent="0.25">
      <c r="B17" s="6" t="s">
        <v>94</v>
      </c>
      <c r="C17" s="83">
        <v>10000</v>
      </c>
      <c r="D17" s="10">
        <f>+C17*$C$15</f>
        <v>39000000</v>
      </c>
      <c r="E17" s="84">
        <v>0.05</v>
      </c>
      <c r="F17" s="10">
        <f>+D17*1.05</f>
        <v>40950000</v>
      </c>
      <c r="G17" s="84">
        <v>0.19</v>
      </c>
      <c r="H17" s="10">
        <f>+F17*1.19</f>
        <v>48730500</v>
      </c>
    </row>
    <row r="18" spans="2:12" x14ac:dyDescent="0.25">
      <c r="B18" s="6" t="s">
        <v>95</v>
      </c>
      <c r="C18" s="83">
        <v>80946.67</v>
      </c>
      <c r="D18" s="10">
        <f t="shared" ref="D18:D21" si="0">+C18*$C$15</f>
        <v>315692013</v>
      </c>
      <c r="E18" s="84">
        <v>0.05</v>
      </c>
      <c r="F18" s="10">
        <f t="shared" ref="F18:F21" si="1">+D18*1.05</f>
        <v>331476613.65000004</v>
      </c>
      <c r="G18" s="84">
        <v>0.19</v>
      </c>
      <c r="H18" s="10">
        <f t="shared" ref="H18:H21" si="2">+F18*1.19</f>
        <v>394457170.24350005</v>
      </c>
    </row>
    <row r="19" spans="2:12" x14ac:dyDescent="0.25">
      <c r="B19" s="85" t="s">
        <v>96</v>
      </c>
      <c r="C19" s="101">
        <v>32000</v>
      </c>
      <c r="D19" s="10">
        <f t="shared" si="0"/>
        <v>124800000</v>
      </c>
      <c r="E19" s="84">
        <v>0.05</v>
      </c>
      <c r="F19" s="10">
        <f t="shared" si="1"/>
        <v>131040000</v>
      </c>
      <c r="G19" s="84">
        <v>0.19</v>
      </c>
      <c r="H19" s="10">
        <f t="shared" si="2"/>
        <v>155937600</v>
      </c>
    </row>
    <row r="20" spans="2:12" x14ac:dyDescent="0.25">
      <c r="B20" s="85" t="s">
        <v>97</v>
      </c>
      <c r="C20" s="86">
        <v>12700</v>
      </c>
      <c r="D20" s="10">
        <f t="shared" si="0"/>
        <v>49530000</v>
      </c>
      <c r="E20" s="84">
        <v>0.05</v>
      </c>
      <c r="F20" s="10">
        <f t="shared" si="1"/>
        <v>52006500</v>
      </c>
      <c r="G20" s="84">
        <v>0.19</v>
      </c>
      <c r="H20" s="10">
        <f t="shared" si="2"/>
        <v>61887735</v>
      </c>
    </row>
    <row r="21" spans="2:12" x14ac:dyDescent="0.25">
      <c r="B21" s="6" t="s">
        <v>98</v>
      </c>
      <c r="C21" s="64">
        <v>1000</v>
      </c>
      <c r="D21" s="10">
        <f t="shared" si="0"/>
        <v>3900000</v>
      </c>
      <c r="E21" s="87">
        <v>0.05</v>
      </c>
      <c r="F21" s="64">
        <f t="shared" si="1"/>
        <v>4095000</v>
      </c>
      <c r="G21" s="87">
        <v>0.19</v>
      </c>
      <c r="H21" s="10">
        <f t="shared" si="2"/>
        <v>4873050</v>
      </c>
    </row>
    <row r="22" spans="2:12" ht="15.75" x14ac:dyDescent="0.25">
      <c r="B22" s="88" t="s">
        <v>30</v>
      </c>
      <c r="C22" s="89"/>
      <c r="D22" s="90"/>
      <c r="E22" s="90"/>
      <c r="F22" s="90"/>
      <c r="G22" s="91"/>
      <c r="H22" s="92">
        <f>SUM(H17:H21)</f>
        <v>665886055.24349999</v>
      </c>
      <c r="K22">
        <f>+H22/15/12</f>
        <v>3699366.9735749997</v>
      </c>
      <c r="L22">
        <f>+K22*8</f>
        <v>29594935.788599998</v>
      </c>
    </row>
    <row r="24" spans="2:12" ht="34.5" customHeight="1" x14ac:dyDescent="0.25">
      <c r="B24" s="93" t="s">
        <v>115</v>
      </c>
      <c r="C24" s="94"/>
    </row>
    <row r="25" spans="2:12" x14ac:dyDescent="0.25">
      <c r="B25" s="6" t="s">
        <v>99</v>
      </c>
      <c r="C25" s="10">
        <f>+H17*15%</f>
        <v>7309575</v>
      </c>
    </row>
    <row r="26" spans="2:12" x14ac:dyDescent="0.25">
      <c r="B26" s="6" t="s">
        <v>100</v>
      </c>
      <c r="C26" s="10">
        <f t="shared" ref="C26:C27" si="3">+H18*15%</f>
        <v>59168575.536525004</v>
      </c>
    </row>
    <row r="27" spans="2:12" x14ac:dyDescent="0.25">
      <c r="B27" s="6" t="s">
        <v>101</v>
      </c>
      <c r="C27" s="10">
        <f t="shared" si="3"/>
        <v>23390640</v>
      </c>
    </row>
    <row r="28" spans="2:12" x14ac:dyDescent="0.25">
      <c r="B28" s="6" t="s">
        <v>102</v>
      </c>
      <c r="C28" s="10">
        <f t="shared" ref="C28" si="4">+H20*10%</f>
        <v>6188773.5</v>
      </c>
      <c r="H28" s="4">
        <f>+H22+C29</f>
        <v>761943619.28002501</v>
      </c>
    </row>
    <row r="29" spans="2:12" x14ac:dyDescent="0.25">
      <c r="B29" s="25" t="s">
        <v>30</v>
      </c>
      <c r="C29" s="46">
        <f>SUM(C25:C28)</f>
        <v>96057564.036525011</v>
      </c>
    </row>
    <row r="31" spans="2:12" x14ac:dyDescent="0.25">
      <c r="B31" s="6"/>
      <c r="C31" s="6" t="s">
        <v>104</v>
      </c>
      <c r="D31" s="6" t="s">
        <v>105</v>
      </c>
      <c r="E31" s="6" t="s">
        <v>57</v>
      </c>
      <c r="F31" s="6" t="s">
        <v>106</v>
      </c>
      <c r="G31" s="6" t="s">
        <v>107</v>
      </c>
    </row>
    <row r="32" spans="2:12" x14ac:dyDescent="0.25">
      <c r="B32" s="23" t="s">
        <v>111</v>
      </c>
      <c r="C32" s="6">
        <v>4</v>
      </c>
      <c r="D32" s="10">
        <v>2500000</v>
      </c>
      <c r="E32" s="10">
        <f>+D32*1.56</f>
        <v>3900000</v>
      </c>
      <c r="F32" s="6" t="s">
        <v>113</v>
      </c>
      <c r="G32" s="10">
        <f>+E32*9</f>
        <v>35100000</v>
      </c>
    </row>
    <row r="33" spans="2:7" x14ac:dyDescent="0.25">
      <c r="B33" s="23" t="s">
        <v>108</v>
      </c>
      <c r="C33" s="6"/>
      <c r="D33" s="6"/>
      <c r="E33" s="10">
        <v>4000000</v>
      </c>
      <c r="F33" s="6" t="s">
        <v>113</v>
      </c>
      <c r="G33" s="10">
        <f t="shared" ref="G33:G35" si="5">+E33*9</f>
        <v>36000000</v>
      </c>
    </row>
    <row r="34" spans="2:7" x14ac:dyDescent="0.25">
      <c r="B34" s="23" t="s">
        <v>109</v>
      </c>
      <c r="C34" s="6"/>
      <c r="D34" s="6"/>
      <c r="E34" s="10">
        <v>2000000</v>
      </c>
      <c r="F34" s="6" t="s">
        <v>113</v>
      </c>
      <c r="G34" s="10">
        <f t="shared" si="5"/>
        <v>18000000</v>
      </c>
    </row>
    <row r="35" spans="2:7" x14ac:dyDescent="0.25">
      <c r="B35" s="23" t="s">
        <v>110</v>
      </c>
      <c r="C35" s="63"/>
      <c r="D35" s="63"/>
      <c r="E35" s="64">
        <v>1000000</v>
      </c>
      <c r="F35" s="6" t="s">
        <v>113</v>
      </c>
      <c r="G35" s="10">
        <f t="shared" si="5"/>
        <v>9000000</v>
      </c>
    </row>
    <row r="36" spans="2:7" x14ac:dyDescent="0.25">
      <c r="B36" s="96" t="s">
        <v>30</v>
      </c>
      <c r="C36" s="97"/>
      <c r="D36" s="98"/>
      <c r="E36" s="98"/>
      <c r="F36" s="99"/>
      <c r="G36" s="100">
        <f>SUM(G32:G35)</f>
        <v>98100000</v>
      </c>
    </row>
    <row r="38" spans="2:7" x14ac:dyDescent="0.25">
      <c r="B38" s="6" t="s">
        <v>116</v>
      </c>
      <c r="C38" s="48">
        <f>+G36</f>
        <v>98100000</v>
      </c>
    </row>
    <row r="39" spans="2:7" x14ac:dyDescent="0.25">
      <c r="B39" s="6" t="s">
        <v>87</v>
      </c>
      <c r="C39" s="48">
        <f>+H22</f>
        <v>665886055.24349999</v>
      </c>
    </row>
    <row r="40" spans="2:7" x14ac:dyDescent="0.25">
      <c r="B40" s="6" t="s">
        <v>112</v>
      </c>
      <c r="C40" s="48">
        <f>+C36</f>
        <v>0</v>
      </c>
    </row>
    <row r="41" spans="2:7" ht="15.75" x14ac:dyDescent="0.25">
      <c r="B41" s="6" t="s">
        <v>30</v>
      </c>
      <c r="C41" s="49">
        <f>SUM(C38:C40)</f>
        <v>763986055.24349999</v>
      </c>
    </row>
  </sheetData>
  <mergeCells count="6">
    <mergeCell ref="B9:F9"/>
    <mergeCell ref="B24:C24"/>
    <mergeCell ref="B2:D2"/>
    <mergeCell ref="B3:D3"/>
    <mergeCell ref="B4:D4"/>
    <mergeCell ref="B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FA1A-762C-454E-8EB2-63C69813CEF7}">
  <dimension ref="A2:O14"/>
  <sheetViews>
    <sheetView workbookViewId="0">
      <selection activeCell="B10" sqref="B10"/>
    </sheetView>
  </sheetViews>
  <sheetFormatPr baseColWidth="10" defaultRowHeight="15" x14ac:dyDescent="0.25"/>
  <cols>
    <col min="1" max="1" width="9.5703125" customWidth="1"/>
    <col min="2" max="2" width="25.42578125" customWidth="1"/>
    <col min="3" max="3" width="15.5703125" bestFit="1" customWidth="1"/>
  </cols>
  <sheetData>
    <row r="2" spans="1:15" x14ac:dyDescent="0.25">
      <c r="B2" s="1" t="s">
        <v>2</v>
      </c>
      <c r="C2" s="2">
        <v>30800</v>
      </c>
    </row>
    <row r="4" spans="1:15" x14ac:dyDescent="0.25">
      <c r="A4" s="40" t="s">
        <v>3</v>
      </c>
      <c r="B4" s="40"/>
      <c r="C4" s="6">
        <v>0</v>
      </c>
      <c r="D4" s="6">
        <v>1</v>
      </c>
      <c r="E4" s="6">
        <v>2</v>
      </c>
      <c r="F4" s="23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</row>
    <row r="5" spans="1:15" x14ac:dyDescent="0.25">
      <c r="A5" s="43" t="s">
        <v>0</v>
      </c>
      <c r="B5" s="43"/>
      <c r="C5" s="44">
        <f>+INT(ACTUAL!C10)</f>
        <v>190564</v>
      </c>
      <c r="D5" s="6"/>
      <c r="E5" s="6"/>
      <c r="F5" s="10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45" t="s">
        <v>1</v>
      </c>
      <c r="B6" s="45"/>
      <c r="C6" s="46">
        <f>+C5*C2</f>
        <v>5869371200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5" t="s">
        <v>22</v>
      </c>
      <c r="B7" s="6" t="s">
        <v>15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5"/>
      <c r="B8" s="6" t="s">
        <v>16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5"/>
      <c r="B9" s="6" t="s">
        <v>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ht="30" x14ac:dyDescent="0.25">
      <c r="A10" s="5"/>
      <c r="B10" s="23" t="s">
        <v>18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5"/>
      <c r="B11" s="6" t="s">
        <v>19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5"/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ht="17.25" x14ac:dyDescent="0.3">
      <c r="A13" s="5"/>
      <c r="B13" s="7" t="s">
        <v>21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</sheetData>
  <mergeCells count="4">
    <mergeCell ref="A7:A13"/>
    <mergeCell ref="A6:B6"/>
    <mergeCell ref="A5:B5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ACTUAL</vt:lpstr>
      <vt:lpstr>PROPUESTA</vt:lpstr>
      <vt:lpstr>FLUJO DE CAJA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 Dueñas</dc:creator>
  <cp:lastModifiedBy>Oscar  Dueñas</cp:lastModifiedBy>
  <dcterms:created xsi:type="dcterms:W3CDTF">2024-06-10T12:04:57Z</dcterms:created>
  <dcterms:modified xsi:type="dcterms:W3CDTF">2024-06-10T14:18:17Z</dcterms:modified>
</cp:coreProperties>
</file>