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ocuments\u\APMG1\Tile-Tech\anexos\"/>
    </mc:Choice>
  </mc:AlternateContent>
  <xr:revisionPtr revIDLastSave="0" documentId="13_ncr:1_{8EB81D63-5045-4188-85D1-98E3FEC1355C}" xr6:coauthVersionLast="47" xr6:coauthVersionMax="47" xr10:uidLastSave="{00000000-0000-0000-0000-000000000000}"/>
  <bookViews>
    <workbookView xWindow="-108" yWindow="-108" windowWidth="23256" windowHeight="12456" tabRatio="856" activeTab="3" xr2:uid="{E1118AED-C4D8-48AF-BBD1-468213FD43FF}"/>
  </bookViews>
  <sheets>
    <sheet name="PRODUCCION ACTUAL" sheetId="8" r:id="rId1"/>
    <sheet name="COSTOS Y GASTOS ACTUAL MES " sheetId="1" r:id="rId2"/>
    <sheet name="INGRESOS ACTUALES MES" sheetId="3" r:id="rId3"/>
    <sheet name="PROPUESTA" sheetId="7" r:id="rId4"/>
    <sheet name="PRODUCCION PROYECTADA" sheetId="10" r:id="rId5"/>
    <sheet name="COSTOS Y GASTOS MES PROY " sheetId="11" r:id="rId6"/>
    <sheet name="INGRESOS PROYEC MES" sheetId="12" r:id="rId7"/>
    <sheet name="RESUMEN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69" i="1"/>
  <c r="C65" i="1"/>
  <c r="D4" i="1"/>
  <c r="D42" i="7"/>
  <c r="G10" i="1"/>
  <c r="E9" i="11"/>
  <c r="E9" i="1"/>
  <c r="E10" i="1"/>
  <c r="P16" i="1"/>
  <c r="E14" i="11"/>
  <c r="E23" i="11"/>
  <c r="E27" i="11" s="1"/>
  <c r="G27" i="11" s="1"/>
  <c r="E22" i="11"/>
  <c r="E13" i="11"/>
  <c r="E15" i="11" s="1"/>
  <c r="G15" i="11" s="1"/>
  <c r="E27" i="1"/>
  <c r="E15" i="1"/>
  <c r="G15" i="1" s="1"/>
  <c r="D20" i="4"/>
  <c r="D21" i="4"/>
  <c r="E21" i="4"/>
  <c r="D22" i="4"/>
  <c r="E22" i="4"/>
  <c r="D16" i="4"/>
  <c r="E16" i="4"/>
  <c r="F16" i="4" s="1"/>
  <c r="E15" i="4"/>
  <c r="F15" i="4" s="1"/>
  <c r="D15" i="4"/>
  <c r="C12" i="10"/>
  <c r="E56" i="11"/>
  <c r="E57" i="11"/>
  <c r="E58" i="11"/>
  <c r="G58" i="11" s="1"/>
  <c r="F51" i="11"/>
  <c r="C56" i="1"/>
  <c r="F52" i="1"/>
  <c r="F51" i="1"/>
  <c r="E5" i="1"/>
  <c r="E6" i="1"/>
  <c r="E7" i="1"/>
  <c r="E8" i="1"/>
  <c r="E4" i="1"/>
  <c r="H5" i="12"/>
  <c r="G5" i="12"/>
  <c r="E5" i="12"/>
  <c r="G57" i="11"/>
  <c r="C58" i="11"/>
  <c r="E48" i="1"/>
  <c r="F48" i="1" s="1"/>
  <c r="F48" i="11"/>
  <c r="E48" i="11"/>
  <c r="D17" i="10"/>
  <c r="B3" i="12"/>
  <c r="C14" i="10"/>
  <c r="G5" i="10"/>
  <c r="G4" i="10"/>
  <c r="D3" i="12"/>
  <c r="C5" i="12" s="1"/>
  <c r="E51" i="11"/>
  <c r="E46" i="11"/>
  <c r="E50" i="11" s="1"/>
  <c r="F50" i="11" s="1"/>
  <c r="E44" i="11"/>
  <c r="F44" i="11" s="1"/>
  <c r="E42" i="11"/>
  <c r="F42" i="11" s="1"/>
  <c r="E40" i="11"/>
  <c r="F40" i="11" s="1"/>
  <c r="O38" i="11"/>
  <c r="E38" i="11"/>
  <c r="F38" i="11" s="1"/>
  <c r="O37" i="11"/>
  <c r="O36" i="11"/>
  <c r="E36" i="11"/>
  <c r="F36" i="11" s="1"/>
  <c r="O35" i="11"/>
  <c r="O34" i="11"/>
  <c r="D16" i="11"/>
  <c r="E16" i="11" s="1"/>
  <c r="G16" i="11" s="1"/>
  <c r="G9" i="11"/>
  <c r="D8" i="11"/>
  <c r="E8" i="11" s="1"/>
  <c r="G8" i="11" s="1"/>
  <c r="D7" i="11"/>
  <c r="E7" i="11" s="1"/>
  <c r="G7" i="11" s="1"/>
  <c r="D6" i="11"/>
  <c r="E6" i="11" s="1"/>
  <c r="G6" i="11" s="1"/>
  <c r="D5" i="11"/>
  <c r="E5" i="11" s="1"/>
  <c r="G5" i="11" s="1"/>
  <c r="D4" i="11"/>
  <c r="E4" i="11" s="1"/>
  <c r="D43" i="7"/>
  <c r="D41" i="7"/>
  <c r="D39" i="7"/>
  <c r="D38" i="7"/>
  <c r="D37" i="7"/>
  <c r="H12" i="7"/>
  <c r="H13" i="7"/>
  <c r="H14" i="7"/>
  <c r="F11" i="7"/>
  <c r="H11" i="7" s="1"/>
  <c r="E9" i="3"/>
  <c r="C5" i="3"/>
  <c r="C12" i="8"/>
  <c r="C14" i="8" s="1"/>
  <c r="C15" i="8" s="1"/>
  <c r="E27" i="7"/>
  <c r="G27" i="7" s="1"/>
  <c r="I27" i="7" s="1"/>
  <c r="E26" i="7"/>
  <c r="G26" i="7" s="1"/>
  <c r="I26" i="7" s="1"/>
  <c r="E25" i="7"/>
  <c r="G25" i="7" s="1"/>
  <c r="I25" i="7" s="1"/>
  <c r="E24" i="7"/>
  <c r="G24" i="7" s="1"/>
  <c r="I24" i="7" s="1"/>
  <c r="G28" i="7"/>
  <c r="I28" i="7" s="1"/>
  <c r="E36" i="1"/>
  <c r="D3" i="3"/>
  <c r="G28" i="11" l="1"/>
  <c r="C55" i="11" s="1"/>
  <c r="E19" i="4" s="1"/>
  <c r="C15" i="10"/>
  <c r="G4" i="11"/>
  <c r="E10" i="11"/>
  <c r="F46" i="11"/>
  <c r="H15" i="7"/>
  <c r="I29" i="7"/>
  <c r="G10" i="11" l="1"/>
  <c r="C54" i="11" s="1"/>
  <c r="G56" i="11"/>
  <c r="F52" i="11"/>
  <c r="C56" i="11" s="1"/>
  <c r="E20" i="4" s="1"/>
  <c r="N29" i="7"/>
  <c r="O34" i="7" s="1"/>
  <c r="D44" i="7"/>
  <c r="H16" i="7"/>
  <c r="H17" i="7" s="1"/>
  <c r="H18" i="7" s="1"/>
  <c r="E18" i="4" l="1"/>
  <c r="C59" i="11"/>
  <c r="E23" i="4" s="1"/>
  <c r="H19" i="7"/>
  <c r="G27" i="1"/>
  <c r="G9" i="1"/>
  <c r="E44" i="1"/>
  <c r="F44" i="1" s="1"/>
  <c r="E42" i="1"/>
  <c r="F42" i="1" s="1"/>
  <c r="E40" i="1"/>
  <c r="F40" i="1" s="1"/>
  <c r="E38" i="1"/>
  <c r="F38" i="1" s="1"/>
  <c r="F36" i="1"/>
  <c r="E46" i="1"/>
  <c r="F46" i="1" s="1"/>
  <c r="E51" i="1"/>
  <c r="O34" i="1"/>
  <c r="O38" i="1"/>
  <c r="O37" i="1"/>
  <c r="O36" i="1"/>
  <c r="O35" i="1"/>
  <c r="D8" i="1"/>
  <c r="G8" i="1" s="1"/>
  <c r="D7" i="1"/>
  <c r="G7" i="1" s="1"/>
  <c r="D6" i="1"/>
  <c r="G6" i="1" s="1"/>
  <c r="D5" i="1"/>
  <c r="G5" i="1" s="1"/>
  <c r="D16" i="1"/>
  <c r="E16" i="1" s="1"/>
  <c r="G16" i="1" s="1"/>
  <c r="C60" i="11" l="1"/>
  <c r="E24" i="4" s="1"/>
  <c r="G28" i="1"/>
  <c r="C55" i="1" s="1"/>
  <c r="E50" i="1"/>
  <c r="F50" i="1" s="1"/>
  <c r="G4" i="1"/>
  <c r="C54" i="1" s="1"/>
  <c r="C61" i="11" l="1"/>
  <c r="E25" i="4" s="1"/>
  <c r="E26" i="4" s="1"/>
  <c r="E54" i="11"/>
  <c r="G54" i="11" s="1"/>
  <c r="D18" i="4"/>
  <c r="C59" i="1"/>
  <c r="C60" i="1" s="1"/>
  <c r="D19" i="4"/>
  <c r="E55" i="11"/>
  <c r="G55" i="11" s="1"/>
  <c r="C6" i="12"/>
  <c r="C7" i="12" s="1"/>
  <c r="E27" i="4" l="1"/>
  <c r="D23" i="4"/>
  <c r="E59" i="11"/>
  <c r="G59" i="11" s="1"/>
  <c r="C61" i="1"/>
  <c r="C6" i="3" s="1"/>
  <c r="D24" i="4"/>
  <c r="E60" i="11"/>
  <c r="G60" i="11" s="1"/>
  <c r="D25" i="4" l="1"/>
  <c r="E61" i="11"/>
  <c r="G61" i="11" s="1"/>
  <c r="C7" i="3"/>
  <c r="E6" i="12"/>
  <c r="G6" i="12" s="1"/>
  <c r="H6" i="12" s="1"/>
  <c r="E7" i="12" l="1"/>
  <c r="C8" i="3"/>
  <c r="G7" i="12"/>
  <c r="H7" i="12" s="1"/>
  <c r="F25" i="4"/>
  <c r="D26" i="4"/>
  <c r="F26" i="4" l="1"/>
  <c r="D27" i="4"/>
  <c r="H26" i="4"/>
</calcChain>
</file>

<file path=xl/sharedStrings.xml><?xml version="1.0" encoding="utf-8"?>
<sst xmlns="http://schemas.openxmlformats.org/spreadsheetml/2006/main" count="267" uniqueCount="151">
  <si>
    <t>cantidad mes</t>
  </si>
  <si>
    <t>insumos</t>
  </si>
  <si>
    <t>ENERGIA</t>
  </si>
  <si>
    <t>RECURSO HUMANO</t>
  </si>
  <si>
    <t>CARGO</t>
  </si>
  <si>
    <t>COSTO MES</t>
  </si>
  <si>
    <t>VALOR TOTAL MES</t>
  </si>
  <si>
    <t>valor total MES</t>
  </si>
  <si>
    <t>ESMALTE</t>
  </si>
  <si>
    <t>OPERARIO</t>
  </si>
  <si>
    <t>MOLIENDA</t>
  </si>
  <si>
    <t>ATOMIZADO</t>
  </si>
  <si>
    <t>PRESADO</t>
  </si>
  <si>
    <t>SECADO</t>
  </si>
  <si>
    <t>ESMALTADO</t>
  </si>
  <si>
    <t xml:space="preserve">EMPAQUETADO </t>
  </si>
  <si>
    <t>NUMERO DE CARGOS POR TURNO</t>
  </si>
  <si>
    <t>TOTAL CARGOS</t>
  </si>
  <si>
    <t>Arcilla</t>
  </si>
  <si>
    <t>Feldespatos</t>
  </si>
  <si>
    <t>Arenas</t>
  </si>
  <si>
    <t>%</t>
  </si>
  <si>
    <t xml:space="preserve">cantidad hora </t>
  </si>
  <si>
    <t>Carbonatos</t>
  </si>
  <si>
    <t>Caolines</t>
  </si>
  <si>
    <t>AGUA cm3</t>
  </si>
  <si>
    <t>valor kg</t>
  </si>
  <si>
    <t>tiempos de parada y mantenimiento al mes</t>
  </si>
  <si>
    <t>COMBUSTIBLE GAS (Atomizador, secador y horno)</t>
  </si>
  <si>
    <t xml:space="preserve">Supervisor </t>
  </si>
  <si>
    <t>ingeniero de produccion</t>
  </si>
  <si>
    <t>Materia primas</t>
  </si>
  <si>
    <t>Servicios</t>
  </si>
  <si>
    <t>atomizador</t>
  </si>
  <si>
    <t>secador</t>
  </si>
  <si>
    <t>Horno</t>
  </si>
  <si>
    <t>molino</t>
  </si>
  <si>
    <t>prensa</t>
  </si>
  <si>
    <t>esmaltadora</t>
  </si>
  <si>
    <t>empaquetadora</t>
  </si>
  <si>
    <t>robot paletizador</t>
  </si>
  <si>
    <t>otros planta</t>
  </si>
  <si>
    <t>total</t>
  </si>
  <si>
    <t>valor  m3 gas, energ kw, m3 agua)</t>
  </si>
  <si>
    <t>TOTAL</t>
  </si>
  <si>
    <t>Consumo mes</t>
  </si>
  <si>
    <t>TOTAL COSTOS</t>
  </si>
  <si>
    <t>GASTOS 25%</t>
  </si>
  <si>
    <t>TOTAL EGRESOS</t>
  </si>
  <si>
    <t>valor por metro cuadrado</t>
  </si>
  <si>
    <t>valor total</t>
  </si>
  <si>
    <t>Robotizar el paletizado</t>
  </si>
  <si>
    <t>INTERVENCIONES</t>
  </si>
  <si>
    <t>CONSULTORES</t>
  </si>
  <si>
    <t>OTROS GASTOS</t>
  </si>
  <si>
    <t xml:space="preserve">TIEMPO </t>
  </si>
  <si>
    <t>VALOR FINAL</t>
  </si>
  <si>
    <t>IVA 19%</t>
  </si>
  <si>
    <t>Implementar empacadora</t>
  </si>
  <si>
    <t>cada 2 meses sacan 8 horas</t>
  </si>
  <si>
    <t>EQUIPOS</t>
  </si>
  <si>
    <t>IVA</t>
  </si>
  <si>
    <t>Parada general o Mayar de planta 8 dias al año</t>
  </si>
  <si>
    <t>aranceles</t>
  </si>
  <si>
    <t>VALOR $US</t>
  </si>
  <si>
    <t>VALOR COP (TASA DE 4000)</t>
  </si>
  <si>
    <t>Gripper 2FGP20</t>
  </si>
  <si>
    <t>TRM</t>
  </si>
  <si>
    <t>Baldosas de 20 x 20</t>
  </si>
  <si>
    <t>1metro cuadrado son 25 baldosas</t>
  </si>
  <si>
    <t>Capacidadada de la prensadora y secadora</t>
  </si>
  <si>
    <t>Capasidad de produccion del esmaltado</t>
  </si>
  <si>
    <t>12,600 baldosas por hora</t>
  </si>
  <si>
    <t>3.600 baldosas por esmaltadora 7200 las dos y perdidas de 200</t>
  </si>
  <si>
    <t>promedio de 7000 por hora</t>
  </si>
  <si>
    <t>Capasidad el horno por hora</t>
  </si>
  <si>
    <t>8820 baldosas</t>
  </si>
  <si>
    <t>fabrica produce 7000 baldosas por hora</t>
  </si>
  <si>
    <t>cada 2 meses parada de 8 horas por mantenimiento</t>
  </si>
  <si>
    <t>PRODUCCION MES BALDOSAS</t>
  </si>
  <si>
    <t>Produccion final</t>
  </si>
  <si>
    <t>Produccion mes en metros cuadrados</t>
  </si>
  <si>
    <t>promedio de parada mes de 1dia</t>
  </si>
  <si>
    <t>Ingresos</t>
  </si>
  <si>
    <t>Egresos</t>
  </si>
  <si>
    <t>Servicios (Mantenimiento) 1% ventas</t>
  </si>
  <si>
    <t>Depresiacion (15 AÑOS)</t>
  </si>
  <si>
    <t>Consultoria del proyecto 6MESES
Realizacion de los estudios y diseños integrales tecnicos y financieros del proyecto de automatizacion de la planta incluye acompañamiento en la puesta en opoeración</t>
  </si>
  <si>
    <t xml:space="preserve">SALARIO </t>
  </si>
  <si>
    <t>NUMERO</t>
  </si>
  <si>
    <t>6 MESES</t>
  </si>
  <si>
    <t>VALOR TOTAL</t>
  </si>
  <si>
    <t>SUMINISTROS</t>
  </si>
  <si>
    <t>GASTOS DE DESPLAZAMIENTO</t>
  </si>
  <si>
    <t>AIU 20%</t>
  </si>
  <si>
    <t>INVERSION</t>
  </si>
  <si>
    <t>SERVICIOS</t>
  </si>
  <si>
    <t>CONSULTORIA</t>
  </si>
  <si>
    <t>SERIVICIOS</t>
  </si>
  <si>
    <t>3.600 baldosas por esmaltadora 10800 las 3 yse reducen las perdidas a 20 baldosas</t>
  </si>
  <si>
    <t>promedio final de 10780 por hora</t>
  </si>
  <si>
    <t>PALETIZADO</t>
  </si>
  <si>
    <t>RENTABILIDAD</t>
  </si>
  <si>
    <t>Servicios publicos</t>
  </si>
  <si>
    <t>Valor puesto en colombia</t>
  </si>
  <si>
    <t>TOTAL CONSULTORIA</t>
  </si>
  <si>
    <t>ACTUAL</t>
  </si>
  <si>
    <t>PROYECTADO</t>
  </si>
  <si>
    <t>PRODUCCION M2</t>
  </si>
  <si>
    <t>COSTOS Y GASTOS</t>
  </si>
  <si>
    <t>INGRESOS</t>
  </si>
  <si>
    <t>VENTAS</t>
  </si>
  <si>
    <t>% VARIACION</t>
  </si>
  <si>
    <t>RENTABIIDAD</t>
  </si>
  <si>
    <t>Producción</t>
  </si>
  <si>
    <t>Valor por metro cuadrado</t>
  </si>
  <si>
    <t>Valor total ventas mes</t>
  </si>
  <si>
    <t>Adquisición de Esmaltadora</t>
  </si>
  <si>
    <t>Adquisición  de empacadora</t>
  </si>
  <si>
    <t>Adquisición Robot KR22 R1610-2</t>
  </si>
  <si>
    <t>Adquisición de sensores y actuadores</t>
  </si>
  <si>
    <t>INSTALACIONES DE EQUIPOS (Suministros trnasporte y mano de obra)</t>
  </si>
  <si>
    <t xml:space="preserve">Instalación de Esmaltadora </t>
  </si>
  <si>
    <t>Instalación de Empacadora</t>
  </si>
  <si>
    <t>Instalación del robot</t>
  </si>
  <si>
    <t>Capacitacion y entrenamiento al personal</t>
  </si>
  <si>
    <t>Con la nueva esmaltadora y la automatización de este proceso se incrementa la productividad eliminando el cuello de botella del ciclo productivo y se reducen las pérdidas por calidad en esta fase</t>
  </si>
  <si>
    <t xml:space="preserve">Con la implementacion de la empacadora se mejora la eficiencia de este proceso y se reducen las pérdidas por daño en el producto que se presenta ante la manipulación manual </t>
  </si>
  <si>
    <t xml:space="preserve">Con la implementación del robot se mejora la eficiencia del proceso y se reduce el riesgo de daño en la salud de los operarios </t>
  </si>
  <si>
    <t>Capacidad el horno por hora</t>
  </si>
  <si>
    <t>Capacidad de producción del esmaltado 3 Esmaltadora</t>
  </si>
  <si>
    <t>Fábrica produce 8820 baldosas por hora</t>
  </si>
  <si>
    <t>Parada general o Mayor de planta 8 dias al año</t>
  </si>
  <si>
    <t>Promedio de parada mes de 1dia</t>
  </si>
  <si>
    <t>Pérdidas por daño de producto en empacado y paletizado de 0,5%</t>
  </si>
  <si>
    <t>Producción final</t>
  </si>
  <si>
    <t>Producción mes en metros cuadrados</t>
  </si>
  <si>
    <t xml:space="preserve">Con el proyecto se logra incremento en la produción de </t>
  </si>
  <si>
    <t>Capacidad de la prensadora y secadora</t>
  </si>
  <si>
    <t>Cada 2 meses parada de 8 horas por mantenimiento</t>
  </si>
  <si>
    <t>Depreciación (15 AÑOS)</t>
  </si>
  <si>
    <t>paletizado</t>
  </si>
  <si>
    <t>empaque</t>
  </si>
  <si>
    <t>PROYECTAO</t>
  </si>
  <si>
    <t>0.0005</t>
  </si>
  <si>
    <t>% rentabilidad sobre ventas</t>
  </si>
  <si>
    <t>Nueva esmaltadora</t>
  </si>
  <si>
    <t>Perdidas por daño de producto en empacado y paletizado de 5%</t>
  </si>
  <si>
    <t>No baldosas</t>
  </si>
  <si>
    <t>No m2 producidos</t>
  </si>
  <si>
    <t>costos de caja de baldosas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</si>
</sst>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0" xfId="3" applyFont="1"/>
    <xf numFmtId="165" fontId="0" fillId="0" borderId="0" xfId="2" applyNumberFormat="1" applyFont="1"/>
    <xf numFmtId="0" fontId="4" fillId="0" borderId="0" xfId="0" applyFont="1"/>
    <xf numFmtId="164" fontId="0" fillId="0" borderId="0" xfId="1" applyNumberFormat="1" applyFont="1"/>
    <xf numFmtId="165" fontId="0" fillId="0" borderId="1" xfId="2" applyNumberFormat="1" applyFont="1" applyBorder="1"/>
    <xf numFmtId="165" fontId="0" fillId="0" borderId="0" xfId="0" applyNumberFormat="1"/>
    <xf numFmtId="0" fontId="2" fillId="0" borderId="0" xfId="0" applyFont="1"/>
    <xf numFmtId="164" fontId="2" fillId="0" borderId="0" xfId="1" applyNumberFormat="1" applyFont="1"/>
    <xf numFmtId="165" fontId="6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44" fontId="0" fillId="0" borderId="0" xfId="2" applyFont="1"/>
    <xf numFmtId="164" fontId="7" fillId="0" borderId="0" xfId="1" applyNumberFormat="1" applyFont="1"/>
    <xf numFmtId="0" fontId="0" fillId="0" borderId="0" xfId="0" applyAlignment="1">
      <alignment horizontal="center"/>
    </xf>
    <xf numFmtId="165" fontId="2" fillId="0" borderId="1" xfId="2" applyNumberFormat="1" applyFont="1" applyBorder="1"/>
    <xf numFmtId="165" fontId="2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0" fillId="2" borderId="0" xfId="0" applyFill="1"/>
    <xf numFmtId="0" fontId="5" fillId="0" borderId="0" xfId="0" applyFont="1" applyAlignment="1">
      <alignment wrapText="1"/>
    </xf>
    <xf numFmtId="165" fontId="0" fillId="0" borderId="1" xfId="0" applyNumberFormat="1" applyBorder="1"/>
    <xf numFmtId="0" fontId="0" fillId="0" borderId="2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165" fontId="0" fillId="0" borderId="4" xfId="2" applyNumberFormat="1" applyFont="1" applyBorder="1"/>
    <xf numFmtId="0" fontId="0" fillId="3" borderId="2" xfId="0" applyFill="1" applyBorder="1"/>
    <xf numFmtId="0" fontId="0" fillId="3" borderId="5" xfId="0" applyFill="1" applyBorder="1"/>
    <xf numFmtId="0" fontId="0" fillId="3" borderId="3" xfId="0" applyFill="1" applyBorder="1"/>
    <xf numFmtId="165" fontId="0" fillId="0" borderId="3" xfId="2" applyNumberFormat="1" applyFon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5" fontId="5" fillId="0" borderId="3" xfId="2" applyNumberFormat="1" applyFont="1" applyBorder="1"/>
    <xf numFmtId="8" fontId="9" fillId="0" borderId="1" xfId="0" applyNumberFormat="1" applyFont="1" applyBorder="1"/>
    <xf numFmtId="9" fontId="0" fillId="0" borderId="1" xfId="3" applyFont="1" applyBorder="1"/>
    <xf numFmtId="0" fontId="9" fillId="0" borderId="1" xfId="0" applyFont="1" applyBorder="1" applyAlignment="1">
      <alignment wrapText="1"/>
    </xf>
    <xf numFmtId="8" fontId="9" fillId="0" borderId="1" xfId="0" applyNumberFormat="1" applyFont="1" applyBorder="1" applyAlignment="1">
      <alignment horizontal="right" wrapText="1"/>
    </xf>
    <xf numFmtId="0" fontId="2" fillId="0" borderId="1" xfId="0" applyFont="1" applyBorder="1"/>
    <xf numFmtId="0" fontId="2" fillId="0" borderId="2" xfId="0" applyFont="1" applyBorder="1"/>
    <xf numFmtId="9" fontId="0" fillId="0" borderId="4" xfId="3" applyFont="1" applyBorder="1"/>
    <xf numFmtId="165" fontId="2" fillId="0" borderId="1" xfId="0" applyNumberFormat="1" applyFont="1" applyBorder="1"/>
    <xf numFmtId="165" fontId="5" fillId="0" borderId="1" xfId="0" applyNumberFormat="1" applyFont="1" applyBorder="1"/>
    <xf numFmtId="0" fontId="0" fillId="0" borderId="12" xfId="0" applyBorder="1"/>
    <xf numFmtId="44" fontId="3" fillId="0" borderId="0" xfId="2" applyFont="1"/>
    <xf numFmtId="0" fontId="8" fillId="0" borderId="1" xfId="0" applyFont="1" applyBorder="1"/>
    <xf numFmtId="164" fontId="0" fillId="0" borderId="4" xfId="1" applyNumberFormat="1" applyFont="1" applyBorder="1"/>
    <xf numFmtId="9" fontId="2" fillId="0" borderId="4" xfId="3" applyFont="1" applyBorder="1"/>
    <xf numFmtId="9" fontId="2" fillId="0" borderId="1" xfId="3" applyFont="1" applyBorder="1"/>
    <xf numFmtId="164" fontId="0" fillId="2" borderId="0" xfId="1" applyNumberFormat="1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2" fillId="0" borderId="0" xfId="2" applyNumberFormat="1" applyFont="1"/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93C1-ECFA-485C-9C62-BF401D0CF37D}">
  <dimension ref="B2:C15"/>
  <sheetViews>
    <sheetView workbookViewId="0">
      <selection activeCell="C15" sqref="C15"/>
    </sheetView>
  </sheetViews>
  <sheetFormatPr defaultColWidth="11.5546875" defaultRowHeight="14.4" x14ac:dyDescent="0.3"/>
  <cols>
    <col min="2" max="2" width="36.109375" customWidth="1"/>
    <col min="3" max="3" width="30.44140625" customWidth="1"/>
  </cols>
  <sheetData>
    <row r="2" spans="2:3" x14ac:dyDescent="0.3">
      <c r="B2" s="12" t="s">
        <v>68</v>
      </c>
      <c r="C2" t="s">
        <v>69</v>
      </c>
    </row>
    <row r="3" spans="2:3" x14ac:dyDescent="0.3">
      <c r="B3" s="12" t="s">
        <v>70</v>
      </c>
      <c r="C3" t="s">
        <v>72</v>
      </c>
    </row>
    <row r="4" spans="2:3" x14ac:dyDescent="0.3">
      <c r="B4" s="56" t="s">
        <v>71</v>
      </c>
      <c r="C4" t="s">
        <v>73</v>
      </c>
    </row>
    <row r="5" spans="2:3" x14ac:dyDescent="0.3">
      <c r="B5" s="56"/>
      <c r="C5" t="s">
        <v>74</v>
      </c>
    </row>
    <row r="6" spans="2:3" x14ac:dyDescent="0.3">
      <c r="B6" t="s">
        <v>75</v>
      </c>
      <c r="C6" t="s">
        <v>76</v>
      </c>
    </row>
    <row r="8" spans="2:3" x14ac:dyDescent="0.3">
      <c r="B8" s="22" t="s">
        <v>77</v>
      </c>
    </row>
    <row r="9" spans="2:3" x14ac:dyDescent="0.3">
      <c r="B9" t="s">
        <v>78</v>
      </c>
    </row>
    <row r="10" spans="2:3" x14ac:dyDescent="0.3">
      <c r="B10" t="s">
        <v>132</v>
      </c>
    </row>
    <row r="11" spans="2:3" x14ac:dyDescent="0.3">
      <c r="B11" t="s">
        <v>82</v>
      </c>
    </row>
    <row r="12" spans="2:3" x14ac:dyDescent="0.3">
      <c r="B12" t="s">
        <v>79</v>
      </c>
      <c r="C12" s="6">
        <f>7000*24*29</f>
        <v>4872000</v>
      </c>
    </row>
    <row r="13" spans="2:3" x14ac:dyDescent="0.3">
      <c r="B13" t="s">
        <v>147</v>
      </c>
    </row>
    <row r="14" spans="2:3" x14ac:dyDescent="0.3">
      <c r="B14" t="s">
        <v>80</v>
      </c>
      <c r="C14" s="6">
        <f>+C12*0.95</f>
        <v>4628400</v>
      </c>
    </row>
    <row r="15" spans="2:3" x14ac:dyDescent="0.3">
      <c r="B15" t="s">
        <v>81</v>
      </c>
      <c r="C15" s="6">
        <f>+C14/25</f>
        <v>185136</v>
      </c>
    </row>
  </sheetData>
  <mergeCells count="1"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A0CC-1F48-4228-9280-2FE158369302}">
  <dimension ref="A1:P71"/>
  <sheetViews>
    <sheetView zoomScale="85" zoomScaleNormal="85" workbookViewId="0">
      <selection activeCell="F72" sqref="F72"/>
    </sheetView>
  </sheetViews>
  <sheetFormatPr defaultColWidth="11.5546875" defaultRowHeight="14.4" x14ac:dyDescent="0.3"/>
  <cols>
    <col min="2" max="2" width="27" customWidth="1"/>
    <col min="3" max="3" width="21.44140625" customWidth="1"/>
    <col min="4" max="4" width="13.6640625" customWidth="1"/>
    <col min="5" max="5" width="15.5546875" bestFit="1" customWidth="1"/>
    <col min="6" max="6" width="17.6640625" customWidth="1"/>
    <col min="7" max="7" width="21" customWidth="1"/>
    <col min="14" max="14" width="27.44140625" customWidth="1"/>
  </cols>
  <sheetData>
    <row r="1" spans="1:16" x14ac:dyDescent="0.3">
      <c r="C1" t="s">
        <v>148</v>
      </c>
      <c r="D1">
        <v>7000</v>
      </c>
    </row>
    <row r="3" spans="1:16" x14ac:dyDescent="0.3">
      <c r="B3" t="s">
        <v>1</v>
      </c>
      <c r="C3" t="s">
        <v>21</v>
      </c>
      <c r="D3" t="s">
        <v>22</v>
      </c>
      <c r="E3" t="s">
        <v>0</v>
      </c>
      <c r="F3" t="s">
        <v>26</v>
      </c>
      <c r="G3" t="s">
        <v>7</v>
      </c>
    </row>
    <row r="4" spans="1:16" ht="21" x14ac:dyDescent="0.4">
      <c r="B4" t="s">
        <v>18</v>
      </c>
      <c r="C4" s="3">
        <v>0.5</v>
      </c>
      <c r="D4" s="6">
        <f>+D1*C4</f>
        <v>3500</v>
      </c>
      <c r="E4" s="6">
        <f>+D4*24*29</f>
        <v>2436000</v>
      </c>
      <c r="F4" s="4">
        <v>572</v>
      </c>
      <c r="G4" s="4">
        <f>+F4*E4</f>
        <v>1393392000</v>
      </c>
      <c r="N4" s="5" t="s">
        <v>27</v>
      </c>
    </row>
    <row r="5" spans="1:16" x14ac:dyDescent="0.3">
      <c r="B5" t="s">
        <v>19</v>
      </c>
      <c r="C5" s="3">
        <v>0.25</v>
      </c>
      <c r="D5" s="6">
        <f>+D1*C5</f>
        <v>1750</v>
      </c>
      <c r="E5" s="6">
        <f t="shared" ref="E5:E8" si="0">+D5*24*29</f>
        <v>1218000</v>
      </c>
      <c r="F5">
        <v>220</v>
      </c>
      <c r="G5" s="4">
        <f t="shared" ref="G5:G9" si="1">+F5*E5</f>
        <v>267960000</v>
      </c>
    </row>
    <row r="6" spans="1:16" x14ac:dyDescent="0.3">
      <c r="B6" t="s">
        <v>20</v>
      </c>
      <c r="C6" s="3">
        <v>0.15</v>
      </c>
      <c r="D6" s="6">
        <f>+D1*C6</f>
        <v>1050</v>
      </c>
      <c r="E6" s="6">
        <f t="shared" si="0"/>
        <v>730800</v>
      </c>
      <c r="F6">
        <v>272</v>
      </c>
      <c r="G6" s="4">
        <f t="shared" si="1"/>
        <v>198777600</v>
      </c>
    </row>
    <row r="7" spans="1:16" x14ac:dyDescent="0.3">
      <c r="B7" t="s">
        <v>23</v>
      </c>
      <c r="C7" s="3">
        <v>7.0000000000000007E-2</v>
      </c>
      <c r="D7" s="6">
        <f>+D1*C7</f>
        <v>490.00000000000006</v>
      </c>
      <c r="E7" s="6">
        <f t="shared" si="0"/>
        <v>341040.00000000006</v>
      </c>
      <c r="F7">
        <v>879</v>
      </c>
      <c r="G7" s="4">
        <f t="shared" si="1"/>
        <v>299774160.00000006</v>
      </c>
    </row>
    <row r="8" spans="1:16" x14ac:dyDescent="0.3">
      <c r="B8" t="s">
        <v>24</v>
      </c>
      <c r="C8" s="3">
        <v>0.03</v>
      </c>
      <c r="D8" s="6">
        <f>+D1*C8</f>
        <v>210</v>
      </c>
      <c r="E8" s="6">
        <f t="shared" si="0"/>
        <v>146160</v>
      </c>
      <c r="F8">
        <v>770</v>
      </c>
      <c r="G8" s="4">
        <f t="shared" si="1"/>
        <v>112543200</v>
      </c>
    </row>
    <row r="9" spans="1:16" x14ac:dyDescent="0.3">
      <c r="B9" t="s">
        <v>8</v>
      </c>
      <c r="C9" s="3"/>
      <c r="D9" s="6"/>
      <c r="E9" s="6">
        <f>185136*0.5</f>
        <v>92568</v>
      </c>
      <c r="F9">
        <v>900</v>
      </c>
      <c r="G9" s="4">
        <f t="shared" si="1"/>
        <v>83311200</v>
      </c>
    </row>
    <row r="10" spans="1:16" ht="18" x14ac:dyDescent="0.35">
      <c r="C10" s="3"/>
      <c r="D10" s="6"/>
      <c r="E10" s="6">
        <f>SUM(E4:E9)</f>
        <v>4964568</v>
      </c>
      <c r="G10" s="11">
        <f>SUM(G4:G9)</f>
        <v>2355758160</v>
      </c>
    </row>
    <row r="11" spans="1:16" ht="30.75" customHeight="1" x14ac:dyDescent="0.3">
      <c r="E11" s="14" t="s">
        <v>45</v>
      </c>
      <c r="F11" s="13" t="s">
        <v>43</v>
      </c>
      <c r="G11" t="s">
        <v>7</v>
      </c>
    </row>
    <row r="12" spans="1:16" x14ac:dyDescent="0.3">
      <c r="A12" t="s">
        <v>28</v>
      </c>
      <c r="B12" t="s">
        <v>28</v>
      </c>
      <c r="C12" t="s">
        <v>33</v>
      </c>
      <c r="E12" s="22">
        <v>141120</v>
      </c>
    </row>
    <row r="13" spans="1:16" x14ac:dyDescent="0.3">
      <c r="C13" t="s">
        <v>34</v>
      </c>
      <c r="E13" s="22">
        <v>18000</v>
      </c>
    </row>
    <row r="14" spans="1:16" x14ac:dyDescent="0.3">
      <c r="C14" t="s">
        <v>35</v>
      </c>
      <c r="E14" s="22">
        <v>108000</v>
      </c>
      <c r="P14" t="s">
        <v>144</v>
      </c>
    </row>
    <row r="15" spans="1:16" x14ac:dyDescent="0.3">
      <c r="C15" t="s">
        <v>44</v>
      </c>
      <c r="E15" s="9">
        <f>+SUM(E12:E14)</f>
        <v>267120</v>
      </c>
      <c r="F15" s="9">
        <v>2219</v>
      </c>
      <c r="G15">
        <f>+E15*F15</f>
        <v>592739280</v>
      </c>
      <c r="P15">
        <v>5.0000000000000001E-4</v>
      </c>
    </row>
    <row r="16" spans="1:16" x14ac:dyDescent="0.3">
      <c r="A16" t="s">
        <v>25</v>
      </c>
      <c r="B16" t="s">
        <v>25</v>
      </c>
      <c r="C16" t="s">
        <v>36</v>
      </c>
      <c r="D16" s="6">
        <f>1800*2</f>
        <v>3600</v>
      </c>
      <c r="E16" s="10">
        <f>+D16*24</f>
        <v>86400</v>
      </c>
      <c r="F16" s="9">
        <v>28.7</v>
      </c>
      <c r="G16" s="4">
        <f>+F16*E16</f>
        <v>2479680</v>
      </c>
      <c r="P16">
        <f>+P15*1000000</f>
        <v>500</v>
      </c>
    </row>
    <row r="17" spans="1:7" x14ac:dyDescent="0.3">
      <c r="D17" s="6"/>
      <c r="E17" s="6"/>
    </row>
    <row r="18" spans="1:7" x14ac:dyDescent="0.3">
      <c r="A18" t="s">
        <v>2</v>
      </c>
      <c r="B18" t="s">
        <v>2</v>
      </c>
      <c r="C18" t="s">
        <v>36</v>
      </c>
      <c r="E18" s="55">
        <v>36000</v>
      </c>
    </row>
    <row r="19" spans="1:7" ht="18" x14ac:dyDescent="0.35">
      <c r="C19" t="s">
        <v>33</v>
      </c>
      <c r="E19" s="55">
        <v>96000</v>
      </c>
      <c r="G19" s="11"/>
    </row>
    <row r="20" spans="1:7" ht="18" x14ac:dyDescent="0.35">
      <c r="C20" t="s">
        <v>37</v>
      </c>
      <c r="D20" s="6"/>
      <c r="E20" s="6">
        <v>24000</v>
      </c>
      <c r="G20" s="11"/>
    </row>
    <row r="21" spans="1:7" ht="18" x14ac:dyDescent="0.35">
      <c r="C21" t="s">
        <v>34</v>
      </c>
      <c r="E21" s="55">
        <v>1500</v>
      </c>
      <c r="G21" s="11"/>
    </row>
    <row r="22" spans="1:7" x14ac:dyDescent="0.3">
      <c r="C22" t="s">
        <v>38</v>
      </c>
      <c r="E22" s="55">
        <v>21600</v>
      </c>
    </row>
    <row r="23" spans="1:7" x14ac:dyDescent="0.3">
      <c r="C23" t="s">
        <v>35</v>
      </c>
      <c r="E23" s="55">
        <v>1700</v>
      </c>
    </row>
    <row r="24" spans="1:7" x14ac:dyDescent="0.3">
      <c r="C24" t="s">
        <v>142</v>
      </c>
      <c r="E24" s="55">
        <v>0</v>
      </c>
    </row>
    <row r="25" spans="1:7" x14ac:dyDescent="0.3">
      <c r="C25" t="s">
        <v>141</v>
      </c>
      <c r="E25" s="55">
        <v>0</v>
      </c>
    </row>
    <row r="26" spans="1:7" x14ac:dyDescent="0.3">
      <c r="C26" t="s">
        <v>41</v>
      </c>
      <c r="E26" s="55">
        <v>12600</v>
      </c>
    </row>
    <row r="27" spans="1:7" x14ac:dyDescent="0.3">
      <c r="C27" t="s">
        <v>42</v>
      </c>
      <c r="E27" s="16">
        <f>SUM(E18:E26)</f>
        <v>193400</v>
      </c>
      <c r="F27" s="9">
        <v>845</v>
      </c>
      <c r="G27" s="4">
        <f>+F27*E27</f>
        <v>163423000</v>
      </c>
    </row>
    <row r="28" spans="1:7" x14ac:dyDescent="0.3">
      <c r="B28" s="57" t="s">
        <v>44</v>
      </c>
      <c r="C28" s="57"/>
      <c r="E28" s="16"/>
      <c r="G28" s="65">
        <f>+G27+G16+G15</f>
        <v>758641960</v>
      </c>
    </row>
    <row r="29" spans="1:7" x14ac:dyDescent="0.3">
      <c r="B29" s="17"/>
      <c r="C29" s="17"/>
      <c r="E29" s="16"/>
      <c r="G29" s="4"/>
    </row>
    <row r="30" spans="1:7" x14ac:dyDescent="0.3">
      <c r="B30" s="17"/>
      <c r="C30" s="17"/>
      <c r="E30" s="16"/>
      <c r="G30" s="4"/>
    </row>
    <row r="31" spans="1:7" x14ac:dyDescent="0.3">
      <c r="B31" s="17"/>
      <c r="C31" s="17"/>
      <c r="E31" s="16"/>
      <c r="G31" s="4"/>
    </row>
    <row r="32" spans="1:7" x14ac:dyDescent="0.3">
      <c r="B32" s="17"/>
      <c r="C32" s="17"/>
      <c r="E32" s="16"/>
      <c r="G32" s="4"/>
    </row>
    <row r="34" spans="1:15" x14ac:dyDescent="0.3">
      <c r="B34" t="s">
        <v>3</v>
      </c>
      <c r="O34">
        <f>22900/40</f>
        <v>572.5</v>
      </c>
    </row>
    <row r="35" spans="1:15" ht="28.8" x14ac:dyDescent="0.3">
      <c r="A35" s="1"/>
      <c r="B35" s="1" t="s">
        <v>4</v>
      </c>
      <c r="C35" s="2" t="s">
        <v>16</v>
      </c>
      <c r="D35" s="1" t="s">
        <v>17</v>
      </c>
      <c r="E35" s="1" t="s">
        <v>5</v>
      </c>
      <c r="F35" s="1" t="s">
        <v>6</v>
      </c>
      <c r="O35">
        <f>19227/25</f>
        <v>769.08</v>
      </c>
    </row>
    <row r="36" spans="1:15" x14ac:dyDescent="0.3">
      <c r="A36" s="1" t="s">
        <v>10</v>
      </c>
      <c r="B36" s="1" t="s">
        <v>9</v>
      </c>
      <c r="C36" s="1">
        <v>1</v>
      </c>
      <c r="D36" s="1">
        <v>4</v>
      </c>
      <c r="E36" s="7">
        <f>1700000*1.56</f>
        <v>2652000</v>
      </c>
      <c r="F36" s="7">
        <f>+E36*D36</f>
        <v>10608000</v>
      </c>
      <c r="O36">
        <f>10900/40</f>
        <v>272.5</v>
      </c>
    </row>
    <row r="37" spans="1:15" x14ac:dyDescent="0.3">
      <c r="A37" s="1"/>
      <c r="B37" s="1"/>
      <c r="C37" s="1"/>
      <c r="D37" s="1"/>
      <c r="E37" s="7"/>
      <c r="F37" s="7"/>
      <c r="O37">
        <f>21978/25</f>
        <v>879.12</v>
      </c>
    </row>
    <row r="38" spans="1:15" x14ac:dyDescent="0.3">
      <c r="A38" s="1" t="s">
        <v>11</v>
      </c>
      <c r="B38" s="1" t="s">
        <v>9</v>
      </c>
      <c r="C38" s="1">
        <v>1</v>
      </c>
      <c r="D38" s="1">
        <v>4</v>
      </c>
      <c r="E38" s="7">
        <f>1700000*1.56</f>
        <v>2652000</v>
      </c>
      <c r="F38" s="7">
        <f>+E38*D38</f>
        <v>10608000</v>
      </c>
      <c r="O38">
        <f>5500/25</f>
        <v>220</v>
      </c>
    </row>
    <row r="39" spans="1:15" x14ac:dyDescent="0.3">
      <c r="A39" s="1"/>
      <c r="B39" s="1"/>
      <c r="C39" s="1"/>
      <c r="D39" s="1"/>
      <c r="E39" s="7"/>
      <c r="F39" s="7"/>
    </row>
    <row r="40" spans="1:15" x14ac:dyDescent="0.3">
      <c r="A40" s="1" t="s">
        <v>12</v>
      </c>
      <c r="B40" s="1" t="s">
        <v>9</v>
      </c>
      <c r="C40" s="1">
        <v>2</v>
      </c>
      <c r="D40" s="1">
        <v>8</v>
      </c>
      <c r="E40" s="7">
        <f>1700000*1.56</f>
        <v>2652000</v>
      </c>
      <c r="F40" s="7">
        <f>+E40*D40</f>
        <v>21216000</v>
      </c>
    </row>
    <row r="41" spans="1:15" x14ac:dyDescent="0.3">
      <c r="A41" s="1"/>
      <c r="B41" s="1"/>
      <c r="C41" s="1"/>
      <c r="D41" s="1"/>
      <c r="E41" s="7"/>
      <c r="F41" s="7"/>
    </row>
    <row r="42" spans="1:15" x14ac:dyDescent="0.3">
      <c r="A42" s="1" t="s">
        <v>13</v>
      </c>
      <c r="B42" s="1" t="s">
        <v>9</v>
      </c>
      <c r="C42" s="1">
        <v>1</v>
      </c>
      <c r="D42" s="1">
        <v>4</v>
      </c>
      <c r="E42" s="7">
        <f>1700000*1.56</f>
        <v>2652000</v>
      </c>
      <c r="F42" s="7">
        <f>+E42*D42</f>
        <v>10608000</v>
      </c>
    </row>
    <row r="43" spans="1:15" x14ac:dyDescent="0.3">
      <c r="A43" s="1"/>
      <c r="B43" s="1"/>
      <c r="C43" s="1"/>
      <c r="D43" s="1"/>
      <c r="E43" s="7"/>
      <c r="F43" s="7"/>
    </row>
    <row r="44" spans="1:15" x14ac:dyDescent="0.3">
      <c r="A44" s="1" t="s">
        <v>14</v>
      </c>
      <c r="B44" s="1" t="s">
        <v>9</v>
      </c>
      <c r="C44" s="1">
        <v>1</v>
      </c>
      <c r="D44" s="1">
        <v>4</v>
      </c>
      <c r="E44" s="7">
        <f>1700000*1.56</f>
        <v>2652000</v>
      </c>
      <c r="F44" s="7">
        <f>+E44*D44</f>
        <v>10608000</v>
      </c>
    </row>
    <row r="45" spans="1:15" x14ac:dyDescent="0.3">
      <c r="A45" s="1"/>
      <c r="B45" s="1"/>
      <c r="C45" s="1"/>
      <c r="D45" s="1"/>
      <c r="E45" s="7"/>
      <c r="F45" s="7"/>
    </row>
    <row r="46" spans="1:15" x14ac:dyDescent="0.3">
      <c r="A46" s="1" t="s">
        <v>15</v>
      </c>
      <c r="B46" s="1" t="s">
        <v>9</v>
      </c>
      <c r="C46" s="1">
        <v>4</v>
      </c>
      <c r="D46" s="1">
        <v>16</v>
      </c>
      <c r="E46" s="7">
        <f>1700000*1.56</f>
        <v>2652000</v>
      </c>
      <c r="F46" s="7">
        <f>+E46*D46</f>
        <v>42432000</v>
      </c>
    </row>
    <row r="47" spans="1:15" x14ac:dyDescent="0.3">
      <c r="A47" s="1"/>
      <c r="B47" s="1"/>
      <c r="C47" s="1"/>
      <c r="D47" s="1"/>
      <c r="E47" s="7"/>
      <c r="F47" s="7"/>
    </row>
    <row r="48" spans="1:15" x14ac:dyDescent="0.3">
      <c r="A48" s="1" t="s">
        <v>101</v>
      </c>
      <c r="B48" s="1" t="s">
        <v>9</v>
      </c>
      <c r="C48" s="1">
        <v>6</v>
      </c>
      <c r="D48" s="1">
        <v>24</v>
      </c>
      <c r="E48" s="7">
        <f>1700000*1.56</f>
        <v>2652000</v>
      </c>
      <c r="F48" s="7">
        <f>+E48*D48</f>
        <v>63648000</v>
      </c>
    </row>
    <row r="49" spans="1:6" x14ac:dyDescent="0.3">
      <c r="A49" s="1"/>
      <c r="B49" s="1"/>
      <c r="C49" s="1"/>
      <c r="D49" s="1"/>
      <c r="E49" s="7"/>
      <c r="F49" s="7"/>
    </row>
    <row r="50" spans="1:6" x14ac:dyDescent="0.3">
      <c r="A50" s="1"/>
      <c r="B50" s="1" t="s">
        <v>29</v>
      </c>
      <c r="C50" s="1">
        <v>1</v>
      </c>
      <c r="D50" s="1">
        <v>4</v>
      </c>
      <c r="E50" s="7">
        <f>+E46*3</f>
        <v>7956000</v>
      </c>
      <c r="F50" s="7">
        <f>+E50*D50</f>
        <v>31824000</v>
      </c>
    </row>
    <row r="51" spans="1:6" x14ac:dyDescent="0.3">
      <c r="A51" s="1"/>
      <c r="B51" s="1" t="s">
        <v>30</v>
      </c>
      <c r="C51" s="1"/>
      <c r="D51" s="1">
        <v>1</v>
      </c>
      <c r="E51" s="7">
        <f>7000000*1.56</f>
        <v>10920000</v>
      </c>
      <c r="F51" s="7">
        <f>+E51*D51</f>
        <v>10920000</v>
      </c>
    </row>
    <row r="52" spans="1:6" x14ac:dyDescent="0.3">
      <c r="B52" s="49" t="s">
        <v>44</v>
      </c>
      <c r="F52" s="19">
        <f>SUM(F36:F51)</f>
        <v>212472000</v>
      </c>
    </row>
    <row r="54" spans="1:6" x14ac:dyDescent="0.3">
      <c r="B54" t="s">
        <v>31</v>
      </c>
      <c r="C54" s="8">
        <f>+G10</f>
        <v>2355758160</v>
      </c>
    </row>
    <row r="55" spans="1:6" x14ac:dyDescent="0.3">
      <c r="B55" t="s">
        <v>103</v>
      </c>
      <c r="C55" s="8">
        <f>+G28</f>
        <v>758641960</v>
      </c>
    </row>
    <row r="56" spans="1:6" x14ac:dyDescent="0.3">
      <c r="B56" t="s">
        <v>3</v>
      </c>
      <c r="C56" s="8">
        <f>+F52</f>
        <v>212472000</v>
      </c>
    </row>
    <row r="57" spans="1:6" x14ac:dyDescent="0.3">
      <c r="B57" t="s">
        <v>85</v>
      </c>
      <c r="C57" s="8">
        <v>57021888</v>
      </c>
    </row>
    <row r="58" spans="1:6" x14ac:dyDescent="0.3">
      <c r="B58" t="s">
        <v>86</v>
      </c>
      <c r="C58" s="8">
        <v>5461831.8189671235</v>
      </c>
    </row>
    <row r="59" spans="1:6" x14ac:dyDescent="0.3">
      <c r="B59" s="9" t="s">
        <v>46</v>
      </c>
      <c r="C59" s="19">
        <f>SUM(C54:C58)</f>
        <v>3389355839.8189673</v>
      </c>
    </row>
    <row r="60" spans="1:6" x14ac:dyDescent="0.3">
      <c r="B60" s="9" t="s">
        <v>47</v>
      </c>
      <c r="C60" s="19">
        <f>+C59*0.25</f>
        <v>847338959.95474184</v>
      </c>
    </row>
    <row r="61" spans="1:6" ht="17.399999999999999" x14ac:dyDescent="0.35">
      <c r="B61" s="20" t="s">
        <v>48</v>
      </c>
      <c r="C61" s="21">
        <f>+C60+C59</f>
        <v>4236694799.7737093</v>
      </c>
    </row>
    <row r="63" spans="1:6" x14ac:dyDescent="0.3">
      <c r="B63" t="s">
        <v>149</v>
      </c>
      <c r="C63" s="4">
        <v>185136</v>
      </c>
    </row>
    <row r="65" spans="2:3" x14ac:dyDescent="0.3">
      <c r="B65" t="s">
        <v>150</v>
      </c>
      <c r="C65" s="8">
        <f>C61/C63</f>
        <v>22884.229970258129</v>
      </c>
    </row>
    <row r="67" spans="2:3" x14ac:dyDescent="0.3">
      <c r="C67">
        <v>30800</v>
      </c>
    </row>
    <row r="69" spans="2:3" x14ac:dyDescent="0.3">
      <c r="C69" s="3">
        <f>C65/C67</f>
        <v>0.74299447955383535</v>
      </c>
    </row>
    <row r="71" spans="2:3" x14ac:dyDescent="0.3">
      <c r="C71" s="66">
        <f>1-C69</f>
        <v>0.25700552044616465</v>
      </c>
    </row>
  </sheetData>
  <mergeCells count="1">
    <mergeCell ref="B28:C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D296-DFEB-47F9-84E6-5485FDEAE9D7}">
  <dimension ref="B2:E9"/>
  <sheetViews>
    <sheetView workbookViewId="0">
      <selection activeCell="C7" sqref="C7"/>
    </sheetView>
  </sheetViews>
  <sheetFormatPr defaultColWidth="11.5546875" defaultRowHeight="14.4" x14ac:dyDescent="0.3"/>
  <cols>
    <col min="2" max="2" width="18.6640625" customWidth="1"/>
    <col min="3" max="3" width="15.33203125" customWidth="1"/>
    <col min="4" max="4" width="18.33203125" bestFit="1" customWidth="1"/>
    <col min="5" max="5" width="15.5546875" bestFit="1" customWidth="1"/>
  </cols>
  <sheetData>
    <row r="2" spans="2:5" ht="28.8" x14ac:dyDescent="0.3">
      <c r="B2" s="12" t="s">
        <v>114</v>
      </c>
      <c r="C2" s="12" t="s">
        <v>115</v>
      </c>
      <c r="D2" t="s">
        <v>116</v>
      </c>
    </row>
    <row r="3" spans="2:5" x14ac:dyDescent="0.3">
      <c r="B3" s="6">
        <v>185136</v>
      </c>
      <c r="C3" s="4">
        <v>30800</v>
      </c>
      <c r="D3" s="4">
        <f>+C3*B3</f>
        <v>5702188800</v>
      </c>
    </row>
    <row r="5" spans="2:5" x14ac:dyDescent="0.3">
      <c r="B5" t="s">
        <v>83</v>
      </c>
      <c r="C5" s="8">
        <f>+D3</f>
        <v>5702188800</v>
      </c>
    </row>
    <row r="6" spans="2:5" x14ac:dyDescent="0.3">
      <c r="B6" t="s">
        <v>84</v>
      </c>
      <c r="C6" s="4">
        <f>+'COSTOS Y GASTOS ACTUAL MES '!C61</f>
        <v>4236694799.7737093</v>
      </c>
    </row>
    <row r="7" spans="2:5" x14ac:dyDescent="0.3">
      <c r="B7" t="s">
        <v>102</v>
      </c>
      <c r="C7" s="4">
        <f>+C5-C6</f>
        <v>1465494000.2262907</v>
      </c>
    </row>
    <row r="8" spans="2:5" ht="28.8" x14ac:dyDescent="0.3">
      <c r="B8" s="12" t="s">
        <v>145</v>
      </c>
      <c r="C8" s="3">
        <f>+C7/C5</f>
        <v>0.25700552044616459</v>
      </c>
    </row>
    <row r="9" spans="2:5" x14ac:dyDescent="0.3">
      <c r="E9" s="50">
        <f>+C5*1%</f>
        <v>57021888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727A-57C2-4450-B572-386BDC9FC480}">
  <dimension ref="C2:O48"/>
  <sheetViews>
    <sheetView tabSelected="1" topLeftCell="A24" workbookViewId="0">
      <selection activeCell="F11" sqref="F11"/>
    </sheetView>
  </sheetViews>
  <sheetFormatPr defaultColWidth="11.5546875" defaultRowHeight="14.4" x14ac:dyDescent="0.3"/>
  <cols>
    <col min="3" max="3" width="44.33203125" customWidth="1"/>
    <col min="4" max="4" width="15.5546875" customWidth="1"/>
    <col min="5" max="5" width="14" customWidth="1"/>
    <col min="6" max="6" width="14.5546875" bestFit="1" customWidth="1"/>
    <col min="7" max="7" width="14.5546875" customWidth="1"/>
    <col min="8" max="8" width="15.33203125" customWidth="1"/>
    <col min="9" max="9" width="16" customWidth="1"/>
    <col min="14" max="15" width="14.5546875" bestFit="1" customWidth="1"/>
  </cols>
  <sheetData>
    <row r="2" spans="3:10" x14ac:dyDescent="0.3">
      <c r="C2" s="60" t="s">
        <v>52</v>
      </c>
      <c r="D2" s="60"/>
      <c r="E2" s="60"/>
      <c r="F2" s="60"/>
      <c r="G2" s="60"/>
      <c r="H2" s="60"/>
      <c r="I2" s="60"/>
      <c r="J2" s="60"/>
    </row>
    <row r="3" spans="3:10" x14ac:dyDescent="0.3">
      <c r="C3" s="57" t="s">
        <v>146</v>
      </c>
      <c r="D3" s="57"/>
      <c r="E3" s="57"/>
      <c r="F3" s="57"/>
      <c r="G3" s="57"/>
      <c r="H3" s="57"/>
      <c r="I3" s="57"/>
      <c r="J3" s="57"/>
    </row>
    <row r="4" spans="3:10" x14ac:dyDescent="0.3">
      <c r="C4" s="57" t="s">
        <v>58</v>
      </c>
      <c r="D4" s="57"/>
      <c r="E4" s="57"/>
      <c r="F4" s="57"/>
      <c r="G4" s="57"/>
      <c r="H4" s="57"/>
      <c r="I4" s="57"/>
      <c r="J4" s="57"/>
    </row>
    <row r="5" spans="3:10" x14ac:dyDescent="0.3">
      <c r="C5" s="57" t="s">
        <v>51</v>
      </c>
      <c r="D5" s="57"/>
      <c r="E5" s="57"/>
      <c r="F5" s="57"/>
      <c r="G5" s="57"/>
      <c r="H5" s="57"/>
      <c r="I5" s="57"/>
      <c r="J5" s="57"/>
    </row>
    <row r="7" spans="3:10" x14ac:dyDescent="0.3">
      <c r="C7" s="57" t="s">
        <v>95</v>
      </c>
      <c r="D7" s="57"/>
      <c r="E7" s="57"/>
      <c r="F7" s="57"/>
      <c r="G7" s="57"/>
      <c r="H7" s="57"/>
      <c r="I7" s="57"/>
    </row>
    <row r="8" spans="3:10" ht="32.25" customHeight="1" x14ac:dyDescent="0.3">
      <c r="C8" s="61" t="s">
        <v>87</v>
      </c>
      <c r="D8" s="61"/>
      <c r="E8" s="61"/>
      <c r="F8" s="61"/>
      <c r="G8" s="61"/>
    </row>
    <row r="9" spans="3:10" x14ac:dyDescent="0.3">
      <c r="C9" s="12"/>
    </row>
    <row r="10" spans="3:10" x14ac:dyDescent="0.3">
      <c r="C10" s="1"/>
      <c r="D10" s="1" t="s">
        <v>89</v>
      </c>
      <c r="E10" s="1" t="s">
        <v>88</v>
      </c>
      <c r="F10" s="1" t="s">
        <v>5</v>
      </c>
      <c r="G10" s="1" t="s">
        <v>55</v>
      </c>
      <c r="H10" s="1" t="s">
        <v>91</v>
      </c>
    </row>
    <row r="11" spans="3:10" x14ac:dyDescent="0.3">
      <c r="C11" s="2" t="s">
        <v>53</v>
      </c>
      <c r="D11" s="1">
        <v>4</v>
      </c>
      <c r="E11" s="7">
        <v>15000000</v>
      </c>
      <c r="F11" s="7">
        <f>+E11*1.56</f>
        <v>23400000</v>
      </c>
      <c r="G11" s="1" t="s">
        <v>90</v>
      </c>
      <c r="H11" s="7">
        <f>+F11*6</f>
        <v>140400000</v>
      </c>
    </row>
    <row r="12" spans="3:10" x14ac:dyDescent="0.3">
      <c r="C12" s="2" t="s">
        <v>92</v>
      </c>
      <c r="D12" s="1"/>
      <c r="E12" s="1"/>
      <c r="F12" s="7">
        <v>4000000</v>
      </c>
      <c r="G12" s="1" t="s">
        <v>90</v>
      </c>
      <c r="H12" s="7">
        <f t="shared" ref="H12:H14" si="0">+F12*6</f>
        <v>24000000</v>
      </c>
    </row>
    <row r="13" spans="3:10" x14ac:dyDescent="0.3">
      <c r="C13" s="2" t="s">
        <v>93</v>
      </c>
      <c r="D13" s="1"/>
      <c r="E13" s="1"/>
      <c r="F13" s="7">
        <v>2000000</v>
      </c>
      <c r="G13" s="1" t="s">
        <v>90</v>
      </c>
      <c r="H13" s="7">
        <f t="shared" si="0"/>
        <v>12000000</v>
      </c>
    </row>
    <row r="14" spans="3:10" x14ac:dyDescent="0.3">
      <c r="C14" s="2" t="s">
        <v>54</v>
      </c>
      <c r="D14" s="27"/>
      <c r="E14" s="27"/>
      <c r="F14" s="28">
        <v>1000000</v>
      </c>
      <c r="G14" s="1" t="s">
        <v>90</v>
      </c>
      <c r="H14" s="7">
        <f t="shared" si="0"/>
        <v>6000000</v>
      </c>
    </row>
    <row r="15" spans="3:10" x14ac:dyDescent="0.3">
      <c r="C15" s="25" t="s">
        <v>44</v>
      </c>
      <c r="D15" s="33"/>
      <c r="E15" s="34"/>
      <c r="F15" s="34"/>
      <c r="G15" s="35"/>
      <c r="H15" s="26">
        <f>SUM(H11:H14)</f>
        <v>182400000</v>
      </c>
    </row>
    <row r="16" spans="3:10" x14ac:dyDescent="0.3">
      <c r="C16" s="25" t="s">
        <v>94</v>
      </c>
      <c r="D16" s="29"/>
      <c r="E16" s="30"/>
      <c r="F16" s="30"/>
      <c r="G16" s="31"/>
      <c r="H16" s="26">
        <f>+H15*0.2</f>
        <v>36480000</v>
      </c>
    </row>
    <row r="17" spans="3:14" x14ac:dyDescent="0.3">
      <c r="C17" s="25" t="s">
        <v>91</v>
      </c>
      <c r="D17" s="36"/>
      <c r="E17" s="37"/>
      <c r="F17" s="37"/>
      <c r="G17" s="38"/>
      <c r="H17" s="32">
        <f>+H15+H16</f>
        <v>218880000</v>
      </c>
    </row>
    <row r="18" spans="3:14" x14ac:dyDescent="0.3">
      <c r="C18" s="25" t="s">
        <v>57</v>
      </c>
      <c r="D18" s="36"/>
      <c r="E18" s="37"/>
      <c r="F18" s="37"/>
      <c r="G18" s="38"/>
      <c r="H18" s="32">
        <f>+H17*0.19</f>
        <v>41587200</v>
      </c>
    </row>
    <row r="19" spans="3:14" ht="15.6" x14ac:dyDescent="0.3">
      <c r="C19" s="25" t="s">
        <v>105</v>
      </c>
      <c r="D19" s="36"/>
      <c r="E19" s="37"/>
      <c r="F19" s="37"/>
      <c r="G19" s="38"/>
      <c r="H19" s="39">
        <f>+H15+H16+H18</f>
        <v>260467200</v>
      </c>
    </row>
    <row r="20" spans="3:14" x14ac:dyDescent="0.3">
      <c r="C20" s="12"/>
      <c r="H20" s="4"/>
    </row>
    <row r="21" spans="3:14" ht="15.6" x14ac:dyDescent="0.3">
      <c r="C21" s="23" t="s">
        <v>60</v>
      </c>
    </row>
    <row r="22" spans="3:14" x14ac:dyDescent="0.3">
      <c r="C22" t="s">
        <v>67</v>
      </c>
      <c r="D22" s="6">
        <v>3867</v>
      </c>
    </row>
    <row r="23" spans="3:14" x14ac:dyDescent="0.3">
      <c r="C23" s="1" t="s">
        <v>60</v>
      </c>
      <c r="D23" s="1" t="s">
        <v>64</v>
      </c>
      <c r="E23" s="1" t="s">
        <v>65</v>
      </c>
      <c r="F23" s="1" t="s">
        <v>63</v>
      </c>
      <c r="G23" s="1" t="s">
        <v>104</v>
      </c>
      <c r="H23" s="1" t="s">
        <v>61</v>
      </c>
      <c r="I23" s="1" t="s">
        <v>56</v>
      </c>
    </row>
    <row r="24" spans="3:14" x14ac:dyDescent="0.3">
      <c r="C24" s="1" t="s">
        <v>117</v>
      </c>
      <c r="D24" s="40">
        <v>10000</v>
      </c>
      <c r="E24" s="7">
        <f>+D24*$D$22</f>
        <v>38670000</v>
      </c>
      <c r="F24" s="41">
        <v>0.05</v>
      </c>
      <c r="G24" s="7">
        <f>+E24*1.05</f>
        <v>40603500</v>
      </c>
      <c r="H24" s="41">
        <v>0.19</v>
      </c>
      <c r="I24" s="7">
        <f>+G24*1.19</f>
        <v>48318165</v>
      </c>
    </row>
    <row r="25" spans="3:14" x14ac:dyDescent="0.3">
      <c r="C25" s="1" t="s">
        <v>118</v>
      </c>
      <c r="D25" s="40">
        <v>80946.67</v>
      </c>
      <c r="E25" s="7">
        <f t="shared" ref="E25:E27" si="1">+D25*$D$22</f>
        <v>313020772.88999999</v>
      </c>
      <c r="F25" s="41">
        <v>0.05</v>
      </c>
      <c r="G25" s="7">
        <f t="shared" ref="G25:G28" si="2">+E25*1.05</f>
        <v>328671811.5345</v>
      </c>
      <c r="H25" s="41">
        <v>0.19</v>
      </c>
      <c r="I25" s="7">
        <f t="shared" ref="I25:I28" si="3">+G25*1.19</f>
        <v>391119455.72605497</v>
      </c>
    </row>
    <row r="26" spans="3:14" x14ac:dyDescent="0.3">
      <c r="C26" s="42" t="s">
        <v>119</v>
      </c>
      <c r="D26" s="43">
        <v>32000</v>
      </c>
      <c r="E26" s="7">
        <f t="shared" si="1"/>
        <v>123744000</v>
      </c>
      <c r="F26" s="41">
        <v>0.05</v>
      </c>
      <c r="G26" s="7">
        <f t="shared" si="2"/>
        <v>129931200</v>
      </c>
      <c r="H26" s="41">
        <v>0.19</v>
      </c>
      <c r="I26" s="7">
        <f t="shared" si="3"/>
        <v>154618128</v>
      </c>
    </row>
    <row r="27" spans="3:14" x14ac:dyDescent="0.3">
      <c r="C27" s="42" t="s">
        <v>66</v>
      </c>
      <c r="D27" s="43">
        <v>12700</v>
      </c>
      <c r="E27" s="7">
        <f t="shared" si="1"/>
        <v>49110900</v>
      </c>
      <c r="F27" s="41">
        <v>0.05</v>
      </c>
      <c r="G27" s="7">
        <f t="shared" si="2"/>
        <v>51566445</v>
      </c>
      <c r="H27" s="41">
        <v>0.19</v>
      </c>
      <c r="I27" s="7">
        <f t="shared" si="3"/>
        <v>61364069.549999997</v>
      </c>
    </row>
    <row r="28" spans="3:14" x14ac:dyDescent="0.3">
      <c r="C28" s="1" t="s">
        <v>120</v>
      </c>
      <c r="D28" s="28"/>
      <c r="E28" s="28"/>
      <c r="F28" s="46">
        <v>0.05</v>
      </c>
      <c r="G28" s="28">
        <f t="shared" si="2"/>
        <v>0</v>
      </c>
      <c r="H28" s="46">
        <v>0.19</v>
      </c>
      <c r="I28" s="7">
        <f t="shared" si="3"/>
        <v>0</v>
      </c>
    </row>
    <row r="29" spans="3:14" ht="15.6" x14ac:dyDescent="0.3">
      <c r="C29" s="45" t="s">
        <v>44</v>
      </c>
      <c r="D29" s="29"/>
      <c r="E29" s="30"/>
      <c r="F29" s="30"/>
      <c r="G29" s="30"/>
      <c r="H29" s="31"/>
      <c r="I29" s="39">
        <f>SUM(I24:I28)</f>
        <v>655419818.27605486</v>
      </c>
      <c r="N29" s="15">
        <f>+I29/15/24</f>
        <v>1820610.6063223744</v>
      </c>
    </row>
    <row r="30" spans="3:14" x14ac:dyDescent="0.3">
      <c r="I30" s="4"/>
      <c r="N30" s="15"/>
    </row>
    <row r="31" spans="3:14" x14ac:dyDescent="0.3">
      <c r="C31" s="9" t="s">
        <v>96</v>
      </c>
      <c r="I31" s="4"/>
      <c r="N31" s="15"/>
    </row>
    <row r="32" spans="3:14" x14ac:dyDescent="0.3">
      <c r="C32" s="58" t="s">
        <v>121</v>
      </c>
      <c r="D32" s="59"/>
      <c r="J32" t="s">
        <v>59</v>
      </c>
    </row>
    <row r="33" spans="3:15" x14ac:dyDescent="0.3">
      <c r="C33" s="1" t="s">
        <v>122</v>
      </c>
      <c r="D33" s="7">
        <v>2500000</v>
      </c>
      <c r="J33" t="s">
        <v>62</v>
      </c>
    </row>
    <row r="34" spans="3:15" x14ac:dyDescent="0.3">
      <c r="C34" s="1" t="s">
        <v>123</v>
      </c>
      <c r="D34" s="7">
        <v>5000000</v>
      </c>
      <c r="O34" s="4">
        <f>+N29*3</f>
        <v>5461831.8189671235</v>
      </c>
    </row>
    <row r="35" spans="3:15" x14ac:dyDescent="0.3">
      <c r="C35" s="1" t="s">
        <v>124</v>
      </c>
      <c r="D35" s="7">
        <v>8000000</v>
      </c>
    </row>
    <row r="36" spans="3:15" x14ac:dyDescent="0.3">
      <c r="C36" s="1" t="s">
        <v>125</v>
      </c>
      <c r="D36" s="7">
        <v>1500000</v>
      </c>
    </row>
    <row r="37" spans="3:15" x14ac:dyDescent="0.3">
      <c r="C37" s="1" t="s">
        <v>44</v>
      </c>
      <c r="D37" s="24">
        <f>SUM(D33:D36)</f>
        <v>17000000</v>
      </c>
    </row>
    <row r="38" spans="3:15" x14ac:dyDescent="0.3">
      <c r="C38" s="1" t="s">
        <v>57</v>
      </c>
      <c r="D38" s="7">
        <f>+D37*0.19</f>
        <v>3230000</v>
      </c>
    </row>
    <row r="39" spans="3:15" x14ac:dyDescent="0.3">
      <c r="C39" s="44" t="s">
        <v>44</v>
      </c>
      <c r="D39" s="47">
        <f>+D38+D37</f>
        <v>20230000</v>
      </c>
    </row>
    <row r="41" spans="3:15" x14ac:dyDescent="0.3">
      <c r="C41" s="1" t="s">
        <v>97</v>
      </c>
      <c r="D41" s="24">
        <f>+H19</f>
        <v>260467200</v>
      </c>
    </row>
    <row r="42" spans="3:15" x14ac:dyDescent="0.3">
      <c r="C42" s="1" t="s">
        <v>60</v>
      </c>
      <c r="D42" s="24">
        <f>+I29</f>
        <v>655419818.27605486</v>
      </c>
    </row>
    <row r="43" spans="3:15" x14ac:dyDescent="0.3">
      <c r="C43" s="1" t="s">
        <v>98</v>
      </c>
      <c r="D43" s="24">
        <f>+D39</f>
        <v>20230000</v>
      </c>
    </row>
    <row r="44" spans="3:15" ht="15.6" x14ac:dyDescent="0.3">
      <c r="C44" s="1" t="s">
        <v>44</v>
      </c>
      <c r="D44" s="48">
        <f>SUM(D41:D43)</f>
        <v>936117018.27605486</v>
      </c>
    </row>
    <row r="46" spans="3:15" x14ac:dyDescent="0.3">
      <c r="C46" t="s">
        <v>126</v>
      </c>
    </row>
    <row r="47" spans="3:15" x14ac:dyDescent="0.3">
      <c r="C47" t="s">
        <v>127</v>
      </c>
    </row>
    <row r="48" spans="3:15" x14ac:dyDescent="0.3">
      <c r="C48" t="s">
        <v>128</v>
      </c>
    </row>
  </sheetData>
  <mergeCells count="7">
    <mergeCell ref="C32:D32"/>
    <mergeCell ref="C4:J4"/>
    <mergeCell ref="C3:J3"/>
    <mergeCell ref="C2:J2"/>
    <mergeCell ref="C5:J5"/>
    <mergeCell ref="C7:I7"/>
    <mergeCell ref="C8:G8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9284-43CE-49BF-8E5D-ADFDAAB2EDDE}">
  <dimension ref="B2:G17"/>
  <sheetViews>
    <sheetView workbookViewId="0">
      <selection activeCell="D17" sqref="D17"/>
    </sheetView>
  </sheetViews>
  <sheetFormatPr defaultColWidth="11.5546875" defaultRowHeight="14.4" x14ac:dyDescent="0.3"/>
  <cols>
    <col min="2" max="2" width="36.109375" customWidth="1"/>
    <col min="3" max="3" width="56.44140625" customWidth="1"/>
  </cols>
  <sheetData>
    <row r="2" spans="2:7" x14ac:dyDescent="0.3">
      <c r="B2" s="12" t="s">
        <v>68</v>
      </c>
      <c r="C2" t="s">
        <v>69</v>
      </c>
    </row>
    <row r="3" spans="2:7" x14ac:dyDescent="0.3">
      <c r="B3" s="12" t="s">
        <v>138</v>
      </c>
      <c r="C3" t="s">
        <v>72</v>
      </c>
    </row>
    <row r="4" spans="2:7" x14ac:dyDescent="0.3">
      <c r="B4" s="56" t="s">
        <v>130</v>
      </c>
      <c r="C4" t="s">
        <v>99</v>
      </c>
      <c r="G4">
        <f>3600*3</f>
        <v>10800</v>
      </c>
    </row>
    <row r="5" spans="2:7" x14ac:dyDescent="0.3">
      <c r="B5" s="56"/>
      <c r="C5" t="s">
        <v>100</v>
      </c>
      <c r="G5">
        <f>+G4-20</f>
        <v>10780</v>
      </c>
    </row>
    <row r="6" spans="2:7" x14ac:dyDescent="0.3">
      <c r="B6" t="s">
        <v>129</v>
      </c>
      <c r="C6" t="s">
        <v>76</v>
      </c>
      <c r="G6">
        <v>10780</v>
      </c>
    </row>
    <row r="8" spans="2:7" x14ac:dyDescent="0.3">
      <c r="B8" s="22" t="s">
        <v>131</v>
      </c>
    </row>
    <row r="9" spans="2:7" x14ac:dyDescent="0.3">
      <c r="B9" t="s">
        <v>139</v>
      </c>
    </row>
    <row r="10" spans="2:7" x14ac:dyDescent="0.3">
      <c r="B10" t="s">
        <v>132</v>
      </c>
    </row>
    <row r="11" spans="2:7" x14ac:dyDescent="0.3">
      <c r="B11" t="s">
        <v>133</v>
      </c>
    </row>
    <row r="12" spans="2:7" x14ac:dyDescent="0.3">
      <c r="B12" t="s">
        <v>79</v>
      </c>
      <c r="C12" s="6">
        <f>8820*24*29</f>
        <v>6138720</v>
      </c>
    </row>
    <row r="13" spans="2:7" x14ac:dyDescent="0.3">
      <c r="B13" t="s">
        <v>134</v>
      </c>
    </row>
    <row r="14" spans="2:7" x14ac:dyDescent="0.3">
      <c r="B14" t="s">
        <v>135</v>
      </c>
      <c r="C14" s="6">
        <f>+C12*0.995</f>
        <v>6108026.4000000004</v>
      </c>
    </row>
    <row r="15" spans="2:7" x14ac:dyDescent="0.3">
      <c r="B15" t="s">
        <v>136</v>
      </c>
      <c r="C15" s="6">
        <f>+C14/25</f>
        <v>244321.05600000001</v>
      </c>
    </row>
    <row r="17" spans="2:4" x14ac:dyDescent="0.3">
      <c r="B17" t="s">
        <v>137</v>
      </c>
      <c r="D17" s="3">
        <f>+(C15/'PRODUCCION ACTUAL'!C15)-1</f>
        <v>0.31968421052631579</v>
      </c>
    </row>
  </sheetData>
  <mergeCells count="1"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952-A2CA-4070-90C7-0B5FA143EB2C}">
  <dimension ref="A1:O61"/>
  <sheetViews>
    <sheetView topLeftCell="A42" workbookViewId="0">
      <selection activeCell="C61" sqref="C61"/>
    </sheetView>
  </sheetViews>
  <sheetFormatPr defaultColWidth="11.5546875" defaultRowHeight="14.4" x14ac:dyDescent="0.3"/>
  <cols>
    <col min="2" max="2" width="27" customWidth="1"/>
    <col min="3" max="3" width="21.44140625" customWidth="1"/>
    <col min="4" max="4" width="13.6640625" customWidth="1"/>
    <col min="5" max="5" width="18.33203125" bestFit="1" customWidth="1"/>
    <col min="6" max="6" width="17.6640625" customWidth="1"/>
    <col min="7" max="7" width="21" customWidth="1"/>
    <col min="14" max="14" width="27.44140625" customWidth="1"/>
  </cols>
  <sheetData>
    <row r="1" spans="1:14" hidden="1" x14ac:dyDescent="0.3">
      <c r="D1">
        <v>7000</v>
      </c>
    </row>
    <row r="2" spans="1:14" hidden="1" x14ac:dyDescent="0.3"/>
    <row r="3" spans="1:14" hidden="1" x14ac:dyDescent="0.3">
      <c r="B3" t="s">
        <v>1</v>
      </c>
      <c r="C3" t="s">
        <v>21</v>
      </c>
      <c r="D3" t="s">
        <v>22</v>
      </c>
      <c r="E3" t="s">
        <v>0</v>
      </c>
      <c r="F3" t="s">
        <v>26</v>
      </c>
      <c r="G3" t="s">
        <v>7</v>
      </c>
    </row>
    <row r="4" spans="1:14" ht="21" hidden="1" x14ac:dyDescent="0.4">
      <c r="B4" t="s">
        <v>18</v>
      </c>
      <c r="C4" s="3">
        <v>0.5</v>
      </c>
      <c r="D4" s="6">
        <f>+D1*C4</f>
        <v>3500</v>
      </c>
      <c r="E4" s="6">
        <f>+D4*24*30</f>
        <v>2520000</v>
      </c>
      <c r="F4" s="4">
        <v>572</v>
      </c>
      <c r="G4" s="4">
        <f>+F4*E4</f>
        <v>1441440000</v>
      </c>
      <c r="N4" s="5" t="s">
        <v>27</v>
      </c>
    </row>
    <row r="5" spans="1:14" hidden="1" x14ac:dyDescent="0.3">
      <c r="B5" t="s">
        <v>19</v>
      </c>
      <c r="C5" s="3">
        <v>0.25</v>
      </c>
      <c r="D5" s="6">
        <f>+D1*C5</f>
        <v>1750</v>
      </c>
      <c r="E5" s="6">
        <f>+D5*24*30</f>
        <v>1260000</v>
      </c>
      <c r="F5">
        <v>220</v>
      </c>
      <c r="G5" s="4">
        <f t="shared" ref="G5:G9" si="0">+F5*E5</f>
        <v>277200000</v>
      </c>
    </row>
    <row r="6" spans="1:14" hidden="1" x14ac:dyDescent="0.3">
      <c r="B6" t="s">
        <v>20</v>
      </c>
      <c r="C6" s="3">
        <v>0.15</v>
      </c>
      <c r="D6" s="6">
        <f>+D1*C6</f>
        <v>1050</v>
      </c>
      <c r="E6" s="6">
        <f t="shared" ref="E6:E8" si="1">+D6*24*30</f>
        <v>756000</v>
      </c>
      <c r="F6">
        <v>272</v>
      </c>
      <c r="G6" s="4">
        <f t="shared" si="0"/>
        <v>205632000</v>
      </c>
    </row>
    <row r="7" spans="1:14" hidden="1" x14ac:dyDescent="0.3">
      <c r="B7" t="s">
        <v>23</v>
      </c>
      <c r="C7" s="3">
        <v>7.0000000000000007E-2</v>
      </c>
      <c r="D7" s="6">
        <f>+D1*C7</f>
        <v>490.00000000000006</v>
      </c>
      <c r="E7" s="6">
        <f t="shared" si="1"/>
        <v>352800.00000000006</v>
      </c>
      <c r="F7">
        <v>879</v>
      </c>
      <c r="G7" s="4">
        <f t="shared" si="0"/>
        <v>310111200.00000006</v>
      </c>
    </row>
    <row r="8" spans="1:14" hidden="1" x14ac:dyDescent="0.3">
      <c r="B8" t="s">
        <v>24</v>
      </c>
      <c r="C8" s="3">
        <v>0.03</v>
      </c>
      <c r="D8" s="6">
        <f>+D1*C8</f>
        <v>210</v>
      </c>
      <c r="E8" s="6">
        <f t="shared" si="1"/>
        <v>151200</v>
      </c>
      <c r="F8">
        <v>770</v>
      </c>
      <c r="G8" s="4">
        <f t="shared" si="0"/>
        <v>116424000</v>
      </c>
    </row>
    <row r="9" spans="1:14" hidden="1" x14ac:dyDescent="0.3">
      <c r="B9" t="s">
        <v>8</v>
      </c>
      <c r="C9" s="3"/>
      <c r="D9" s="6"/>
      <c r="E9" s="6">
        <f>244321*0.5</f>
        <v>122160.5</v>
      </c>
      <c r="F9">
        <v>900</v>
      </c>
      <c r="G9" s="4">
        <f t="shared" si="0"/>
        <v>109944450</v>
      </c>
    </row>
    <row r="10" spans="1:14" ht="18" hidden="1" x14ac:dyDescent="0.35">
      <c r="C10" s="3"/>
      <c r="D10" s="6"/>
      <c r="E10" s="6">
        <f>SUM(E4:E8)</f>
        <v>5040000</v>
      </c>
      <c r="G10" s="11">
        <f>SUM(G4:G9)</f>
        <v>2460751650</v>
      </c>
    </row>
    <row r="11" spans="1:14" ht="30.75" customHeight="1" x14ac:dyDescent="0.3">
      <c r="E11" s="14" t="s">
        <v>45</v>
      </c>
      <c r="F11" s="13" t="s">
        <v>43</v>
      </c>
      <c r="G11" t="s">
        <v>7</v>
      </c>
    </row>
    <row r="12" spans="1:14" x14ac:dyDescent="0.3">
      <c r="A12" t="s">
        <v>28</v>
      </c>
      <c r="B12" t="s">
        <v>28</v>
      </c>
      <c r="C12" t="s">
        <v>33</v>
      </c>
      <c r="E12">
        <v>141120</v>
      </c>
    </row>
    <row r="13" spans="1:14" x14ac:dyDescent="0.3">
      <c r="C13" t="s">
        <v>34</v>
      </c>
      <c r="E13">
        <f>+'COSTOS Y GASTOS ACTUAL MES '!E13</f>
        <v>18000</v>
      </c>
    </row>
    <row r="14" spans="1:14" x14ac:dyDescent="0.3">
      <c r="C14" t="s">
        <v>35</v>
      </c>
      <c r="E14">
        <f>+'COSTOS Y GASTOS ACTUAL MES '!E14*1.36</f>
        <v>146880</v>
      </c>
    </row>
    <row r="15" spans="1:14" x14ac:dyDescent="0.3">
      <c r="C15" t="s">
        <v>44</v>
      </c>
      <c r="E15">
        <f>+SUM(E12:E14)</f>
        <v>306000</v>
      </c>
      <c r="F15">
        <v>2219</v>
      </c>
      <c r="G15">
        <f>+E15*F15</f>
        <v>679014000</v>
      </c>
    </row>
    <row r="16" spans="1:14" x14ac:dyDescent="0.3">
      <c r="A16" t="s">
        <v>25</v>
      </c>
      <c r="B16" t="s">
        <v>25</v>
      </c>
      <c r="C16" t="s">
        <v>36</v>
      </c>
      <c r="D16" s="6">
        <f>1800*2</f>
        <v>3600</v>
      </c>
      <c r="E16" s="6">
        <f>+D16*24</f>
        <v>86400</v>
      </c>
      <c r="F16">
        <v>28.7</v>
      </c>
      <c r="G16" s="4">
        <f>+F16*E16</f>
        <v>2479680</v>
      </c>
    </row>
    <row r="17" spans="1:7" x14ac:dyDescent="0.3">
      <c r="D17" s="6"/>
      <c r="E17" s="6"/>
    </row>
    <row r="18" spans="1:7" x14ac:dyDescent="0.3">
      <c r="A18" t="s">
        <v>2</v>
      </c>
      <c r="B18" t="s">
        <v>2</v>
      </c>
      <c r="C18" t="s">
        <v>36</v>
      </c>
      <c r="E18" s="55">
        <v>36000</v>
      </c>
    </row>
    <row r="19" spans="1:7" ht="18" x14ac:dyDescent="0.35">
      <c r="C19" t="s">
        <v>33</v>
      </c>
      <c r="E19" s="55">
        <v>96000</v>
      </c>
      <c r="G19" s="11"/>
    </row>
    <row r="20" spans="1:7" ht="18" x14ac:dyDescent="0.35">
      <c r="C20" t="s">
        <v>37</v>
      </c>
      <c r="D20" s="6"/>
      <c r="E20" s="6">
        <v>8300</v>
      </c>
      <c r="G20" s="11"/>
    </row>
    <row r="21" spans="1:7" ht="18" x14ac:dyDescent="0.35">
      <c r="C21" t="s">
        <v>34</v>
      </c>
      <c r="E21" s="55">
        <v>1500</v>
      </c>
      <c r="G21" s="11"/>
    </row>
    <row r="22" spans="1:7" x14ac:dyDescent="0.3">
      <c r="C22" t="s">
        <v>38</v>
      </c>
      <c r="E22" s="55">
        <f>+'COSTOS Y GASTOS ACTUAL MES '!E22*1.36</f>
        <v>29376.000000000004</v>
      </c>
    </row>
    <row r="23" spans="1:7" x14ac:dyDescent="0.3">
      <c r="C23" t="s">
        <v>35</v>
      </c>
      <c r="E23" s="55">
        <f>+'COSTOS Y GASTOS ACTUAL MES '!E23*1.36</f>
        <v>2312</v>
      </c>
    </row>
    <row r="24" spans="1:7" x14ac:dyDescent="0.3">
      <c r="C24" t="s">
        <v>39</v>
      </c>
      <c r="E24" s="55">
        <v>5760</v>
      </c>
    </row>
    <row r="25" spans="1:7" x14ac:dyDescent="0.3">
      <c r="C25" t="s">
        <v>40</v>
      </c>
      <c r="E25" s="55">
        <v>5760</v>
      </c>
    </row>
    <row r="26" spans="1:7" x14ac:dyDescent="0.3">
      <c r="C26" t="s">
        <v>41</v>
      </c>
      <c r="E26" s="55">
        <v>12600</v>
      </c>
    </row>
    <row r="27" spans="1:7" x14ac:dyDescent="0.3">
      <c r="C27" t="s">
        <v>42</v>
      </c>
      <c r="E27" s="16">
        <f>SUM(E18:E26)</f>
        <v>197608</v>
      </c>
      <c r="F27">
        <v>845</v>
      </c>
      <c r="G27" s="4">
        <f>+F27*E27</f>
        <v>166978760</v>
      </c>
    </row>
    <row r="28" spans="1:7" x14ac:dyDescent="0.3">
      <c r="B28" s="57" t="s">
        <v>44</v>
      </c>
      <c r="C28" s="57"/>
      <c r="E28" s="16"/>
      <c r="G28" s="4">
        <f>+G27+G16+G15</f>
        <v>848472440</v>
      </c>
    </row>
    <row r="29" spans="1:7" x14ac:dyDescent="0.3">
      <c r="B29" s="17"/>
      <c r="C29" s="17"/>
      <c r="E29" s="16"/>
      <c r="G29" s="4"/>
    </row>
    <row r="30" spans="1:7" x14ac:dyDescent="0.3">
      <c r="B30" s="17"/>
      <c r="C30" s="17"/>
      <c r="E30" s="16"/>
      <c r="G30" s="4"/>
    </row>
    <row r="31" spans="1:7" x14ac:dyDescent="0.3">
      <c r="B31" s="17"/>
      <c r="C31" s="17"/>
      <c r="E31" s="16"/>
      <c r="G31" s="4"/>
    </row>
    <row r="32" spans="1:7" x14ac:dyDescent="0.3">
      <c r="B32" s="17"/>
      <c r="C32" s="17"/>
      <c r="E32" s="16"/>
      <c r="G32" s="4"/>
    </row>
    <row r="34" spans="1:15" x14ac:dyDescent="0.3">
      <c r="B34" t="s">
        <v>3</v>
      </c>
      <c r="O34">
        <f>22900/40</f>
        <v>572.5</v>
      </c>
    </row>
    <row r="35" spans="1:15" ht="28.8" x14ac:dyDescent="0.3">
      <c r="A35" s="1"/>
      <c r="B35" s="1" t="s">
        <v>4</v>
      </c>
      <c r="C35" s="2" t="s">
        <v>16</v>
      </c>
      <c r="D35" s="1" t="s">
        <v>17</v>
      </c>
      <c r="E35" s="1" t="s">
        <v>5</v>
      </c>
      <c r="F35" s="1" t="s">
        <v>6</v>
      </c>
      <c r="O35">
        <f>19227/25</f>
        <v>769.08</v>
      </c>
    </row>
    <row r="36" spans="1:15" x14ac:dyDescent="0.3">
      <c r="A36" s="1" t="s">
        <v>10</v>
      </c>
      <c r="B36" s="1" t="s">
        <v>9</v>
      </c>
      <c r="C36" s="1">
        <v>1</v>
      </c>
      <c r="D36" s="1">
        <v>4</v>
      </c>
      <c r="E36" s="7">
        <f>1700000*1.56</f>
        <v>2652000</v>
      </c>
      <c r="F36" s="7">
        <f>+E36*D36</f>
        <v>10608000</v>
      </c>
      <c r="O36">
        <f>10900/40</f>
        <v>272.5</v>
      </c>
    </row>
    <row r="37" spans="1:15" x14ac:dyDescent="0.3">
      <c r="A37" s="1"/>
      <c r="B37" s="1"/>
      <c r="C37" s="1"/>
      <c r="D37" s="1"/>
      <c r="E37" s="7"/>
      <c r="F37" s="7"/>
      <c r="O37">
        <f>21978/25</f>
        <v>879.12</v>
      </c>
    </row>
    <row r="38" spans="1:15" x14ac:dyDescent="0.3">
      <c r="A38" s="1" t="s">
        <v>11</v>
      </c>
      <c r="B38" s="1" t="s">
        <v>9</v>
      </c>
      <c r="C38" s="1">
        <v>1</v>
      </c>
      <c r="D38" s="1">
        <v>4</v>
      </c>
      <c r="E38" s="7">
        <f>1700000*1.56</f>
        <v>2652000</v>
      </c>
      <c r="F38" s="7">
        <f>+E38*D38</f>
        <v>10608000</v>
      </c>
      <c r="O38">
        <f>5500/25</f>
        <v>220</v>
      </c>
    </row>
    <row r="39" spans="1:15" x14ac:dyDescent="0.3">
      <c r="A39" s="1"/>
      <c r="B39" s="1"/>
      <c r="C39" s="1"/>
      <c r="D39" s="1"/>
      <c r="E39" s="7"/>
      <c r="F39" s="7"/>
    </row>
    <row r="40" spans="1:15" x14ac:dyDescent="0.3">
      <c r="A40" s="1" t="s">
        <v>12</v>
      </c>
      <c r="B40" s="1" t="s">
        <v>9</v>
      </c>
      <c r="C40" s="1">
        <v>2</v>
      </c>
      <c r="D40" s="1">
        <v>8</v>
      </c>
      <c r="E40" s="7">
        <f>1700000*1.56</f>
        <v>2652000</v>
      </c>
      <c r="F40" s="7">
        <f>+E40*D40</f>
        <v>21216000</v>
      </c>
    </row>
    <row r="41" spans="1:15" x14ac:dyDescent="0.3">
      <c r="A41" s="1"/>
      <c r="B41" s="1"/>
      <c r="C41" s="1"/>
      <c r="D41" s="1"/>
      <c r="E41" s="7"/>
      <c r="F41" s="7"/>
    </row>
    <row r="42" spans="1:15" x14ac:dyDescent="0.3">
      <c r="A42" s="1" t="s">
        <v>13</v>
      </c>
      <c r="B42" s="1" t="s">
        <v>9</v>
      </c>
      <c r="C42" s="1">
        <v>1</v>
      </c>
      <c r="D42" s="1">
        <v>4</v>
      </c>
      <c r="E42" s="7">
        <f>1700000*1.56</f>
        <v>2652000</v>
      </c>
      <c r="F42" s="7">
        <f>+E42*D42</f>
        <v>10608000</v>
      </c>
    </row>
    <row r="43" spans="1:15" x14ac:dyDescent="0.3">
      <c r="A43" s="1"/>
      <c r="B43" s="1"/>
      <c r="C43" s="1"/>
      <c r="D43" s="1"/>
      <c r="E43" s="7"/>
      <c r="F43" s="7"/>
    </row>
    <row r="44" spans="1:15" x14ac:dyDescent="0.3">
      <c r="A44" s="1" t="s">
        <v>14</v>
      </c>
      <c r="B44" s="1" t="s">
        <v>9</v>
      </c>
      <c r="C44" s="1">
        <v>1</v>
      </c>
      <c r="D44" s="1">
        <v>4</v>
      </c>
      <c r="E44" s="7">
        <f>1700000*1.56</f>
        <v>2652000</v>
      </c>
      <c r="F44" s="7">
        <f>+E44*D44</f>
        <v>10608000</v>
      </c>
    </row>
    <row r="45" spans="1:15" x14ac:dyDescent="0.3">
      <c r="A45" s="1"/>
      <c r="B45" s="1"/>
      <c r="C45" s="1"/>
      <c r="D45" s="1"/>
      <c r="E45" s="7"/>
      <c r="F45" s="7"/>
    </row>
    <row r="46" spans="1:15" x14ac:dyDescent="0.3">
      <c r="A46" s="1" t="s">
        <v>15</v>
      </c>
      <c r="B46" s="1" t="s">
        <v>9</v>
      </c>
      <c r="C46" s="1">
        <v>1</v>
      </c>
      <c r="D46" s="1">
        <v>4</v>
      </c>
      <c r="E46" s="7">
        <f>1700000*1.56</f>
        <v>2652000</v>
      </c>
      <c r="F46" s="7">
        <f>+E46*D46</f>
        <v>10608000</v>
      </c>
    </row>
    <row r="47" spans="1:15" x14ac:dyDescent="0.3">
      <c r="A47" s="1"/>
      <c r="B47" s="1"/>
      <c r="C47" s="1"/>
      <c r="D47" s="1"/>
      <c r="E47" s="7"/>
      <c r="F47" s="7"/>
    </row>
    <row r="48" spans="1:15" x14ac:dyDescent="0.3">
      <c r="A48" s="1" t="s">
        <v>101</v>
      </c>
      <c r="B48" s="1" t="s">
        <v>9</v>
      </c>
      <c r="C48" s="1">
        <v>1</v>
      </c>
      <c r="D48" s="1">
        <v>4</v>
      </c>
      <c r="E48" s="7">
        <f>1700000*1.56</f>
        <v>2652000</v>
      </c>
      <c r="F48" s="7">
        <f>+E48*D48</f>
        <v>10608000</v>
      </c>
    </row>
    <row r="49" spans="1:15" x14ac:dyDescent="0.3">
      <c r="A49" s="1"/>
      <c r="B49" s="1"/>
      <c r="C49" s="1"/>
      <c r="D49" s="1"/>
      <c r="E49" s="7"/>
      <c r="F49" s="7"/>
    </row>
    <row r="50" spans="1:15" x14ac:dyDescent="0.3">
      <c r="A50" s="1"/>
      <c r="B50" s="1" t="s">
        <v>29</v>
      </c>
      <c r="C50" s="1">
        <v>1</v>
      </c>
      <c r="D50" s="1">
        <v>4</v>
      </c>
      <c r="E50" s="7">
        <f>+E46*3</f>
        <v>7956000</v>
      </c>
      <c r="F50" s="7">
        <f>+E50*D50</f>
        <v>31824000</v>
      </c>
    </row>
    <row r="51" spans="1:15" x14ac:dyDescent="0.3">
      <c r="A51" s="1"/>
      <c r="B51" s="1" t="s">
        <v>30</v>
      </c>
      <c r="C51" s="1"/>
      <c r="D51" s="1">
        <v>1</v>
      </c>
      <c r="E51" s="7">
        <f>7000000*1.56</f>
        <v>10920000</v>
      </c>
      <c r="F51" s="7">
        <f>+E51*D51</f>
        <v>10920000</v>
      </c>
    </row>
    <row r="52" spans="1:15" x14ac:dyDescent="0.3">
      <c r="B52" s="49" t="s">
        <v>44</v>
      </c>
      <c r="F52" s="8">
        <f>SUM(F36:F51)</f>
        <v>127608000</v>
      </c>
    </row>
    <row r="53" spans="1:15" x14ac:dyDescent="0.3">
      <c r="C53" t="s">
        <v>143</v>
      </c>
      <c r="E53" t="s">
        <v>106</v>
      </c>
      <c r="O53">
        <v>1820610.60632237</v>
      </c>
    </row>
    <row r="54" spans="1:15" x14ac:dyDescent="0.3">
      <c r="B54" t="s">
        <v>31</v>
      </c>
      <c r="C54" s="8">
        <f>+G10*1.32</f>
        <v>3248192178</v>
      </c>
      <c r="E54" s="15">
        <f>+'COSTOS Y GASTOS ACTUAL MES '!C54</f>
        <v>2355758160</v>
      </c>
      <c r="G54" s="8">
        <f>+C54-E54</f>
        <v>892434018</v>
      </c>
    </row>
    <row r="55" spans="1:15" x14ac:dyDescent="0.3">
      <c r="B55" t="s">
        <v>32</v>
      </c>
      <c r="C55" s="8">
        <f>+G28</f>
        <v>848472440</v>
      </c>
      <c r="E55" s="15">
        <f>+'COSTOS Y GASTOS ACTUAL MES '!C55</f>
        <v>758641960</v>
      </c>
      <c r="G55" s="8">
        <f t="shared" ref="G55:G61" si="2">+C55-E55</f>
        <v>89830480</v>
      </c>
    </row>
    <row r="56" spans="1:15" x14ac:dyDescent="0.3">
      <c r="B56" t="s">
        <v>3</v>
      </c>
      <c r="C56" s="8">
        <f>+F52</f>
        <v>127608000</v>
      </c>
      <c r="E56" s="15">
        <f>+'COSTOS Y GASTOS ACTUAL MES '!C56</f>
        <v>212472000</v>
      </c>
      <c r="G56" s="8">
        <f t="shared" si="2"/>
        <v>-84864000</v>
      </c>
    </row>
    <row r="57" spans="1:15" x14ac:dyDescent="0.3">
      <c r="B57" t="s">
        <v>85</v>
      </c>
      <c r="C57" s="8">
        <v>75250885.248000011</v>
      </c>
      <c r="E57" s="15">
        <f>+'COSTOS Y GASTOS ACTUAL MES '!C57</f>
        <v>57021888</v>
      </c>
      <c r="G57" s="8">
        <f t="shared" si="2"/>
        <v>18228997.248000011</v>
      </c>
    </row>
    <row r="58" spans="1:15" x14ac:dyDescent="0.3">
      <c r="B58" t="s">
        <v>140</v>
      </c>
      <c r="C58" s="8">
        <f>5461831.81896712+1820610.60632237</f>
        <v>7282442.4252894893</v>
      </c>
      <c r="E58" s="15">
        <f>+'COSTOS Y GASTOS ACTUAL MES '!C58</f>
        <v>5461831.8189671235</v>
      </c>
      <c r="G58" s="8">
        <f t="shared" si="2"/>
        <v>1820610.6063223658</v>
      </c>
    </row>
    <row r="59" spans="1:15" x14ac:dyDescent="0.3">
      <c r="B59" s="9" t="s">
        <v>46</v>
      </c>
      <c r="C59" s="19">
        <f>SUM(C54:C58)</f>
        <v>4306805945.6732893</v>
      </c>
      <c r="E59" s="15">
        <f>+'COSTOS Y GASTOS ACTUAL MES '!C59</f>
        <v>3389355839.8189673</v>
      </c>
      <c r="G59" s="8">
        <f t="shared" si="2"/>
        <v>917450105.85432196</v>
      </c>
    </row>
    <row r="60" spans="1:15" x14ac:dyDescent="0.3">
      <c r="B60" s="9" t="s">
        <v>47</v>
      </c>
      <c r="C60" s="19">
        <f>+C59*0.25</f>
        <v>1076701486.4183223</v>
      </c>
      <c r="E60" s="15">
        <f>+'COSTOS Y GASTOS ACTUAL MES '!C60</f>
        <v>847338959.95474184</v>
      </c>
      <c r="G60" s="8">
        <f t="shared" si="2"/>
        <v>229362526.46358049</v>
      </c>
    </row>
    <row r="61" spans="1:15" ht="17.399999999999999" x14ac:dyDescent="0.35">
      <c r="B61" s="20" t="s">
        <v>48</v>
      </c>
      <c r="C61" s="21">
        <f>+C60+C59</f>
        <v>5383507432.0916119</v>
      </c>
      <c r="E61" s="15">
        <f>+'COSTOS Y GASTOS ACTUAL MES '!C61</f>
        <v>4236694799.7737093</v>
      </c>
      <c r="G61" s="8">
        <f t="shared" si="2"/>
        <v>1146812632.3179026</v>
      </c>
    </row>
  </sheetData>
  <mergeCells count="1">
    <mergeCell ref="B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3514-54A9-439F-A877-F82CD9D659A2}">
  <dimension ref="B2:H9"/>
  <sheetViews>
    <sheetView workbookViewId="0">
      <selection activeCell="H7" sqref="H7"/>
    </sheetView>
  </sheetViews>
  <sheetFormatPr defaultColWidth="11.5546875" defaultRowHeight="14.4" x14ac:dyDescent="0.3"/>
  <cols>
    <col min="2" max="2" width="14.109375" customWidth="1"/>
    <col min="3" max="3" width="15.33203125" customWidth="1"/>
    <col min="4" max="5" width="18.33203125" bestFit="1" customWidth="1"/>
    <col min="7" max="7" width="15.5546875" bestFit="1" customWidth="1"/>
  </cols>
  <sheetData>
    <row r="2" spans="2:8" ht="28.8" x14ac:dyDescent="0.3">
      <c r="B2" s="12" t="s">
        <v>114</v>
      </c>
      <c r="C2" s="12" t="s">
        <v>49</v>
      </c>
      <c r="D2" t="s">
        <v>50</v>
      </c>
    </row>
    <row r="3" spans="2:8" x14ac:dyDescent="0.3">
      <c r="B3" s="6">
        <f>+'PRODUCCION PROYECTADA'!C15</f>
        <v>244321.05600000001</v>
      </c>
      <c r="C3" s="4">
        <v>30800</v>
      </c>
      <c r="D3" s="4">
        <f>+C3*B3</f>
        <v>7525088524.8000002</v>
      </c>
    </row>
    <row r="4" spans="2:8" x14ac:dyDescent="0.3">
      <c r="C4" t="s">
        <v>107</v>
      </c>
      <c r="E4" t="s">
        <v>106</v>
      </c>
    </row>
    <row r="5" spans="2:8" x14ac:dyDescent="0.3">
      <c r="B5" t="s">
        <v>83</v>
      </c>
      <c r="C5" s="4">
        <f>+D3</f>
        <v>7525088524.8000002</v>
      </c>
      <c r="E5" s="4">
        <f>+'INGRESOS ACTUALES MES'!C5</f>
        <v>5702188800</v>
      </c>
      <c r="G5" s="8">
        <f>+C5-E5</f>
        <v>1822899724.8000002</v>
      </c>
      <c r="H5" s="3">
        <f>+G5/E5</f>
        <v>0.31968421052631585</v>
      </c>
    </row>
    <row r="6" spans="2:8" x14ac:dyDescent="0.3">
      <c r="B6" t="s">
        <v>84</v>
      </c>
      <c r="C6" s="4">
        <f>+'COSTOS Y GASTOS MES PROY '!C61</f>
        <v>5383507432.0916119</v>
      </c>
      <c r="E6" s="4">
        <f>+'INGRESOS ACTUALES MES'!C6</f>
        <v>4236694799.7737093</v>
      </c>
      <c r="G6" s="8">
        <f t="shared" ref="G6" si="0">+C6-E6</f>
        <v>1146812632.3179026</v>
      </c>
      <c r="H6" s="3">
        <f t="shared" ref="H6:H7" si="1">+G6/E6</f>
        <v>0.2706856845999755</v>
      </c>
    </row>
    <row r="7" spans="2:8" x14ac:dyDescent="0.3">
      <c r="B7" t="s">
        <v>102</v>
      </c>
      <c r="C7" s="4">
        <f>+C5-C6</f>
        <v>2141581092.7083883</v>
      </c>
      <c r="E7" s="4">
        <f>+'INGRESOS ACTUALES MES'!C7</f>
        <v>1465494000.2262907</v>
      </c>
      <c r="G7" s="8">
        <f>+C7-E7</f>
        <v>676087092.48209763</v>
      </c>
      <c r="H7" s="3">
        <f t="shared" si="1"/>
        <v>0.46133733224271223</v>
      </c>
    </row>
    <row r="9" spans="2:8" x14ac:dyDescent="0.3">
      <c r="E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DD25-D018-4E13-AEB7-1E7D7B1E599A}">
  <dimension ref="B14:H27"/>
  <sheetViews>
    <sheetView topLeftCell="A10" workbookViewId="0">
      <selection activeCell="E27" sqref="E27"/>
    </sheetView>
  </sheetViews>
  <sheetFormatPr defaultColWidth="11.5546875" defaultRowHeight="14.4" x14ac:dyDescent="0.3"/>
  <cols>
    <col min="3" max="3" width="18" customWidth="1"/>
    <col min="4" max="5" width="18.33203125" bestFit="1" customWidth="1"/>
    <col min="6" max="6" width="12.6640625" customWidth="1"/>
    <col min="8" max="8" width="14" bestFit="1" customWidth="1"/>
  </cols>
  <sheetData>
    <row r="14" spans="2:6" x14ac:dyDescent="0.3">
      <c r="D14" s="1" t="s">
        <v>106</v>
      </c>
      <c r="E14" s="1" t="s">
        <v>107</v>
      </c>
      <c r="F14" s="1" t="s">
        <v>112</v>
      </c>
    </row>
    <row r="15" spans="2:6" x14ac:dyDescent="0.3">
      <c r="B15" s="64" t="s">
        <v>108</v>
      </c>
      <c r="C15" s="64"/>
      <c r="D15" s="52">
        <f>+'PRODUCCION ACTUAL'!C15</f>
        <v>185136</v>
      </c>
      <c r="E15" s="52">
        <f>+'PRODUCCION PROYECTADA'!C15</f>
        <v>244321.05600000001</v>
      </c>
      <c r="F15" s="46">
        <f>+E15/D15-1</f>
        <v>0.31968421052631579</v>
      </c>
    </row>
    <row r="16" spans="2:6" x14ac:dyDescent="0.3">
      <c r="B16" s="1" t="s">
        <v>110</v>
      </c>
      <c r="C16" s="1" t="s">
        <v>111</v>
      </c>
      <c r="D16" s="18">
        <f>+'INGRESOS ACTUALES MES'!D3</f>
        <v>5702188800</v>
      </c>
      <c r="E16" s="18">
        <f>+'INGRESOS PROYEC MES'!D3</f>
        <v>7525088524.8000002</v>
      </c>
      <c r="F16" s="53">
        <f>+E16/D16-1</f>
        <v>0.31968421052631579</v>
      </c>
    </row>
    <row r="17" spans="2:8" x14ac:dyDescent="0.3">
      <c r="B17" s="1"/>
      <c r="C17" s="1"/>
      <c r="D17" s="24"/>
      <c r="E17" s="24"/>
      <c r="F17" s="1"/>
    </row>
    <row r="18" spans="2:8" x14ac:dyDescent="0.3">
      <c r="B18" s="62" t="s">
        <v>109</v>
      </c>
      <c r="C18" s="1" t="s">
        <v>31</v>
      </c>
      <c r="D18" s="7">
        <f>+'COSTOS Y GASTOS ACTUAL MES '!C54</f>
        <v>2355758160</v>
      </c>
      <c r="E18" s="7">
        <f>+'COSTOS Y GASTOS MES PROY '!C54</f>
        <v>3248192178</v>
      </c>
      <c r="F18" s="1"/>
    </row>
    <row r="19" spans="2:8" x14ac:dyDescent="0.3">
      <c r="B19" s="62"/>
      <c r="C19" s="1" t="s">
        <v>32</v>
      </c>
      <c r="D19" s="7">
        <f>+'COSTOS Y GASTOS ACTUAL MES '!C55</f>
        <v>758641960</v>
      </c>
      <c r="E19" s="7">
        <f>+'COSTOS Y GASTOS MES PROY '!C55</f>
        <v>848472440</v>
      </c>
      <c r="F19" s="1"/>
    </row>
    <row r="20" spans="2:8" x14ac:dyDescent="0.3">
      <c r="B20" s="62"/>
      <c r="C20" s="1" t="s">
        <v>3</v>
      </c>
      <c r="D20" s="7">
        <f>+'COSTOS Y GASTOS ACTUAL MES '!C56</f>
        <v>212472000</v>
      </c>
      <c r="E20" s="7">
        <f>+'COSTOS Y GASTOS MES PROY '!C56</f>
        <v>127608000</v>
      </c>
      <c r="F20" s="1"/>
    </row>
    <row r="21" spans="2:8" x14ac:dyDescent="0.3">
      <c r="B21" s="62"/>
      <c r="C21" s="1" t="s">
        <v>85</v>
      </c>
      <c r="D21" s="7">
        <f>+'COSTOS Y GASTOS ACTUAL MES '!C57</f>
        <v>57021888</v>
      </c>
      <c r="E21" s="7">
        <f>+'COSTOS Y GASTOS MES PROY '!C57</f>
        <v>75250885.248000011</v>
      </c>
      <c r="F21" s="1"/>
    </row>
    <row r="22" spans="2:8" x14ac:dyDescent="0.3">
      <c r="B22" s="62"/>
      <c r="C22" s="1" t="s">
        <v>140</v>
      </c>
      <c r="D22" s="7">
        <f>+'COSTOS Y GASTOS ACTUAL MES '!C58</f>
        <v>5461831.8189671235</v>
      </c>
      <c r="E22" s="7">
        <f>+'COSTOS Y GASTOS MES PROY '!C58</f>
        <v>7282442.4252894893</v>
      </c>
      <c r="F22" s="1"/>
    </row>
    <row r="23" spans="2:8" x14ac:dyDescent="0.3">
      <c r="B23" s="62"/>
      <c r="C23" s="1" t="s">
        <v>46</v>
      </c>
      <c r="D23" s="7">
        <f>+'COSTOS Y GASTOS ACTUAL MES '!C59</f>
        <v>3389355839.8189673</v>
      </c>
      <c r="E23" s="7">
        <f>+'COSTOS Y GASTOS MES PROY '!C59</f>
        <v>4306805945.6732893</v>
      </c>
      <c r="F23" s="1"/>
    </row>
    <row r="24" spans="2:8" x14ac:dyDescent="0.3">
      <c r="B24" s="62"/>
      <c r="C24" s="1" t="s">
        <v>47</v>
      </c>
      <c r="D24" s="7">
        <f>+'COSTOS Y GASTOS ACTUAL MES '!C60</f>
        <v>847338959.95474184</v>
      </c>
      <c r="E24" s="7">
        <f>+'COSTOS Y GASTOS MES PROY '!C60</f>
        <v>1076701486.4183223</v>
      </c>
      <c r="F24" s="1"/>
    </row>
    <row r="25" spans="2:8" ht="17.399999999999999" x14ac:dyDescent="0.35">
      <c r="B25" s="62"/>
      <c r="C25" s="51" t="s">
        <v>48</v>
      </c>
      <c r="D25" s="18">
        <f>+'COSTOS Y GASTOS ACTUAL MES '!C61</f>
        <v>4236694799.7737093</v>
      </c>
      <c r="E25" s="18">
        <f>+'COSTOS Y GASTOS MES PROY '!C61</f>
        <v>5383507432.0916119</v>
      </c>
      <c r="F25" s="53">
        <f>+E25/D25-1</f>
        <v>0.27068568459997544</v>
      </c>
    </row>
    <row r="26" spans="2:8" x14ac:dyDescent="0.3">
      <c r="B26" s="63" t="s">
        <v>113</v>
      </c>
      <c r="C26" s="63"/>
      <c r="D26" s="47">
        <f>+D16-D25</f>
        <v>1465494000.2262907</v>
      </c>
      <c r="E26" s="47">
        <f>+E16-E25</f>
        <v>2141581092.7083883</v>
      </c>
      <c r="F26" s="54">
        <f>+E26/D26-1</f>
        <v>0.46133733224271212</v>
      </c>
      <c r="H26" s="8">
        <f>+E26-D26</f>
        <v>676087092.48209763</v>
      </c>
    </row>
    <row r="27" spans="2:8" x14ac:dyDescent="0.3">
      <c r="D27" s="3">
        <f>+D26/D16</f>
        <v>0.25700552044616459</v>
      </c>
      <c r="E27" s="3">
        <f>+E26/E16</f>
        <v>0.28459214607914618</v>
      </c>
    </row>
  </sheetData>
  <mergeCells count="3">
    <mergeCell ref="B18:B25"/>
    <mergeCell ref="B26:C26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PRODUCCION ACTUAL</vt:lpstr>
      <vt:lpstr>COSTOS Y GASTOS ACTUAL MES </vt:lpstr>
      <vt:lpstr>INGRESOS ACTUALES MES</vt:lpstr>
      <vt:lpstr>PROPUESTA</vt:lpstr>
      <vt:lpstr>PRODUCCION PROYECTADA</vt:lpstr>
      <vt:lpstr>COSTOS Y GASTOS MES PROY </vt:lpstr>
      <vt:lpstr>INGRESOS PROYEC MES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 Dueñas</dc:creator>
  <cp:lastModifiedBy>juan duenas</cp:lastModifiedBy>
  <dcterms:created xsi:type="dcterms:W3CDTF">2024-05-30T20:18:27Z</dcterms:created>
  <dcterms:modified xsi:type="dcterms:W3CDTF">2024-05-31T13:13:35Z</dcterms:modified>
</cp:coreProperties>
</file>