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ocuments\u\APMG1\Tile-Tech\anexos\analisis-economico\"/>
    </mc:Choice>
  </mc:AlternateContent>
  <xr:revisionPtr revIDLastSave="0" documentId="13_ncr:1_{65649EE6-E4FC-42E0-AB18-32DFA2125021}" xr6:coauthVersionLast="47" xr6:coauthVersionMax="47" xr10:uidLastSave="{00000000-0000-0000-0000-000000000000}"/>
  <bookViews>
    <workbookView xWindow="-108" yWindow="-108" windowWidth="23256" windowHeight="12456" tabRatio="664" activeTab="1" xr2:uid="{F88F103A-AD35-45C9-9307-C4B5E54861C8}"/>
  </bookViews>
  <sheets>
    <sheet name="ACTUAL" sheetId="2" r:id="rId1"/>
    <sheet name="PROPUESTA" sheetId="3" r:id="rId2"/>
    <sheet name="POSTERIOR PROYECTO" sheetId="7" r:id="rId3"/>
    <sheet name="Sheet1" sheetId="11" r:id="rId4"/>
    <sheet name="CRONOGRAMA" sheetId="5" r:id="rId5"/>
    <sheet name="FLUJO DE CAJA " sheetId="1" r:id="rId6"/>
    <sheet name="RESUMEN" sheetId="8" r:id="rId7"/>
    <sheet name="INDICADORES" sheetId="10" r:id="rId8"/>
  </sheets>
  <definedNames>
    <definedName name="_xlnm.Print_Area" localSheetId="0">ACTUAL!$B$1:$G$93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M51" i="11"/>
  <c r="R50" i="11"/>
  <c r="R51" i="11" s="1"/>
  <c r="R48" i="11"/>
  <c r="R47" i="11"/>
  <c r="R44" i="11"/>
  <c r="R43" i="11"/>
  <c r="R42" i="11"/>
  <c r="R41" i="11"/>
  <c r="R40" i="11"/>
  <c r="R39" i="11"/>
  <c r="R37" i="11"/>
  <c r="R36" i="11"/>
  <c r="R35" i="11"/>
  <c r="R34" i="11"/>
  <c r="Q48" i="11"/>
  <c r="Q37" i="11"/>
  <c r="M29" i="11"/>
  <c r="R29" i="11"/>
  <c r="R28" i="11"/>
  <c r="R27" i="11"/>
  <c r="R26" i="11"/>
  <c r="R25" i="11"/>
  <c r="R24" i="11"/>
  <c r="R23" i="11"/>
  <c r="F15" i="11"/>
  <c r="E15" i="11"/>
  <c r="F14" i="11"/>
  <c r="F17" i="11" s="1"/>
  <c r="G17" i="11" s="1"/>
  <c r="E14" i="11"/>
  <c r="J18" i="11"/>
  <c r="K18" i="11" s="1"/>
  <c r="H16" i="11"/>
  <c r="I16" i="11" s="1"/>
  <c r="K16" i="11" s="1"/>
  <c r="J15" i="11"/>
  <c r="I15" i="11"/>
  <c r="J14" i="11"/>
  <c r="J17" i="11" s="1"/>
  <c r="K17" i="11" s="1"/>
  <c r="I14" i="11"/>
  <c r="J13" i="11"/>
  <c r="I13" i="11"/>
  <c r="J12" i="11"/>
  <c r="I12" i="11"/>
  <c r="J11" i="11"/>
  <c r="I11" i="11"/>
  <c r="J10" i="11"/>
  <c r="I10" i="11"/>
  <c r="J9" i="11"/>
  <c r="I9" i="11"/>
  <c r="F18" i="11"/>
  <c r="G18" i="11" s="1"/>
  <c r="D16" i="11"/>
  <c r="F13" i="11"/>
  <c r="G13" i="11" s="1"/>
  <c r="F12" i="11"/>
  <c r="G12" i="11" s="1"/>
  <c r="F11" i="11"/>
  <c r="G11" i="11" s="1"/>
  <c r="F10" i="11"/>
  <c r="G10" i="11" s="1"/>
  <c r="F9" i="11"/>
  <c r="G9" i="11" s="1"/>
  <c r="D31" i="3"/>
  <c r="D27" i="3"/>
  <c r="D28" i="3"/>
  <c r="D29" i="3"/>
  <c r="D30" i="3"/>
  <c r="D25" i="3"/>
  <c r="C26" i="3"/>
  <c r="D26" i="3" s="1"/>
  <c r="D11" i="8"/>
  <c r="D12" i="8"/>
  <c r="C12" i="8"/>
  <c r="C11" i="8"/>
  <c r="C10" i="8"/>
  <c r="D10" i="8"/>
  <c r="D9" i="8"/>
  <c r="C9" i="8"/>
  <c r="C4" i="8"/>
  <c r="D4" i="8"/>
  <c r="C5" i="8"/>
  <c r="D5" i="8"/>
  <c r="C6" i="8"/>
  <c r="D6" i="8"/>
  <c r="C7" i="8"/>
  <c r="D7" i="8"/>
  <c r="C8" i="8"/>
  <c r="D8" i="8"/>
  <c r="D3" i="8"/>
  <c r="C3" i="8"/>
  <c r="P11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R10" i="1"/>
  <c r="S10" i="1"/>
  <c r="T10" i="1"/>
  <c r="U10" i="1"/>
  <c r="V10" i="1"/>
  <c r="W10" i="1"/>
  <c r="X10" i="1"/>
  <c r="Y10" i="1"/>
  <c r="Z10" i="1"/>
  <c r="AA10" i="1"/>
  <c r="AB10" i="1"/>
  <c r="Q9" i="1"/>
  <c r="Q10" i="1"/>
  <c r="Q8" i="1"/>
  <c r="P10" i="1"/>
  <c r="P9" i="1"/>
  <c r="P8" i="1"/>
  <c r="O10" i="1"/>
  <c r="O9" i="1"/>
  <c r="O8" i="1"/>
  <c r="R7" i="1"/>
  <c r="S7" i="1"/>
  <c r="T7" i="1"/>
  <c r="U7" i="1"/>
  <c r="V7" i="1"/>
  <c r="W7" i="1"/>
  <c r="X7" i="1"/>
  <c r="Y7" i="1"/>
  <c r="Z7" i="1"/>
  <c r="AA7" i="1"/>
  <c r="AB7" i="1"/>
  <c r="Q7" i="1"/>
  <c r="P7" i="1"/>
  <c r="E7" i="1"/>
  <c r="F7" i="1"/>
  <c r="G7" i="1"/>
  <c r="H7" i="1"/>
  <c r="I7" i="1"/>
  <c r="J7" i="1"/>
  <c r="K7" i="1"/>
  <c r="L7" i="1"/>
  <c r="M7" i="1"/>
  <c r="N7" i="1"/>
  <c r="O7" i="1"/>
  <c r="D7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D6" i="1"/>
  <c r="Q5" i="1"/>
  <c r="R5" i="1"/>
  <c r="S5" i="1"/>
  <c r="T5" i="1"/>
  <c r="U5" i="1"/>
  <c r="V5" i="1"/>
  <c r="W5" i="1"/>
  <c r="X5" i="1"/>
  <c r="Y5" i="1"/>
  <c r="Z5" i="1"/>
  <c r="AA5" i="1"/>
  <c r="AB5" i="1"/>
  <c r="P5" i="1"/>
  <c r="J8" i="1"/>
  <c r="K8" i="1"/>
  <c r="L8" i="1" s="1"/>
  <c r="D93" i="7"/>
  <c r="D94" i="7"/>
  <c r="C94" i="7"/>
  <c r="C93" i="7"/>
  <c r="D90" i="7"/>
  <c r="D89" i="7"/>
  <c r="C90" i="7"/>
  <c r="C89" i="7"/>
  <c r="D84" i="7"/>
  <c r="D83" i="7"/>
  <c r="B76" i="7"/>
  <c r="F26" i="7"/>
  <c r="C26" i="7"/>
  <c r="F25" i="7"/>
  <c r="C25" i="7"/>
  <c r="F24" i="7"/>
  <c r="C24" i="7"/>
  <c r="F23" i="7"/>
  <c r="F22" i="7"/>
  <c r="F21" i="7"/>
  <c r="F20" i="7"/>
  <c r="F19" i="7"/>
  <c r="D11" i="7"/>
  <c r="C11" i="7"/>
  <c r="D10" i="7"/>
  <c r="C10" i="7"/>
  <c r="D9" i="7"/>
  <c r="C9" i="7"/>
  <c r="D8" i="7"/>
  <c r="C8" i="7"/>
  <c r="D7" i="7"/>
  <c r="F7" i="7" s="1"/>
  <c r="C7" i="7"/>
  <c r="D6" i="7"/>
  <c r="C6" i="7"/>
  <c r="D5" i="7"/>
  <c r="E5" i="7" s="1"/>
  <c r="C5" i="7"/>
  <c r="D4" i="7"/>
  <c r="F4" i="7" s="1"/>
  <c r="C4" i="7"/>
  <c r="E16" i="11" l="1"/>
  <c r="G16" i="11" s="1"/>
  <c r="G15" i="11"/>
  <c r="K11" i="11"/>
  <c r="K15" i="11"/>
  <c r="K9" i="11"/>
  <c r="K13" i="11"/>
  <c r="K10" i="11"/>
  <c r="K12" i="11"/>
  <c r="K14" i="11"/>
  <c r="G14" i="11"/>
  <c r="F27" i="7"/>
  <c r="C76" i="7" s="1"/>
  <c r="E6" i="7"/>
  <c r="F5" i="7"/>
  <c r="G19" i="11" l="1"/>
  <c r="K19" i="11"/>
  <c r="G24" i="11" s="1"/>
  <c r="F6" i="7"/>
  <c r="E8" i="7"/>
  <c r="E10" i="7" l="1"/>
  <c r="F10" i="7" s="1"/>
  <c r="E9" i="7"/>
  <c r="F8" i="7"/>
  <c r="F9" i="7" l="1"/>
  <c r="E11" i="7"/>
  <c r="E25" i="7" l="1"/>
  <c r="G25" i="7" s="1"/>
  <c r="H25" i="7" s="1"/>
  <c r="F11" i="7"/>
  <c r="E24" i="7"/>
  <c r="E21" i="7"/>
  <c r="G21" i="7" s="1"/>
  <c r="H21" i="7" s="1"/>
  <c r="E26" i="7"/>
  <c r="G26" i="7" s="1"/>
  <c r="H26" i="7" s="1"/>
  <c r="E20" i="7"/>
  <c r="E22" i="7"/>
  <c r="G22" i="7" s="1"/>
  <c r="H22" i="7" s="1"/>
  <c r="G20" i="7" l="1"/>
  <c r="E19" i="7"/>
  <c r="E23" i="7"/>
  <c r="G24" i="7"/>
  <c r="G23" i="7" l="1"/>
  <c r="H23" i="7" s="1"/>
  <c r="H24" i="7"/>
  <c r="G19" i="7"/>
  <c r="H20" i="7"/>
  <c r="H19" i="7" l="1"/>
  <c r="G27" i="7"/>
  <c r="H27" i="7" l="1"/>
  <c r="D76" i="7"/>
  <c r="E37" i="3" l="1"/>
  <c r="G37" i="3" s="1"/>
  <c r="I37" i="3" s="1"/>
  <c r="E38" i="3"/>
  <c r="G38" i="3" s="1"/>
  <c r="I38" i="3" s="1"/>
  <c r="E39" i="3"/>
  <c r="G39" i="3" s="1"/>
  <c r="I39" i="3" s="1"/>
  <c r="E40" i="3"/>
  <c r="G40" i="3" s="1"/>
  <c r="I40" i="3" s="1"/>
  <c r="E41" i="3"/>
  <c r="G41" i="3" s="1"/>
  <c r="I41" i="3" s="1"/>
  <c r="E42" i="3"/>
  <c r="G42" i="3" s="1"/>
  <c r="I42" i="3" s="1"/>
  <c r="E43" i="3"/>
  <c r="G43" i="3" s="1"/>
  <c r="I43" i="3" s="1"/>
  <c r="E44" i="3"/>
  <c r="G44" i="3" s="1"/>
  <c r="I44" i="3" s="1"/>
  <c r="E45" i="3"/>
  <c r="G45" i="3" s="1"/>
  <c r="I45" i="3" s="1"/>
  <c r="E46" i="3"/>
  <c r="G46" i="3" s="1"/>
  <c r="I46" i="3" s="1"/>
  <c r="E47" i="3"/>
  <c r="G47" i="3" s="1"/>
  <c r="I47" i="3" s="1"/>
  <c r="E48" i="3"/>
  <c r="G48" i="3" s="1"/>
  <c r="I48" i="3" s="1"/>
  <c r="E49" i="3"/>
  <c r="G49" i="3" s="1"/>
  <c r="I49" i="3" s="1"/>
  <c r="E50" i="3"/>
  <c r="G50" i="3" s="1"/>
  <c r="I50" i="3" s="1"/>
  <c r="C57" i="3" s="1"/>
  <c r="G52" i="3"/>
  <c r="I52" i="3" s="1"/>
  <c r="G51" i="3"/>
  <c r="I51" i="3" s="1"/>
  <c r="C56" i="3" s="1"/>
  <c r="E36" i="3"/>
  <c r="G36" i="3" s="1"/>
  <c r="I36" i="3" s="1"/>
  <c r="C58" i="3" s="1"/>
  <c r="I53" i="3" l="1"/>
  <c r="B80" i="2"/>
  <c r="C26" i="2"/>
  <c r="C25" i="2"/>
  <c r="C24" i="2"/>
  <c r="D6" i="2"/>
  <c r="D8" i="2" s="1"/>
  <c r="D18" i="10"/>
  <c r="F18" i="10" s="1"/>
  <c r="F17" i="10"/>
  <c r="D17" i="10"/>
  <c r="D15" i="10"/>
  <c r="F15" i="10" s="1"/>
  <c r="D8" i="10"/>
  <c r="F8" i="10" s="1"/>
  <c r="F7" i="10"/>
  <c r="D7" i="10"/>
  <c r="D5" i="10"/>
  <c r="F5" i="10" s="1"/>
  <c r="C74" i="3" l="1"/>
  <c r="N53" i="3"/>
  <c r="D10" i="2"/>
  <c r="D9" i="2"/>
  <c r="D11" i="2" s="1"/>
  <c r="C36" i="7"/>
  <c r="E6" i="8"/>
  <c r="E3" i="8"/>
  <c r="E21" i="2" l="1"/>
  <c r="F21" i="2" s="1"/>
  <c r="E20" i="2"/>
  <c r="E25" i="2"/>
  <c r="F25" i="2" s="1"/>
  <c r="E24" i="2"/>
  <c r="E26" i="2"/>
  <c r="F26" i="2" s="1"/>
  <c r="E22" i="2"/>
  <c r="F22" i="2" s="1"/>
  <c r="F24" i="2" l="1"/>
  <c r="F23" i="2" s="1"/>
  <c r="E23" i="2"/>
  <c r="F20" i="2"/>
  <c r="F19" i="2" s="1"/>
  <c r="E19" i="2"/>
  <c r="E4" i="8"/>
  <c r="C31" i="7"/>
  <c r="E31" i="7" s="1"/>
  <c r="G69" i="3"/>
  <c r="G68" i="3"/>
  <c r="G67" i="3"/>
  <c r="E65" i="2"/>
  <c r="E66" i="2"/>
  <c r="E67" i="2"/>
  <c r="E68" i="2"/>
  <c r="E69" i="2"/>
  <c r="E70" i="2"/>
  <c r="E64" i="2"/>
  <c r="E52" i="7"/>
  <c r="E51" i="7"/>
  <c r="C56" i="7"/>
  <c r="E56" i="7" s="1"/>
  <c r="C53" i="7"/>
  <c r="E53" i="7" s="1"/>
  <c r="C46" i="7"/>
  <c r="E46" i="7" s="1"/>
  <c r="C47" i="7"/>
  <c r="E47" i="7" s="1"/>
  <c r="C48" i="7"/>
  <c r="E48" i="7" s="1"/>
  <c r="C49" i="7"/>
  <c r="E49" i="7" s="1"/>
  <c r="C50" i="7"/>
  <c r="E50" i="7" s="1"/>
  <c r="C45" i="7"/>
  <c r="E45" i="7" s="1"/>
  <c r="C41" i="7"/>
  <c r="E41" i="7" s="1"/>
  <c r="C42" i="7"/>
  <c r="E42" i="7" s="1"/>
  <c r="C40" i="7"/>
  <c r="C32" i="7"/>
  <c r="E32" i="7" s="1"/>
  <c r="C33" i="7"/>
  <c r="E33" i="7" s="1"/>
  <c r="C34" i="7"/>
  <c r="E34" i="7" s="1"/>
  <c r="C35" i="7"/>
  <c r="E35" i="7" s="1"/>
  <c r="E36" i="7"/>
  <c r="F70" i="7"/>
  <c r="G70" i="7" s="1"/>
  <c r="E68" i="7"/>
  <c r="G68" i="7" s="1"/>
  <c r="D68" i="7"/>
  <c r="F67" i="7"/>
  <c r="G67" i="7" s="1"/>
  <c r="F66" i="7"/>
  <c r="G66" i="7" s="1"/>
  <c r="F65" i="7"/>
  <c r="G65" i="7" s="1"/>
  <c r="F64" i="7"/>
  <c r="G64" i="7" s="1"/>
  <c r="F63" i="7"/>
  <c r="G63" i="7" s="1"/>
  <c r="F62" i="7"/>
  <c r="G62" i="7" s="1"/>
  <c r="F61" i="7"/>
  <c r="G61" i="7" s="1"/>
  <c r="J15" i="1"/>
  <c r="E15" i="1"/>
  <c r="F15" i="1"/>
  <c r="H15" i="1"/>
  <c r="K15" i="1"/>
  <c r="M15" i="1"/>
  <c r="N15" i="1"/>
  <c r="C73" i="3"/>
  <c r="E66" i="3"/>
  <c r="G66" i="3" s="1"/>
  <c r="D71" i="2"/>
  <c r="E71" i="2" s="1"/>
  <c r="F70" i="2"/>
  <c r="F73" i="2"/>
  <c r="G73" i="2" s="1"/>
  <c r="F69" i="2"/>
  <c r="F72" i="2" s="1"/>
  <c r="G72" i="2" s="1"/>
  <c r="F68" i="2"/>
  <c r="F67" i="2"/>
  <c r="F66" i="2"/>
  <c r="F65" i="2"/>
  <c r="F64" i="2"/>
  <c r="E57" i="2"/>
  <c r="C55" i="2"/>
  <c r="E55" i="2" s="1"/>
  <c r="E54" i="2"/>
  <c r="E51" i="2"/>
  <c r="E50" i="2"/>
  <c r="E49" i="2"/>
  <c r="E48" i="2"/>
  <c r="E47" i="2"/>
  <c r="E46" i="2"/>
  <c r="E43" i="2"/>
  <c r="E42" i="2"/>
  <c r="E41" i="2"/>
  <c r="C44" i="2"/>
  <c r="E44" i="2" s="1"/>
  <c r="E37" i="2"/>
  <c r="E36" i="2"/>
  <c r="E35" i="2"/>
  <c r="E34" i="2"/>
  <c r="E33" i="2"/>
  <c r="E32" i="2"/>
  <c r="F27" i="2" l="1"/>
  <c r="C80" i="2" s="1"/>
  <c r="E5" i="8"/>
  <c r="G70" i="3"/>
  <c r="C76" i="3" s="1"/>
  <c r="C43" i="7"/>
  <c r="E43" i="7" s="1"/>
  <c r="G68" i="2"/>
  <c r="C54" i="7"/>
  <c r="E54" i="7" s="1"/>
  <c r="E40" i="7"/>
  <c r="G65" i="2"/>
  <c r="G70" i="2"/>
  <c r="G66" i="2"/>
  <c r="G67" i="2"/>
  <c r="G71" i="2"/>
  <c r="G64" i="2"/>
  <c r="E37" i="7"/>
  <c r="D80" i="7" s="1"/>
  <c r="D15" i="8" s="1"/>
  <c r="F69" i="7"/>
  <c r="G69" i="7" s="1"/>
  <c r="G71" i="7" s="1"/>
  <c r="D82" i="7" s="1"/>
  <c r="D17" i="8" s="1"/>
  <c r="C60" i="3"/>
  <c r="C62" i="3" s="1"/>
  <c r="C75" i="3" s="1"/>
  <c r="E58" i="2"/>
  <c r="C84" i="2" s="1"/>
  <c r="G69" i="2"/>
  <c r="E38" i="2"/>
  <c r="C83" i="2" s="1"/>
  <c r="C86" i="2" l="1"/>
  <c r="E7" i="8"/>
  <c r="E57" i="7"/>
  <c r="D81" i="7" s="1"/>
  <c r="G74" i="2"/>
  <c r="C85" i="2" s="1"/>
  <c r="M10" i="1"/>
  <c r="N10" i="1" s="1"/>
  <c r="D8" i="1"/>
  <c r="C80" i="7"/>
  <c r="C81" i="7"/>
  <c r="C16" i="8" s="1"/>
  <c r="D9" i="1"/>
  <c r="E9" i="1" s="1"/>
  <c r="F9" i="1" s="1"/>
  <c r="G9" i="1" s="1"/>
  <c r="H9" i="1" s="1"/>
  <c r="I9" i="1" s="1"/>
  <c r="J59" i="3"/>
  <c r="K53" i="3"/>
  <c r="L53" i="3" s="1"/>
  <c r="C77" i="3"/>
  <c r="C79" i="3" s="1"/>
  <c r="C81" i="3" s="1"/>
  <c r="C80" i="3" l="1"/>
  <c r="C1" i="5"/>
  <c r="C82" i="7"/>
  <c r="D16" i="8"/>
  <c r="E16" i="8" s="1"/>
  <c r="E82" i="7"/>
  <c r="C17" i="8"/>
  <c r="E17" i="8" s="1"/>
  <c r="E8" i="8"/>
  <c r="E80" i="7"/>
  <c r="C15" i="8"/>
  <c r="E15" i="8" s="1"/>
  <c r="C84" i="7"/>
  <c r="D10" i="1"/>
  <c r="E10" i="1" s="1"/>
  <c r="F10" i="1" s="1"/>
  <c r="G10" i="1" s="1"/>
  <c r="H10" i="1" s="1"/>
  <c r="I10" i="1" s="1"/>
  <c r="J10" i="1" s="1"/>
  <c r="K10" i="1" s="1"/>
  <c r="L10" i="1" s="1"/>
  <c r="E81" i="7"/>
  <c r="J9" i="1"/>
  <c r="K9" i="1" s="1"/>
  <c r="L9" i="1" s="1"/>
  <c r="N9" i="1"/>
  <c r="M9" i="1"/>
  <c r="E8" i="1"/>
  <c r="E9" i="8" l="1"/>
  <c r="C19" i="8"/>
  <c r="C16" i="5"/>
  <c r="D15" i="1" s="1"/>
  <c r="N16" i="5"/>
  <c r="H16" i="5"/>
  <c r="K16" i="5"/>
  <c r="F16" i="5"/>
  <c r="F8" i="1"/>
  <c r="E84" i="7" l="1"/>
  <c r="D19" i="8"/>
  <c r="E19" i="8" s="1"/>
  <c r="G15" i="1"/>
  <c r="C19" i="5"/>
  <c r="L15" i="1"/>
  <c r="C21" i="5"/>
  <c r="I15" i="1"/>
  <c r="C20" i="5"/>
  <c r="O15" i="1"/>
  <c r="C22" i="5"/>
  <c r="C18" i="5"/>
  <c r="G8" i="1"/>
  <c r="H8" i="1" l="1"/>
  <c r="I8" i="1" l="1"/>
  <c r="M8" i="1" l="1"/>
  <c r="N8" i="1"/>
  <c r="E11" i="8" l="1"/>
  <c r="C88" i="2" l="1"/>
  <c r="C89" i="2" s="1"/>
  <c r="C83" i="7"/>
  <c r="D11" i="1"/>
  <c r="C86" i="7" l="1"/>
  <c r="C21" i="8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C90" i="2"/>
  <c r="C95" i="2" s="1"/>
  <c r="E12" i="8"/>
  <c r="C13" i="8"/>
  <c r="C18" i="8"/>
  <c r="E11" i="1"/>
  <c r="E12" i="1" s="1"/>
  <c r="E14" i="1" s="1"/>
  <c r="E16" i="1" s="1"/>
  <c r="E17" i="1" s="1"/>
  <c r="D22" i="1" s="1"/>
  <c r="D12" i="1"/>
  <c r="C85" i="7"/>
  <c r="D86" i="7"/>
  <c r="D21" i="8" s="1"/>
  <c r="D14" i="1" l="1"/>
  <c r="D16" i="1" s="1"/>
  <c r="D17" i="1" s="1"/>
  <c r="D18" i="1" s="1"/>
  <c r="E18" i="1" s="1"/>
  <c r="C92" i="2"/>
  <c r="C93" i="2" s="1"/>
  <c r="C96" i="2"/>
  <c r="E76" i="7"/>
  <c r="E10" i="8"/>
  <c r="D13" i="8"/>
  <c r="E13" i="8" s="1"/>
  <c r="F11" i="1"/>
  <c r="F12" i="1" s="1"/>
  <c r="F14" i="1" s="1"/>
  <c r="F16" i="1" s="1"/>
  <c r="F17" i="1" s="1"/>
  <c r="E21" i="8"/>
  <c r="C20" i="8"/>
  <c r="O13" i="1"/>
  <c r="C87" i="7"/>
  <c r="C26" i="8" s="1"/>
  <c r="E26" i="1"/>
  <c r="E86" i="7"/>
  <c r="D26" i="1" l="1"/>
  <c r="D18" i="8"/>
  <c r="E18" i="8" s="1"/>
  <c r="M11" i="1"/>
  <c r="O11" i="1"/>
  <c r="D85" i="7"/>
  <c r="E83" i="7"/>
  <c r="G11" i="1"/>
  <c r="G12" i="1" s="1"/>
  <c r="G14" i="1" s="1"/>
  <c r="G16" i="1" s="1"/>
  <c r="G17" i="1" s="1"/>
  <c r="C22" i="8"/>
  <c r="C23" i="8" s="1"/>
  <c r="C24" i="8" s="1"/>
  <c r="C25" i="8"/>
  <c r="F26" i="1"/>
  <c r="F18" i="1"/>
  <c r="V13" i="1"/>
  <c r="U13" i="1"/>
  <c r="Q13" i="1"/>
  <c r="AA13" i="1"/>
  <c r="Z13" i="1"/>
  <c r="P13" i="1"/>
  <c r="X13" i="1"/>
  <c r="S13" i="1"/>
  <c r="Y13" i="1"/>
  <c r="R13" i="1"/>
  <c r="AB13" i="1"/>
  <c r="T13" i="1"/>
  <c r="W13" i="1"/>
  <c r="E22" i="1"/>
  <c r="D25" i="1"/>
  <c r="D23" i="1"/>
  <c r="D27" i="1" l="1"/>
  <c r="D29" i="1" s="1"/>
  <c r="H11" i="1"/>
  <c r="H12" i="1" s="1"/>
  <c r="H14" i="1" s="1"/>
  <c r="N11" i="1"/>
  <c r="N12" i="1" s="1"/>
  <c r="N14" i="1" s="1"/>
  <c r="N16" i="1" s="1"/>
  <c r="M12" i="1"/>
  <c r="M14" i="1" s="1"/>
  <c r="M16" i="1" s="1"/>
  <c r="D20" i="8"/>
  <c r="E85" i="7"/>
  <c r="D87" i="7"/>
  <c r="O12" i="1"/>
  <c r="O14" i="1" s="1"/>
  <c r="O16" i="1" s="1"/>
  <c r="O17" i="1" s="1"/>
  <c r="AB11" i="1"/>
  <c r="AB12" i="1" s="1"/>
  <c r="AB14" i="1" s="1"/>
  <c r="AB16" i="1" s="1"/>
  <c r="V11" i="1"/>
  <c r="V12" i="1" s="1"/>
  <c r="V14" i="1" s="1"/>
  <c r="V16" i="1" s="1"/>
  <c r="Z11" i="1"/>
  <c r="Z12" i="1" s="1"/>
  <c r="Z14" i="1" s="1"/>
  <c r="Z16" i="1" s="1"/>
  <c r="X11" i="1"/>
  <c r="X12" i="1" s="1"/>
  <c r="X14" i="1" s="1"/>
  <c r="X16" i="1" s="1"/>
  <c r="R11" i="1"/>
  <c r="R12" i="1" s="1"/>
  <c r="R14" i="1" s="1"/>
  <c r="R16" i="1" s="1"/>
  <c r="U11" i="1"/>
  <c r="U12" i="1" s="1"/>
  <c r="U14" i="1" s="1"/>
  <c r="U16" i="1" s="1"/>
  <c r="AA11" i="1"/>
  <c r="AA12" i="1" s="1"/>
  <c r="AA14" i="1" s="1"/>
  <c r="AA16" i="1" s="1"/>
  <c r="S11" i="1"/>
  <c r="S12" i="1" s="1"/>
  <c r="S14" i="1" s="1"/>
  <c r="S16" i="1" s="1"/>
  <c r="T11" i="1"/>
  <c r="T12" i="1" s="1"/>
  <c r="T14" i="1" s="1"/>
  <c r="T16" i="1" s="1"/>
  <c r="P12" i="1"/>
  <c r="P14" i="1" s="1"/>
  <c r="P16" i="1" s="1"/>
  <c r="P17" i="1" s="1"/>
  <c r="Y11" i="1"/>
  <c r="Y12" i="1" s="1"/>
  <c r="Y14" i="1" s="1"/>
  <c r="Y16" i="1" s="1"/>
  <c r="Q11" i="1"/>
  <c r="Q12" i="1" s="1"/>
  <c r="Q14" i="1" s="1"/>
  <c r="Q16" i="1" s="1"/>
  <c r="W11" i="1"/>
  <c r="W12" i="1" s="1"/>
  <c r="W14" i="1" s="1"/>
  <c r="W16" i="1" s="1"/>
  <c r="G18" i="1"/>
  <c r="G26" i="1"/>
  <c r="H16" i="1"/>
  <c r="H17" i="1" s="1"/>
  <c r="I11" i="1"/>
  <c r="I12" i="1" s="1"/>
  <c r="I14" i="1" s="1"/>
  <c r="E25" i="1"/>
  <c r="E27" i="1" s="1"/>
  <c r="E29" i="1" s="1"/>
  <c r="E23" i="1"/>
  <c r="F22" i="1"/>
  <c r="M17" i="1" l="1"/>
  <c r="M26" i="1" s="1"/>
  <c r="N17" i="1"/>
  <c r="N26" i="1" s="1"/>
  <c r="D22" i="8"/>
  <c r="E20" i="8"/>
  <c r="E87" i="7"/>
  <c r="O26" i="1"/>
  <c r="F25" i="1"/>
  <c r="F27" i="1" s="1"/>
  <c r="F23" i="1"/>
  <c r="G22" i="1"/>
  <c r="J11" i="1"/>
  <c r="J12" i="1" s="1"/>
  <c r="J14" i="1" s="1"/>
  <c r="I16" i="1"/>
  <c r="I17" i="1" s="1"/>
  <c r="H26" i="1"/>
  <c r="H18" i="1"/>
  <c r="P26" i="1"/>
  <c r="Q17" i="1"/>
  <c r="D25" i="8" l="1"/>
  <c r="E25" i="8" s="1"/>
  <c r="E93" i="7"/>
  <c r="E94" i="7"/>
  <c r="D26" i="8"/>
  <c r="E26" i="8" s="1"/>
  <c r="E90" i="7"/>
  <c r="E89" i="7"/>
  <c r="D23" i="8"/>
  <c r="E22" i="8"/>
  <c r="I18" i="1"/>
  <c r="I26" i="1"/>
  <c r="G25" i="1"/>
  <c r="G27" i="1" s="1"/>
  <c r="G29" i="1" s="1"/>
  <c r="G23" i="1"/>
  <c r="H22" i="1"/>
  <c r="Q26" i="1"/>
  <c r="R17" i="1"/>
  <c r="K11" i="1"/>
  <c r="K12" i="1" s="1"/>
  <c r="K14" i="1" s="1"/>
  <c r="F29" i="1"/>
  <c r="E23" i="8" l="1"/>
  <c r="D24" i="8"/>
  <c r="E24" i="8" s="1"/>
  <c r="I22" i="1"/>
  <c r="H25" i="1"/>
  <c r="H27" i="1" s="1"/>
  <c r="H23" i="1"/>
  <c r="J16" i="1"/>
  <c r="J17" i="1" s="1"/>
  <c r="S17" i="1"/>
  <c r="R26" i="1"/>
  <c r="L11" i="1"/>
  <c r="L12" i="1" s="1"/>
  <c r="L14" i="1" s="1"/>
  <c r="I25" i="1" l="1"/>
  <c r="I27" i="1" s="1"/>
  <c r="I29" i="1" s="1"/>
  <c r="I23" i="1"/>
  <c r="J22" i="1"/>
  <c r="K16" i="1"/>
  <c r="K17" i="1" s="1"/>
  <c r="L16" i="1"/>
  <c r="L17" i="1" s="1"/>
  <c r="S26" i="1"/>
  <c r="T17" i="1"/>
  <c r="H29" i="1"/>
  <c r="J26" i="1"/>
  <c r="J18" i="1"/>
  <c r="K18" i="1" l="1"/>
  <c r="L18" i="1" s="1"/>
  <c r="M18" i="1" s="1"/>
  <c r="N18" i="1" s="1"/>
  <c r="O18" i="1" s="1"/>
  <c r="P18" i="1" s="1"/>
  <c r="Q18" i="1" s="1"/>
  <c r="R18" i="1" s="1"/>
  <c r="S18" i="1" s="1"/>
  <c r="T18" i="1" s="1"/>
  <c r="K26" i="1"/>
  <c r="L26" i="1"/>
  <c r="J23" i="1"/>
  <c r="K22" i="1"/>
  <c r="J25" i="1"/>
  <c r="J27" i="1" s="1"/>
  <c r="T26" i="1"/>
  <c r="U17" i="1"/>
  <c r="J29" i="1" l="1"/>
  <c r="L22" i="1"/>
  <c r="K25" i="1"/>
  <c r="K27" i="1" s="1"/>
  <c r="K29" i="1" s="1"/>
  <c r="K23" i="1"/>
  <c r="V17" i="1"/>
  <c r="U26" i="1"/>
  <c r="U18" i="1"/>
  <c r="V26" i="1" l="1"/>
  <c r="V18" i="1"/>
  <c r="W17" i="1"/>
  <c r="L23" i="1"/>
  <c r="M22" i="1"/>
  <c r="L25" i="1"/>
  <c r="L27" i="1" s="1"/>
  <c r="L29" i="1" s="1"/>
  <c r="M23" i="1" l="1"/>
  <c r="N22" i="1"/>
  <c r="M25" i="1"/>
  <c r="M27" i="1" s="1"/>
  <c r="M29" i="1" s="1"/>
  <c r="W26" i="1"/>
  <c r="X17" i="1"/>
  <c r="W18" i="1"/>
  <c r="Y17" i="1" l="1"/>
  <c r="X26" i="1"/>
  <c r="X18" i="1"/>
  <c r="O22" i="1"/>
  <c r="N25" i="1"/>
  <c r="N27" i="1" s="1"/>
  <c r="N29" i="1" s="1"/>
  <c r="N23" i="1"/>
  <c r="O25" i="1" l="1"/>
  <c r="O27" i="1" s="1"/>
  <c r="O29" i="1" s="1"/>
  <c r="O23" i="1"/>
  <c r="P22" i="1"/>
  <c r="Y18" i="1"/>
  <c r="Y26" i="1"/>
  <c r="Z17" i="1"/>
  <c r="P25" i="1" l="1"/>
  <c r="P27" i="1" s="1"/>
  <c r="P29" i="1" s="1"/>
  <c r="Q22" i="1"/>
  <c r="P23" i="1"/>
  <c r="Z26" i="1"/>
  <c r="AA17" i="1"/>
  <c r="Z18" i="1"/>
  <c r="Q23" i="1" l="1"/>
  <c r="R22" i="1"/>
  <c r="Q25" i="1"/>
  <c r="Q27" i="1" s="1"/>
  <c r="Q29" i="1" s="1"/>
  <c r="AB17" i="1"/>
  <c r="AA26" i="1"/>
  <c r="AA18" i="1"/>
  <c r="AB18" i="1" l="1"/>
  <c r="AB26" i="1"/>
  <c r="S22" i="1"/>
  <c r="R25" i="1"/>
  <c r="R27" i="1" s="1"/>
  <c r="R29" i="1" s="1"/>
  <c r="R23" i="1"/>
  <c r="S23" i="1" l="1"/>
  <c r="T22" i="1"/>
  <c r="S25" i="1"/>
  <c r="S27" i="1" s="1"/>
  <c r="S29" i="1" s="1"/>
  <c r="T25" i="1" l="1"/>
  <c r="T27" i="1" s="1"/>
  <c r="T29" i="1" s="1"/>
  <c r="U22" i="1"/>
  <c r="T23" i="1"/>
  <c r="U25" i="1" l="1"/>
  <c r="U27" i="1" s="1"/>
  <c r="U29" i="1" s="1"/>
  <c r="V22" i="1"/>
  <c r="U23" i="1"/>
  <c r="V25" i="1" l="1"/>
  <c r="V27" i="1" s="1"/>
  <c r="V29" i="1" s="1"/>
  <c r="W22" i="1"/>
  <c r="V23" i="1"/>
  <c r="W25" i="1" l="1"/>
  <c r="W27" i="1" s="1"/>
  <c r="W29" i="1" s="1"/>
  <c r="X22" i="1"/>
  <c r="W23" i="1"/>
  <c r="X25" i="1" l="1"/>
  <c r="X27" i="1" s="1"/>
  <c r="X29" i="1" s="1"/>
  <c r="Y22" i="1"/>
  <c r="X23" i="1"/>
  <c r="Y23" i="1" l="1"/>
  <c r="Z22" i="1"/>
  <c r="Y25" i="1"/>
  <c r="Y27" i="1" l="1"/>
  <c r="Y29" i="1" s="1"/>
  <c r="Z23" i="1"/>
  <c r="AA22" i="1"/>
  <c r="Z25" i="1"/>
  <c r="Z27" i="1" l="1"/>
  <c r="Z29" i="1" s="1"/>
  <c r="AA25" i="1"/>
  <c r="AA27" i="1" s="1"/>
  <c r="AB22" i="1"/>
  <c r="AA23" i="1"/>
  <c r="AA29" i="1" l="1"/>
  <c r="AB25" i="1"/>
  <c r="AB27" i="1" s="1"/>
  <c r="AB23" i="1"/>
  <c r="AB29" i="1" l="1"/>
  <c r="D30" i="1" s="1"/>
</calcChain>
</file>

<file path=xl/sharedStrings.xml><?xml version="1.0" encoding="utf-8"?>
<sst xmlns="http://schemas.openxmlformats.org/spreadsheetml/2006/main" count="520" uniqueCount="261">
  <si>
    <t>PRODUCCION M2</t>
  </si>
  <si>
    <t>INGRESOS POR VENTAS</t>
  </si>
  <si>
    <t>PRECIO M2 DE BALDOSA</t>
  </si>
  <si>
    <t>MES</t>
  </si>
  <si>
    <t>ANTES DEL PROYECTO</t>
  </si>
  <si>
    <t>DESPUES DEL PROYECTO</t>
  </si>
  <si>
    <t>COSTOS Y GASTOS</t>
  </si>
  <si>
    <t>Materia primas</t>
  </si>
  <si>
    <t>Servicios</t>
  </si>
  <si>
    <t>RECURSO HUMANO</t>
  </si>
  <si>
    <t>Servicios (Mantenimiento) 1% ventas</t>
  </si>
  <si>
    <t>TOTAL COSTOS</t>
  </si>
  <si>
    <t>GASTOS 25%</t>
  </si>
  <si>
    <t>TOTAL EGRESOS</t>
  </si>
  <si>
    <t>EGRESOS</t>
  </si>
  <si>
    <t>Recurso Humano</t>
  </si>
  <si>
    <t>Arcilla</t>
  </si>
  <si>
    <t>Feldespatos</t>
  </si>
  <si>
    <t>Arenas</t>
  </si>
  <si>
    <t>Carbonatos</t>
  </si>
  <si>
    <t>Caolines</t>
  </si>
  <si>
    <t>ESMALTE</t>
  </si>
  <si>
    <t>TOTAL</t>
  </si>
  <si>
    <t>INSUMOS O MATERIALES</t>
  </si>
  <si>
    <t>Horno</t>
  </si>
  <si>
    <t xml:space="preserve">COMBUSTIBLE GAS </t>
  </si>
  <si>
    <t xml:space="preserve">VALOR M3 </t>
  </si>
  <si>
    <t>CONSUMO M3 PROMEDIO MES</t>
  </si>
  <si>
    <t>VALOR MES</t>
  </si>
  <si>
    <t>CONSUMO KW PROMEDIO MES</t>
  </si>
  <si>
    <t xml:space="preserve">VALOR KW </t>
  </si>
  <si>
    <t>NA</t>
  </si>
  <si>
    <t>AGUA</t>
  </si>
  <si>
    <t>CARGO</t>
  </si>
  <si>
    <t>TOTAL CARGOS</t>
  </si>
  <si>
    <t>COSTO MES</t>
  </si>
  <si>
    <t>VALOR TOTAL MES</t>
  </si>
  <si>
    <t>AREA</t>
  </si>
  <si>
    <t>PUESTOS POR TURNO</t>
  </si>
  <si>
    <t>COSTO MES CARGO</t>
  </si>
  <si>
    <t>CONCEPTO</t>
  </si>
  <si>
    <t>VALOR</t>
  </si>
  <si>
    <t>TOTAL COSTOS Y GASTOS</t>
  </si>
  <si>
    <t>RENTABILIDAD</t>
  </si>
  <si>
    <t>% RENTABILIDAD</t>
  </si>
  <si>
    <t>INTERVENCIONES</t>
  </si>
  <si>
    <t>Nueva esmaltadora</t>
  </si>
  <si>
    <t>Implementar empacadora</t>
  </si>
  <si>
    <t>Robotizar el paletizado</t>
  </si>
  <si>
    <t>INVERSIONES</t>
  </si>
  <si>
    <t>COSTOS DEL PROYECTO</t>
  </si>
  <si>
    <t>EQUIPOS</t>
  </si>
  <si>
    <t>TRM</t>
  </si>
  <si>
    <t>VALOR $US</t>
  </si>
  <si>
    <t>IVA</t>
  </si>
  <si>
    <t>VALOR FINAL</t>
  </si>
  <si>
    <t>Gripper 2FGP20</t>
  </si>
  <si>
    <t>Adquisición de sensores y actuadores</t>
  </si>
  <si>
    <t xml:space="preserve">Instalación de Esmaltadora </t>
  </si>
  <si>
    <t>Instalación de Empacadora</t>
  </si>
  <si>
    <t>Instalación del robot</t>
  </si>
  <si>
    <t xml:space="preserve">SALARIO </t>
  </si>
  <si>
    <t xml:space="preserve">TIEMPO </t>
  </si>
  <si>
    <t>VALOR TOTAL</t>
  </si>
  <si>
    <t xml:space="preserve">VALOR COP </t>
  </si>
  <si>
    <t>VALOR CON IVA</t>
  </si>
  <si>
    <t>Reja separadora</t>
  </si>
  <si>
    <t>PRECIO ESTIMADO DEL PROYECTO</t>
  </si>
  <si>
    <t>MESES</t>
  </si>
  <si>
    <t>VALOR PROYECTO</t>
  </si>
  <si>
    <t>PROYECTO INVERSION</t>
  </si>
  <si>
    <t>SALDO FINAL</t>
  </si>
  <si>
    <t>Fábrica produce 8820 baldosas por hora</t>
  </si>
  <si>
    <t>Se aumenta la produccion al superar el cuello de botella del esmaltado por lo cual el limite de produccion lo da el Horno.
Se reducen la perdidas de 3,4% AL 2,05%</t>
  </si>
  <si>
    <t>% VARIACION</t>
  </si>
  <si>
    <t>VALOR ACTAUL</t>
  </si>
  <si>
    <t>VALOR POSTERIOR PROYECTO</t>
  </si>
  <si>
    <t xml:space="preserve">GASTOS </t>
  </si>
  <si>
    <t>ACUMULADO</t>
  </si>
  <si>
    <t>SALDO</t>
  </si>
  <si>
    <t>EGRESOS +INVERSION</t>
  </si>
  <si>
    <t>CANTIDA MES [kg]</t>
  </si>
  <si>
    <t xml:space="preserve">Defectos </t>
  </si>
  <si>
    <t>Disponibilidad</t>
  </si>
  <si>
    <t>Perido de transición produción en un</t>
  </si>
  <si>
    <t>Producción disminuida por defectos</t>
  </si>
  <si>
    <t>Atomizador</t>
  </si>
  <si>
    <t>Secador</t>
  </si>
  <si>
    <t>Molino</t>
  </si>
  <si>
    <t>Prensa</t>
  </si>
  <si>
    <t>Esmaltadora</t>
  </si>
  <si>
    <t>Empaque</t>
  </si>
  <si>
    <t>Paletizado</t>
  </si>
  <si>
    <t>Otros planta</t>
  </si>
  <si>
    <t>VALOR kg</t>
  </si>
  <si>
    <t>INGRESOS</t>
  </si>
  <si>
    <t>INGRESOS Y EGRESO MENSUALES PRODUCCION ACTUAL</t>
  </si>
  <si>
    <t>INSTALACIONES DE EQUIPOS 
(Suministros, transporte y mano de obra)</t>
  </si>
  <si>
    <t>12 MESES</t>
  </si>
  <si>
    <t>COSTOS EQUIPO DE PROYECTO EN SEDE</t>
  </si>
  <si>
    <t>CONSOLIDADO VALOR DEL PROYECTO</t>
  </si>
  <si>
    <t>AIU</t>
  </si>
  <si>
    <t>INGRESOS Y EGRESO MENSUALES PRODUCCION POSTERIOR AL PROYECTO</t>
  </si>
  <si>
    <t>Operario</t>
  </si>
  <si>
    <t>Supervisor</t>
  </si>
  <si>
    <t>Ingeniero de producción</t>
  </si>
  <si>
    <t>Molienda</t>
  </si>
  <si>
    <t>Atomizado</t>
  </si>
  <si>
    <t>Prensado</t>
  </si>
  <si>
    <t>Secado</t>
  </si>
  <si>
    <t>Esmaltado</t>
  </si>
  <si>
    <t>Empaquetado</t>
  </si>
  <si>
    <t>Producción ideal</t>
  </si>
  <si>
    <t>Producción final en M2 por hora</t>
  </si>
  <si>
    <t>Producción final baldosas por mes</t>
  </si>
  <si>
    <t>Producción final en M2 por mes</t>
  </si>
  <si>
    <t>ENERGÍA</t>
  </si>
  <si>
    <t>TOTAL SERVICIOS PÚBLICOS</t>
  </si>
  <si>
    <t>Depreciación (15 AÑOS)</t>
  </si>
  <si>
    <t>Servicios públicos</t>
  </si>
  <si>
    <t>Recurso humano</t>
  </si>
  <si>
    <t>Servicios (mantenimiento) 1% ventas</t>
  </si>
  <si>
    <t>% VARIACIÓN</t>
  </si>
  <si>
    <t>ANÁLIS TÉCNICO Y FINACIERO DE LA PROPUESTA DE AUTOMATIZACIÓN</t>
  </si>
  <si>
    <t xml:space="preserve">Consultoría del proyecto 12 MESES
</t>
  </si>
  <si>
    <t>Realización de los estudios y diseños integrales técnicos y financieros del proyecto de automatización de la planta incluye la puesta en operación</t>
  </si>
  <si>
    <t>DISEÑOS AUTOMATIZACÓN PLANTA</t>
  </si>
  <si>
    <t>ARANCEL</t>
  </si>
  <si>
    <t>Valor puesto en Colombia</t>
  </si>
  <si>
    <t>Capacitación y entrenamiento al personal</t>
  </si>
  <si>
    <t>Suministros</t>
  </si>
  <si>
    <t>Gastos de desplazamiento</t>
  </si>
  <si>
    <t>Otros gastos</t>
  </si>
  <si>
    <t>Diseño automatización de planta</t>
  </si>
  <si>
    <t>Equipos</t>
  </si>
  <si>
    <t>Servicios de instalación</t>
  </si>
  <si>
    <t>Asesoría y acompañamiento</t>
  </si>
  <si>
    <t>Markup por riesgo</t>
  </si>
  <si>
    <t xml:space="preserve">Evaluación y diseño </t>
  </si>
  <si>
    <t>Adquisición y recepción equipos</t>
  </si>
  <si>
    <t>Instalación y puesta en funcionamiento propuesta</t>
  </si>
  <si>
    <t>Estabilización producción</t>
  </si>
  <si>
    <t xml:space="preserve">Pagos </t>
  </si>
  <si>
    <t>Anticipo</t>
  </si>
  <si>
    <t>Último pago</t>
  </si>
  <si>
    <t>pago 1</t>
  </si>
  <si>
    <t>pago 2</t>
  </si>
  <si>
    <t>pago 3</t>
  </si>
  <si>
    <t>Sin automatización</t>
  </si>
  <si>
    <t>FLUJO DE CAJA</t>
  </si>
  <si>
    <t xml:space="preserve">CRONOGRAMA  DE IMPLEMETACIÓN </t>
  </si>
  <si>
    <t>CONSOLIDADO INGRESOS Y GASTOS POSTERIOR A PROYECTO</t>
  </si>
  <si>
    <t>CONSOLIDADO INGRESOS Y GASTOS  ACTUAL</t>
  </si>
  <si>
    <t xml:space="preserve">Periodo de transición </t>
  </si>
  <si>
    <t>aumento paulatino de la producción</t>
  </si>
  <si>
    <t>Producción mensual respecto a producción inicial</t>
  </si>
  <si>
    <t>Inicio de instalacion de equipos,  se afecta la produción</t>
  </si>
  <si>
    <t>Periodo de recuperación</t>
  </si>
  <si>
    <t>Tasa interna de retorno</t>
  </si>
  <si>
    <t>Con automatización</t>
  </si>
  <si>
    <t>Tasa de descuento</t>
  </si>
  <si>
    <t>Diferencia generada por el proyecto</t>
  </si>
  <si>
    <t>Sumatoria</t>
  </si>
  <si>
    <t>costo promedio por baldosa</t>
  </si>
  <si>
    <t>CON PROYECTO</t>
  </si>
  <si>
    <t>ANTES DE PROYECTO</t>
  </si>
  <si>
    <t>META</t>
  </si>
  <si>
    <t>Costo promedio por m2</t>
  </si>
  <si>
    <t>% RENTABILIDAD (MARGEN)</t>
  </si>
  <si>
    <t>Produccin baldosas por hora</t>
  </si>
  <si>
    <t>Baldosa Azul Calida 1 (80%) y 2(20%)</t>
  </si>
  <si>
    <t>Baldosa Verde Calida 1(80%) y 2(20%)</t>
  </si>
  <si>
    <t>total Ventas por baldosa blanca</t>
  </si>
  <si>
    <t>total Ventas por baldosaAzul</t>
  </si>
  <si>
    <t>total Ventas por baldosa verde</t>
  </si>
  <si>
    <t>FASES</t>
  </si>
  <si>
    <t>CAPASIDAD PRODUCCIONMES</t>
  </si>
  <si>
    <t>CAPASIDAD GENERADA MES</t>
  </si>
  <si>
    <t>% USO DE CPACIDAD</t>
  </si>
  <si>
    <t>MOLIENDA</t>
  </si>
  <si>
    <t>ATOMIZADO</t>
  </si>
  <si>
    <t>PRENSADO</t>
  </si>
  <si>
    <t>SECADO</t>
  </si>
  <si>
    <t>ESMALTADO</t>
  </si>
  <si>
    <t>COCINADO</t>
  </si>
  <si>
    <t>EMPAQUETADO</t>
  </si>
  <si>
    <t>PALETIZADO</t>
  </si>
  <si>
    <t>CAPASIDAD PRODUCCION MES</t>
  </si>
  <si>
    <t>% USO DE CAPACIDAD</t>
  </si>
  <si>
    <t>Baldosa blanca: calidad 1( 90%)   calidad  2 (10%)</t>
  </si>
  <si>
    <t>calidad 1</t>
  </si>
  <si>
    <t>calidad 2</t>
  </si>
  <si>
    <t>PRECIO</t>
  </si>
  <si>
    <t>PROPORCIÓN</t>
  </si>
  <si>
    <t>PRODUCCIÓN MES M2</t>
  </si>
  <si>
    <t>VENTAS</t>
  </si>
  <si>
    <t>baldosa blanca</t>
  </si>
  <si>
    <t xml:space="preserve">baldosa azul </t>
  </si>
  <si>
    <t>baldosa menta</t>
  </si>
  <si>
    <t>Precio de venta Baldosa calidad 2 60% del valor de la referencia</t>
  </si>
  <si>
    <t>Producción baldosas por hora</t>
  </si>
  <si>
    <t>Ingeniero en formación</t>
  </si>
  <si>
    <t>Controlador IRC 5</t>
  </si>
  <si>
    <t>Paro de emergencia</t>
  </si>
  <si>
    <t>3SU1050-1HR20-0AA0 SIEMENS</t>
  </si>
  <si>
    <t>Sensores de proximidad</t>
  </si>
  <si>
    <t>TSPC-30S1K-485</t>
  </si>
  <si>
    <t>Barrera física</t>
  </si>
  <si>
    <t xml:space="preserve">Wire Mesh—Powder-Coated Steel 5987T53 </t>
  </si>
  <si>
    <t>Pegboard—Polyethylene Plastic 5987T92</t>
  </si>
  <si>
    <t>Puerta con cerradura</t>
  </si>
  <si>
    <t>Wire Mesh Hinged Door 5987T71</t>
  </si>
  <si>
    <t>Sensor de guardas</t>
  </si>
  <si>
    <t>Sensor de cortinas</t>
  </si>
  <si>
    <t>SGSSA4-400Q8</t>
  </si>
  <si>
    <t>Interruptor eléctrico principal</t>
  </si>
  <si>
    <t>3PST-1NO/2NC</t>
  </si>
  <si>
    <t>Panel contra Incendios</t>
  </si>
  <si>
    <t>Fire Alarm Control Panel</t>
  </si>
  <si>
    <t>Gabinete eléctrico</t>
  </si>
  <si>
    <t>Console Enclosure 6450N11</t>
  </si>
  <si>
    <t>REFERENCIA</t>
  </si>
  <si>
    <t xml:space="preserve">RIGMA RR-W2CB </t>
  </si>
  <si>
    <t>-</t>
  </si>
  <si>
    <t xml:space="preserve">Adquisición Robot </t>
  </si>
  <si>
    <t>Robot ABB IRB 4600</t>
  </si>
  <si>
    <t>Gripper</t>
  </si>
  <si>
    <t>Controlador robot</t>
  </si>
  <si>
    <t xml:space="preserve">440G-T27132 ALLEN-BRADLEY GUARDMASTER </t>
  </si>
  <si>
    <t>Celda robotica</t>
  </si>
  <si>
    <t xml:space="preserve"> Esmaltadora</t>
  </si>
  <si>
    <t xml:space="preserve"> Empacadora</t>
  </si>
  <si>
    <t>VENTAS POSTERIOR AL PROYECTO</t>
  </si>
  <si>
    <t>VARIACIÓN</t>
  </si>
  <si>
    <t>VENTAS ANTES DEL PROYECTO</t>
  </si>
  <si>
    <t>VALOR ACTUAL</t>
  </si>
  <si>
    <t>COSTO PROMEDIO</t>
  </si>
  <si>
    <t>Por m2</t>
  </si>
  <si>
    <t>Por baldosa</t>
  </si>
  <si>
    <t>Rubro</t>
  </si>
  <si>
    <t>Programación PLC</t>
  </si>
  <si>
    <t>Diseño layout celda robotica</t>
  </si>
  <si>
    <t>Equipos computacionales</t>
  </si>
  <si>
    <t>Software ofimatico
 (Microsoft office)</t>
  </si>
  <si>
    <t>Licencia diseño CAD (Onshape)</t>
  </si>
  <si>
    <t>Licencia programación PLC (studio 5000)</t>
  </si>
  <si>
    <t>SERVICIOS PÚBLICOS</t>
  </si>
  <si>
    <t>NÚMERO</t>
  </si>
  <si>
    <t>Licencia virtual comissioning (NX)</t>
  </si>
  <si>
    <t>Licencia ignitio</t>
  </si>
  <si>
    <t>cloud services</t>
  </si>
  <si>
    <t xml:space="preserve"> </t>
  </si>
  <si>
    <t>Diseño arquitectura de comunicación</t>
  </si>
  <si>
    <t>Diseño de etapas secuenciales de proceso</t>
  </si>
  <si>
    <t>Estudio de y diseño de elementos de seguridad  conforme a reglamentación</t>
  </si>
  <si>
    <t xml:space="preserve">Análisis de proceso e identificación de cuellos de botella </t>
  </si>
  <si>
    <t>Programación rutinas de movimiento robots</t>
  </si>
  <si>
    <t>Antes de propuesta</t>
  </si>
  <si>
    <t>Posterior a proyecto</t>
  </si>
  <si>
    <t xml:space="preserve">Posterior a implementación de propuesta </t>
  </si>
  <si>
    <t>Equivalente valor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</si>
</sst>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0.0%"/>
    <numFmt numFmtId="167" formatCode="_-&quot;$&quot;\ * #,##0.0_-;\-&quot;$&quot;\ * #,##0.0_-;_-&quot;$&quot;\ * &quot;-&quot;??_-;_-@_-"/>
    <numFmt numFmtId="168" formatCode="#,##0.0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</font>
    <font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2">
    <xf numFmtId="0" fontId="0" fillId="0" borderId="0" xfId="0"/>
    <xf numFmtId="0" fontId="0" fillId="0" borderId="0" xfId="0" applyAlignment="1">
      <alignment wrapText="1"/>
    </xf>
    <xf numFmtId="164" fontId="0" fillId="0" borderId="0" xfId="2" applyNumberFormat="1" applyFont="1"/>
    <xf numFmtId="0" fontId="0" fillId="2" borderId="0" xfId="0" applyFill="1"/>
    <xf numFmtId="165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4" fontId="0" fillId="0" borderId="1" xfId="2" applyNumberFormat="1" applyFont="1" applyBorder="1"/>
    <xf numFmtId="164" fontId="4" fillId="0" borderId="1" xfId="2" applyNumberFormat="1" applyFont="1" applyBorder="1"/>
    <xf numFmtId="0" fontId="0" fillId="0" borderId="6" xfId="0" applyBorder="1"/>
    <xf numFmtId="164" fontId="0" fillId="0" borderId="7" xfId="2" applyNumberFormat="1" applyFont="1" applyBorder="1"/>
    <xf numFmtId="0" fontId="2" fillId="0" borderId="0" xfId="0" applyFont="1"/>
    <xf numFmtId="165" fontId="0" fillId="0" borderId="0" xfId="0" applyNumberFormat="1"/>
    <xf numFmtId="0" fontId="0" fillId="0" borderId="1" xfId="0" applyBorder="1" applyAlignment="1">
      <alignment wrapText="1"/>
    </xf>
    <xf numFmtId="164" fontId="0" fillId="0" borderId="1" xfId="2" applyNumberFormat="1" applyFont="1" applyBorder="1" applyAlignment="1">
      <alignment vertical="center"/>
    </xf>
    <xf numFmtId="0" fontId="2" fillId="0" borderId="1" xfId="0" applyFont="1" applyBorder="1"/>
    <xf numFmtId="164" fontId="2" fillId="0" borderId="1" xfId="2" applyNumberFormat="1" applyFont="1" applyBorder="1" applyAlignment="1">
      <alignment vertical="center"/>
    </xf>
    <xf numFmtId="164" fontId="2" fillId="0" borderId="1" xfId="2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165" fontId="0" fillId="0" borderId="1" xfId="1" applyNumberFormat="1" applyFont="1" applyFill="1" applyBorder="1"/>
    <xf numFmtId="164" fontId="2" fillId="0" borderId="0" xfId="0" applyNumberFormat="1" applyFont="1"/>
    <xf numFmtId="164" fontId="2" fillId="0" borderId="10" xfId="2" applyNumberFormat="1" applyFont="1" applyBorder="1"/>
    <xf numFmtId="165" fontId="0" fillId="0" borderId="1" xfId="1" applyNumberFormat="1" applyFont="1" applyBorder="1" applyAlignment="1">
      <alignment vertical="top"/>
    </xf>
    <xf numFmtId="164" fontId="2" fillId="0" borderId="1" xfId="0" applyNumberFormat="1" applyFont="1" applyBorder="1"/>
    <xf numFmtId="164" fontId="0" fillId="0" borderId="1" xfId="0" applyNumberFormat="1" applyBorder="1"/>
    <xf numFmtId="164" fontId="5" fillId="0" borderId="1" xfId="0" applyNumberFormat="1" applyFont="1" applyBorder="1"/>
    <xf numFmtId="164" fontId="0" fillId="0" borderId="7" xfId="0" applyNumberFormat="1" applyBorder="1"/>
    <xf numFmtId="0" fontId="2" fillId="0" borderId="6" xfId="0" applyFont="1" applyBorder="1"/>
    <xf numFmtId="164" fontId="2" fillId="0" borderId="7" xfId="0" applyNumberFormat="1" applyFont="1" applyBorder="1"/>
    <xf numFmtId="0" fontId="0" fillId="0" borderId="21" xfId="0" applyBorder="1"/>
    <xf numFmtId="164" fontId="0" fillId="0" borderId="22" xfId="0" applyNumberFormat="1" applyBorder="1"/>
    <xf numFmtId="0" fontId="0" fillId="0" borderId="19" xfId="0" applyBorder="1"/>
    <xf numFmtId="164" fontId="0" fillId="0" borderId="19" xfId="2" applyNumberFormat="1" applyFont="1" applyBorder="1"/>
    <xf numFmtId="164" fontId="2" fillId="0" borderId="24" xfId="0" applyNumberFormat="1" applyFont="1" applyBorder="1"/>
    <xf numFmtId="164" fontId="0" fillId="0" borderId="32" xfId="2" applyNumberFormat="1" applyFont="1" applyBorder="1"/>
    <xf numFmtId="9" fontId="0" fillId="0" borderId="0" xfId="3" applyFont="1"/>
    <xf numFmtId="0" fontId="5" fillId="0" borderId="0" xfId="0" applyFont="1" applyAlignment="1">
      <alignment wrapText="1"/>
    </xf>
    <xf numFmtId="8" fontId="6" fillId="0" borderId="1" xfId="0" applyNumberFormat="1" applyFont="1" applyBorder="1"/>
    <xf numFmtId="9" fontId="0" fillId="0" borderId="1" xfId="3" applyFont="1" applyBorder="1"/>
    <xf numFmtId="0" fontId="6" fillId="0" borderId="1" xfId="0" applyFont="1" applyBorder="1" applyAlignment="1">
      <alignment wrapText="1"/>
    </xf>
    <xf numFmtId="8" fontId="6" fillId="0" borderId="1" xfId="0" applyNumberFormat="1" applyFont="1" applyBorder="1" applyAlignment="1">
      <alignment horizontal="right" wrapText="1"/>
    </xf>
    <xf numFmtId="9" fontId="0" fillId="0" borderId="19" xfId="3" applyFont="1" applyBorder="1"/>
    <xf numFmtId="164" fontId="4" fillId="0" borderId="0" xfId="2" applyNumberFormat="1" applyFont="1"/>
    <xf numFmtId="0" fontId="0" fillId="5" borderId="14" xfId="0" applyFill="1" applyBorder="1"/>
    <xf numFmtId="0" fontId="0" fillId="5" borderId="15" xfId="0" applyFill="1" applyBorder="1"/>
    <xf numFmtId="0" fontId="0" fillId="5" borderId="26" xfId="0" applyFill="1" applyBorder="1"/>
    <xf numFmtId="0" fontId="4" fillId="3" borderId="0" xfId="0" applyFont="1" applyFill="1"/>
    <xf numFmtId="10" fontId="0" fillId="0" borderId="1" xfId="0" applyNumberFormat="1" applyBorder="1"/>
    <xf numFmtId="166" fontId="0" fillId="0" borderId="1" xfId="3" applyNumberFormat="1" applyFont="1" applyBorder="1"/>
    <xf numFmtId="8" fontId="6" fillId="0" borderId="19" xfId="0" applyNumberFormat="1" applyFont="1" applyBorder="1" applyAlignment="1">
      <alignment horizontal="right" wrapText="1"/>
    </xf>
    <xf numFmtId="44" fontId="0" fillId="0" borderId="1" xfId="0" applyNumberFormat="1" applyBorder="1"/>
    <xf numFmtId="10" fontId="0" fillId="0" borderId="1" xfId="3" applyNumberFormat="1" applyFont="1" applyBorder="1"/>
    <xf numFmtId="0" fontId="3" fillId="0" borderId="6" xfId="0" applyFont="1" applyBorder="1"/>
    <xf numFmtId="0" fontId="0" fillId="0" borderId="7" xfId="0" applyBorder="1"/>
    <xf numFmtId="0" fontId="5" fillId="0" borderId="6" xfId="0" applyFont="1" applyBorder="1"/>
    <xf numFmtId="0" fontId="5" fillId="0" borderId="8" xfId="0" applyFont="1" applyBorder="1"/>
    <xf numFmtId="164" fontId="0" fillId="0" borderId="20" xfId="0" applyNumberFormat="1" applyBorder="1"/>
    <xf numFmtId="0" fontId="0" fillId="7" borderId="23" xfId="0" applyFill="1" applyBorder="1"/>
    <xf numFmtId="0" fontId="0" fillId="7" borderId="27" xfId="0" applyFill="1" applyBorder="1" applyAlignment="1">
      <alignment horizontal="center"/>
    </xf>
    <xf numFmtId="0" fontId="0" fillId="7" borderId="24" xfId="0" applyFill="1" applyBorder="1"/>
    <xf numFmtId="0" fontId="0" fillId="7" borderId="27" xfId="0" applyFill="1" applyBorder="1" applyAlignment="1">
      <alignment horizontal="center" wrapText="1"/>
    </xf>
    <xf numFmtId="165" fontId="2" fillId="0" borderId="1" xfId="1" applyNumberFormat="1" applyFont="1" applyBorder="1"/>
    <xf numFmtId="0" fontId="0" fillId="6" borderId="1" xfId="0" applyFill="1" applyBorder="1"/>
    <xf numFmtId="9" fontId="0" fillId="0" borderId="1" xfId="0" applyNumberFormat="1" applyBorder="1"/>
    <xf numFmtId="0" fontId="4" fillId="0" borderId="0" xfId="0" applyFont="1" applyAlignment="1">
      <alignment horizontal="center" vertical="center"/>
    </xf>
    <xf numFmtId="9" fontId="7" fillId="0" borderId="0" xfId="0" applyNumberFormat="1" applyFont="1" applyAlignment="1">
      <alignment wrapText="1"/>
    </xf>
    <xf numFmtId="0" fontId="0" fillId="3" borderId="1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0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/>
    <xf numFmtId="0" fontId="2" fillId="0" borderId="24" xfId="0" applyFont="1" applyBorder="1" applyAlignment="1">
      <alignment horizontal="center"/>
    </xf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164" fontId="4" fillId="0" borderId="0" xfId="2" applyNumberFormat="1" applyFont="1" applyBorder="1"/>
    <xf numFmtId="0" fontId="5" fillId="0" borderId="0" xfId="0" applyFont="1" applyAlignment="1">
      <alignment horizontal="center"/>
    </xf>
    <xf numFmtId="164" fontId="5" fillId="0" borderId="0" xfId="2" applyNumberFormat="1" applyFont="1" applyAlignment="1">
      <alignment horizontal="center"/>
    </xf>
    <xf numFmtId="0" fontId="2" fillId="0" borderId="0" xfId="0" applyFont="1" applyAlignment="1">
      <alignment wrapText="1"/>
    </xf>
    <xf numFmtId="9" fontId="1" fillId="0" borderId="1" xfId="3" applyFont="1" applyBorder="1"/>
    <xf numFmtId="0" fontId="0" fillId="0" borderId="0" xfId="0" applyAlignment="1">
      <alignment horizontal="left"/>
    </xf>
    <xf numFmtId="164" fontId="0" fillId="0" borderId="0" xfId="2" applyNumberFormat="1" applyFont="1" applyBorder="1"/>
    <xf numFmtId="0" fontId="7" fillId="0" borderId="1" xfId="0" applyFont="1" applyBorder="1"/>
    <xf numFmtId="166" fontId="7" fillId="0" borderId="1" xfId="0" applyNumberFormat="1" applyFont="1" applyBorder="1"/>
    <xf numFmtId="0" fontId="0" fillId="0" borderId="6" xfId="0" applyBorder="1" applyAlignment="1">
      <alignment wrapText="1"/>
    </xf>
    <xf numFmtId="0" fontId="4" fillId="0" borderId="1" xfId="0" applyFont="1" applyBorder="1"/>
    <xf numFmtId="164" fontId="1" fillId="8" borderId="1" xfId="2" applyNumberFormat="1" applyFont="1" applyFill="1" applyBorder="1"/>
    <xf numFmtId="164" fontId="0" fillId="6" borderId="1" xfId="2" applyNumberFormat="1" applyFont="1" applyFill="1" applyBorder="1"/>
    <xf numFmtId="0" fontId="3" fillId="3" borderId="1" xfId="0" applyFont="1" applyFill="1" applyBorder="1"/>
    <xf numFmtId="164" fontId="0" fillId="3" borderId="1" xfId="2" applyNumberFormat="1" applyFont="1" applyFill="1" applyBorder="1"/>
    <xf numFmtId="0" fontId="0" fillId="3" borderId="0" xfId="0" applyFill="1"/>
    <xf numFmtId="164" fontId="5" fillId="0" borderId="1" xfId="2" applyNumberFormat="1" applyFont="1" applyBorder="1" applyAlignment="1">
      <alignment horizontal="center"/>
    </xf>
    <xf numFmtId="164" fontId="5" fillId="0" borderId="32" xfId="0" applyNumberFormat="1" applyFont="1" applyBorder="1"/>
    <xf numFmtId="164" fontId="4" fillId="0" borderId="1" xfId="0" applyNumberFormat="1" applyFont="1" applyBorder="1"/>
    <xf numFmtId="166" fontId="4" fillId="0" borderId="1" xfId="3" applyNumberFormat="1" applyFont="1" applyBorder="1"/>
    <xf numFmtId="0" fontId="2" fillId="7" borderId="33" xfId="0" applyFont="1" applyFill="1" applyBorder="1"/>
    <xf numFmtId="0" fontId="0" fillId="7" borderId="34" xfId="0" applyFill="1" applyBorder="1" applyAlignment="1">
      <alignment horizontal="center"/>
    </xf>
    <xf numFmtId="0" fontId="0" fillId="7" borderId="34" xfId="0" applyFill="1" applyBorder="1" applyAlignment="1">
      <alignment horizontal="center" wrapText="1"/>
    </xf>
    <xf numFmtId="0" fontId="0" fillId="7" borderId="35" xfId="0" applyFill="1" applyBorder="1"/>
    <xf numFmtId="0" fontId="9" fillId="0" borderId="0" xfId="0" applyFont="1" applyAlignment="1">
      <alignment horizontal="center"/>
    </xf>
    <xf numFmtId="0" fontId="7" fillId="0" borderId="2" xfId="0" applyFont="1" applyBorder="1" applyAlignment="1">
      <alignment wrapText="1"/>
    </xf>
    <xf numFmtId="0" fontId="0" fillId="3" borderId="0" xfId="0" applyFill="1" applyAlignment="1">
      <alignment wrapText="1"/>
    </xf>
    <xf numFmtId="0" fontId="0" fillId="0" borderId="36" xfId="0" applyBorder="1"/>
    <xf numFmtId="10" fontId="0" fillId="0" borderId="0" xfId="0" applyNumberFormat="1"/>
    <xf numFmtId="10" fontId="0" fillId="9" borderId="0" xfId="0" applyNumberFormat="1" applyFill="1"/>
    <xf numFmtId="0" fontId="5" fillId="0" borderId="0" xfId="0" applyFont="1"/>
    <xf numFmtId="166" fontId="5" fillId="0" borderId="0" xfId="3" applyNumberFormat="1" applyFont="1" applyBorder="1"/>
    <xf numFmtId="9" fontId="0" fillId="0" borderId="0" xfId="3" applyFont="1" applyBorder="1"/>
    <xf numFmtId="0" fontId="0" fillId="0" borderId="8" xfId="0" applyBorder="1"/>
    <xf numFmtId="164" fontId="0" fillId="0" borderId="9" xfId="2" applyNumberFormat="1" applyFont="1" applyBorder="1"/>
    <xf numFmtId="165" fontId="0" fillId="0" borderId="20" xfId="1" applyNumberFormat="1" applyFont="1" applyBorder="1"/>
    <xf numFmtId="0" fontId="0" fillId="0" borderId="23" xfId="0" applyBorder="1"/>
    <xf numFmtId="0" fontId="0" fillId="0" borderId="27" xfId="0" applyBorder="1"/>
    <xf numFmtId="44" fontId="0" fillId="0" borderId="0" xfId="2" applyFont="1"/>
    <xf numFmtId="43" fontId="0" fillId="0" borderId="0" xfId="1" applyFont="1"/>
    <xf numFmtId="164" fontId="5" fillId="0" borderId="1" xfId="2" applyNumberFormat="1" applyFont="1" applyBorder="1"/>
    <xf numFmtId="165" fontId="0" fillId="0" borderId="1" xfId="0" applyNumberFormat="1" applyBorder="1"/>
    <xf numFmtId="165" fontId="0" fillId="0" borderId="1" xfId="2" applyNumberFormat="1" applyFont="1" applyBorder="1"/>
    <xf numFmtId="0" fontId="4" fillId="0" borderId="1" xfId="0" applyFont="1" applyBorder="1" applyAlignment="1">
      <alignment wrapText="1"/>
    </xf>
    <xf numFmtId="164" fontId="0" fillId="0" borderId="1" xfId="2" applyNumberFormat="1" applyFont="1" applyFill="1" applyBorder="1"/>
    <xf numFmtId="164" fontId="2" fillId="0" borderId="1" xfId="2" applyNumberFormat="1" applyFont="1" applyFill="1" applyBorder="1"/>
    <xf numFmtId="164" fontId="0" fillId="0" borderId="0" xfId="2" applyNumberFormat="1" applyFont="1" applyFill="1"/>
    <xf numFmtId="164" fontId="0" fillId="0" borderId="0" xfId="2" applyNumberFormat="1" applyFont="1" applyFill="1" applyBorder="1"/>
    <xf numFmtId="0" fontId="0" fillId="10" borderId="36" xfId="0" applyFill="1" applyBorder="1"/>
    <xf numFmtId="8" fontId="0" fillId="0" borderId="1" xfId="0" applyNumberFormat="1" applyBorder="1"/>
    <xf numFmtId="44" fontId="0" fillId="0" borderId="1" xfId="2" applyFont="1" applyBorder="1"/>
    <xf numFmtId="164" fontId="10" fillId="0" borderId="1" xfId="0" applyNumberFormat="1" applyFont="1" applyBorder="1"/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2" fillId="3" borderId="6" xfId="0" applyFont="1" applyFill="1" applyBorder="1"/>
    <xf numFmtId="0" fontId="0" fillId="0" borderId="37" xfId="0" applyBorder="1" applyAlignment="1">
      <alignment horizontal="center" vertical="center"/>
    </xf>
    <xf numFmtId="9" fontId="0" fillId="0" borderId="37" xfId="3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7" xfId="0" applyBorder="1"/>
    <xf numFmtId="0" fontId="0" fillId="3" borderId="21" xfId="0" applyFill="1" applyBorder="1"/>
    <xf numFmtId="0" fontId="0" fillId="0" borderId="39" xfId="0" applyBorder="1" applyAlignment="1">
      <alignment horizontal="center" vertical="center"/>
    </xf>
    <xf numFmtId="0" fontId="0" fillId="0" borderId="24" xfId="0" applyBorder="1"/>
    <xf numFmtId="0" fontId="0" fillId="0" borderId="40" xfId="0" applyBorder="1" applyAlignment="1">
      <alignment horizontal="center" vertical="center"/>
    </xf>
    <xf numFmtId="0" fontId="2" fillId="0" borderId="21" xfId="0" applyFont="1" applyBorder="1"/>
    <xf numFmtId="164" fontId="10" fillId="0" borderId="20" xfId="0" applyNumberFormat="1" applyFont="1" applyBorder="1"/>
    <xf numFmtId="0" fontId="4" fillId="3" borderId="8" xfId="0" applyFont="1" applyFill="1" applyBorder="1"/>
    <xf numFmtId="164" fontId="5" fillId="0" borderId="9" xfId="0" applyNumberFormat="1" applyFont="1" applyBorder="1"/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wrapText="1"/>
    </xf>
    <xf numFmtId="9" fontId="0" fillId="0" borderId="0" xfId="0" applyNumberFormat="1"/>
    <xf numFmtId="9" fontId="0" fillId="0" borderId="0" xfId="3" applyFont="1" applyFill="1" applyBorder="1"/>
    <xf numFmtId="1" fontId="0" fillId="0" borderId="1" xfId="3" applyNumberFormat="1" applyFont="1" applyBorder="1"/>
    <xf numFmtId="9" fontId="2" fillId="0" borderId="1" xfId="3" applyFont="1" applyBorder="1"/>
    <xf numFmtId="9" fontId="2" fillId="0" borderId="1" xfId="3" applyFont="1" applyBorder="1" applyAlignment="1">
      <alignment wrapText="1"/>
    </xf>
    <xf numFmtId="9" fontId="2" fillId="0" borderId="1" xfId="3" applyFont="1" applyFill="1" applyBorder="1"/>
    <xf numFmtId="1" fontId="2" fillId="6" borderId="1" xfId="0" applyNumberFormat="1" applyFont="1" applyFill="1" applyBorder="1"/>
    <xf numFmtId="164" fontId="2" fillId="6" borderId="1" xfId="2" applyNumberFormat="1" applyFont="1" applyFill="1" applyBorder="1" applyAlignment="1"/>
    <xf numFmtId="0" fontId="5" fillId="0" borderId="1" xfId="0" applyFont="1" applyBorder="1" applyAlignment="1">
      <alignment horizontal="center" wrapText="1"/>
    </xf>
    <xf numFmtId="44" fontId="2" fillId="0" borderId="1" xfId="2" applyFont="1" applyBorder="1"/>
    <xf numFmtId="44" fontId="0" fillId="0" borderId="19" xfId="2" applyFont="1" applyBorder="1" applyAlignment="1">
      <alignment wrapText="1"/>
    </xf>
    <xf numFmtId="167" fontId="0" fillId="0" borderId="19" xfId="2" applyNumberFormat="1" applyFont="1" applyBorder="1" applyAlignment="1">
      <alignment wrapText="1"/>
    </xf>
    <xf numFmtId="0" fontId="0" fillId="0" borderId="41" xfId="0" applyBorder="1"/>
    <xf numFmtId="10" fontId="0" fillId="3" borderId="1" xfId="3" applyNumberFormat="1" applyFont="1" applyFill="1" applyBorder="1" applyAlignment="1">
      <alignment wrapText="1"/>
    </xf>
    <xf numFmtId="9" fontId="2" fillId="0" borderId="1" xfId="3" applyFont="1" applyFill="1" applyBorder="1" applyAlignment="1">
      <alignment wrapText="1"/>
    </xf>
    <xf numFmtId="164" fontId="8" fillId="0" borderId="1" xfId="0" applyNumberFormat="1" applyFont="1" applyBorder="1"/>
    <xf numFmtId="10" fontId="0" fillId="0" borderId="22" xfId="3" applyNumberFormat="1" applyFont="1" applyBorder="1"/>
    <xf numFmtId="10" fontId="0" fillId="0" borderId="7" xfId="3" applyNumberFormat="1" applyFont="1" applyBorder="1"/>
    <xf numFmtId="164" fontId="0" fillId="11" borderId="1" xfId="2" applyNumberFormat="1" applyFont="1" applyFill="1" applyBorder="1"/>
    <xf numFmtId="164" fontId="11" fillId="0" borderId="1" xfId="0" applyNumberFormat="1" applyFont="1" applyBorder="1"/>
    <xf numFmtId="0" fontId="12" fillId="0" borderId="1" xfId="0" applyFont="1" applyBorder="1" applyAlignment="1">
      <alignment vertical="center"/>
    </xf>
    <xf numFmtId="0" fontId="0" fillId="0" borderId="26" xfId="0" applyBorder="1" applyAlignment="1">
      <alignment horizontal="left"/>
    </xf>
    <xf numFmtId="0" fontId="2" fillId="0" borderId="27" xfId="0" applyFont="1" applyBorder="1" applyAlignment="1">
      <alignment horizontal="center"/>
    </xf>
    <xf numFmtId="3" fontId="2" fillId="6" borderId="1" xfId="0" applyNumberFormat="1" applyFont="1" applyFill="1" applyBorder="1"/>
    <xf numFmtId="3" fontId="0" fillId="0" borderId="1" xfId="3" applyNumberFormat="1" applyFont="1" applyBorder="1"/>
    <xf numFmtId="3" fontId="0" fillId="0" borderId="1" xfId="0" applyNumberFormat="1" applyBorder="1"/>
    <xf numFmtId="3" fontId="2" fillId="0" borderId="1" xfId="0" applyNumberFormat="1" applyFont="1" applyBorder="1"/>
    <xf numFmtId="0" fontId="3" fillId="0" borderId="28" xfId="0" applyFont="1" applyBorder="1" applyAlignment="1">
      <alignment wrapText="1"/>
    </xf>
    <xf numFmtId="166" fontId="0" fillId="0" borderId="20" xfId="3" applyNumberFormat="1" applyFont="1" applyBorder="1"/>
    <xf numFmtId="10" fontId="0" fillId="0" borderId="20" xfId="3" applyNumberFormat="1" applyFont="1" applyBorder="1"/>
    <xf numFmtId="10" fontId="2" fillId="0" borderId="22" xfId="3" applyNumberFormat="1" applyFont="1" applyBorder="1"/>
    <xf numFmtId="10" fontId="2" fillId="0" borderId="7" xfId="3" applyNumberFormat="1" applyFont="1" applyBorder="1"/>
    <xf numFmtId="10" fontId="2" fillId="0" borderId="10" xfId="3" applyNumberFormat="1" applyFont="1" applyBorder="1"/>
    <xf numFmtId="10" fontId="0" fillId="0" borderId="10" xfId="3" applyNumberFormat="1" applyFont="1" applyBorder="1"/>
    <xf numFmtId="164" fontId="2" fillId="6" borderId="1" xfId="0" applyNumberFormat="1" applyFont="1" applyFill="1" applyBorder="1"/>
    <xf numFmtId="3" fontId="0" fillId="3" borderId="1" xfId="0" applyNumberFormat="1" applyFill="1" applyBorder="1" applyAlignment="1">
      <alignment wrapText="1"/>
    </xf>
    <xf numFmtId="164" fontId="8" fillId="0" borderId="4" xfId="2" applyNumberFormat="1" applyFont="1" applyBorder="1"/>
    <xf numFmtId="166" fontId="8" fillId="0" borderId="5" xfId="3" applyNumberFormat="1" applyFont="1" applyBorder="1"/>
    <xf numFmtId="164" fontId="8" fillId="0" borderId="9" xfId="2" applyNumberFormat="1" applyFont="1" applyBorder="1"/>
    <xf numFmtId="166" fontId="8" fillId="0" borderId="10" xfId="3" applyNumberFormat="1" applyFont="1" applyBorder="1"/>
    <xf numFmtId="166" fontId="8" fillId="0" borderId="9" xfId="3" applyNumberFormat="1" applyFont="1" applyBorder="1"/>
    <xf numFmtId="164" fontId="8" fillId="0" borderId="1" xfId="2" applyNumberFormat="1" applyFont="1" applyBorder="1" applyAlignment="1">
      <alignment horizontal="center"/>
    </xf>
    <xf numFmtId="10" fontId="8" fillId="0" borderId="7" xfId="3" applyNumberFormat="1" applyFont="1" applyBorder="1"/>
    <xf numFmtId="9" fontId="8" fillId="0" borderId="7" xfId="3" applyFont="1" applyBorder="1"/>
    <xf numFmtId="9" fontId="8" fillId="0" borderId="10" xfId="3" applyFont="1" applyBorder="1"/>
    <xf numFmtId="10" fontId="8" fillId="0" borderId="1" xfId="3" applyNumberFormat="1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42" xfId="0" applyFont="1" applyBorder="1"/>
    <xf numFmtId="164" fontId="4" fillId="0" borderId="24" xfId="0" applyNumberFormat="1" applyFont="1" applyBorder="1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164" fontId="2" fillId="0" borderId="7" xfId="2" applyNumberFormat="1" applyFont="1" applyBorder="1"/>
    <xf numFmtId="0" fontId="2" fillId="0" borderId="6" xfId="0" applyFont="1" applyBorder="1" applyAlignment="1">
      <alignment vertical="center"/>
    </xf>
    <xf numFmtId="164" fontId="4" fillId="0" borderId="46" xfId="0" applyNumberFormat="1" applyFont="1" applyBorder="1"/>
    <xf numFmtId="164" fontId="4" fillId="0" borderId="10" xfId="2" applyNumberFormat="1" applyFont="1" applyBorder="1"/>
    <xf numFmtId="168" fontId="0" fillId="0" borderId="1" xfId="0" applyNumberFormat="1" applyBorder="1"/>
    <xf numFmtId="0" fontId="2" fillId="0" borderId="16" xfId="0" applyFont="1" applyBorder="1" applyAlignment="1">
      <alignment wrapText="1"/>
    </xf>
    <xf numFmtId="0" fontId="4" fillId="0" borderId="16" xfId="0" applyFont="1" applyBorder="1"/>
    <xf numFmtId="164" fontId="4" fillId="0" borderId="17" xfId="2" applyNumberFormat="1" applyFont="1" applyBorder="1"/>
    <xf numFmtId="164" fontId="4" fillId="0" borderId="1" xfId="2" applyNumberFormat="1" applyFont="1" applyBorder="1" applyAlignment="1">
      <alignment wrapText="1"/>
    </xf>
    <xf numFmtId="0" fontId="0" fillId="0" borderId="1" xfId="0" applyBorder="1" applyAlignment="1">
      <alignment horizontal="left" wrapText="1"/>
    </xf>
    <xf numFmtId="164" fontId="0" fillId="0" borderId="1" xfId="2" applyNumberFormat="1" applyFont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0" fillId="12" borderId="1" xfId="0" applyFill="1" applyBorder="1"/>
    <xf numFmtId="164" fontId="0" fillId="12" borderId="1" xfId="2" applyNumberFormat="1" applyFont="1" applyFill="1" applyBorder="1"/>
    <xf numFmtId="164" fontId="0" fillId="12" borderId="7" xfId="2" applyNumberFormat="1" applyFont="1" applyFill="1" applyBorder="1"/>
    <xf numFmtId="0" fontId="2" fillId="0" borderId="49" xfId="0" applyFont="1" applyBorder="1"/>
    <xf numFmtId="0" fontId="2" fillId="0" borderId="4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4" borderId="33" xfId="0" applyFont="1" applyFill="1" applyBorder="1" applyAlignment="1">
      <alignment wrapText="1"/>
    </xf>
    <xf numFmtId="0" fontId="2" fillId="4" borderId="34" xfId="0" applyFont="1" applyFill="1" applyBorder="1"/>
    <xf numFmtId="0" fontId="2" fillId="4" borderId="34" xfId="0" applyFont="1" applyFill="1" applyBorder="1" applyAlignment="1">
      <alignment wrapText="1"/>
    </xf>
    <xf numFmtId="0" fontId="2" fillId="4" borderId="35" xfId="0" applyFont="1" applyFill="1" applyBorder="1"/>
    <xf numFmtId="164" fontId="0" fillId="0" borderId="20" xfId="2" applyNumberFormat="1" applyFont="1" applyBorder="1"/>
    <xf numFmtId="164" fontId="0" fillId="0" borderId="22" xfId="2" applyNumberFormat="1" applyFont="1" applyBorder="1"/>
    <xf numFmtId="0" fontId="2" fillId="0" borderId="12" xfId="0" applyFont="1" applyBorder="1"/>
    <xf numFmtId="0" fontId="2" fillId="0" borderId="21" xfId="0" applyFont="1" applyBorder="1" applyAlignment="1">
      <alignment horizontal="left" vertical="center" wrapText="1"/>
    </xf>
    <xf numFmtId="0" fontId="2" fillId="0" borderId="20" xfId="0" applyFont="1" applyBorder="1" applyAlignment="1">
      <alignment wrapText="1"/>
    </xf>
    <xf numFmtId="0" fontId="2" fillId="0" borderId="22" xfId="0" applyFont="1" applyBorder="1" applyAlignment="1">
      <alignment vertical="center"/>
    </xf>
    <xf numFmtId="0" fontId="2" fillId="0" borderId="19" xfId="0" applyFont="1" applyBorder="1"/>
    <xf numFmtId="0" fontId="2" fillId="0" borderId="47" xfId="0" applyFont="1" applyBorder="1"/>
    <xf numFmtId="164" fontId="2" fillId="0" borderId="19" xfId="2" applyNumberFormat="1" applyFont="1" applyBorder="1"/>
    <xf numFmtId="164" fontId="4" fillId="0" borderId="47" xfId="0" applyNumberFormat="1" applyFont="1" applyBorder="1"/>
    <xf numFmtId="0" fontId="2" fillId="0" borderId="28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" fillId="0" borderId="2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6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1" xfId="0" applyBorder="1" applyAlignment="1">
      <alignment horizontal="center" vertical="center" textRotation="90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/>
    </xf>
    <xf numFmtId="0" fontId="13" fillId="5" borderId="17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48" xfId="0" applyFont="1" applyFill="1" applyBorder="1" applyAlignment="1">
      <alignment horizontal="center" wrapText="1"/>
    </xf>
    <xf numFmtId="0" fontId="2" fillId="3" borderId="40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3" borderId="48" xfId="0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0" xfId="2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9" fontId="0" fillId="0" borderId="37" xfId="0" applyNumberFormat="1" applyBorder="1" applyAlignment="1">
      <alignment horizontal="center" vertical="center"/>
    </xf>
    <xf numFmtId="9" fontId="0" fillId="0" borderId="38" xfId="0" applyNumberForma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403C-54EA-4DB7-A3C6-5ABA5B343DBD}">
  <dimension ref="B1:M96"/>
  <sheetViews>
    <sheetView showGridLines="0" zoomScale="73" zoomScaleNormal="85" workbookViewId="0">
      <selection activeCell="J11" sqref="J11"/>
    </sheetView>
  </sheetViews>
  <sheetFormatPr defaultColWidth="11.5546875" defaultRowHeight="14.4" x14ac:dyDescent="0.3"/>
  <cols>
    <col min="1" max="1" width="1.5546875" customWidth="1"/>
    <col min="2" max="2" width="21.33203125" customWidth="1"/>
    <col min="3" max="3" width="24.44140625" customWidth="1"/>
    <col min="4" max="4" width="15.6640625" customWidth="1"/>
    <col min="5" max="5" width="15.5546875" bestFit="1" customWidth="1"/>
    <col min="6" max="6" width="21.77734375" customWidth="1"/>
    <col min="7" max="7" width="16.6640625" bestFit="1" customWidth="1"/>
    <col min="9" max="9" width="18.33203125" bestFit="1" customWidth="1"/>
  </cols>
  <sheetData>
    <row r="1" spans="2:8" x14ac:dyDescent="0.3">
      <c r="B1" s="239" t="s">
        <v>96</v>
      </c>
      <c r="C1" s="239"/>
      <c r="D1" s="239"/>
      <c r="E1" s="239"/>
      <c r="F1" s="239"/>
      <c r="G1" s="239"/>
    </row>
    <row r="2" spans="2:8" x14ac:dyDescent="0.3">
      <c r="C2" s="85"/>
    </row>
    <row r="3" spans="2:8" ht="28.8" x14ac:dyDescent="0.3">
      <c r="D3" s="22" t="s">
        <v>4</v>
      </c>
    </row>
    <row r="4" spans="2:8" x14ac:dyDescent="0.3">
      <c r="C4" s="71" t="s">
        <v>112</v>
      </c>
      <c r="D4" s="6">
        <v>7200</v>
      </c>
    </row>
    <row r="5" spans="2:8" x14ac:dyDescent="0.3">
      <c r="C5" s="71" t="s">
        <v>83</v>
      </c>
      <c r="D5" s="56">
        <v>0.95599999999999996</v>
      </c>
    </row>
    <row r="6" spans="2:8" ht="28.8" x14ac:dyDescent="0.3">
      <c r="C6" s="71" t="s">
        <v>200</v>
      </c>
      <c r="D6" s="8">
        <f>+INT(D4*D5)</f>
        <v>6883</v>
      </c>
    </row>
    <row r="7" spans="2:8" x14ac:dyDescent="0.3">
      <c r="C7" s="71" t="s">
        <v>82</v>
      </c>
      <c r="D7" s="52">
        <v>3.8699999999999998E-2</v>
      </c>
      <c r="F7" s="110"/>
    </row>
    <row r="8" spans="2:8" ht="28.8" x14ac:dyDescent="0.3">
      <c r="C8" s="71" t="s">
        <v>85</v>
      </c>
      <c r="D8" s="8">
        <f>INT(D6*0.9613)</f>
        <v>6616</v>
      </c>
    </row>
    <row r="9" spans="2:8" ht="28.8" x14ac:dyDescent="0.3">
      <c r="C9" s="71" t="s">
        <v>113</v>
      </c>
      <c r="D9" s="8">
        <f>+D8/25</f>
        <v>264.64</v>
      </c>
    </row>
    <row r="10" spans="2:8" ht="28.8" x14ac:dyDescent="0.3">
      <c r="C10" s="71" t="s">
        <v>114</v>
      </c>
      <c r="D10" s="8">
        <f>+D8*24*30</f>
        <v>4763520</v>
      </c>
    </row>
    <row r="11" spans="2:8" ht="28.8" x14ac:dyDescent="0.3">
      <c r="C11" s="71" t="s">
        <v>115</v>
      </c>
      <c r="D11" s="8">
        <f>+D9*24*30</f>
        <v>190540.79999999999</v>
      </c>
    </row>
    <row r="13" spans="2:8" x14ac:dyDescent="0.3">
      <c r="C13" s="251" t="s">
        <v>199</v>
      </c>
      <c r="D13" s="251"/>
      <c r="E13" s="251"/>
      <c r="F13" s="251"/>
    </row>
    <row r="14" spans="2:8" x14ac:dyDescent="0.3">
      <c r="C14" s="251" t="s">
        <v>189</v>
      </c>
      <c r="D14" s="251"/>
      <c r="E14" s="251"/>
      <c r="F14" s="251"/>
    </row>
    <row r="15" spans="2:8" x14ac:dyDescent="0.3">
      <c r="C15" s="251" t="s">
        <v>170</v>
      </c>
      <c r="D15" s="251"/>
      <c r="E15" s="251"/>
      <c r="F15" s="251"/>
      <c r="G15" s="40"/>
      <c r="H15" s="40"/>
    </row>
    <row r="16" spans="2:8" x14ac:dyDescent="0.3">
      <c r="C16" s="251" t="s">
        <v>171</v>
      </c>
      <c r="D16" s="251"/>
      <c r="E16" s="251"/>
      <c r="F16" s="251"/>
      <c r="G16" s="40"/>
      <c r="H16" s="40"/>
    </row>
    <row r="17" spans="2:13" x14ac:dyDescent="0.3">
      <c r="G17" s="40"/>
      <c r="H17" s="40"/>
    </row>
    <row r="18" spans="2:13" ht="28.8" x14ac:dyDescent="0.3">
      <c r="C18" s="155" t="s">
        <v>192</v>
      </c>
      <c r="D18" s="155" t="s">
        <v>193</v>
      </c>
      <c r="E18" s="156" t="s">
        <v>194</v>
      </c>
      <c r="F18" s="157" t="s">
        <v>195</v>
      </c>
      <c r="G18" s="152"/>
    </row>
    <row r="19" spans="2:13" x14ac:dyDescent="0.3">
      <c r="C19" s="255" t="s">
        <v>190</v>
      </c>
      <c r="D19" s="255"/>
      <c r="E19" s="175">
        <f>SUM(E20:E22)</f>
        <v>161959.67999999999</v>
      </c>
      <c r="F19" s="159">
        <f>SUM(F20:F22)</f>
        <v>5397068159.999999</v>
      </c>
    </row>
    <row r="20" spans="2:13" x14ac:dyDescent="0.3">
      <c r="B20" s="6" t="s">
        <v>196</v>
      </c>
      <c r="C20" s="9">
        <v>32100</v>
      </c>
      <c r="D20" s="43">
        <v>0.45</v>
      </c>
      <c r="E20" s="176">
        <f>D$11*D20</f>
        <v>85743.360000000001</v>
      </c>
      <c r="F20" s="29">
        <f>E20*C20</f>
        <v>2752361856</v>
      </c>
    </row>
    <row r="21" spans="2:13" x14ac:dyDescent="0.3">
      <c r="B21" s="6" t="s">
        <v>197</v>
      </c>
      <c r="C21" s="9">
        <v>33900</v>
      </c>
      <c r="D21" s="43">
        <v>0.24</v>
      </c>
      <c r="E21" s="176">
        <f>D$11*D21</f>
        <v>45729.791999999994</v>
      </c>
      <c r="F21" s="29">
        <f>E21*C21</f>
        <v>1550239948.7999997</v>
      </c>
      <c r="G21" s="40"/>
      <c r="H21" s="40"/>
      <c r="I21" s="153"/>
      <c r="J21" s="40"/>
      <c r="K21" s="40"/>
      <c r="L21" s="40"/>
      <c r="M21" s="153"/>
    </row>
    <row r="22" spans="2:13" ht="16.5" customHeight="1" x14ac:dyDescent="0.3">
      <c r="B22" s="6" t="s">
        <v>198</v>
      </c>
      <c r="C22" s="9">
        <v>35900</v>
      </c>
      <c r="D22" s="43">
        <v>0.16</v>
      </c>
      <c r="E22" s="176">
        <f>D$11*D22</f>
        <v>30486.527999999998</v>
      </c>
      <c r="F22" s="29">
        <f>E22*C22</f>
        <v>1094466355.2</v>
      </c>
      <c r="G22" s="40"/>
      <c r="H22" s="40"/>
    </row>
    <row r="23" spans="2:13" ht="17.25" customHeight="1" x14ac:dyDescent="0.3">
      <c r="B23" s="6"/>
      <c r="C23" s="255" t="s">
        <v>191</v>
      </c>
      <c r="D23" s="255"/>
      <c r="E23" s="175">
        <f>SUM(E24:E26)</f>
        <v>28581.119999999995</v>
      </c>
      <c r="F23" s="159">
        <f>SUM(F24:F26)</f>
        <v>580196735.99999988</v>
      </c>
      <c r="G23" s="40"/>
      <c r="H23" s="40"/>
    </row>
    <row r="24" spans="2:13" ht="16.5" customHeight="1" x14ac:dyDescent="0.3">
      <c r="B24" s="6" t="s">
        <v>196</v>
      </c>
      <c r="C24" s="29">
        <f>C20*0.6</f>
        <v>19260</v>
      </c>
      <c r="D24" s="43">
        <v>0.05</v>
      </c>
      <c r="E24" s="176">
        <f>D$11*D24</f>
        <v>9527.0399999999991</v>
      </c>
      <c r="F24" s="29">
        <f>E24*C24</f>
        <v>183490790.39999998</v>
      </c>
      <c r="G24" s="152"/>
    </row>
    <row r="25" spans="2:13" x14ac:dyDescent="0.3">
      <c r="B25" s="6" t="s">
        <v>197</v>
      </c>
      <c r="C25" s="29">
        <f>C21*0.6</f>
        <v>20340</v>
      </c>
      <c r="D25" s="43">
        <v>0.06</v>
      </c>
      <c r="E25" s="176">
        <f>D$11*D25</f>
        <v>11432.447999999999</v>
      </c>
      <c r="F25" s="29">
        <f>E25*C25</f>
        <v>232535992.31999996</v>
      </c>
    </row>
    <row r="26" spans="2:13" ht="16.5" customHeight="1" x14ac:dyDescent="0.3">
      <c r="B26" s="6" t="s">
        <v>198</v>
      </c>
      <c r="C26" s="29">
        <f>C22*0.6</f>
        <v>21540</v>
      </c>
      <c r="D26" s="43">
        <v>0.04</v>
      </c>
      <c r="E26" s="176">
        <f>D$11*D26</f>
        <v>7621.6319999999996</v>
      </c>
      <c r="F26" s="29">
        <f>E26*C26</f>
        <v>164169953.28</v>
      </c>
    </row>
    <row r="27" spans="2:13" ht="18" x14ac:dyDescent="0.35">
      <c r="B27" s="252" t="s">
        <v>1</v>
      </c>
      <c r="C27" s="253"/>
      <c r="D27" s="253"/>
      <c r="E27" s="254"/>
      <c r="F27" s="10">
        <f>SUM(F20:F22)+SUM(F24:F26)</f>
        <v>5977264895.999999</v>
      </c>
    </row>
    <row r="28" spans="2:13" ht="18" x14ac:dyDescent="0.35">
      <c r="B28" s="51"/>
      <c r="C28" s="82"/>
    </row>
    <row r="29" spans="2:13" ht="17.25" customHeight="1" x14ac:dyDescent="0.3">
      <c r="B29" s="240" t="s">
        <v>6</v>
      </c>
      <c r="C29" s="240"/>
      <c r="D29" s="240"/>
      <c r="E29" s="240"/>
    </row>
    <row r="30" spans="2:13" ht="7.5" customHeight="1" thickBot="1" x14ac:dyDescent="0.35">
      <c r="B30" s="69"/>
      <c r="C30" s="69"/>
      <c r="D30" s="69"/>
      <c r="E30" s="69"/>
    </row>
    <row r="31" spans="2:13" ht="28.8" x14ac:dyDescent="0.3">
      <c r="B31" s="215" t="s">
        <v>23</v>
      </c>
      <c r="C31" s="80" t="s">
        <v>81</v>
      </c>
      <c r="D31" s="80" t="s">
        <v>94</v>
      </c>
      <c r="E31" s="81" t="s">
        <v>28</v>
      </c>
    </row>
    <row r="32" spans="2:13" x14ac:dyDescent="0.3">
      <c r="B32" s="11" t="s">
        <v>16</v>
      </c>
      <c r="C32" s="8">
        <v>1353024</v>
      </c>
      <c r="D32" s="9">
        <v>844</v>
      </c>
      <c r="E32" s="12">
        <f>+D32*C32</f>
        <v>1141952256</v>
      </c>
      <c r="G32" s="121"/>
      <c r="I32" s="2"/>
    </row>
    <row r="33" spans="2:7" x14ac:dyDescent="0.3">
      <c r="B33" s="11" t="s">
        <v>17</v>
      </c>
      <c r="C33" s="8">
        <v>676512</v>
      </c>
      <c r="D33" s="9">
        <v>740</v>
      </c>
      <c r="E33" s="12">
        <f t="shared" ref="E33:E37" si="0">+D33*C33</f>
        <v>500618880</v>
      </c>
      <c r="G33" s="121"/>
    </row>
    <row r="34" spans="2:7" x14ac:dyDescent="0.3">
      <c r="B34" s="11" t="s">
        <v>18</v>
      </c>
      <c r="C34" s="8">
        <v>405907</v>
      </c>
      <c r="D34" s="9">
        <v>627</v>
      </c>
      <c r="E34" s="12">
        <f t="shared" si="0"/>
        <v>254503689</v>
      </c>
      <c r="G34" s="121"/>
    </row>
    <row r="35" spans="2:7" x14ac:dyDescent="0.3">
      <c r="B35" s="11" t="s">
        <v>19</v>
      </c>
      <c r="C35" s="8">
        <v>189423</v>
      </c>
      <c r="D35" s="9">
        <v>1058</v>
      </c>
      <c r="E35" s="12">
        <f t="shared" si="0"/>
        <v>200409534</v>
      </c>
      <c r="G35" s="121"/>
    </row>
    <row r="36" spans="2:7" x14ac:dyDescent="0.3">
      <c r="B36" s="11" t="s">
        <v>20</v>
      </c>
      <c r="C36" s="8">
        <v>81181</v>
      </c>
      <c r="D36" s="9">
        <v>900</v>
      </c>
      <c r="E36" s="12">
        <f t="shared" si="0"/>
        <v>73062900</v>
      </c>
      <c r="G36" s="121"/>
    </row>
    <row r="37" spans="2:7" x14ac:dyDescent="0.3">
      <c r="B37" s="11" t="s">
        <v>21</v>
      </c>
      <c r="C37" s="8">
        <v>92006</v>
      </c>
      <c r="D37" s="6">
        <v>1840</v>
      </c>
      <c r="E37" s="12">
        <f t="shared" si="0"/>
        <v>169291040</v>
      </c>
    </row>
    <row r="38" spans="2:7" ht="15" thickBot="1" x14ac:dyDescent="0.35">
      <c r="B38" s="257" t="s">
        <v>22</v>
      </c>
      <c r="C38" s="258"/>
      <c r="D38" s="259"/>
      <c r="E38" s="26">
        <f>SUM(E32:E37)</f>
        <v>2339838299</v>
      </c>
    </row>
    <row r="39" spans="2:7" x14ac:dyDescent="0.3">
      <c r="B39" s="260" t="s">
        <v>246</v>
      </c>
      <c r="C39" s="260"/>
      <c r="D39" s="260"/>
      <c r="E39" s="260"/>
    </row>
    <row r="40" spans="2:7" ht="28.8" x14ac:dyDescent="0.3">
      <c r="B40" s="21" t="s">
        <v>25</v>
      </c>
      <c r="C40" s="22" t="s">
        <v>27</v>
      </c>
      <c r="D40" s="23" t="s">
        <v>26</v>
      </c>
      <c r="E40" s="23" t="s">
        <v>28</v>
      </c>
    </row>
    <row r="41" spans="2:7" x14ac:dyDescent="0.3">
      <c r="B41" s="6" t="s">
        <v>86</v>
      </c>
      <c r="C41" s="177">
        <v>141120</v>
      </c>
      <c r="D41" s="16">
        <v>2219</v>
      </c>
      <c r="E41" s="9">
        <f>+D41*C41</f>
        <v>313145280</v>
      </c>
    </row>
    <row r="42" spans="2:7" x14ac:dyDescent="0.3">
      <c r="B42" s="6" t="s">
        <v>87</v>
      </c>
      <c r="C42" s="177">
        <v>18000</v>
      </c>
      <c r="D42" s="16">
        <v>2219</v>
      </c>
      <c r="E42" s="9">
        <f t="shared" ref="E42:E44" si="1">+D42*C42</f>
        <v>39942000</v>
      </c>
    </row>
    <row r="43" spans="2:7" x14ac:dyDescent="0.3">
      <c r="B43" s="6" t="s">
        <v>24</v>
      </c>
      <c r="C43" s="177">
        <v>108000</v>
      </c>
      <c r="D43" s="16">
        <v>2219</v>
      </c>
      <c r="E43" s="9">
        <f t="shared" si="1"/>
        <v>239652000</v>
      </c>
    </row>
    <row r="44" spans="2:7" x14ac:dyDescent="0.3">
      <c r="B44" s="17" t="s">
        <v>22</v>
      </c>
      <c r="C44" s="178">
        <f>SUM(C41:C43)</f>
        <v>267120</v>
      </c>
      <c r="D44" s="18">
        <v>2219</v>
      </c>
      <c r="E44" s="19">
        <f t="shared" si="1"/>
        <v>592739280</v>
      </c>
    </row>
    <row r="45" spans="2:7" ht="28.8" x14ac:dyDescent="0.3">
      <c r="B45" s="23" t="s">
        <v>116</v>
      </c>
      <c r="C45" s="22" t="s">
        <v>29</v>
      </c>
      <c r="D45" s="23" t="s">
        <v>30</v>
      </c>
      <c r="E45" s="23" t="s">
        <v>28</v>
      </c>
    </row>
    <row r="46" spans="2:7" x14ac:dyDescent="0.3">
      <c r="B46" s="6" t="s">
        <v>88</v>
      </c>
      <c r="C46" s="24">
        <v>270600</v>
      </c>
      <c r="D46" s="16">
        <v>845</v>
      </c>
      <c r="E46" s="9">
        <f>+D46*C46</f>
        <v>228657000</v>
      </c>
    </row>
    <row r="47" spans="2:7" x14ac:dyDescent="0.3">
      <c r="B47" s="6" t="s">
        <v>86</v>
      </c>
      <c r="C47" s="24">
        <v>96000</v>
      </c>
      <c r="D47" s="16">
        <v>845</v>
      </c>
      <c r="E47" s="9">
        <f t="shared" ref="E47:E57" si="2">+D47*C47</f>
        <v>81120000</v>
      </c>
    </row>
    <row r="48" spans="2:7" x14ac:dyDescent="0.3">
      <c r="B48" s="6" t="s">
        <v>89</v>
      </c>
      <c r="C48" s="24">
        <v>24000</v>
      </c>
      <c r="D48" s="16">
        <v>845</v>
      </c>
      <c r="E48" s="9">
        <f t="shared" si="2"/>
        <v>20280000</v>
      </c>
    </row>
    <row r="49" spans="2:7" x14ac:dyDescent="0.3">
      <c r="B49" s="6" t="s">
        <v>87</v>
      </c>
      <c r="C49" s="24">
        <v>1500</v>
      </c>
      <c r="D49" s="16">
        <v>845</v>
      </c>
      <c r="E49" s="9">
        <f t="shared" si="2"/>
        <v>1267500</v>
      </c>
    </row>
    <row r="50" spans="2:7" x14ac:dyDescent="0.3">
      <c r="B50" s="6" t="s">
        <v>90</v>
      </c>
      <c r="C50" s="24">
        <v>21600</v>
      </c>
      <c r="D50" s="16">
        <v>845</v>
      </c>
      <c r="E50" s="9">
        <f t="shared" si="2"/>
        <v>18252000</v>
      </c>
    </row>
    <row r="51" spans="2:7" x14ac:dyDescent="0.3">
      <c r="B51" s="6" t="s">
        <v>24</v>
      </c>
      <c r="C51" s="24">
        <v>1700</v>
      </c>
      <c r="D51" s="16">
        <v>845</v>
      </c>
      <c r="E51" s="9">
        <f t="shared" si="2"/>
        <v>1436500</v>
      </c>
    </row>
    <row r="52" spans="2:7" x14ac:dyDescent="0.3">
      <c r="B52" s="6" t="s">
        <v>91</v>
      </c>
      <c r="C52" s="24" t="s">
        <v>31</v>
      </c>
      <c r="D52" s="16">
        <v>845</v>
      </c>
      <c r="E52" s="24" t="s">
        <v>31</v>
      </c>
    </row>
    <row r="53" spans="2:7" x14ac:dyDescent="0.3">
      <c r="B53" s="6" t="s">
        <v>92</v>
      </c>
      <c r="C53" s="24" t="s">
        <v>31</v>
      </c>
      <c r="D53" s="16">
        <v>845</v>
      </c>
      <c r="E53" s="24" t="s">
        <v>31</v>
      </c>
    </row>
    <row r="54" spans="2:7" x14ac:dyDescent="0.3">
      <c r="B54" s="6" t="s">
        <v>93</v>
      </c>
      <c r="C54" s="24">
        <v>12600</v>
      </c>
      <c r="D54" s="16">
        <v>845</v>
      </c>
      <c r="E54" s="9">
        <f t="shared" si="2"/>
        <v>10647000</v>
      </c>
    </row>
    <row r="55" spans="2:7" x14ac:dyDescent="0.3">
      <c r="B55" s="17" t="s">
        <v>22</v>
      </c>
      <c r="C55" s="20">
        <f>SUM(C46:C54)</f>
        <v>428000</v>
      </c>
      <c r="D55" s="18">
        <v>845</v>
      </c>
      <c r="E55" s="19">
        <f t="shared" si="2"/>
        <v>361660000</v>
      </c>
    </row>
    <row r="56" spans="2:7" ht="28.8" x14ac:dyDescent="0.3">
      <c r="B56" s="17" t="s">
        <v>32</v>
      </c>
      <c r="C56" s="22" t="s">
        <v>27</v>
      </c>
      <c r="D56" s="23" t="s">
        <v>26</v>
      </c>
      <c r="E56" s="23" t="s">
        <v>28</v>
      </c>
    </row>
    <row r="57" spans="2:7" x14ac:dyDescent="0.3">
      <c r="B57" s="17" t="s">
        <v>88</v>
      </c>
      <c r="C57" s="17">
        <v>86400</v>
      </c>
      <c r="D57" s="17">
        <v>28.7</v>
      </c>
      <c r="E57" s="19">
        <f t="shared" si="2"/>
        <v>2479680</v>
      </c>
    </row>
    <row r="58" spans="2:7" x14ac:dyDescent="0.3">
      <c r="B58" s="260" t="s">
        <v>117</v>
      </c>
      <c r="C58" s="260"/>
      <c r="D58" s="260"/>
      <c r="E58" s="28">
        <f>+E57+E55+E44</f>
        <v>956878960</v>
      </c>
    </row>
    <row r="59" spans="2:7" ht="7.5" customHeight="1" x14ac:dyDescent="0.3">
      <c r="B59" s="72"/>
      <c r="C59" s="72"/>
      <c r="D59" s="72"/>
      <c r="E59" s="25"/>
    </row>
    <row r="60" spans="2:7" ht="11.25" customHeight="1" x14ac:dyDescent="0.3">
      <c r="D60" s="13"/>
    </row>
    <row r="61" spans="2:7" ht="19.5" customHeight="1" x14ac:dyDescent="0.3">
      <c r="B61" s="240" t="s">
        <v>6</v>
      </c>
      <c r="C61" s="240"/>
      <c r="D61" s="240"/>
      <c r="E61" s="240"/>
    </row>
    <row r="62" spans="2:7" ht="14.25" customHeight="1" x14ac:dyDescent="0.3">
      <c r="B62" s="260" t="s">
        <v>9</v>
      </c>
      <c r="C62" s="260"/>
      <c r="D62" s="260"/>
      <c r="E62" s="260"/>
      <c r="F62" s="260"/>
      <c r="G62" s="260"/>
    </row>
    <row r="63" spans="2:7" ht="28.8" x14ac:dyDescent="0.3">
      <c r="B63" s="73" t="s">
        <v>33</v>
      </c>
      <c r="C63" s="74" t="s">
        <v>37</v>
      </c>
      <c r="D63" s="75" t="s">
        <v>38</v>
      </c>
      <c r="E63" s="75" t="s">
        <v>34</v>
      </c>
      <c r="F63" s="75" t="s">
        <v>39</v>
      </c>
      <c r="G63" s="76" t="s">
        <v>36</v>
      </c>
    </row>
    <row r="64" spans="2:7" x14ac:dyDescent="0.3">
      <c r="B64" s="246" t="s">
        <v>103</v>
      </c>
      <c r="C64" s="6" t="s">
        <v>106</v>
      </c>
      <c r="D64" s="6">
        <v>1</v>
      </c>
      <c r="E64" s="6">
        <f>4*D64</f>
        <v>4</v>
      </c>
      <c r="F64" s="9">
        <f t="shared" ref="F64:F70" si="3">1700000*1.56</f>
        <v>2652000</v>
      </c>
      <c r="G64" s="12">
        <f t="shared" ref="G64:G73" si="4">+F64*E64</f>
        <v>10608000</v>
      </c>
    </row>
    <row r="65" spans="2:13" x14ac:dyDescent="0.3">
      <c r="B65" s="247"/>
      <c r="C65" s="6" t="s">
        <v>107</v>
      </c>
      <c r="D65" s="6">
        <v>1</v>
      </c>
      <c r="E65" s="6">
        <f t="shared" ref="E65:E71" si="5">4*D65</f>
        <v>4</v>
      </c>
      <c r="F65" s="9">
        <f t="shared" si="3"/>
        <v>2652000</v>
      </c>
      <c r="G65" s="12">
        <f t="shared" si="4"/>
        <v>10608000</v>
      </c>
    </row>
    <row r="66" spans="2:13" x14ac:dyDescent="0.3">
      <c r="B66" s="247"/>
      <c r="C66" s="6" t="s">
        <v>108</v>
      </c>
      <c r="D66" s="6">
        <v>2</v>
      </c>
      <c r="E66" s="6">
        <f t="shared" si="5"/>
        <v>8</v>
      </c>
      <c r="F66" s="9">
        <f t="shared" si="3"/>
        <v>2652000</v>
      </c>
      <c r="G66" s="12">
        <f t="shared" si="4"/>
        <v>21216000</v>
      </c>
    </row>
    <row r="67" spans="2:13" x14ac:dyDescent="0.3">
      <c r="B67" s="247"/>
      <c r="C67" s="6" t="s">
        <v>109</v>
      </c>
      <c r="D67" s="6">
        <v>1</v>
      </c>
      <c r="E67" s="6">
        <f t="shared" si="5"/>
        <v>4</v>
      </c>
      <c r="F67" s="9">
        <f t="shared" si="3"/>
        <v>2652000</v>
      </c>
      <c r="G67" s="12">
        <f t="shared" si="4"/>
        <v>10608000</v>
      </c>
    </row>
    <row r="68" spans="2:13" x14ac:dyDescent="0.3">
      <c r="B68" s="247"/>
      <c r="C68" s="6" t="s">
        <v>110</v>
      </c>
      <c r="D68" s="6">
        <v>1</v>
      </c>
      <c r="E68" s="6">
        <f t="shared" si="5"/>
        <v>4</v>
      </c>
      <c r="F68" s="9">
        <f t="shared" si="3"/>
        <v>2652000</v>
      </c>
      <c r="G68" s="12">
        <f t="shared" si="4"/>
        <v>10608000</v>
      </c>
    </row>
    <row r="69" spans="2:13" x14ac:dyDescent="0.3">
      <c r="B69" s="247"/>
      <c r="C69" s="6" t="s">
        <v>111</v>
      </c>
      <c r="D69" s="6">
        <v>4</v>
      </c>
      <c r="E69" s="6">
        <f t="shared" si="5"/>
        <v>16</v>
      </c>
      <c r="F69" s="9">
        <f t="shared" si="3"/>
        <v>2652000</v>
      </c>
      <c r="G69" s="12">
        <f t="shared" si="4"/>
        <v>42432000</v>
      </c>
    </row>
    <row r="70" spans="2:13" x14ac:dyDescent="0.3">
      <c r="B70" s="247"/>
      <c r="C70" s="6" t="s">
        <v>92</v>
      </c>
      <c r="D70" s="6">
        <v>6</v>
      </c>
      <c r="E70" s="6">
        <f t="shared" si="5"/>
        <v>24</v>
      </c>
      <c r="F70" s="9">
        <f t="shared" si="3"/>
        <v>2652000</v>
      </c>
      <c r="G70" s="12">
        <f t="shared" si="4"/>
        <v>63648000</v>
      </c>
    </row>
    <row r="71" spans="2:13" x14ac:dyDescent="0.3">
      <c r="B71" s="248"/>
      <c r="C71" s="6" t="s">
        <v>22</v>
      </c>
      <c r="D71" s="6">
        <f>SUM(D64:D70)</f>
        <v>16</v>
      </c>
      <c r="E71" s="6">
        <f t="shared" si="5"/>
        <v>64</v>
      </c>
      <c r="F71" s="9"/>
      <c r="G71" s="12">
        <f t="shared" si="4"/>
        <v>0</v>
      </c>
    </row>
    <row r="72" spans="2:13" x14ac:dyDescent="0.3">
      <c r="B72" s="261" t="s">
        <v>104</v>
      </c>
      <c r="C72" s="262"/>
      <c r="D72" s="6">
        <v>2</v>
      </c>
      <c r="E72" s="6">
        <v>8</v>
      </c>
      <c r="F72" s="9">
        <f>+F69*3</f>
        <v>7956000</v>
      </c>
      <c r="G72" s="12">
        <f t="shared" si="4"/>
        <v>63648000</v>
      </c>
    </row>
    <row r="73" spans="2:13" ht="15" thickBot="1" x14ac:dyDescent="0.35">
      <c r="B73" s="243" t="s">
        <v>105</v>
      </c>
      <c r="C73" s="244"/>
      <c r="D73" s="245"/>
      <c r="E73" s="36">
        <v>1</v>
      </c>
      <c r="F73" s="37">
        <f>7000000*1.56</f>
        <v>10920000</v>
      </c>
      <c r="G73" s="39">
        <f t="shared" si="4"/>
        <v>10920000</v>
      </c>
    </row>
    <row r="74" spans="2:13" ht="15" thickBot="1" x14ac:dyDescent="0.35">
      <c r="B74" s="249" t="s">
        <v>22</v>
      </c>
      <c r="C74" s="250"/>
      <c r="D74" s="250"/>
      <c r="E74" s="250"/>
      <c r="F74" s="250"/>
      <c r="G74" s="38">
        <f>SUM(G64:G73)</f>
        <v>244296000</v>
      </c>
    </row>
    <row r="75" spans="2:13" x14ac:dyDescent="0.3">
      <c r="B75" s="7"/>
      <c r="C75" s="7"/>
      <c r="D75" s="7"/>
      <c r="E75" s="7"/>
      <c r="F75" s="7"/>
      <c r="G75" s="25"/>
      <c r="M75" t="s">
        <v>251</v>
      </c>
    </row>
    <row r="76" spans="2:13" ht="21" x14ac:dyDescent="0.4">
      <c r="B76" s="241" t="s">
        <v>152</v>
      </c>
      <c r="C76" s="241"/>
      <c r="D76" s="241"/>
      <c r="E76" s="241"/>
      <c r="F76" s="241"/>
      <c r="G76" s="25"/>
    </row>
    <row r="77" spans="2:13" x14ac:dyDescent="0.3">
      <c r="B77" s="106"/>
      <c r="C77" s="72"/>
      <c r="D77" s="7"/>
      <c r="E77" s="7"/>
      <c r="F77" s="7"/>
      <c r="G77" s="25"/>
    </row>
    <row r="78" spans="2:13" ht="18.600000000000001" thickBot="1" x14ac:dyDescent="0.4">
      <c r="B78" s="242" t="s">
        <v>95</v>
      </c>
      <c r="C78" s="242"/>
      <c r="D78" s="7"/>
      <c r="E78" s="7"/>
      <c r="F78" s="7"/>
      <c r="G78" s="25"/>
    </row>
    <row r="79" spans="2:13" ht="15" thickBot="1" x14ac:dyDescent="0.35">
      <c r="B79" s="77" t="s">
        <v>40</v>
      </c>
      <c r="C79" s="78" t="s">
        <v>41</v>
      </c>
      <c r="D79" s="7"/>
      <c r="E79" s="7"/>
      <c r="F79" s="7"/>
      <c r="G79" s="25"/>
    </row>
    <row r="80" spans="2:13" ht="31.2" x14ac:dyDescent="0.3">
      <c r="B80" s="160" t="str">
        <f>B27</f>
        <v>INGRESOS POR VENTAS</v>
      </c>
      <c r="C80" s="98">
        <f>F27</f>
        <v>5977264895.999999</v>
      </c>
      <c r="D80" s="7"/>
      <c r="E80" s="7"/>
      <c r="F80" s="7"/>
      <c r="G80" s="25"/>
    </row>
    <row r="81" spans="2:7" ht="22.5" customHeight="1" thickBot="1" x14ac:dyDescent="0.35">
      <c r="B81" s="256" t="s">
        <v>6</v>
      </c>
      <c r="C81" s="256"/>
      <c r="D81" s="7"/>
      <c r="E81" s="7"/>
      <c r="F81" s="7"/>
      <c r="G81" s="25"/>
    </row>
    <row r="82" spans="2:7" ht="15" thickBot="1" x14ac:dyDescent="0.35">
      <c r="B82" s="77" t="s">
        <v>40</v>
      </c>
      <c r="C82" s="78" t="s">
        <v>41</v>
      </c>
    </row>
    <row r="83" spans="2:7" x14ac:dyDescent="0.3">
      <c r="B83" s="34" t="s">
        <v>7</v>
      </c>
      <c r="C83" s="35">
        <f>+E38</f>
        <v>2339838299</v>
      </c>
    </row>
    <row r="84" spans="2:7" x14ac:dyDescent="0.3">
      <c r="B84" s="11" t="s">
        <v>119</v>
      </c>
      <c r="C84" s="31">
        <f>+E58</f>
        <v>956878960</v>
      </c>
    </row>
    <row r="85" spans="2:7" x14ac:dyDescent="0.3">
      <c r="B85" s="11" t="s">
        <v>120</v>
      </c>
      <c r="C85" s="31">
        <f>+G74</f>
        <v>244296000</v>
      </c>
    </row>
    <row r="86" spans="2:7" ht="43.2" x14ac:dyDescent="0.3">
      <c r="B86" s="91" t="s">
        <v>121</v>
      </c>
      <c r="C86" s="31">
        <f>+C80*1%</f>
        <v>59772648.959999993</v>
      </c>
    </row>
    <row r="87" spans="2:7" x14ac:dyDescent="0.3">
      <c r="B87" s="91" t="s">
        <v>118</v>
      </c>
      <c r="C87" s="31">
        <v>44720100.233044446</v>
      </c>
    </row>
    <row r="88" spans="2:7" x14ac:dyDescent="0.3">
      <c r="B88" s="32" t="s">
        <v>11</v>
      </c>
      <c r="C88" s="33">
        <f>SUM(C83:C87)</f>
        <v>3645506008.1930447</v>
      </c>
    </row>
    <row r="89" spans="2:7" x14ac:dyDescent="0.3">
      <c r="B89" s="32" t="s">
        <v>12</v>
      </c>
      <c r="C89" s="33">
        <f>+C88*0.25</f>
        <v>911376502.04826117</v>
      </c>
    </row>
    <row r="90" spans="2:7" ht="34.799999999999997" x14ac:dyDescent="0.35">
      <c r="B90" s="179" t="s">
        <v>42</v>
      </c>
      <c r="C90" s="99">
        <f>+C89+C88</f>
        <v>4556882510.2413063</v>
      </c>
    </row>
    <row r="91" spans="2:7" x14ac:dyDescent="0.3">
      <c r="B91" s="6"/>
      <c r="C91" s="6"/>
    </row>
    <row r="92" spans="2:7" ht="18" x14ac:dyDescent="0.35">
      <c r="B92" s="92" t="s">
        <v>43</v>
      </c>
      <c r="C92" s="100">
        <f>+C80-C90</f>
        <v>1420382385.7586927</v>
      </c>
    </row>
    <row r="93" spans="2:7" ht="18" x14ac:dyDescent="0.35">
      <c r="B93" s="92" t="s">
        <v>44</v>
      </c>
      <c r="C93" s="101">
        <f>+C92/C80</f>
        <v>0.23763082454472048</v>
      </c>
    </row>
    <row r="95" spans="2:7" ht="28.8" x14ac:dyDescent="0.3">
      <c r="B95" s="22" t="s">
        <v>163</v>
      </c>
      <c r="C95" s="161">
        <f>+C$90/D10</f>
        <v>956.62084136128453</v>
      </c>
    </row>
    <row r="96" spans="2:7" x14ac:dyDescent="0.3">
      <c r="B96" s="22" t="s">
        <v>167</v>
      </c>
      <c r="C96" s="161">
        <f>+C$90/D11</f>
        <v>23915.521034032117</v>
      </c>
    </row>
  </sheetData>
  <mergeCells count="21">
    <mergeCell ref="B81:C81"/>
    <mergeCell ref="B38:D38"/>
    <mergeCell ref="B29:E29"/>
    <mergeCell ref="B39:E39"/>
    <mergeCell ref="B58:D58"/>
    <mergeCell ref="B72:C72"/>
    <mergeCell ref="B62:G62"/>
    <mergeCell ref="B1:G1"/>
    <mergeCell ref="B61:E61"/>
    <mergeCell ref="B76:F76"/>
    <mergeCell ref="B78:C78"/>
    <mergeCell ref="B73:D73"/>
    <mergeCell ref="B64:B71"/>
    <mergeCell ref="B74:F74"/>
    <mergeCell ref="C13:F13"/>
    <mergeCell ref="C14:F14"/>
    <mergeCell ref="C15:F15"/>
    <mergeCell ref="C16:F16"/>
    <mergeCell ref="B27:E27"/>
    <mergeCell ref="C19:D19"/>
    <mergeCell ref="C23:D23"/>
  </mergeCells>
  <pageMargins left="0.25" right="0.25" top="0.75" bottom="0.75" header="0.3" footer="0.3"/>
  <pageSetup orientation="landscape" horizontalDpi="300" verticalDpi="300" r:id="rId1"/>
  <rowBreaks count="2" manualBreakCount="2">
    <brk id="28" min="1" max="6" man="1"/>
    <brk id="74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3426-E21D-4B87-859C-E536AB3C07D4}">
  <dimension ref="A2:N81"/>
  <sheetViews>
    <sheetView tabSelected="1" topLeftCell="A45" zoomScaleNormal="100" workbookViewId="0">
      <selection activeCell="A33" sqref="A33:I53"/>
    </sheetView>
  </sheetViews>
  <sheetFormatPr defaultColWidth="11.5546875" defaultRowHeight="14.4" x14ac:dyDescent="0.3"/>
  <cols>
    <col min="1" max="1" width="8.44140625" customWidth="1"/>
    <col min="2" max="2" width="29" customWidth="1"/>
    <col min="3" max="3" width="19.109375" customWidth="1"/>
    <col min="4" max="4" width="17.88671875" customWidth="1"/>
    <col min="5" max="5" width="13.5546875" customWidth="1"/>
    <col min="6" max="6" width="11.33203125" customWidth="1"/>
    <col min="7" max="7" width="14.88671875" customWidth="1"/>
    <col min="8" max="8" width="9.109375" customWidth="1"/>
    <col min="9" max="9" width="20.6640625" customWidth="1"/>
    <col min="10" max="10" width="16.109375" hidden="1" customWidth="1"/>
    <col min="11" max="11" width="0" hidden="1" customWidth="1"/>
    <col min="12" max="12" width="1.6640625" customWidth="1"/>
    <col min="14" max="14" width="13.88671875" bestFit="1" customWidth="1"/>
  </cols>
  <sheetData>
    <row r="2" spans="2:8" x14ac:dyDescent="0.3">
      <c r="B2" t="s">
        <v>123</v>
      </c>
    </row>
    <row r="4" spans="2:8" x14ac:dyDescent="0.3">
      <c r="B4" s="274" t="s">
        <v>45</v>
      </c>
      <c r="C4" s="274"/>
      <c r="D4" s="274"/>
    </row>
    <row r="5" spans="2:8" x14ac:dyDescent="0.3">
      <c r="B5" s="274" t="s">
        <v>46</v>
      </c>
      <c r="C5" s="274"/>
      <c r="D5" s="274"/>
    </row>
    <row r="6" spans="2:8" x14ac:dyDescent="0.3">
      <c r="B6" s="274" t="s">
        <v>47</v>
      </c>
      <c r="C6" s="274"/>
      <c r="D6" s="274"/>
    </row>
    <row r="7" spans="2:8" x14ac:dyDescent="0.3">
      <c r="B7" s="274" t="s">
        <v>48</v>
      </c>
      <c r="C7" s="274"/>
      <c r="D7" s="274"/>
    </row>
    <row r="9" spans="2:8" x14ac:dyDescent="0.3">
      <c r="B9" t="s">
        <v>49</v>
      </c>
    </row>
    <row r="11" spans="2:8" x14ac:dyDescent="0.3">
      <c r="B11" s="272" t="s">
        <v>124</v>
      </c>
      <c r="C11" s="272"/>
      <c r="D11" s="272"/>
      <c r="E11" s="272"/>
      <c r="F11" s="272"/>
    </row>
    <row r="12" spans="2:8" ht="28.5" customHeight="1" x14ac:dyDescent="0.3">
      <c r="B12" s="264" t="s">
        <v>125</v>
      </c>
      <c r="C12" s="264"/>
      <c r="D12" s="264"/>
      <c r="E12" s="264"/>
      <c r="F12" s="264"/>
      <c r="G12" s="264"/>
      <c r="H12" s="264"/>
    </row>
    <row r="14" spans="2:8" x14ac:dyDescent="0.3">
      <c r="B14" s="239" t="s">
        <v>50</v>
      </c>
      <c r="C14" s="239"/>
      <c r="D14" s="239"/>
      <c r="E14" s="239"/>
      <c r="F14" s="239"/>
      <c r="G14" s="239"/>
      <c r="H14" s="239"/>
    </row>
    <row r="15" spans="2:8" x14ac:dyDescent="0.3">
      <c r="B15" s="269" t="s">
        <v>126</v>
      </c>
      <c r="C15" s="270"/>
      <c r="D15" s="270"/>
      <c r="E15" s="7"/>
      <c r="F15" s="7"/>
      <c r="G15" s="7"/>
      <c r="H15" s="7"/>
    </row>
    <row r="16" spans="2:8" x14ac:dyDescent="0.3">
      <c r="B16" s="150" t="s">
        <v>239</v>
      </c>
      <c r="C16" s="150" t="s">
        <v>53</v>
      </c>
      <c r="D16" s="15" t="s">
        <v>64</v>
      </c>
      <c r="E16" s="7"/>
      <c r="F16" s="7"/>
      <c r="G16" s="7"/>
      <c r="H16" s="7"/>
    </row>
    <row r="17" spans="2:9" ht="28.8" x14ac:dyDescent="0.3">
      <c r="B17" s="213" t="s">
        <v>255</v>
      </c>
      <c r="C17" s="150"/>
      <c r="D17" s="214">
        <v>26300000</v>
      </c>
      <c r="E17" s="7"/>
      <c r="F17" s="7"/>
      <c r="G17" s="7"/>
      <c r="H17" s="7"/>
    </row>
    <row r="18" spans="2:9" ht="28.8" x14ac:dyDescent="0.3">
      <c r="B18" s="213" t="s">
        <v>253</v>
      </c>
      <c r="C18" s="150"/>
      <c r="D18" s="214">
        <v>14600000</v>
      </c>
      <c r="E18" s="7"/>
      <c r="F18" s="7"/>
      <c r="G18" s="7"/>
      <c r="H18" s="7"/>
    </row>
    <row r="19" spans="2:9" x14ac:dyDescent="0.3">
      <c r="B19" s="213" t="s">
        <v>240</v>
      </c>
      <c r="C19" s="150"/>
      <c r="D19" s="214">
        <v>25000000</v>
      </c>
      <c r="E19" s="7"/>
      <c r="F19" s="7"/>
      <c r="G19" s="7"/>
      <c r="H19" s="7"/>
    </row>
    <row r="20" spans="2:9" x14ac:dyDescent="0.3">
      <c r="B20" s="213" t="s">
        <v>241</v>
      </c>
      <c r="C20" s="150"/>
      <c r="D20" s="214">
        <v>8800000</v>
      </c>
      <c r="E20" s="7"/>
      <c r="F20" s="7"/>
      <c r="G20" s="7"/>
      <c r="H20" s="7"/>
    </row>
    <row r="21" spans="2:9" ht="43.2" x14ac:dyDescent="0.3">
      <c r="B21" s="213" t="s">
        <v>254</v>
      </c>
      <c r="C21" s="150"/>
      <c r="D21" s="214">
        <v>21500000</v>
      </c>
      <c r="E21" s="7"/>
      <c r="F21" s="7"/>
      <c r="G21" s="7"/>
      <c r="H21" s="7"/>
    </row>
    <row r="22" spans="2:9" ht="28.8" x14ac:dyDescent="0.3">
      <c r="B22" s="213" t="s">
        <v>256</v>
      </c>
      <c r="C22" s="150"/>
      <c r="D22" s="214">
        <v>28600000</v>
      </c>
      <c r="E22" s="7"/>
      <c r="F22" s="7"/>
      <c r="G22" s="7"/>
      <c r="H22" s="7"/>
    </row>
    <row r="23" spans="2:9" ht="28.8" x14ac:dyDescent="0.3">
      <c r="B23" s="213" t="s">
        <v>252</v>
      </c>
      <c r="C23" s="150"/>
      <c r="D23" s="214">
        <v>18000000</v>
      </c>
      <c r="E23" s="7"/>
      <c r="F23" s="7"/>
      <c r="G23" s="7"/>
      <c r="H23" s="7"/>
    </row>
    <row r="24" spans="2:9" x14ac:dyDescent="0.3">
      <c r="B24" s="213" t="s">
        <v>242</v>
      </c>
      <c r="C24" s="150"/>
      <c r="D24" s="214">
        <v>8025000</v>
      </c>
      <c r="E24" s="7"/>
      <c r="F24" s="7"/>
      <c r="G24" s="7" t="s">
        <v>251</v>
      </c>
      <c r="H24" s="7"/>
    </row>
    <row r="25" spans="2:9" ht="28.8" x14ac:dyDescent="0.3">
      <c r="B25" s="213" t="s">
        <v>243</v>
      </c>
      <c r="C25" s="150">
        <v>350</v>
      </c>
      <c r="D25" s="214">
        <f>C25*C$34</f>
        <v>1365000</v>
      </c>
      <c r="E25" s="7"/>
      <c r="F25" s="7"/>
      <c r="G25" s="7"/>
      <c r="H25" s="7"/>
    </row>
    <row r="26" spans="2:9" x14ac:dyDescent="0.3">
      <c r="B26" s="213" t="s">
        <v>244</v>
      </c>
      <c r="C26" s="150">
        <f>1500*4</f>
        <v>6000</v>
      </c>
      <c r="D26" s="214">
        <f t="shared" ref="D26:D30" si="0">C26*C$34</f>
        <v>23400000</v>
      </c>
      <c r="E26" s="7"/>
      <c r="F26" s="7"/>
      <c r="G26" s="7"/>
      <c r="H26" s="7"/>
    </row>
    <row r="27" spans="2:9" x14ac:dyDescent="0.3">
      <c r="B27" s="213" t="s">
        <v>248</v>
      </c>
      <c r="C27" s="150">
        <v>18000</v>
      </c>
      <c r="D27" s="214">
        <f t="shared" si="0"/>
        <v>70200000</v>
      </c>
      <c r="E27" s="7"/>
      <c r="F27" s="7"/>
      <c r="G27" s="7"/>
      <c r="H27" s="7"/>
    </row>
    <row r="28" spans="2:9" ht="28.8" x14ac:dyDescent="0.3">
      <c r="B28" s="213" t="s">
        <v>245</v>
      </c>
      <c r="C28" s="150">
        <v>5000</v>
      </c>
      <c r="D28" s="214">
        <f t="shared" si="0"/>
        <v>19500000</v>
      </c>
      <c r="E28" s="7"/>
      <c r="F28" s="7"/>
      <c r="G28" s="7"/>
      <c r="H28" s="7"/>
    </row>
    <row r="29" spans="2:9" x14ac:dyDescent="0.3">
      <c r="B29" s="213" t="s">
        <v>250</v>
      </c>
      <c r="C29" s="150">
        <v>100</v>
      </c>
      <c r="D29" s="214">
        <f t="shared" si="0"/>
        <v>390000</v>
      </c>
      <c r="E29" s="7"/>
      <c r="F29" s="7"/>
      <c r="G29" s="7"/>
      <c r="H29" s="7"/>
    </row>
    <row r="30" spans="2:9" x14ac:dyDescent="0.3">
      <c r="B30" s="213" t="s">
        <v>249</v>
      </c>
      <c r="C30" s="150">
        <v>8800</v>
      </c>
      <c r="D30" s="214">
        <f t="shared" si="0"/>
        <v>34320000</v>
      </c>
      <c r="E30" s="7"/>
      <c r="F30" s="7"/>
      <c r="G30" s="7"/>
      <c r="H30" s="7"/>
    </row>
    <row r="31" spans="2:9" ht="18" x14ac:dyDescent="0.35">
      <c r="B31" s="265" t="s">
        <v>22</v>
      </c>
      <c r="C31" s="265"/>
      <c r="D31" s="10">
        <f>SUM(D17:D30)</f>
        <v>300000000</v>
      </c>
      <c r="E31" s="5"/>
      <c r="F31" s="278"/>
      <c r="G31" s="278"/>
      <c r="H31" s="278"/>
      <c r="I31" s="278"/>
    </row>
    <row r="32" spans="2:9" x14ac:dyDescent="0.3">
      <c r="B32" s="87"/>
      <c r="C32" s="87"/>
      <c r="D32" s="88"/>
    </row>
    <row r="33" spans="1:9" ht="15.6" x14ac:dyDescent="0.3">
      <c r="B33" s="41" t="s">
        <v>51</v>
      </c>
    </row>
    <row r="34" spans="1:9" x14ac:dyDescent="0.3">
      <c r="B34" t="s">
        <v>52</v>
      </c>
      <c r="C34" s="4">
        <v>3900</v>
      </c>
    </row>
    <row r="35" spans="1:9" ht="28.8" x14ac:dyDescent="0.3">
      <c r="B35" s="15" t="s">
        <v>51</v>
      </c>
      <c r="C35" s="15" t="s">
        <v>221</v>
      </c>
      <c r="D35" s="15" t="s">
        <v>53</v>
      </c>
      <c r="E35" s="15" t="s">
        <v>64</v>
      </c>
      <c r="F35" s="15" t="s">
        <v>127</v>
      </c>
      <c r="G35" s="15" t="s">
        <v>128</v>
      </c>
      <c r="H35" s="15" t="s">
        <v>54</v>
      </c>
      <c r="I35" s="15" t="s">
        <v>55</v>
      </c>
    </row>
    <row r="36" spans="1:9" x14ac:dyDescent="0.3">
      <c r="A36" s="271" t="s">
        <v>229</v>
      </c>
      <c r="B36" s="44" t="s">
        <v>224</v>
      </c>
      <c r="C36" s="45" t="s">
        <v>225</v>
      </c>
      <c r="D36" s="45">
        <v>82000</v>
      </c>
      <c r="E36" s="9">
        <f t="shared" ref="E36:E50" si="1">D36*$C$34</f>
        <v>319800000</v>
      </c>
      <c r="F36" s="43">
        <v>0.05</v>
      </c>
      <c r="G36" s="9">
        <f t="shared" ref="G36:G37" si="2">+E36*(1+F36)</f>
        <v>335790000</v>
      </c>
      <c r="H36" s="43">
        <v>0.19</v>
      </c>
      <c r="I36" s="9">
        <f t="shared" ref="I36:I48" si="3">+G36*(1+H36)</f>
        <v>399590100</v>
      </c>
    </row>
    <row r="37" spans="1:9" x14ac:dyDescent="0.3">
      <c r="A37" s="271"/>
      <c r="B37" s="44" t="s">
        <v>226</v>
      </c>
      <c r="C37" s="45" t="s">
        <v>56</v>
      </c>
      <c r="D37" s="45">
        <v>12700</v>
      </c>
      <c r="E37" s="9">
        <f t="shared" si="1"/>
        <v>49530000</v>
      </c>
      <c r="F37" s="43">
        <v>0.05</v>
      </c>
      <c r="G37" s="9">
        <f t="shared" si="2"/>
        <v>52006500</v>
      </c>
      <c r="H37" s="43">
        <v>0.19</v>
      </c>
      <c r="I37" s="9">
        <f t="shared" si="3"/>
        <v>61887735</v>
      </c>
    </row>
    <row r="38" spans="1:9" x14ac:dyDescent="0.3">
      <c r="A38" s="271"/>
      <c r="B38" s="44" t="s">
        <v>227</v>
      </c>
      <c r="C38" s="54" t="s">
        <v>202</v>
      </c>
      <c r="D38" s="54">
        <v>15000</v>
      </c>
      <c r="E38" s="9">
        <f t="shared" si="1"/>
        <v>58500000</v>
      </c>
      <c r="F38" s="43">
        <v>0.05</v>
      </c>
      <c r="G38" s="9">
        <f>+E38*(1+F38)</f>
        <v>61425000</v>
      </c>
      <c r="H38" s="43">
        <v>0.19</v>
      </c>
      <c r="I38" s="9">
        <f t="shared" si="3"/>
        <v>73095750</v>
      </c>
    </row>
    <row r="39" spans="1:9" ht="28.8" x14ac:dyDescent="0.3">
      <c r="A39" s="271"/>
      <c r="B39" s="151" t="s">
        <v>203</v>
      </c>
      <c r="C39" s="151" t="s">
        <v>204</v>
      </c>
      <c r="D39" s="162">
        <v>87.56</v>
      </c>
      <c r="E39" s="9">
        <f t="shared" si="1"/>
        <v>341484</v>
      </c>
      <c r="F39" s="43"/>
      <c r="G39" s="9">
        <f t="shared" ref="G39:G48" si="4">+E39*(1+F39)</f>
        <v>341484</v>
      </c>
      <c r="H39" s="43">
        <v>0.19</v>
      </c>
      <c r="I39" s="9">
        <f t="shared" si="3"/>
        <v>406365.95999999996</v>
      </c>
    </row>
    <row r="40" spans="1:9" x14ac:dyDescent="0.3">
      <c r="A40" s="271"/>
      <c r="B40" s="151" t="s">
        <v>205</v>
      </c>
      <c r="C40" s="151" t="s">
        <v>206</v>
      </c>
      <c r="D40" s="162">
        <v>594.61</v>
      </c>
      <c r="E40" s="9">
        <f t="shared" si="1"/>
        <v>2318979</v>
      </c>
      <c r="F40" s="9"/>
      <c r="G40" s="9">
        <f t="shared" si="4"/>
        <v>2318979</v>
      </c>
      <c r="H40" s="43">
        <v>0.19</v>
      </c>
      <c r="I40" s="9">
        <f t="shared" si="3"/>
        <v>2759585.01</v>
      </c>
    </row>
    <row r="41" spans="1:9" ht="28.8" x14ac:dyDescent="0.3">
      <c r="A41" s="271"/>
      <c r="B41" s="151" t="s">
        <v>207</v>
      </c>
      <c r="C41" s="151" t="s">
        <v>208</v>
      </c>
      <c r="D41" s="162">
        <v>139.12</v>
      </c>
      <c r="E41" s="9">
        <f t="shared" si="1"/>
        <v>542568</v>
      </c>
      <c r="F41" s="9"/>
      <c r="G41" s="9">
        <f t="shared" si="4"/>
        <v>542568</v>
      </c>
      <c r="H41" s="43">
        <v>0.19</v>
      </c>
      <c r="I41" s="9">
        <f t="shared" si="3"/>
        <v>645655.91999999993</v>
      </c>
    </row>
    <row r="42" spans="1:9" ht="28.8" x14ac:dyDescent="0.3">
      <c r="A42" s="271"/>
      <c r="B42" s="151" t="s">
        <v>207</v>
      </c>
      <c r="C42" s="151" t="s">
        <v>209</v>
      </c>
      <c r="D42" s="162">
        <v>223.81</v>
      </c>
      <c r="E42" s="9">
        <f t="shared" si="1"/>
        <v>872859</v>
      </c>
      <c r="F42" s="9"/>
      <c r="G42" s="9">
        <f t="shared" si="4"/>
        <v>872859</v>
      </c>
      <c r="H42" s="43">
        <v>0.19</v>
      </c>
      <c r="I42" s="9">
        <f t="shared" si="3"/>
        <v>1038702.21</v>
      </c>
    </row>
    <row r="43" spans="1:9" ht="28.8" x14ac:dyDescent="0.3">
      <c r="A43" s="271"/>
      <c r="B43" s="151" t="s">
        <v>210</v>
      </c>
      <c r="C43" s="151" t="s">
        <v>211</v>
      </c>
      <c r="D43" s="162">
        <v>270.37</v>
      </c>
      <c r="E43" s="9">
        <f t="shared" si="1"/>
        <v>1054443</v>
      </c>
      <c r="F43" s="9"/>
      <c r="G43" s="9">
        <f t="shared" si="4"/>
        <v>1054443</v>
      </c>
      <c r="H43" s="43">
        <v>0.19</v>
      </c>
      <c r="I43" s="9">
        <f t="shared" si="3"/>
        <v>1254787.17</v>
      </c>
    </row>
    <row r="44" spans="1:9" ht="43.2" x14ac:dyDescent="0.3">
      <c r="A44" s="271"/>
      <c r="B44" s="151" t="s">
        <v>212</v>
      </c>
      <c r="C44" s="151" t="s">
        <v>228</v>
      </c>
      <c r="D44" s="162">
        <v>591.63</v>
      </c>
      <c r="E44" s="9">
        <f t="shared" si="1"/>
        <v>2307357</v>
      </c>
      <c r="F44" s="9"/>
      <c r="G44" s="9">
        <f t="shared" si="4"/>
        <v>2307357</v>
      </c>
      <c r="H44" s="43">
        <v>0.19</v>
      </c>
      <c r="I44" s="9">
        <f t="shared" si="3"/>
        <v>2745754.83</v>
      </c>
    </row>
    <row r="45" spans="1:9" x14ac:dyDescent="0.3">
      <c r="A45" s="271"/>
      <c r="B45" s="151" t="s">
        <v>213</v>
      </c>
      <c r="C45" s="151" t="s">
        <v>214</v>
      </c>
      <c r="D45" s="163">
        <v>1182</v>
      </c>
      <c r="E45" s="9">
        <f t="shared" si="1"/>
        <v>4609800</v>
      </c>
      <c r="F45" s="9"/>
      <c r="G45" s="9">
        <f t="shared" si="4"/>
        <v>4609800</v>
      </c>
      <c r="H45" s="43">
        <v>0.19</v>
      </c>
      <c r="I45" s="9">
        <f t="shared" si="3"/>
        <v>5485662</v>
      </c>
    </row>
    <row r="46" spans="1:9" x14ac:dyDescent="0.3">
      <c r="A46" s="271"/>
      <c r="B46" s="151" t="s">
        <v>215</v>
      </c>
      <c r="C46" s="151" t="s">
        <v>216</v>
      </c>
      <c r="D46" s="151">
        <v>251.78</v>
      </c>
      <c r="E46" s="9">
        <f t="shared" si="1"/>
        <v>981942</v>
      </c>
      <c r="F46" s="9"/>
      <c r="G46" s="9">
        <f t="shared" si="4"/>
        <v>981942</v>
      </c>
      <c r="H46" s="43">
        <v>0.19</v>
      </c>
      <c r="I46" s="9">
        <f t="shared" si="3"/>
        <v>1168510.98</v>
      </c>
    </row>
    <row r="47" spans="1:9" ht="28.8" x14ac:dyDescent="0.3">
      <c r="A47" s="271"/>
      <c r="B47" s="151" t="s">
        <v>217</v>
      </c>
      <c r="C47" s="151" t="s">
        <v>218</v>
      </c>
      <c r="D47" s="151">
        <v>449.57</v>
      </c>
      <c r="E47" s="9">
        <f t="shared" si="1"/>
        <v>1753323</v>
      </c>
      <c r="F47" s="37"/>
      <c r="G47" s="9">
        <f t="shared" si="4"/>
        <v>1753323</v>
      </c>
      <c r="H47" s="43">
        <v>0.19</v>
      </c>
      <c r="I47" s="9">
        <f t="shared" si="3"/>
        <v>2086454.3699999999</v>
      </c>
    </row>
    <row r="48" spans="1:9" ht="28.8" x14ac:dyDescent="0.3">
      <c r="A48" s="271"/>
      <c r="B48" s="151" t="s">
        <v>219</v>
      </c>
      <c r="C48" s="151" t="s">
        <v>220</v>
      </c>
      <c r="D48" s="151">
        <v>1356.09</v>
      </c>
      <c r="E48" s="9">
        <f t="shared" si="1"/>
        <v>5288751</v>
      </c>
      <c r="F48" s="37"/>
      <c r="G48" s="9">
        <f t="shared" si="4"/>
        <v>5288751</v>
      </c>
      <c r="H48" s="43">
        <v>0.19</v>
      </c>
      <c r="I48" s="9">
        <f t="shared" si="3"/>
        <v>6293613.6899999995</v>
      </c>
    </row>
    <row r="49" spans="1:14" x14ac:dyDescent="0.3">
      <c r="A49" s="164"/>
      <c r="B49" s="6" t="s">
        <v>230</v>
      </c>
      <c r="C49" s="42" t="s">
        <v>222</v>
      </c>
      <c r="D49" s="42">
        <v>10000</v>
      </c>
      <c r="E49" s="9">
        <f t="shared" si="1"/>
        <v>39000000</v>
      </c>
      <c r="F49" s="43">
        <v>0.05</v>
      </c>
      <c r="G49" s="9">
        <f>+E49*(1+F49)</f>
        <v>40950000</v>
      </c>
      <c r="H49" s="43">
        <v>0.19</v>
      </c>
      <c r="I49" s="9">
        <f>+G49*(1+H49)</f>
        <v>48730500</v>
      </c>
    </row>
    <row r="50" spans="1:14" x14ac:dyDescent="0.3">
      <c r="A50" s="164"/>
      <c r="B50" s="6" t="s">
        <v>231</v>
      </c>
      <c r="C50" s="42" t="s">
        <v>223</v>
      </c>
      <c r="D50" s="42">
        <v>80946.67</v>
      </c>
      <c r="E50" s="9">
        <f t="shared" si="1"/>
        <v>315692013</v>
      </c>
      <c r="F50" s="43">
        <v>0.05</v>
      </c>
      <c r="G50" s="9">
        <f>+E50*(1+F50)</f>
        <v>331476613.65000004</v>
      </c>
      <c r="H50" s="43">
        <v>0.19</v>
      </c>
      <c r="I50" s="9">
        <f>+G50*(1+H50)</f>
        <v>394457170.24350005</v>
      </c>
    </row>
    <row r="51" spans="1:14" x14ac:dyDescent="0.3">
      <c r="B51" s="44" t="s">
        <v>66</v>
      </c>
      <c r="C51" s="54"/>
      <c r="D51" s="54"/>
      <c r="E51" s="37">
        <v>20000000</v>
      </c>
      <c r="F51" s="46"/>
      <c r="G51" s="9">
        <f>+E51*(1+F51)</f>
        <v>20000000</v>
      </c>
      <c r="H51" s="43">
        <v>0.19</v>
      </c>
      <c r="I51" s="9">
        <f t="shared" ref="I51:I52" si="5">+G51*(1+H51)</f>
        <v>23800000</v>
      </c>
    </row>
    <row r="52" spans="1:14" ht="28.8" x14ac:dyDescent="0.3">
      <c r="B52" s="151" t="s">
        <v>57</v>
      </c>
      <c r="C52" s="37"/>
      <c r="D52" s="37"/>
      <c r="E52" s="37">
        <v>3900000</v>
      </c>
      <c r="F52" s="46"/>
      <c r="G52" s="9">
        <f t="shared" ref="G52" si="6">+E52*(1+F52)</f>
        <v>3900000</v>
      </c>
      <c r="H52" s="43">
        <v>0.19</v>
      </c>
      <c r="I52" s="9">
        <f t="shared" si="5"/>
        <v>4641000</v>
      </c>
    </row>
    <row r="53" spans="1:14" ht="18" x14ac:dyDescent="0.35">
      <c r="B53" s="210" t="s">
        <v>22</v>
      </c>
      <c r="C53" s="275"/>
      <c r="D53" s="276"/>
      <c r="E53" s="276"/>
      <c r="F53" s="276"/>
      <c r="G53" s="276"/>
      <c r="H53" s="277"/>
      <c r="I53" s="211">
        <f>SUM(I36:I50)</f>
        <v>1001646347.3835001</v>
      </c>
      <c r="K53">
        <f>+H53/15/12</f>
        <v>0</v>
      </c>
      <c r="L53">
        <f>+K53*8</f>
        <v>0</v>
      </c>
      <c r="N53" s="5">
        <f>I53-I49-I50</f>
        <v>558458677.1400001</v>
      </c>
    </row>
    <row r="55" spans="1:14" ht="34.5" customHeight="1" x14ac:dyDescent="0.3">
      <c r="B55" s="273" t="s">
        <v>97</v>
      </c>
      <c r="C55" s="273"/>
    </row>
    <row r="56" spans="1:14" x14ac:dyDescent="0.3">
      <c r="B56" s="6" t="s">
        <v>58</v>
      </c>
      <c r="C56" s="9">
        <f>+I51*15%</f>
        <v>3570000</v>
      </c>
    </row>
    <row r="57" spans="1:14" x14ac:dyDescent="0.3">
      <c r="B57" s="6" t="s">
        <v>59</v>
      </c>
      <c r="C57" s="9">
        <f>I50*15%</f>
        <v>59168575.536525004</v>
      </c>
    </row>
    <row r="58" spans="1:14" x14ac:dyDescent="0.3">
      <c r="B58" s="6" t="s">
        <v>60</v>
      </c>
      <c r="C58" s="9">
        <f>I36*15%</f>
        <v>59938515</v>
      </c>
    </row>
    <row r="59" spans="1:14" ht="28.8" x14ac:dyDescent="0.3">
      <c r="B59" s="15" t="s">
        <v>129</v>
      </c>
      <c r="C59" s="9">
        <v>92831602.5</v>
      </c>
      <c r="J59" s="5">
        <f>+H53+C60</f>
        <v>215508693.03652501</v>
      </c>
    </row>
    <row r="60" spans="1:14" x14ac:dyDescent="0.3">
      <c r="B60" s="17" t="s">
        <v>22</v>
      </c>
      <c r="C60" s="28">
        <f>SUM(C56:C59)</f>
        <v>215508693.03652501</v>
      </c>
    </row>
    <row r="61" spans="1:14" x14ac:dyDescent="0.3">
      <c r="B61" s="6" t="s">
        <v>54</v>
      </c>
      <c r="C61" s="86">
        <v>0.19</v>
      </c>
    </row>
    <row r="62" spans="1:14" ht="18" x14ac:dyDescent="0.35">
      <c r="B62" s="92" t="s">
        <v>65</v>
      </c>
      <c r="C62" s="10">
        <f>+C60*1.19</f>
        <v>256455344.71346474</v>
      </c>
    </row>
    <row r="64" spans="1:14" x14ac:dyDescent="0.3">
      <c r="B64" s="13" t="s">
        <v>99</v>
      </c>
    </row>
    <row r="65" spans="2:8" x14ac:dyDescent="0.3">
      <c r="B65" s="6"/>
      <c r="C65" s="6" t="s">
        <v>247</v>
      </c>
      <c r="D65" s="6" t="s">
        <v>61</v>
      </c>
      <c r="E65" s="6" t="s">
        <v>35</v>
      </c>
      <c r="F65" s="6" t="s">
        <v>62</v>
      </c>
      <c r="G65" s="267" t="s">
        <v>63</v>
      </c>
      <c r="H65" s="267"/>
    </row>
    <row r="66" spans="2:8" x14ac:dyDescent="0.3">
      <c r="B66" s="172" t="s">
        <v>201</v>
      </c>
      <c r="C66" s="6">
        <v>4</v>
      </c>
      <c r="D66" s="9">
        <v>2500000</v>
      </c>
      <c r="E66" s="9">
        <f>+D66*1.56</f>
        <v>3900000</v>
      </c>
      <c r="F66" s="6" t="s">
        <v>98</v>
      </c>
      <c r="G66" s="268">
        <f>+E66*12</f>
        <v>46800000</v>
      </c>
      <c r="H66" s="268"/>
    </row>
    <row r="67" spans="2:8" x14ac:dyDescent="0.3">
      <c r="B67" s="15" t="s">
        <v>130</v>
      </c>
      <c r="C67" s="6"/>
      <c r="D67" s="6"/>
      <c r="E67" s="9">
        <v>4000000</v>
      </c>
      <c r="F67" s="6" t="s">
        <v>98</v>
      </c>
      <c r="G67" s="268">
        <f t="shared" ref="G67:G69" si="7">+E67*12</f>
        <v>48000000</v>
      </c>
      <c r="H67" s="268"/>
    </row>
    <row r="68" spans="2:8" x14ac:dyDescent="0.3">
      <c r="B68" s="15" t="s">
        <v>131</v>
      </c>
      <c r="C68" s="6"/>
      <c r="D68" s="6"/>
      <c r="E68" s="9">
        <v>2000000</v>
      </c>
      <c r="F68" s="6" t="s">
        <v>98</v>
      </c>
      <c r="G68" s="268">
        <f t="shared" si="7"/>
        <v>24000000</v>
      </c>
      <c r="H68" s="268"/>
    </row>
    <row r="69" spans="2:8" x14ac:dyDescent="0.3">
      <c r="B69" s="15" t="s">
        <v>132</v>
      </c>
      <c r="C69" s="36"/>
      <c r="D69" s="36"/>
      <c r="E69" s="37">
        <v>1000000</v>
      </c>
      <c r="F69" s="6" t="s">
        <v>98</v>
      </c>
      <c r="G69" s="268">
        <f t="shared" si="7"/>
        <v>12000000</v>
      </c>
      <c r="H69" s="268"/>
    </row>
    <row r="70" spans="2:8" ht="18" x14ac:dyDescent="0.35">
      <c r="B70" s="209" t="s">
        <v>22</v>
      </c>
      <c r="C70" s="48"/>
      <c r="D70" s="49"/>
      <c r="E70" s="49"/>
      <c r="F70" s="50"/>
      <c r="G70" s="263">
        <f>SUM(G66:G69)</f>
        <v>130800000</v>
      </c>
      <c r="H70" s="263"/>
    </row>
    <row r="72" spans="2:8" ht="30" customHeight="1" x14ac:dyDescent="0.3">
      <c r="B72" s="266" t="s">
        <v>100</v>
      </c>
      <c r="C72" s="266"/>
    </row>
    <row r="73" spans="2:8" x14ac:dyDescent="0.3">
      <c r="B73" s="6" t="s">
        <v>133</v>
      </c>
      <c r="C73" s="55">
        <f>+D31</f>
        <v>300000000</v>
      </c>
    </row>
    <row r="74" spans="2:8" x14ac:dyDescent="0.3">
      <c r="B74" s="6" t="s">
        <v>134</v>
      </c>
      <c r="C74" s="29">
        <f>I53</f>
        <v>1001646347.3835001</v>
      </c>
    </row>
    <row r="75" spans="2:8" x14ac:dyDescent="0.3">
      <c r="B75" s="6" t="s">
        <v>135</v>
      </c>
      <c r="C75" s="29">
        <f>+C62</f>
        <v>256455344.71346474</v>
      </c>
    </row>
    <row r="76" spans="2:8" x14ac:dyDescent="0.3">
      <c r="B76" s="6" t="s">
        <v>136</v>
      </c>
      <c r="C76" s="29">
        <f>+G70</f>
        <v>130800000</v>
      </c>
    </row>
    <row r="77" spans="2:8" ht="15.6" x14ac:dyDescent="0.3">
      <c r="B77" s="6" t="s">
        <v>22</v>
      </c>
      <c r="C77" s="30">
        <f>SUM(C74:C75)</f>
        <v>1258101692.0969648</v>
      </c>
    </row>
    <row r="78" spans="2:8" x14ac:dyDescent="0.3">
      <c r="B78" s="89" t="s">
        <v>137</v>
      </c>
      <c r="C78" s="90">
        <v>0.3</v>
      </c>
    </row>
    <row r="79" spans="2:8" x14ac:dyDescent="0.3">
      <c r="B79" s="6" t="s">
        <v>22</v>
      </c>
      <c r="C79" s="9">
        <f>+C77*1.3</f>
        <v>1635532199.7260544</v>
      </c>
    </row>
    <row r="80" spans="2:8" x14ac:dyDescent="0.3">
      <c r="B80" s="6" t="s">
        <v>101</v>
      </c>
      <c r="C80" s="29">
        <f>+C81-C79</f>
        <v>327467800.27394557</v>
      </c>
    </row>
    <row r="81" spans="2:3" ht="36" x14ac:dyDescent="0.35">
      <c r="B81" s="125" t="s">
        <v>67</v>
      </c>
      <c r="C81" s="212">
        <f>MROUND(C79*1.2,1000000)</f>
        <v>1963000000</v>
      </c>
    </row>
  </sheetData>
  <mergeCells count="21">
    <mergeCell ref="A36:A48"/>
    <mergeCell ref="B11:F11"/>
    <mergeCell ref="B55:C55"/>
    <mergeCell ref="B4:D4"/>
    <mergeCell ref="B5:D5"/>
    <mergeCell ref="B6:D6"/>
    <mergeCell ref="B7:D7"/>
    <mergeCell ref="C53:H53"/>
    <mergeCell ref="F31:G31"/>
    <mergeCell ref="H31:I31"/>
    <mergeCell ref="G70:H70"/>
    <mergeCell ref="B12:H12"/>
    <mergeCell ref="B14:H14"/>
    <mergeCell ref="B31:C31"/>
    <mergeCell ref="B72:C72"/>
    <mergeCell ref="G65:H65"/>
    <mergeCell ref="G66:H66"/>
    <mergeCell ref="G67:H67"/>
    <mergeCell ref="G68:H68"/>
    <mergeCell ref="G69:H69"/>
    <mergeCell ref="B15:D15"/>
  </mergeCells>
  <pageMargins left="0.25" right="0.25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9884-3E5C-400A-BA14-73D8C7B1295A}">
  <dimension ref="B1:R94"/>
  <sheetViews>
    <sheetView showGridLines="0" zoomScale="75" zoomScaleNormal="90" workbookViewId="0">
      <selection activeCell="Q19" sqref="Q19"/>
    </sheetView>
  </sheetViews>
  <sheetFormatPr defaultColWidth="11.5546875" defaultRowHeight="14.4" x14ac:dyDescent="0.3"/>
  <cols>
    <col min="1" max="1" width="4.88671875" customWidth="1"/>
    <col min="2" max="2" width="31.88671875" customWidth="1"/>
    <col min="3" max="3" width="22.33203125" customWidth="1"/>
    <col min="4" max="4" width="23.33203125" customWidth="1"/>
    <col min="5" max="5" width="20.21875" customWidth="1"/>
    <col min="6" max="6" width="20.77734375" customWidth="1"/>
    <col min="7" max="7" width="23" customWidth="1"/>
    <col min="8" max="10" width="0" hidden="1" customWidth="1"/>
    <col min="11" max="11" width="1" customWidth="1"/>
    <col min="18" max="18" width="21.33203125" customWidth="1"/>
  </cols>
  <sheetData>
    <row r="1" spans="2:13" x14ac:dyDescent="0.3">
      <c r="B1" s="239" t="s">
        <v>102</v>
      </c>
      <c r="C1" s="239"/>
      <c r="D1" s="239"/>
      <c r="E1" s="239"/>
      <c r="F1" s="239"/>
      <c r="G1" s="239"/>
    </row>
    <row r="2" spans="2:13" ht="33" customHeight="1" x14ac:dyDescent="0.3">
      <c r="B2" s="279" t="s">
        <v>73</v>
      </c>
      <c r="C2" s="279"/>
      <c r="D2" s="279"/>
      <c r="E2" s="279"/>
      <c r="F2" s="279"/>
    </row>
    <row r="3" spans="2:13" ht="28.8" x14ac:dyDescent="0.3">
      <c r="D3" s="22" t="s">
        <v>4</v>
      </c>
      <c r="E3" s="22" t="s">
        <v>5</v>
      </c>
      <c r="F3" s="17" t="s">
        <v>122</v>
      </c>
    </row>
    <row r="4" spans="2:13" x14ac:dyDescent="0.3">
      <c r="C4" s="71" t="str">
        <f>ACTUAL!C4</f>
        <v>Producción ideal</v>
      </c>
      <c r="D4" s="71">
        <f>ACTUAL!D4</f>
        <v>7200</v>
      </c>
      <c r="E4" s="8">
        <v>8820</v>
      </c>
      <c r="F4" s="56">
        <f>E4/D4-1</f>
        <v>0.22500000000000009</v>
      </c>
    </row>
    <row r="5" spans="2:13" x14ac:dyDescent="0.3">
      <c r="C5" s="71" t="str">
        <f>ACTUAL!C5</f>
        <v>Disponibilidad</v>
      </c>
      <c r="D5" s="165">
        <f>ACTUAL!D5</f>
        <v>0.95599999999999996</v>
      </c>
      <c r="E5" s="52">
        <f>D5</f>
        <v>0.95599999999999996</v>
      </c>
      <c r="F5" s="56">
        <f t="shared" ref="F5:F11" si="0">E5/D5-1</f>
        <v>0</v>
      </c>
    </row>
    <row r="6" spans="2:13" ht="14.4" customHeight="1" x14ac:dyDescent="0.3">
      <c r="C6" s="71" t="str">
        <f>ACTUAL!C6</f>
        <v>Producción baldosas por hora</v>
      </c>
      <c r="D6" s="187">
        <f>ACTUAL!D6</f>
        <v>6883</v>
      </c>
      <c r="E6" s="177">
        <f>E4*E5</f>
        <v>8431.92</v>
      </c>
      <c r="F6" s="56">
        <f t="shared" si="0"/>
        <v>0.225035594944065</v>
      </c>
      <c r="I6" s="3" t="s">
        <v>72</v>
      </c>
    </row>
    <row r="7" spans="2:13" x14ac:dyDescent="0.3">
      <c r="C7" s="71" t="str">
        <f>ACTUAL!C7</f>
        <v xml:space="preserve">Defectos </v>
      </c>
      <c r="D7" s="165">
        <f>ACTUAL!D7</f>
        <v>3.8699999999999998E-2</v>
      </c>
      <c r="E7" s="56">
        <v>2.0500000000000001E-2</v>
      </c>
      <c r="F7" s="56">
        <f t="shared" si="0"/>
        <v>-0.47028423772609818</v>
      </c>
    </row>
    <row r="8" spans="2:13" ht="28.8" x14ac:dyDescent="0.3">
      <c r="C8" s="71" t="str">
        <f>ACTUAL!C8</f>
        <v>Producción disminuida por defectos</v>
      </c>
      <c r="D8" s="187">
        <f>ACTUAL!D8</f>
        <v>6616</v>
      </c>
      <c r="E8" s="208">
        <f>E6*(1-E7)</f>
        <v>8259.0656400000007</v>
      </c>
      <c r="F8" s="56">
        <f t="shared" si="0"/>
        <v>0.24834728536880291</v>
      </c>
    </row>
    <row r="9" spans="2:13" ht="14.4" customHeight="1" x14ac:dyDescent="0.3">
      <c r="C9" s="71" t="str">
        <f>ACTUAL!C9</f>
        <v>Producción final en M2 por hora</v>
      </c>
      <c r="D9" s="187">
        <f>ACTUAL!D9</f>
        <v>264.64</v>
      </c>
      <c r="E9" s="177">
        <f>E8/25</f>
        <v>330.3626256</v>
      </c>
      <c r="F9" s="56">
        <f t="shared" si="0"/>
        <v>0.24834728536880291</v>
      </c>
    </row>
    <row r="10" spans="2:13" ht="28.8" x14ac:dyDescent="0.3">
      <c r="C10" s="71" t="str">
        <f>ACTUAL!C10</f>
        <v>Producción final baldosas por mes</v>
      </c>
      <c r="D10" s="187">
        <f>ACTUAL!D10</f>
        <v>4763520</v>
      </c>
      <c r="E10" s="177">
        <f>E8*24*30</f>
        <v>5946527.2608000003</v>
      </c>
      <c r="F10" s="56">
        <f t="shared" si="0"/>
        <v>0.24834728536880291</v>
      </c>
    </row>
    <row r="11" spans="2:13" ht="28.8" x14ac:dyDescent="0.3">
      <c r="C11" s="71" t="str">
        <f>ACTUAL!C11</f>
        <v>Producción final en M2 por mes</v>
      </c>
      <c r="D11" s="187">
        <f>ACTUAL!D11</f>
        <v>190540.79999999999</v>
      </c>
      <c r="E11" s="177">
        <f>E9*24*30</f>
        <v>237861.090432</v>
      </c>
      <c r="F11" s="56">
        <f t="shared" si="0"/>
        <v>0.24834728536880291</v>
      </c>
    </row>
    <row r="12" spans="2:13" ht="28.8" customHeight="1" x14ac:dyDescent="0.3"/>
    <row r="13" spans="2:13" ht="28.8" customHeight="1" x14ac:dyDescent="0.3">
      <c r="C13" s="251" t="s">
        <v>199</v>
      </c>
      <c r="D13" s="251"/>
      <c r="E13" s="251"/>
      <c r="F13" s="251"/>
      <c r="M13" s="40"/>
    </row>
    <row r="14" spans="2:13" x14ac:dyDescent="0.3">
      <c r="C14" s="251" t="s">
        <v>189</v>
      </c>
      <c r="D14" s="251"/>
      <c r="E14" s="251"/>
      <c r="F14" s="251"/>
      <c r="M14" s="40"/>
    </row>
    <row r="15" spans="2:13" x14ac:dyDescent="0.3">
      <c r="C15" s="251" t="s">
        <v>170</v>
      </c>
      <c r="D15" s="251"/>
      <c r="E15" s="251"/>
      <c r="F15" s="251"/>
      <c r="G15" s="40"/>
      <c r="H15" s="40"/>
      <c r="M15" s="40"/>
    </row>
    <row r="16" spans="2:13" x14ac:dyDescent="0.3">
      <c r="C16" s="251" t="s">
        <v>171</v>
      </c>
      <c r="D16" s="251"/>
      <c r="E16" s="251"/>
      <c r="F16" s="251"/>
      <c r="G16" s="40"/>
      <c r="H16" s="40"/>
      <c r="M16" s="40"/>
    </row>
    <row r="17" spans="2:18" x14ac:dyDescent="0.3">
      <c r="G17" s="40"/>
      <c r="H17" s="40"/>
    </row>
    <row r="18" spans="2:18" ht="28.8" x14ac:dyDescent="0.3">
      <c r="C18" s="155" t="s">
        <v>192</v>
      </c>
      <c r="D18" s="155" t="s">
        <v>193</v>
      </c>
      <c r="E18" s="156" t="s">
        <v>194</v>
      </c>
      <c r="F18" s="166" t="s">
        <v>234</v>
      </c>
      <c r="G18" s="166" t="s">
        <v>232</v>
      </c>
      <c r="H18" s="166" t="s">
        <v>233</v>
      </c>
    </row>
    <row r="19" spans="2:18" x14ac:dyDescent="0.3">
      <c r="C19" s="255" t="s">
        <v>190</v>
      </c>
      <c r="D19" s="255"/>
      <c r="E19" s="158">
        <f>SUM(E20:E22)</f>
        <v>202181.92686719997</v>
      </c>
      <c r="F19" s="159">
        <f>ACTUAL!F19</f>
        <v>5397068159.999999</v>
      </c>
      <c r="G19" s="186">
        <f>SUM(G20:G22)</f>
        <v>6737415386.4863997</v>
      </c>
      <c r="H19" s="56">
        <f>G19/F19-1</f>
        <v>0.24834728536880313</v>
      </c>
    </row>
    <row r="20" spans="2:18" x14ac:dyDescent="0.3">
      <c r="B20" s="6" t="s">
        <v>196</v>
      </c>
      <c r="C20" s="9">
        <v>32100</v>
      </c>
      <c r="D20" s="43">
        <v>0.45</v>
      </c>
      <c r="E20" s="154">
        <f>E$11*D20</f>
        <v>107037.4906944</v>
      </c>
      <c r="F20" s="29">
        <f>ACTUAL!F20</f>
        <v>2752361856</v>
      </c>
      <c r="G20" s="29">
        <f>C20*E20</f>
        <v>3435903451.2902398</v>
      </c>
      <c r="H20" s="56">
        <f t="shared" ref="H20:H27" si="1">G20/F20-1</f>
        <v>0.24834728536880291</v>
      </c>
    </row>
    <row r="21" spans="2:18" x14ac:dyDescent="0.3">
      <c r="B21" s="6" t="s">
        <v>197</v>
      </c>
      <c r="C21" s="9">
        <v>33900</v>
      </c>
      <c r="D21" s="43">
        <v>0.24</v>
      </c>
      <c r="E21" s="154">
        <f t="shared" ref="E21:E22" si="2">E$11*D21</f>
        <v>57086.661703679994</v>
      </c>
      <c r="F21" s="29">
        <f>ACTUAL!F21</f>
        <v>1550239948.7999997</v>
      </c>
      <c r="G21" s="29">
        <f t="shared" ref="G21:G22" si="3">C21*E21</f>
        <v>1935237831.7547519</v>
      </c>
      <c r="H21" s="56">
        <f t="shared" si="1"/>
        <v>0.24834728536880313</v>
      </c>
    </row>
    <row r="22" spans="2:18" x14ac:dyDescent="0.3">
      <c r="B22" s="6" t="s">
        <v>198</v>
      </c>
      <c r="C22" s="9">
        <v>35900</v>
      </c>
      <c r="D22" s="43">
        <v>0.16</v>
      </c>
      <c r="E22" s="154">
        <f t="shared" si="2"/>
        <v>38057.774469119999</v>
      </c>
      <c r="F22" s="29">
        <f>ACTUAL!F22</f>
        <v>1094466355.2</v>
      </c>
      <c r="G22" s="29">
        <f t="shared" si="3"/>
        <v>1366274103.4414079</v>
      </c>
      <c r="H22" s="56">
        <f t="shared" si="1"/>
        <v>0.24834728536880268</v>
      </c>
    </row>
    <row r="23" spans="2:18" x14ac:dyDescent="0.3">
      <c r="B23" s="6"/>
      <c r="C23" s="255" t="s">
        <v>191</v>
      </c>
      <c r="D23" s="255"/>
      <c r="E23" s="158">
        <f>SUM(E24:E26)</f>
        <v>35679.163564800001</v>
      </c>
      <c r="F23" s="159">
        <f>ACTUAL!F23</f>
        <v>580196735.99999988</v>
      </c>
      <c r="G23" s="186">
        <f>SUM(G24:G26)</f>
        <v>724287020.36544001</v>
      </c>
      <c r="H23" s="56">
        <f t="shared" si="1"/>
        <v>0.24834728536880313</v>
      </c>
    </row>
    <row r="24" spans="2:18" x14ac:dyDescent="0.3">
      <c r="B24" s="6" t="s">
        <v>196</v>
      </c>
      <c r="C24" s="29">
        <f>C20*0.6</f>
        <v>19260</v>
      </c>
      <c r="D24" s="43">
        <v>0.05</v>
      </c>
      <c r="E24" s="154">
        <f t="shared" ref="E24:E26" si="4">E$11*D24</f>
        <v>11893.054521600001</v>
      </c>
      <c r="F24" s="29">
        <f>ACTUAL!F24</f>
        <v>183490790.39999998</v>
      </c>
      <c r="G24" s="29">
        <f>C24*E24</f>
        <v>229060230.08601603</v>
      </c>
      <c r="H24" s="56">
        <f t="shared" si="1"/>
        <v>0.24834728536880313</v>
      </c>
    </row>
    <row r="25" spans="2:18" x14ac:dyDescent="0.3">
      <c r="B25" s="6" t="s">
        <v>197</v>
      </c>
      <c r="C25" s="29">
        <f>C21*0.6</f>
        <v>20340</v>
      </c>
      <c r="D25" s="43">
        <v>0.06</v>
      </c>
      <c r="E25" s="154">
        <f t="shared" si="4"/>
        <v>14271.665425919999</v>
      </c>
      <c r="F25" s="29">
        <f>ACTUAL!F25</f>
        <v>232535992.31999996</v>
      </c>
      <c r="G25" s="29">
        <f t="shared" ref="G25:G26" si="5">C25*E25</f>
        <v>290285674.7632128</v>
      </c>
      <c r="H25" s="56">
        <f t="shared" si="1"/>
        <v>0.24834728536880313</v>
      </c>
    </row>
    <row r="26" spans="2:18" x14ac:dyDescent="0.3">
      <c r="B26" s="6" t="s">
        <v>198</v>
      </c>
      <c r="C26" s="29">
        <f>C22*0.6</f>
        <v>21540</v>
      </c>
      <c r="D26" s="43">
        <v>0.04</v>
      </c>
      <c r="E26" s="154">
        <f t="shared" si="4"/>
        <v>9514.4436172799997</v>
      </c>
      <c r="F26" s="29">
        <f>ACTUAL!F26</f>
        <v>164169953.28</v>
      </c>
      <c r="G26" s="29">
        <f t="shared" si="5"/>
        <v>204941115.51621118</v>
      </c>
      <c r="H26" s="56">
        <f t="shared" si="1"/>
        <v>0.24834728536880268</v>
      </c>
    </row>
    <row r="27" spans="2:18" ht="21" x14ac:dyDescent="0.4">
      <c r="B27" s="252" t="s">
        <v>1</v>
      </c>
      <c r="C27" s="253"/>
      <c r="D27" s="253"/>
      <c r="E27" s="254"/>
      <c r="F27" s="10">
        <f>SUM(F20:F22)+SUM(F24:F26)</f>
        <v>5977264895.999999</v>
      </c>
      <c r="G27" s="167">
        <f>G19+G23</f>
        <v>7461702406.85184</v>
      </c>
      <c r="H27" s="56">
        <f t="shared" si="1"/>
        <v>0.24834728536880313</v>
      </c>
    </row>
    <row r="28" spans="2:18" ht="9" customHeight="1" x14ac:dyDescent="0.35">
      <c r="B28" s="51"/>
      <c r="C28" s="47"/>
    </row>
    <row r="29" spans="2:18" ht="16.5" customHeight="1" thickBot="1" x14ac:dyDescent="0.35">
      <c r="B29" s="281" t="s">
        <v>6</v>
      </c>
      <c r="C29" s="281"/>
      <c r="D29" s="281"/>
      <c r="E29" s="281"/>
      <c r="R29" s="120"/>
    </row>
    <row r="30" spans="2:18" x14ac:dyDescent="0.3">
      <c r="B30" s="79" t="s">
        <v>23</v>
      </c>
      <c r="C30" s="80" t="s">
        <v>81</v>
      </c>
      <c r="D30" s="80" t="s">
        <v>94</v>
      </c>
      <c r="E30" s="81" t="s">
        <v>28</v>
      </c>
    </row>
    <row r="31" spans="2:18" x14ac:dyDescent="0.3">
      <c r="B31" s="11" t="s">
        <v>16</v>
      </c>
      <c r="C31" s="8">
        <f>+ACTUAL!C32*1.23</f>
        <v>1664219.52</v>
      </c>
      <c r="D31" s="9">
        <v>844</v>
      </c>
      <c r="E31" s="12">
        <f>+D31*C31</f>
        <v>1404601274.8800001</v>
      </c>
    </row>
    <row r="32" spans="2:18" x14ac:dyDescent="0.3">
      <c r="B32" s="11" t="s">
        <v>17</v>
      </c>
      <c r="C32" s="8">
        <f>+ACTUAL!C33*1.23</f>
        <v>832109.76</v>
      </c>
      <c r="D32" s="9">
        <v>740</v>
      </c>
      <c r="E32" s="12">
        <f t="shared" ref="E32:E36" si="6">+D32*C32</f>
        <v>615761222.39999998</v>
      </c>
    </row>
    <row r="33" spans="2:5" x14ac:dyDescent="0.3">
      <c r="B33" s="11" t="s">
        <v>18</v>
      </c>
      <c r="C33" s="8">
        <f>+ACTUAL!C34*1.23</f>
        <v>499265.61</v>
      </c>
      <c r="D33" s="9">
        <v>627</v>
      </c>
      <c r="E33" s="12">
        <f t="shared" si="6"/>
        <v>313039537.46999997</v>
      </c>
    </row>
    <row r="34" spans="2:5" x14ac:dyDescent="0.3">
      <c r="B34" s="11" t="s">
        <v>19</v>
      </c>
      <c r="C34" s="8">
        <f>+ACTUAL!C35*1.23</f>
        <v>232990.29</v>
      </c>
      <c r="D34" s="9">
        <v>1058</v>
      </c>
      <c r="E34" s="12">
        <f t="shared" si="6"/>
        <v>246503726.82000002</v>
      </c>
    </row>
    <row r="35" spans="2:5" x14ac:dyDescent="0.3">
      <c r="B35" s="11" t="s">
        <v>20</v>
      </c>
      <c r="C35" s="8">
        <f>+ACTUAL!C36*1.23</f>
        <v>99852.63</v>
      </c>
      <c r="D35" s="9">
        <v>900</v>
      </c>
      <c r="E35" s="12">
        <f t="shared" si="6"/>
        <v>89867367</v>
      </c>
    </row>
    <row r="36" spans="2:5" x14ac:dyDescent="0.3">
      <c r="B36" s="11" t="s">
        <v>21</v>
      </c>
      <c r="C36" s="8">
        <f>+ACTUAL!C37*1.34</f>
        <v>123288.04000000001</v>
      </c>
      <c r="D36" s="6">
        <v>1840</v>
      </c>
      <c r="E36" s="12">
        <f t="shared" si="6"/>
        <v>226849993.60000002</v>
      </c>
    </row>
    <row r="37" spans="2:5" ht="18.600000000000001" thickBot="1" x14ac:dyDescent="0.4">
      <c r="B37" s="282" t="s">
        <v>22</v>
      </c>
      <c r="C37" s="283"/>
      <c r="D37" s="284"/>
      <c r="E37" s="207">
        <f>SUM(E31:E36)</f>
        <v>2896623122.1700001</v>
      </c>
    </row>
    <row r="38" spans="2:5" x14ac:dyDescent="0.3">
      <c r="B38" s="285" t="s">
        <v>246</v>
      </c>
      <c r="C38" s="286"/>
      <c r="D38" s="286"/>
      <c r="E38" s="287"/>
    </row>
    <row r="39" spans="2:5" ht="27.75" customHeight="1" x14ac:dyDescent="0.3">
      <c r="B39" s="202" t="s">
        <v>25</v>
      </c>
      <c r="C39" s="22" t="s">
        <v>27</v>
      </c>
      <c r="D39" s="23" t="s">
        <v>26</v>
      </c>
      <c r="E39" s="203" t="s">
        <v>28</v>
      </c>
    </row>
    <row r="40" spans="2:5" x14ac:dyDescent="0.3">
      <c r="B40" s="11" t="s">
        <v>86</v>
      </c>
      <c r="C40" s="8">
        <f>+ACTUAL!C41*1.23</f>
        <v>173577.60000000001</v>
      </c>
      <c r="D40" s="16">
        <v>2219</v>
      </c>
      <c r="E40" s="12">
        <f>+D40*C40</f>
        <v>385168694.40000004</v>
      </c>
    </row>
    <row r="41" spans="2:5" x14ac:dyDescent="0.3">
      <c r="B41" s="11" t="s">
        <v>87</v>
      </c>
      <c r="C41" s="8">
        <f>+ACTUAL!C42*1.23</f>
        <v>22140</v>
      </c>
      <c r="D41" s="16">
        <v>2219</v>
      </c>
      <c r="E41" s="12">
        <f t="shared" ref="E41:E43" si="7">+D41*C41</f>
        <v>49128660</v>
      </c>
    </row>
    <row r="42" spans="2:5" x14ac:dyDescent="0.3">
      <c r="B42" s="11" t="s">
        <v>24</v>
      </c>
      <c r="C42" s="8">
        <f>+ACTUAL!C43*1.23</f>
        <v>132840</v>
      </c>
      <c r="D42" s="16">
        <v>2219</v>
      </c>
      <c r="E42" s="12">
        <f t="shared" si="7"/>
        <v>294771960</v>
      </c>
    </row>
    <row r="43" spans="2:5" x14ac:dyDescent="0.3">
      <c r="B43" s="32" t="s">
        <v>22</v>
      </c>
      <c r="C43" s="17">
        <f>SUM(C40:C42)</f>
        <v>328557.59999999998</v>
      </c>
      <c r="D43" s="18">
        <v>2219</v>
      </c>
      <c r="E43" s="204">
        <f t="shared" si="7"/>
        <v>729069314.39999998</v>
      </c>
    </row>
    <row r="44" spans="2:5" ht="28.8" x14ac:dyDescent="0.3">
      <c r="B44" s="205" t="s">
        <v>116</v>
      </c>
      <c r="C44" s="22" t="s">
        <v>29</v>
      </c>
      <c r="D44" s="23" t="s">
        <v>30</v>
      </c>
      <c r="E44" s="203" t="s">
        <v>28</v>
      </c>
    </row>
    <row r="45" spans="2:5" x14ac:dyDescent="0.3">
      <c r="B45" s="11" t="s">
        <v>88</v>
      </c>
      <c r="C45" s="8">
        <f>+ACTUAL!C46*1.23</f>
        <v>332838</v>
      </c>
      <c r="D45" s="16">
        <v>845</v>
      </c>
      <c r="E45" s="12">
        <f>+D45*C45</f>
        <v>281248110</v>
      </c>
    </row>
    <row r="46" spans="2:5" x14ac:dyDescent="0.3">
      <c r="B46" s="11" t="s">
        <v>86</v>
      </c>
      <c r="C46" s="8">
        <f>+ACTUAL!C47*1.23</f>
        <v>118080</v>
      </c>
      <c r="D46" s="16">
        <v>845</v>
      </c>
      <c r="E46" s="12">
        <f t="shared" ref="E46:E56" si="8">+D46*C46</f>
        <v>99777600</v>
      </c>
    </row>
    <row r="47" spans="2:5" x14ac:dyDescent="0.3">
      <c r="B47" s="11" t="s">
        <v>89</v>
      </c>
      <c r="C47" s="8">
        <f>+ACTUAL!C48*1.23</f>
        <v>29520</v>
      </c>
      <c r="D47" s="16">
        <v>845</v>
      </c>
      <c r="E47" s="12">
        <f t="shared" si="8"/>
        <v>24944400</v>
      </c>
    </row>
    <row r="48" spans="2:5" x14ac:dyDescent="0.3">
      <c r="B48" s="11" t="s">
        <v>87</v>
      </c>
      <c r="C48" s="8">
        <f>+ACTUAL!C49*1.23</f>
        <v>1845</v>
      </c>
      <c r="D48" s="16">
        <v>845</v>
      </c>
      <c r="E48" s="12">
        <f t="shared" si="8"/>
        <v>1559025</v>
      </c>
    </row>
    <row r="49" spans="2:7" x14ac:dyDescent="0.3">
      <c r="B49" s="11" t="s">
        <v>90</v>
      </c>
      <c r="C49" s="8">
        <f>+ACTUAL!C50*1.23</f>
        <v>26568</v>
      </c>
      <c r="D49" s="16">
        <v>845</v>
      </c>
      <c r="E49" s="12">
        <f t="shared" si="8"/>
        <v>22449960</v>
      </c>
    </row>
    <row r="50" spans="2:7" x14ac:dyDescent="0.3">
      <c r="B50" s="11" t="s">
        <v>24</v>
      </c>
      <c r="C50" s="8">
        <f>+ACTUAL!C51*1.23</f>
        <v>2091</v>
      </c>
      <c r="D50" s="16">
        <v>845</v>
      </c>
      <c r="E50" s="12">
        <f t="shared" si="8"/>
        <v>1766895</v>
      </c>
    </row>
    <row r="51" spans="2:7" x14ac:dyDescent="0.3">
      <c r="B51" s="11" t="s">
        <v>91</v>
      </c>
      <c r="C51" s="24">
        <v>26568</v>
      </c>
      <c r="D51" s="16">
        <v>845</v>
      </c>
      <c r="E51" s="12">
        <f t="shared" si="8"/>
        <v>22449960</v>
      </c>
    </row>
    <row r="52" spans="2:7" x14ac:dyDescent="0.3">
      <c r="B52" s="11" t="s">
        <v>92</v>
      </c>
      <c r="C52" s="24">
        <v>29520</v>
      </c>
      <c r="D52" s="16">
        <v>845</v>
      </c>
      <c r="E52" s="12">
        <f t="shared" si="8"/>
        <v>24944400</v>
      </c>
    </row>
    <row r="53" spans="2:7" x14ac:dyDescent="0.3">
      <c r="B53" s="11" t="s">
        <v>93</v>
      </c>
      <c r="C53" s="8">
        <f>+ACTUAL!C54*1.23</f>
        <v>15498</v>
      </c>
      <c r="D53" s="16">
        <v>845</v>
      </c>
      <c r="E53" s="12">
        <f t="shared" si="8"/>
        <v>13095810</v>
      </c>
    </row>
    <row r="54" spans="2:7" x14ac:dyDescent="0.3">
      <c r="B54" s="32" t="s">
        <v>22</v>
      </c>
      <c r="C54" s="20">
        <f>SUM(C45:C53)</f>
        <v>582528</v>
      </c>
      <c r="D54" s="18">
        <v>845</v>
      </c>
      <c r="E54" s="204">
        <f t="shared" si="8"/>
        <v>492236160</v>
      </c>
    </row>
    <row r="55" spans="2:7" ht="28.8" x14ac:dyDescent="0.3">
      <c r="B55" s="32" t="s">
        <v>32</v>
      </c>
      <c r="C55" s="22" t="s">
        <v>27</v>
      </c>
      <c r="D55" s="23" t="s">
        <v>26</v>
      </c>
      <c r="E55" s="203" t="s">
        <v>28</v>
      </c>
    </row>
    <row r="56" spans="2:7" x14ac:dyDescent="0.3">
      <c r="B56" s="32" t="s">
        <v>88</v>
      </c>
      <c r="C56" s="8">
        <f>+ACTUAL!C57*1.23</f>
        <v>106272</v>
      </c>
      <c r="D56" s="17">
        <v>28.7</v>
      </c>
      <c r="E56" s="204">
        <f t="shared" si="8"/>
        <v>3050006.4</v>
      </c>
    </row>
    <row r="57" spans="2:7" ht="18.600000000000001" thickBot="1" x14ac:dyDescent="0.4">
      <c r="B57" s="288" t="s">
        <v>117</v>
      </c>
      <c r="C57" s="289"/>
      <c r="D57" s="289"/>
      <c r="E57" s="206">
        <f>+E56+E54+E43</f>
        <v>1224355480.8</v>
      </c>
    </row>
    <row r="58" spans="2:7" ht="15" thickBot="1" x14ac:dyDescent="0.35">
      <c r="D58" s="13"/>
    </row>
    <row r="59" spans="2:7" x14ac:dyDescent="0.3">
      <c r="B59" s="290" t="s">
        <v>9</v>
      </c>
      <c r="C59" s="291"/>
      <c r="D59" s="291"/>
      <c r="E59" s="291"/>
      <c r="F59" s="291"/>
      <c r="G59" s="292"/>
    </row>
    <row r="60" spans="2:7" x14ac:dyDescent="0.3">
      <c r="B60" s="73" t="s">
        <v>33</v>
      </c>
      <c r="C60" s="74" t="s">
        <v>37</v>
      </c>
      <c r="D60" s="75" t="s">
        <v>38</v>
      </c>
      <c r="E60" s="75" t="s">
        <v>34</v>
      </c>
      <c r="F60" s="75" t="s">
        <v>39</v>
      </c>
      <c r="G60" s="76" t="s">
        <v>36</v>
      </c>
    </row>
    <row r="61" spans="2:7" x14ac:dyDescent="0.3">
      <c r="B61" s="246" t="s">
        <v>103</v>
      </c>
      <c r="C61" s="6" t="s">
        <v>106</v>
      </c>
      <c r="D61" s="6">
        <v>1</v>
      </c>
      <c r="E61" s="6">
        <v>4</v>
      </c>
      <c r="F61" s="9">
        <f t="shared" ref="F61:F67" si="9">1700000*1.56</f>
        <v>2652000</v>
      </c>
      <c r="G61" s="12">
        <f t="shared" ref="G61:G70" si="10">+F61*E61</f>
        <v>10608000</v>
      </c>
    </row>
    <row r="62" spans="2:7" x14ac:dyDescent="0.3">
      <c r="B62" s="247"/>
      <c r="C62" s="6" t="s">
        <v>107</v>
      </c>
      <c r="D62" s="6">
        <v>1</v>
      </c>
      <c r="E62" s="6">
        <v>4</v>
      </c>
      <c r="F62" s="9">
        <f t="shared" si="9"/>
        <v>2652000</v>
      </c>
      <c r="G62" s="12">
        <f t="shared" si="10"/>
        <v>10608000</v>
      </c>
    </row>
    <row r="63" spans="2:7" x14ac:dyDescent="0.3">
      <c r="B63" s="247"/>
      <c r="C63" s="6" t="s">
        <v>108</v>
      </c>
      <c r="D63" s="6">
        <v>2</v>
      </c>
      <c r="E63" s="6">
        <v>8</v>
      </c>
      <c r="F63" s="9">
        <f t="shared" si="9"/>
        <v>2652000</v>
      </c>
      <c r="G63" s="12">
        <f t="shared" si="10"/>
        <v>21216000</v>
      </c>
    </row>
    <row r="64" spans="2:7" x14ac:dyDescent="0.3">
      <c r="B64" s="247"/>
      <c r="C64" s="6" t="s">
        <v>109</v>
      </c>
      <c r="D64" s="6">
        <v>1</v>
      </c>
      <c r="E64" s="6">
        <v>4</v>
      </c>
      <c r="F64" s="9">
        <f t="shared" si="9"/>
        <v>2652000</v>
      </c>
      <c r="G64" s="12">
        <f t="shared" si="10"/>
        <v>10608000</v>
      </c>
    </row>
    <row r="65" spans="2:7" x14ac:dyDescent="0.3">
      <c r="B65" s="247"/>
      <c r="C65" s="6" t="s">
        <v>110</v>
      </c>
      <c r="D65" s="6">
        <v>1</v>
      </c>
      <c r="E65" s="6">
        <v>4</v>
      </c>
      <c r="F65" s="9">
        <f t="shared" si="9"/>
        <v>2652000</v>
      </c>
      <c r="G65" s="12">
        <f t="shared" si="10"/>
        <v>10608000</v>
      </c>
    </row>
    <row r="66" spans="2:7" x14ac:dyDescent="0.3">
      <c r="B66" s="247"/>
      <c r="C66" s="6" t="s">
        <v>111</v>
      </c>
      <c r="D66" s="6">
        <v>1</v>
      </c>
      <c r="E66" s="6">
        <v>4</v>
      </c>
      <c r="F66" s="9">
        <f t="shared" si="9"/>
        <v>2652000</v>
      </c>
      <c r="G66" s="12">
        <f t="shared" si="10"/>
        <v>10608000</v>
      </c>
    </row>
    <row r="67" spans="2:7" x14ac:dyDescent="0.3">
      <c r="B67" s="247"/>
      <c r="C67" s="6" t="s">
        <v>92</v>
      </c>
      <c r="D67" s="6">
        <v>1</v>
      </c>
      <c r="E67" s="6">
        <v>4</v>
      </c>
      <c r="F67" s="9">
        <f t="shared" si="9"/>
        <v>2652000</v>
      </c>
      <c r="G67" s="12">
        <f t="shared" si="10"/>
        <v>10608000</v>
      </c>
    </row>
    <row r="68" spans="2:7" x14ac:dyDescent="0.3">
      <c r="B68" s="248"/>
      <c r="C68" s="6" t="s">
        <v>22</v>
      </c>
      <c r="D68" s="6">
        <f>SUM(D61:D67)</f>
        <v>8</v>
      </c>
      <c r="E68" s="6">
        <f>SUM(E61:E67)</f>
        <v>32</v>
      </c>
      <c r="F68" s="9"/>
      <c r="G68" s="12">
        <f t="shared" si="10"/>
        <v>0</v>
      </c>
    </row>
    <row r="69" spans="2:7" x14ac:dyDescent="0.3">
      <c r="B69" s="261" t="s">
        <v>104</v>
      </c>
      <c r="C69" s="262"/>
      <c r="D69" s="6">
        <v>2</v>
      </c>
      <c r="E69" s="6">
        <v>8</v>
      </c>
      <c r="F69" s="9">
        <f>+F66*3</f>
        <v>7956000</v>
      </c>
      <c r="G69" s="12">
        <f t="shared" si="10"/>
        <v>63648000</v>
      </c>
    </row>
    <row r="70" spans="2:7" ht="15" thickBot="1" x14ac:dyDescent="0.35">
      <c r="B70" s="243" t="s">
        <v>105</v>
      </c>
      <c r="C70" s="244"/>
      <c r="D70" s="245"/>
      <c r="E70" s="36">
        <v>1</v>
      </c>
      <c r="F70" s="37">
        <f>7000000*1.56</f>
        <v>10920000</v>
      </c>
      <c r="G70" s="39">
        <f t="shared" si="10"/>
        <v>10920000</v>
      </c>
    </row>
    <row r="71" spans="2:7" ht="18.600000000000001" thickBot="1" x14ac:dyDescent="0.4">
      <c r="B71" s="249" t="s">
        <v>22</v>
      </c>
      <c r="C71" s="250"/>
      <c r="D71" s="250"/>
      <c r="E71" s="250"/>
      <c r="F71" s="250"/>
      <c r="G71" s="201">
        <f>SUM(G61:G70)</f>
        <v>159432000</v>
      </c>
    </row>
    <row r="72" spans="2:7" x14ac:dyDescent="0.3">
      <c r="B72" s="7"/>
      <c r="C72" s="7"/>
      <c r="D72" s="7"/>
      <c r="E72" s="7"/>
      <c r="F72" s="7"/>
      <c r="G72" s="25"/>
    </row>
    <row r="73" spans="2:7" ht="21" x14ac:dyDescent="0.4">
      <c r="B73" s="241" t="s">
        <v>151</v>
      </c>
      <c r="C73" s="241"/>
      <c r="D73" s="241"/>
      <c r="E73" s="241"/>
      <c r="F73" s="241"/>
      <c r="G73" s="25"/>
    </row>
    <row r="74" spans="2:7" ht="15" thickBot="1" x14ac:dyDescent="0.35">
      <c r="B74" s="293" t="s">
        <v>95</v>
      </c>
      <c r="C74" s="293"/>
      <c r="D74" s="7"/>
      <c r="E74" s="7"/>
      <c r="F74" s="7"/>
      <c r="G74" s="25"/>
    </row>
    <row r="75" spans="2:7" ht="28.8" x14ac:dyDescent="0.3">
      <c r="B75" s="102" t="s">
        <v>40</v>
      </c>
      <c r="C75" s="103" t="s">
        <v>235</v>
      </c>
      <c r="D75" s="104" t="s">
        <v>76</v>
      </c>
      <c r="E75" s="105" t="s">
        <v>122</v>
      </c>
      <c r="F75" s="7"/>
      <c r="G75" s="25"/>
    </row>
    <row r="76" spans="2:7" ht="21" x14ac:dyDescent="0.4">
      <c r="B76" s="98" t="str">
        <f>B27</f>
        <v>INGRESOS POR VENTAS</v>
      </c>
      <c r="C76" s="193">
        <f>F27</f>
        <v>5977264895.999999</v>
      </c>
      <c r="D76" s="193">
        <f>G27</f>
        <v>7461702406.85184</v>
      </c>
      <c r="E76" s="197">
        <f>+D76/C76-1</f>
        <v>0.24834728536880313</v>
      </c>
      <c r="F76" s="7"/>
      <c r="G76" s="25"/>
    </row>
    <row r="77" spans="2:7" ht="15.6" x14ac:dyDescent="0.3">
      <c r="B77" s="83"/>
      <c r="C77" s="84"/>
      <c r="D77" s="7"/>
      <c r="E77" s="7"/>
      <c r="F77" s="7"/>
      <c r="G77" s="25"/>
    </row>
    <row r="78" spans="2:7" ht="22.5" customHeight="1" thickBot="1" x14ac:dyDescent="0.35">
      <c r="B78" s="280" t="s">
        <v>6</v>
      </c>
      <c r="C78" s="280"/>
      <c r="D78" s="7"/>
      <c r="E78" s="7"/>
      <c r="F78" s="7"/>
      <c r="G78" s="25"/>
    </row>
    <row r="79" spans="2:7" ht="29.4" thickBot="1" x14ac:dyDescent="0.35">
      <c r="B79" s="62" t="s">
        <v>40</v>
      </c>
      <c r="C79" s="63" t="s">
        <v>75</v>
      </c>
      <c r="D79" s="65" t="s">
        <v>76</v>
      </c>
      <c r="E79" s="64" t="s">
        <v>122</v>
      </c>
    </row>
    <row r="80" spans="2:7" x14ac:dyDescent="0.3">
      <c r="B80" s="34" t="s">
        <v>7</v>
      </c>
      <c r="C80" s="61">
        <f>+ACTUAL!C83</f>
        <v>2339838299</v>
      </c>
      <c r="D80" s="61">
        <f>+E37</f>
        <v>2896623122.1700001</v>
      </c>
      <c r="E80" s="168">
        <f>+D80/C80-1</f>
        <v>0.2379586757802703</v>
      </c>
    </row>
    <row r="81" spans="2:6" x14ac:dyDescent="0.3">
      <c r="B81" s="11" t="s">
        <v>119</v>
      </c>
      <c r="C81" s="29">
        <f>+ACTUAL!C84</f>
        <v>956878960</v>
      </c>
      <c r="D81" s="29">
        <f>+E57</f>
        <v>1224355480.8</v>
      </c>
      <c r="E81" s="169">
        <f t="shared" ref="E81:E90" si="11">+D81/C81-1</f>
        <v>0.27953015165052841</v>
      </c>
    </row>
    <row r="82" spans="2:6" x14ac:dyDescent="0.3">
      <c r="B82" s="11" t="s">
        <v>120</v>
      </c>
      <c r="C82" s="29">
        <f>+ACTUAL!C85</f>
        <v>244296000</v>
      </c>
      <c r="D82" s="29">
        <f>+G71</f>
        <v>159432000</v>
      </c>
      <c r="E82" s="169">
        <f t="shared" si="11"/>
        <v>-0.34738186462324394</v>
      </c>
    </row>
    <row r="83" spans="2:6" x14ac:dyDescent="0.3">
      <c r="B83" s="91" t="s">
        <v>121</v>
      </c>
      <c r="C83" s="29">
        <f>+ACTUAL!C86</f>
        <v>59772648.959999993</v>
      </c>
      <c r="D83" s="9">
        <f>G27*1%</f>
        <v>74617024.0685184</v>
      </c>
      <c r="E83" s="169">
        <f t="shared" si="11"/>
        <v>0.24834728536880313</v>
      </c>
    </row>
    <row r="84" spans="2:6" x14ac:dyDescent="0.3">
      <c r="B84" s="11" t="s">
        <v>118</v>
      </c>
      <c r="C84" s="29">
        <f>+ACTUAL!C87</f>
        <v>44720100.233044446</v>
      </c>
      <c r="D84" s="29">
        <f>C84+ 5590000</f>
        <v>50310100.233044446</v>
      </c>
      <c r="E84" s="169">
        <f t="shared" si="11"/>
        <v>0.12499971983223457</v>
      </c>
    </row>
    <row r="85" spans="2:6" x14ac:dyDescent="0.3">
      <c r="B85" s="32" t="s">
        <v>11</v>
      </c>
      <c r="C85" s="28">
        <f>SUM(C80:C84)</f>
        <v>3645506008.1930447</v>
      </c>
      <c r="D85" s="28">
        <f>SUM(D80:D84)</f>
        <v>4405337727.2715635</v>
      </c>
      <c r="E85" s="169">
        <f t="shared" si="11"/>
        <v>0.20842969874987038</v>
      </c>
    </row>
    <row r="86" spans="2:6" x14ac:dyDescent="0.3">
      <c r="B86" s="32" t="s">
        <v>12</v>
      </c>
      <c r="C86" s="28">
        <f>+ACTUAL!C89</f>
        <v>911376502.04826117</v>
      </c>
      <c r="D86" s="28">
        <f>+C86</f>
        <v>911376502.04826117</v>
      </c>
      <c r="E86" s="169">
        <f t="shared" si="11"/>
        <v>0</v>
      </c>
    </row>
    <row r="87" spans="2:6" ht="21" x14ac:dyDescent="0.4">
      <c r="B87" s="57" t="s">
        <v>42</v>
      </c>
      <c r="C87" s="167">
        <f>+C86+C85</f>
        <v>4556882510.2413063</v>
      </c>
      <c r="D87" s="167">
        <f>+D86+D85</f>
        <v>5316714229.3198242</v>
      </c>
      <c r="E87" s="194">
        <f t="shared" si="11"/>
        <v>0.16674375899989613</v>
      </c>
    </row>
    <row r="88" spans="2:6" x14ac:dyDescent="0.3">
      <c r="B88" s="11"/>
      <c r="C88" s="6"/>
      <c r="D88" s="6"/>
      <c r="E88" s="58"/>
    </row>
    <row r="89" spans="2:6" ht="21" x14ac:dyDescent="0.4">
      <c r="B89" s="59" t="s">
        <v>43</v>
      </c>
      <c r="C89" s="167">
        <f>C76-C87</f>
        <v>1420382385.7586927</v>
      </c>
      <c r="D89" s="167">
        <f>D76-D87</f>
        <v>2144988177.5320158</v>
      </c>
      <c r="E89" s="195">
        <f>+D89/C89-1</f>
        <v>0.51014839316405425</v>
      </c>
    </row>
    <row r="90" spans="2:6" ht="21.6" thickBot="1" x14ac:dyDescent="0.45">
      <c r="B90" s="60" t="s">
        <v>44</v>
      </c>
      <c r="C90" s="192">
        <f>+C89/C76</f>
        <v>0.23763082454472048</v>
      </c>
      <c r="D90" s="192">
        <f>+D89/D76</f>
        <v>0.28746632612449707</v>
      </c>
      <c r="E90" s="196">
        <f t="shared" si="11"/>
        <v>0.20971816966614898</v>
      </c>
      <c r="F90" s="40"/>
    </row>
    <row r="91" spans="2:6" ht="16.2" thickBot="1" x14ac:dyDescent="0.35">
      <c r="B91" s="112"/>
      <c r="C91" s="113"/>
      <c r="D91" s="113"/>
      <c r="E91" s="114"/>
    </row>
    <row r="92" spans="2:6" ht="30" thickBot="1" x14ac:dyDescent="0.4">
      <c r="B92" s="200" t="s">
        <v>236</v>
      </c>
      <c r="C92" s="63" t="s">
        <v>75</v>
      </c>
      <c r="D92" s="65" t="s">
        <v>76</v>
      </c>
      <c r="E92" s="105" t="s">
        <v>122</v>
      </c>
    </row>
    <row r="93" spans="2:6" ht="21" x14ac:dyDescent="0.4">
      <c r="B93" s="198" t="s">
        <v>238</v>
      </c>
      <c r="C93" s="188">
        <f>C87/D10</f>
        <v>956.62084136128453</v>
      </c>
      <c r="D93" s="188">
        <f>D87/E10</f>
        <v>894.08725397898104</v>
      </c>
      <c r="E93" s="189">
        <f>+D93/C93-1</f>
        <v>-6.5369250468469198E-2</v>
      </c>
    </row>
    <row r="94" spans="2:6" ht="21.6" thickBot="1" x14ac:dyDescent="0.45">
      <c r="B94" s="199" t="s">
        <v>237</v>
      </c>
      <c r="C94" s="190">
        <f>C87/D11</f>
        <v>23915.521034032117</v>
      </c>
      <c r="D94" s="190">
        <f>D87/E11</f>
        <v>22352.181349474526</v>
      </c>
      <c r="E94" s="191">
        <f>+D94/C94-1</f>
        <v>-6.5369250468469309E-2</v>
      </c>
    </row>
  </sheetData>
  <mergeCells count="21">
    <mergeCell ref="B78:C78"/>
    <mergeCell ref="B29:E29"/>
    <mergeCell ref="B37:D37"/>
    <mergeCell ref="B38:E38"/>
    <mergeCell ref="B57:D57"/>
    <mergeCell ref="B61:B68"/>
    <mergeCell ref="B69:C69"/>
    <mergeCell ref="B59:G59"/>
    <mergeCell ref="B74:C74"/>
    <mergeCell ref="B73:F73"/>
    <mergeCell ref="B1:G1"/>
    <mergeCell ref="B70:D70"/>
    <mergeCell ref="B71:F71"/>
    <mergeCell ref="B2:F2"/>
    <mergeCell ref="C15:F15"/>
    <mergeCell ref="C16:F16"/>
    <mergeCell ref="C13:F13"/>
    <mergeCell ref="C14:F14"/>
    <mergeCell ref="C19:D19"/>
    <mergeCell ref="C23:D23"/>
    <mergeCell ref="B27:E27"/>
  </mergeCells>
  <pageMargins left="0.25" right="0.25" top="0.75" bottom="0.75" header="0.3" footer="0.3"/>
  <pageSetup orientation="landscape" horizontalDpi="300" verticalDpi="300" r:id="rId1"/>
  <rowBreaks count="2" manualBreakCount="2">
    <brk id="27" max="16383" man="1"/>
    <brk id="7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467-5815-40A1-9C36-A2B9B0031BBD}">
  <dimension ref="B5:T51"/>
  <sheetViews>
    <sheetView showGridLines="0" topLeftCell="G29" workbookViewId="0">
      <selection activeCell="M52" sqref="M52"/>
    </sheetView>
  </sheetViews>
  <sheetFormatPr defaultRowHeight="14.4" x14ac:dyDescent="0.3"/>
  <cols>
    <col min="3" max="3" width="12.44140625" customWidth="1"/>
    <col min="6" max="6" width="14.88671875" customWidth="1"/>
    <col min="7" max="7" width="19.44140625" customWidth="1"/>
    <col min="8" max="8" width="9.77734375" customWidth="1"/>
    <col min="9" max="9" width="7.77734375" customWidth="1"/>
    <col min="10" max="10" width="13.33203125" customWidth="1"/>
    <col min="11" max="11" width="18.21875" customWidth="1"/>
    <col min="15" max="16" width="13.5546875" customWidth="1"/>
    <col min="17" max="17" width="16.33203125" customWidth="1"/>
    <col min="18" max="18" width="20.44140625" customWidth="1"/>
    <col min="19" max="19" width="15.33203125" customWidth="1"/>
    <col min="20" max="20" width="21.44140625" customWidth="1"/>
  </cols>
  <sheetData>
    <row r="5" spans="2:11" ht="15" thickBot="1" x14ac:dyDescent="0.35"/>
    <row r="6" spans="2:11" ht="15" thickBot="1" x14ac:dyDescent="0.35">
      <c r="B6" s="304" t="s">
        <v>9</v>
      </c>
      <c r="C6" s="305"/>
      <c r="D6" s="305"/>
      <c r="E6" s="305"/>
      <c r="F6" s="305"/>
      <c r="G6" s="305"/>
      <c r="H6" s="305"/>
      <c r="I6" s="305"/>
      <c r="J6" s="305"/>
      <c r="K6" s="306"/>
    </row>
    <row r="7" spans="2:11" ht="15" thickBot="1" x14ac:dyDescent="0.35">
      <c r="B7" s="298"/>
      <c r="C7" s="308"/>
      <c r="D7" s="307" t="s">
        <v>257</v>
      </c>
      <c r="E7" s="300"/>
      <c r="F7" s="300"/>
      <c r="G7" s="308"/>
      <c r="H7" s="219" t="s">
        <v>259</v>
      </c>
      <c r="I7" s="219"/>
      <c r="J7" s="219"/>
      <c r="K7" s="220"/>
    </row>
    <row r="8" spans="2:11" ht="43.2" x14ac:dyDescent="0.3">
      <c r="B8" s="73" t="s">
        <v>33</v>
      </c>
      <c r="C8" s="74" t="s">
        <v>37</v>
      </c>
      <c r="D8" s="75" t="s">
        <v>38</v>
      </c>
      <c r="E8" s="75" t="s">
        <v>34</v>
      </c>
      <c r="F8" s="75" t="s">
        <v>39</v>
      </c>
      <c r="G8" s="76" t="s">
        <v>36</v>
      </c>
      <c r="H8" s="75" t="s">
        <v>38</v>
      </c>
      <c r="I8" s="75" t="s">
        <v>34</v>
      </c>
      <c r="J8" s="75" t="s">
        <v>39</v>
      </c>
      <c r="K8" s="76" t="s">
        <v>36</v>
      </c>
    </row>
    <row r="9" spans="2:11" x14ac:dyDescent="0.3">
      <c r="B9" s="246" t="s">
        <v>103</v>
      </c>
      <c r="C9" s="6" t="s">
        <v>106</v>
      </c>
      <c r="D9" s="6">
        <v>1</v>
      </c>
      <c r="E9" s="6">
        <v>4</v>
      </c>
      <c r="F9" s="9">
        <f t="shared" ref="F9:F15" si="0">1700000*1.56</f>
        <v>2652000</v>
      </c>
      <c r="G9" s="12">
        <f t="shared" ref="G9:G18" si="1">+F9*E9</f>
        <v>10608000</v>
      </c>
      <c r="H9" s="6">
        <v>1</v>
      </c>
      <c r="I9" s="6">
        <f>4*H9</f>
        <v>4</v>
      </c>
      <c r="J9" s="9">
        <f t="shared" ref="J9:J15" si="2">1700000*1.56</f>
        <v>2652000</v>
      </c>
      <c r="K9" s="12">
        <f t="shared" ref="K9:K18" si="3">+J9*I9</f>
        <v>10608000</v>
      </c>
    </row>
    <row r="10" spans="2:11" x14ac:dyDescent="0.3">
      <c r="B10" s="247"/>
      <c r="C10" s="6" t="s">
        <v>107</v>
      </c>
      <c r="D10" s="6">
        <v>1</v>
      </c>
      <c r="E10" s="6">
        <v>4</v>
      </c>
      <c r="F10" s="9">
        <f t="shared" si="0"/>
        <v>2652000</v>
      </c>
      <c r="G10" s="12">
        <f t="shared" si="1"/>
        <v>10608000</v>
      </c>
      <c r="H10" s="6">
        <v>1</v>
      </c>
      <c r="I10" s="6">
        <f t="shared" ref="I10:I16" si="4">4*H10</f>
        <v>4</v>
      </c>
      <c r="J10" s="9">
        <f t="shared" si="2"/>
        <v>2652000</v>
      </c>
      <c r="K10" s="12">
        <f t="shared" si="3"/>
        <v>10608000</v>
      </c>
    </row>
    <row r="11" spans="2:11" x14ac:dyDescent="0.3">
      <c r="B11" s="247"/>
      <c r="C11" s="6" t="s">
        <v>108</v>
      </c>
      <c r="D11" s="6">
        <v>2</v>
      </c>
      <c r="E11" s="6">
        <v>8</v>
      </c>
      <c r="F11" s="9">
        <f t="shared" si="0"/>
        <v>2652000</v>
      </c>
      <c r="G11" s="12">
        <f t="shared" si="1"/>
        <v>21216000</v>
      </c>
      <c r="H11" s="6">
        <v>2</v>
      </c>
      <c r="I11" s="6">
        <f t="shared" si="4"/>
        <v>8</v>
      </c>
      <c r="J11" s="9">
        <f t="shared" si="2"/>
        <v>2652000</v>
      </c>
      <c r="K11" s="12">
        <f t="shared" si="3"/>
        <v>21216000</v>
      </c>
    </row>
    <row r="12" spans="2:11" x14ac:dyDescent="0.3">
      <c r="B12" s="247"/>
      <c r="C12" s="6" t="s">
        <v>109</v>
      </c>
      <c r="D12" s="6">
        <v>1</v>
      </c>
      <c r="E12" s="6">
        <v>4</v>
      </c>
      <c r="F12" s="9">
        <f t="shared" si="0"/>
        <v>2652000</v>
      </c>
      <c r="G12" s="12">
        <f t="shared" si="1"/>
        <v>10608000</v>
      </c>
      <c r="H12" s="6">
        <v>1</v>
      </c>
      <c r="I12" s="6">
        <f t="shared" si="4"/>
        <v>4</v>
      </c>
      <c r="J12" s="9">
        <f t="shared" si="2"/>
        <v>2652000</v>
      </c>
      <c r="K12" s="12">
        <f t="shared" si="3"/>
        <v>10608000</v>
      </c>
    </row>
    <row r="13" spans="2:11" x14ac:dyDescent="0.3">
      <c r="B13" s="247"/>
      <c r="C13" s="6" t="s">
        <v>110</v>
      </c>
      <c r="D13" s="6">
        <v>1</v>
      </c>
      <c r="E13" s="6">
        <v>4</v>
      </c>
      <c r="F13" s="9">
        <f t="shared" si="0"/>
        <v>2652000</v>
      </c>
      <c r="G13" s="12">
        <f t="shared" si="1"/>
        <v>10608000</v>
      </c>
      <c r="H13" s="6">
        <v>1</v>
      </c>
      <c r="I13" s="6">
        <f t="shared" si="4"/>
        <v>4</v>
      </c>
      <c r="J13" s="9">
        <f t="shared" si="2"/>
        <v>2652000</v>
      </c>
      <c r="K13" s="12">
        <f t="shared" si="3"/>
        <v>10608000</v>
      </c>
    </row>
    <row r="14" spans="2:11" x14ac:dyDescent="0.3">
      <c r="B14" s="247"/>
      <c r="C14" s="216" t="s">
        <v>111</v>
      </c>
      <c r="D14" s="216">
        <v>4</v>
      </c>
      <c r="E14" s="216">
        <f t="shared" ref="E14:E15" si="5">4*D14</f>
        <v>16</v>
      </c>
      <c r="F14" s="217">
        <f t="shared" si="0"/>
        <v>2652000</v>
      </c>
      <c r="G14" s="218">
        <f t="shared" si="1"/>
        <v>42432000</v>
      </c>
      <c r="H14" s="216">
        <v>1</v>
      </c>
      <c r="I14" s="216">
        <f t="shared" si="4"/>
        <v>4</v>
      </c>
      <c r="J14" s="217">
        <f t="shared" si="2"/>
        <v>2652000</v>
      </c>
      <c r="K14" s="218">
        <f t="shared" si="3"/>
        <v>10608000</v>
      </c>
    </row>
    <row r="15" spans="2:11" x14ac:dyDescent="0.3">
      <c r="B15" s="247"/>
      <c r="C15" s="216" t="s">
        <v>92</v>
      </c>
      <c r="D15" s="216">
        <v>6</v>
      </c>
      <c r="E15" s="216">
        <f t="shared" si="5"/>
        <v>24</v>
      </c>
      <c r="F15" s="217">
        <f t="shared" si="0"/>
        <v>2652000</v>
      </c>
      <c r="G15" s="218">
        <f t="shared" si="1"/>
        <v>63648000</v>
      </c>
      <c r="H15" s="216">
        <v>1</v>
      </c>
      <c r="I15" s="216">
        <f t="shared" si="4"/>
        <v>4</v>
      </c>
      <c r="J15" s="217">
        <f t="shared" si="2"/>
        <v>2652000</v>
      </c>
      <c r="K15" s="218">
        <f t="shared" si="3"/>
        <v>10608000</v>
      </c>
    </row>
    <row r="16" spans="2:11" x14ac:dyDescent="0.3">
      <c r="B16" s="248"/>
      <c r="C16" s="6" t="s">
        <v>22</v>
      </c>
      <c r="D16" s="6">
        <f>SUM(D9:D15)</f>
        <v>16</v>
      </c>
      <c r="E16" s="6">
        <f>SUM(E9:E15)</f>
        <v>64</v>
      </c>
      <c r="F16" s="9"/>
      <c r="G16" s="12">
        <f t="shared" si="1"/>
        <v>0</v>
      </c>
      <c r="H16" s="6">
        <f>SUM(H9:H15)</f>
        <v>8</v>
      </c>
      <c r="I16" s="6">
        <f t="shared" si="4"/>
        <v>32</v>
      </c>
      <c r="J16" s="9"/>
      <c r="K16" s="12">
        <f t="shared" si="3"/>
        <v>0</v>
      </c>
    </row>
    <row r="17" spans="2:20" x14ac:dyDescent="0.3">
      <c r="B17" s="261" t="s">
        <v>104</v>
      </c>
      <c r="C17" s="262"/>
      <c r="D17" s="6">
        <v>2</v>
      </c>
      <c r="E17" s="6">
        <v>8</v>
      </c>
      <c r="F17" s="9">
        <f>+F14*3</f>
        <v>7956000</v>
      </c>
      <c r="G17" s="12">
        <f t="shared" si="1"/>
        <v>63648000</v>
      </c>
      <c r="H17" s="6">
        <v>2</v>
      </c>
      <c r="I17" s="6">
        <v>8</v>
      </c>
      <c r="J17" s="9">
        <f>+J14*3</f>
        <v>7956000</v>
      </c>
      <c r="K17" s="12">
        <f t="shared" si="3"/>
        <v>63648000</v>
      </c>
    </row>
    <row r="18" spans="2:20" ht="15" thickBot="1" x14ac:dyDescent="0.35">
      <c r="B18" s="243" t="s">
        <v>105</v>
      </c>
      <c r="C18" s="244"/>
      <c r="D18" s="245"/>
      <c r="E18" s="36">
        <v>1</v>
      </c>
      <c r="F18" s="37">
        <f>7000000*1.56</f>
        <v>10920000</v>
      </c>
      <c r="G18" s="39">
        <f t="shared" si="1"/>
        <v>10920000</v>
      </c>
      <c r="H18" s="173"/>
      <c r="I18" s="36">
        <v>1</v>
      </c>
      <c r="J18" s="37">
        <f>7000000*1.56</f>
        <v>10920000</v>
      </c>
      <c r="K18" s="39">
        <f t="shared" si="3"/>
        <v>10920000</v>
      </c>
    </row>
    <row r="19" spans="2:20" ht="18.600000000000001" thickBot="1" x14ac:dyDescent="0.4">
      <c r="B19" s="249" t="s">
        <v>22</v>
      </c>
      <c r="C19" s="250"/>
      <c r="D19" s="250"/>
      <c r="E19" s="250"/>
      <c r="F19" s="250"/>
      <c r="G19" s="201">
        <f>SUM(G9:G18)</f>
        <v>244296000</v>
      </c>
      <c r="H19" s="174"/>
      <c r="I19" s="174"/>
      <c r="J19" s="174"/>
      <c r="K19" s="201">
        <f>SUM(K9:K18)</f>
        <v>159432000</v>
      </c>
    </row>
    <row r="20" spans="2:20" ht="15" thickBot="1" x14ac:dyDescent="0.35"/>
    <row r="21" spans="2:20" ht="29.4" thickBot="1" x14ac:dyDescent="0.35">
      <c r="O21" s="224" t="s">
        <v>23</v>
      </c>
      <c r="P21" s="225" t="s">
        <v>94</v>
      </c>
      <c r="Q21" s="226" t="s">
        <v>81</v>
      </c>
      <c r="R21" s="227" t="s">
        <v>28</v>
      </c>
      <c r="S21" s="226" t="s">
        <v>81</v>
      </c>
      <c r="T21" s="227" t="s">
        <v>28</v>
      </c>
    </row>
    <row r="22" spans="2:20" ht="15" thickBot="1" x14ac:dyDescent="0.35">
      <c r="O22" s="296"/>
      <c r="P22" s="297"/>
      <c r="Q22" s="303" t="s">
        <v>257</v>
      </c>
      <c r="R22" s="295"/>
      <c r="S22" s="294" t="s">
        <v>258</v>
      </c>
      <c r="T22" s="295"/>
    </row>
    <row r="23" spans="2:20" x14ac:dyDescent="0.3">
      <c r="O23" s="34" t="s">
        <v>16</v>
      </c>
      <c r="P23" s="228">
        <v>844</v>
      </c>
      <c r="Q23" s="117">
        <v>1353024</v>
      </c>
      <c r="R23" s="229">
        <f>+Q23*P23</f>
        <v>1141952256</v>
      </c>
      <c r="S23" s="117">
        <v>1664219.52</v>
      </c>
      <c r="T23" s="229">
        <v>1404601274.8800001</v>
      </c>
    </row>
    <row r="24" spans="2:20" x14ac:dyDescent="0.3">
      <c r="G24">
        <f>K19/G19-1</f>
        <v>-0.34738186462324394</v>
      </c>
      <c r="O24" s="11" t="s">
        <v>17</v>
      </c>
      <c r="P24" s="9">
        <v>740</v>
      </c>
      <c r="Q24" s="8">
        <v>676512</v>
      </c>
      <c r="R24" s="12">
        <f t="shared" ref="R24:R28" si="6">+Q24*P24</f>
        <v>500618880</v>
      </c>
      <c r="S24" s="8">
        <v>832109.76</v>
      </c>
      <c r="T24" s="12">
        <v>615761222.39999998</v>
      </c>
    </row>
    <row r="25" spans="2:20" x14ac:dyDescent="0.3">
      <c r="O25" s="11" t="s">
        <v>18</v>
      </c>
      <c r="P25" s="9">
        <v>627</v>
      </c>
      <c r="Q25" s="8">
        <v>405907</v>
      </c>
      <c r="R25" s="12">
        <f t="shared" si="6"/>
        <v>254503689</v>
      </c>
      <c r="S25" s="8">
        <v>499265.61</v>
      </c>
      <c r="T25" s="12">
        <v>313039537.46999997</v>
      </c>
    </row>
    <row r="26" spans="2:20" x14ac:dyDescent="0.3">
      <c r="O26" s="11" t="s">
        <v>19</v>
      </c>
      <c r="P26" s="9">
        <v>1058</v>
      </c>
      <c r="Q26" s="8">
        <v>189423</v>
      </c>
      <c r="R26" s="12">
        <f t="shared" si="6"/>
        <v>200409534</v>
      </c>
      <c r="S26" s="8">
        <v>232990.29</v>
      </c>
      <c r="T26" s="12">
        <v>246503726.82000002</v>
      </c>
    </row>
    <row r="27" spans="2:20" x14ac:dyDescent="0.3">
      <c r="O27" s="11" t="s">
        <v>20</v>
      </c>
      <c r="P27" s="9">
        <v>900</v>
      </c>
      <c r="Q27" s="8">
        <v>81181</v>
      </c>
      <c r="R27" s="12">
        <f t="shared" si="6"/>
        <v>73062900</v>
      </c>
      <c r="S27" s="8">
        <v>99852.63</v>
      </c>
      <c r="T27" s="12">
        <v>89867367</v>
      </c>
    </row>
    <row r="28" spans="2:20" x14ac:dyDescent="0.3">
      <c r="O28" s="11" t="s">
        <v>21</v>
      </c>
      <c r="P28" s="6">
        <v>1840</v>
      </c>
      <c r="Q28" s="8">
        <v>92006</v>
      </c>
      <c r="R28" s="12">
        <f t="shared" si="6"/>
        <v>169291040</v>
      </c>
      <c r="S28" s="8">
        <v>123288.04000000001</v>
      </c>
      <c r="T28" s="12">
        <v>226849993.60000002</v>
      </c>
    </row>
    <row r="29" spans="2:20" ht="18.600000000000001" thickBot="1" x14ac:dyDescent="0.4">
      <c r="M29">
        <f>T29/R29</f>
        <v>1.2379586757802703</v>
      </c>
      <c r="O29" s="221" t="s">
        <v>22</v>
      </c>
      <c r="P29" s="222"/>
      <c r="Q29" s="222"/>
      <c r="R29" s="207">
        <f>SUM(R23:R28)</f>
        <v>2339838299</v>
      </c>
      <c r="S29" s="223"/>
      <c r="T29" s="207">
        <v>2896623122.1700001</v>
      </c>
    </row>
    <row r="30" spans="2:20" ht="18.600000000000001" thickBot="1" x14ac:dyDescent="0.4">
      <c r="T30" s="82"/>
    </row>
    <row r="31" spans="2:20" ht="15" thickBot="1" x14ac:dyDescent="0.35">
      <c r="O31" s="298" t="s">
        <v>246</v>
      </c>
      <c r="P31" s="300"/>
      <c r="Q31" s="300"/>
      <c r="R31" s="300"/>
      <c r="S31" s="300"/>
      <c r="T31" s="299"/>
    </row>
    <row r="32" spans="2:20" ht="15" thickBot="1" x14ac:dyDescent="0.35">
      <c r="O32" s="301"/>
      <c r="P32" s="302"/>
      <c r="Q32" s="298" t="s">
        <v>257</v>
      </c>
      <c r="R32" s="299"/>
      <c r="S32" s="298" t="s">
        <v>258</v>
      </c>
      <c r="T32" s="299"/>
    </row>
    <row r="33" spans="15:20" ht="28.8" x14ac:dyDescent="0.3">
      <c r="O33" s="231" t="s">
        <v>25</v>
      </c>
      <c r="P33" s="74" t="s">
        <v>26</v>
      </c>
      <c r="Q33" s="232" t="s">
        <v>27</v>
      </c>
      <c r="R33" s="74" t="s">
        <v>28</v>
      </c>
      <c r="S33" s="232" t="s">
        <v>27</v>
      </c>
      <c r="T33" s="233" t="s">
        <v>28</v>
      </c>
    </row>
    <row r="34" spans="15:20" x14ac:dyDescent="0.3">
      <c r="O34" s="11" t="s">
        <v>86</v>
      </c>
      <c r="P34" s="16">
        <v>2219</v>
      </c>
      <c r="Q34" s="177">
        <v>141120</v>
      </c>
      <c r="R34" s="9">
        <f>+Q34*P34</f>
        <v>313145280</v>
      </c>
      <c r="S34" s="8">
        <v>173577.60000000001</v>
      </c>
      <c r="T34" s="12">
        <v>385168694.40000004</v>
      </c>
    </row>
    <row r="35" spans="15:20" x14ac:dyDescent="0.3">
      <c r="O35" s="11" t="s">
        <v>87</v>
      </c>
      <c r="P35" s="16">
        <v>2219</v>
      </c>
      <c r="Q35" s="177">
        <v>18000</v>
      </c>
      <c r="R35" s="9">
        <f t="shared" ref="R35:R37" si="7">+Q35*P35</f>
        <v>39942000</v>
      </c>
      <c r="S35" s="8">
        <v>22140</v>
      </c>
      <c r="T35" s="12">
        <v>49128660</v>
      </c>
    </row>
    <row r="36" spans="15:20" x14ac:dyDescent="0.3">
      <c r="O36" s="11" t="s">
        <v>24</v>
      </c>
      <c r="P36" s="16">
        <v>2219</v>
      </c>
      <c r="Q36" s="177">
        <v>108000</v>
      </c>
      <c r="R36" s="9">
        <f t="shared" si="7"/>
        <v>239652000</v>
      </c>
      <c r="S36" s="8">
        <v>132840</v>
      </c>
      <c r="T36" s="12">
        <v>294771960</v>
      </c>
    </row>
    <row r="37" spans="15:20" x14ac:dyDescent="0.3">
      <c r="O37" s="32" t="s">
        <v>22</v>
      </c>
      <c r="P37" s="18">
        <v>2219</v>
      </c>
      <c r="Q37" s="178">
        <f>SUM(Q34:Q36)</f>
        <v>267120</v>
      </c>
      <c r="R37" s="19">
        <f t="shared" si="7"/>
        <v>592739280</v>
      </c>
      <c r="S37" s="17">
        <v>328557.59999999998</v>
      </c>
      <c r="T37" s="204">
        <v>729069314.39999998</v>
      </c>
    </row>
    <row r="38" spans="15:20" ht="28.8" x14ac:dyDescent="0.3">
      <c r="O38" s="205" t="s">
        <v>116</v>
      </c>
      <c r="P38" s="23" t="s">
        <v>30</v>
      </c>
      <c r="Q38" s="22" t="s">
        <v>29</v>
      </c>
      <c r="R38" s="23" t="s">
        <v>28</v>
      </c>
      <c r="S38" s="22" t="s">
        <v>29</v>
      </c>
      <c r="T38" s="203" t="s">
        <v>28</v>
      </c>
    </row>
    <row r="39" spans="15:20" x14ac:dyDescent="0.3">
      <c r="O39" s="11" t="s">
        <v>88</v>
      </c>
      <c r="P39" s="16">
        <v>845</v>
      </c>
      <c r="Q39" s="24">
        <v>270600</v>
      </c>
      <c r="R39" s="9">
        <f>+Q39*P39</f>
        <v>228657000</v>
      </c>
      <c r="S39" s="8">
        <v>332838</v>
      </c>
      <c r="T39" s="12">
        <v>281248110</v>
      </c>
    </row>
    <row r="40" spans="15:20" x14ac:dyDescent="0.3">
      <c r="O40" s="11" t="s">
        <v>86</v>
      </c>
      <c r="P40" s="16">
        <v>845</v>
      </c>
      <c r="Q40" s="24">
        <v>96000</v>
      </c>
      <c r="R40" s="9">
        <f t="shared" ref="R40:R50" si="8">+Q40*P40</f>
        <v>81120000</v>
      </c>
      <c r="S40" s="8">
        <v>118080</v>
      </c>
      <c r="T40" s="12">
        <v>99777600</v>
      </c>
    </row>
    <row r="41" spans="15:20" x14ac:dyDescent="0.3">
      <c r="O41" s="11" t="s">
        <v>89</v>
      </c>
      <c r="P41" s="16">
        <v>845</v>
      </c>
      <c r="Q41" s="24">
        <v>24000</v>
      </c>
      <c r="R41" s="9">
        <f t="shared" si="8"/>
        <v>20280000</v>
      </c>
      <c r="S41" s="8">
        <v>29520</v>
      </c>
      <c r="T41" s="12">
        <v>24944400</v>
      </c>
    </row>
    <row r="42" spans="15:20" x14ac:dyDescent="0.3">
      <c r="O42" s="11" t="s">
        <v>87</v>
      </c>
      <c r="P42" s="16">
        <v>845</v>
      </c>
      <c r="Q42" s="24">
        <v>1500</v>
      </c>
      <c r="R42" s="9">
        <f t="shared" si="8"/>
        <v>1267500</v>
      </c>
      <c r="S42" s="8">
        <v>1845</v>
      </c>
      <c r="T42" s="12">
        <v>1559025</v>
      </c>
    </row>
    <row r="43" spans="15:20" x14ac:dyDescent="0.3">
      <c r="O43" s="11" t="s">
        <v>90</v>
      </c>
      <c r="P43" s="16">
        <v>845</v>
      </c>
      <c r="Q43" s="24">
        <v>21600</v>
      </c>
      <c r="R43" s="9">
        <f t="shared" si="8"/>
        <v>18252000</v>
      </c>
      <c r="S43" s="8">
        <v>26568</v>
      </c>
      <c r="T43" s="12">
        <v>22449960</v>
      </c>
    </row>
    <row r="44" spans="15:20" x14ac:dyDescent="0.3">
      <c r="O44" s="11" t="s">
        <v>24</v>
      </c>
      <c r="P44" s="16">
        <v>845</v>
      </c>
      <c r="Q44" s="24">
        <v>1700</v>
      </c>
      <c r="R44" s="9">
        <f t="shared" si="8"/>
        <v>1436500</v>
      </c>
      <c r="S44" s="8">
        <v>2091</v>
      </c>
      <c r="T44" s="12">
        <v>1766895</v>
      </c>
    </row>
    <row r="45" spans="15:20" x14ac:dyDescent="0.3">
      <c r="O45" s="11" t="s">
        <v>91</v>
      </c>
      <c r="P45" s="16">
        <v>845</v>
      </c>
      <c r="Q45" s="24" t="s">
        <v>31</v>
      </c>
      <c r="R45" s="24" t="s">
        <v>31</v>
      </c>
      <c r="S45" s="24">
        <v>26568</v>
      </c>
      <c r="T45" s="12">
        <v>22449960</v>
      </c>
    </row>
    <row r="46" spans="15:20" x14ac:dyDescent="0.3">
      <c r="O46" s="11" t="s">
        <v>92</v>
      </c>
      <c r="P46" s="16">
        <v>845</v>
      </c>
      <c r="Q46" s="24" t="s">
        <v>31</v>
      </c>
      <c r="R46" s="24" t="s">
        <v>31</v>
      </c>
      <c r="S46" s="24">
        <v>29520</v>
      </c>
      <c r="T46" s="12">
        <v>24944400</v>
      </c>
    </row>
    <row r="47" spans="15:20" x14ac:dyDescent="0.3">
      <c r="O47" s="11" t="s">
        <v>93</v>
      </c>
      <c r="P47" s="16">
        <v>845</v>
      </c>
      <c r="Q47" s="24">
        <v>12600</v>
      </c>
      <c r="R47" s="9">
        <f t="shared" si="8"/>
        <v>10647000</v>
      </c>
      <c r="S47" s="8">
        <v>15498</v>
      </c>
      <c r="T47" s="12">
        <v>13095810</v>
      </c>
    </row>
    <row r="48" spans="15:20" x14ac:dyDescent="0.3">
      <c r="O48" s="32" t="s">
        <v>22</v>
      </c>
      <c r="P48" s="18">
        <v>845</v>
      </c>
      <c r="Q48" s="20">
        <f>SUM(Q39:Q47)</f>
        <v>428000</v>
      </c>
      <c r="R48" s="19">
        <f t="shared" si="8"/>
        <v>361660000</v>
      </c>
      <c r="S48" s="20">
        <v>582528</v>
      </c>
      <c r="T48" s="204">
        <v>492236160</v>
      </c>
    </row>
    <row r="49" spans="13:20" ht="28.8" x14ac:dyDescent="0.3">
      <c r="O49" s="32" t="s">
        <v>32</v>
      </c>
      <c r="P49" s="23" t="s">
        <v>26</v>
      </c>
      <c r="Q49" s="22" t="s">
        <v>27</v>
      </c>
      <c r="R49" s="23" t="s">
        <v>28</v>
      </c>
      <c r="S49" s="22" t="s">
        <v>27</v>
      </c>
      <c r="T49" s="203" t="s">
        <v>28</v>
      </c>
    </row>
    <row r="50" spans="13:20" ht="15" thickBot="1" x14ac:dyDescent="0.35">
      <c r="O50" s="238" t="s">
        <v>88</v>
      </c>
      <c r="P50" s="234">
        <v>28.7</v>
      </c>
      <c r="Q50" s="234">
        <v>86400</v>
      </c>
      <c r="R50" s="236">
        <f t="shared" si="8"/>
        <v>2479680</v>
      </c>
      <c r="S50" s="8">
        <v>106272</v>
      </c>
      <c r="T50" s="204">
        <v>3050006.4</v>
      </c>
    </row>
    <row r="51" spans="13:20" ht="18.600000000000001" thickBot="1" x14ac:dyDescent="0.4">
      <c r="M51">
        <f>T51/R51</f>
        <v>1.2795301516505284</v>
      </c>
      <c r="O51" s="298" t="s">
        <v>117</v>
      </c>
      <c r="P51" s="299"/>
      <c r="Q51" s="235"/>
      <c r="R51" s="237">
        <f>+R50+R48+R37</f>
        <v>956878960</v>
      </c>
      <c r="S51" s="230"/>
      <c r="T51" s="206">
        <v>1224355480.8</v>
      </c>
    </row>
  </sheetData>
  <mergeCells count="15">
    <mergeCell ref="B18:D18"/>
    <mergeCell ref="B19:F19"/>
    <mergeCell ref="B6:K6"/>
    <mergeCell ref="D7:G7"/>
    <mergeCell ref="B7:C7"/>
    <mergeCell ref="B9:B16"/>
    <mergeCell ref="B17:C17"/>
    <mergeCell ref="S22:T22"/>
    <mergeCell ref="O22:P22"/>
    <mergeCell ref="O51:P51"/>
    <mergeCell ref="O31:T31"/>
    <mergeCell ref="O32:P32"/>
    <mergeCell ref="Q32:R32"/>
    <mergeCell ref="S32:T32"/>
    <mergeCell ref="Q22:R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F07B-C8D6-4625-88E0-C4F1A65093DC}">
  <dimension ref="B1:N22"/>
  <sheetViews>
    <sheetView workbookViewId="0">
      <selection activeCell="L6" sqref="L6:N15"/>
    </sheetView>
  </sheetViews>
  <sheetFormatPr defaultColWidth="11.5546875" defaultRowHeight="14.4" x14ac:dyDescent="0.3"/>
  <cols>
    <col min="1" max="1" width="4.109375" customWidth="1"/>
    <col min="2" max="2" width="28.109375" customWidth="1"/>
    <col min="3" max="14" width="7.6640625" customWidth="1"/>
  </cols>
  <sheetData>
    <row r="1" spans="2:14" x14ac:dyDescent="0.3">
      <c r="B1" s="13" t="s">
        <v>69</v>
      </c>
      <c r="C1" s="310">
        <f>+PROPUESTA!C81</f>
        <v>1963000000</v>
      </c>
      <c r="D1" s="310"/>
    </row>
    <row r="3" spans="2:14" x14ac:dyDescent="0.3">
      <c r="B3" t="s">
        <v>150</v>
      </c>
    </row>
    <row r="5" spans="2:14" x14ac:dyDescent="0.3">
      <c r="B5" s="15" t="s">
        <v>68</v>
      </c>
      <c r="C5" s="6">
        <v>0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</row>
    <row r="6" spans="2:14" ht="24" customHeight="1" x14ac:dyDescent="0.3">
      <c r="B6" s="15" t="s">
        <v>138</v>
      </c>
      <c r="C6" s="67"/>
      <c r="D6" s="67"/>
      <c r="E6" s="67"/>
      <c r="F6" s="6"/>
      <c r="G6" s="6"/>
      <c r="H6" s="6"/>
      <c r="I6" s="6"/>
      <c r="J6" s="6"/>
      <c r="K6" s="6"/>
      <c r="L6" s="6"/>
      <c r="M6" s="6"/>
      <c r="N6" s="6"/>
    </row>
    <row r="7" spans="2:14" x14ac:dyDescent="0.3">
      <c r="B7" s="15" t="s">
        <v>139</v>
      </c>
      <c r="C7" s="6"/>
      <c r="D7" s="6"/>
      <c r="E7" s="6"/>
      <c r="F7" s="67"/>
      <c r="G7" s="67"/>
      <c r="H7" s="67"/>
      <c r="I7" s="6"/>
      <c r="J7" s="6"/>
      <c r="K7" s="6"/>
      <c r="L7" s="6"/>
      <c r="M7" s="6"/>
      <c r="N7" s="6"/>
    </row>
    <row r="8" spans="2:14" ht="29.25" customHeight="1" x14ac:dyDescent="0.3">
      <c r="B8" s="15" t="s">
        <v>140</v>
      </c>
      <c r="C8" s="6"/>
      <c r="D8" s="6"/>
      <c r="E8" s="6"/>
      <c r="F8" s="6"/>
      <c r="G8" s="6"/>
      <c r="H8" s="6"/>
      <c r="I8" s="67"/>
      <c r="J8" s="67"/>
      <c r="K8" s="67"/>
      <c r="L8" s="6"/>
      <c r="M8" s="6"/>
      <c r="N8" s="6"/>
    </row>
    <row r="9" spans="2:14" ht="24" customHeight="1" x14ac:dyDescent="0.3">
      <c r="B9" s="15" t="s">
        <v>141</v>
      </c>
      <c r="C9" s="6"/>
      <c r="D9" s="6"/>
      <c r="E9" s="6"/>
      <c r="F9" s="6"/>
      <c r="G9" s="6"/>
      <c r="H9" s="6"/>
      <c r="I9" s="6"/>
      <c r="J9" s="6"/>
      <c r="K9" s="6"/>
      <c r="L9" s="67"/>
      <c r="M9" s="67"/>
      <c r="N9" s="67"/>
    </row>
    <row r="10" spans="2:14" x14ac:dyDescent="0.3">
      <c r="B10" s="15" t="s">
        <v>142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4" x14ac:dyDescent="0.3">
      <c r="B11" s="15" t="s">
        <v>143</v>
      </c>
      <c r="C11" s="68">
        <v>0.2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4" x14ac:dyDescent="0.3">
      <c r="B12" s="15" t="s">
        <v>145</v>
      </c>
      <c r="C12" s="6"/>
      <c r="D12" s="6"/>
      <c r="E12" s="6"/>
      <c r="F12" s="68">
        <v>0.2</v>
      </c>
      <c r="G12" s="6"/>
      <c r="H12" s="6"/>
      <c r="I12" s="6"/>
      <c r="J12" s="6"/>
      <c r="K12" s="6"/>
      <c r="L12" s="6"/>
      <c r="M12" s="6"/>
      <c r="N12" s="6"/>
    </row>
    <row r="13" spans="2:14" x14ac:dyDescent="0.3">
      <c r="B13" s="15" t="s">
        <v>146</v>
      </c>
      <c r="C13" s="6"/>
      <c r="D13" s="6"/>
      <c r="E13" s="6"/>
      <c r="F13" s="6"/>
      <c r="G13" s="6"/>
      <c r="H13" s="68">
        <v>0.2</v>
      </c>
      <c r="I13" s="6"/>
      <c r="J13" s="6"/>
      <c r="K13" s="6"/>
      <c r="L13" s="6"/>
      <c r="M13" s="6"/>
      <c r="N13" s="6"/>
    </row>
    <row r="14" spans="2:14" x14ac:dyDescent="0.3">
      <c r="B14" s="15" t="s">
        <v>147</v>
      </c>
      <c r="C14" s="6"/>
      <c r="D14" s="6"/>
      <c r="E14" s="6"/>
      <c r="F14" s="6"/>
      <c r="G14" s="6"/>
      <c r="H14" s="6"/>
      <c r="I14" s="6"/>
      <c r="J14" s="6"/>
      <c r="K14" s="68">
        <v>0.3</v>
      </c>
      <c r="L14" s="6"/>
      <c r="M14" s="6"/>
      <c r="N14" s="6"/>
    </row>
    <row r="15" spans="2:14" x14ac:dyDescent="0.3">
      <c r="B15" s="15" t="s">
        <v>144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8">
        <v>0.1</v>
      </c>
    </row>
    <row r="16" spans="2:14" hidden="1" x14ac:dyDescent="0.3">
      <c r="B16" s="15" t="s">
        <v>41</v>
      </c>
      <c r="C16" s="9">
        <f>+C1*$C$11</f>
        <v>392600000</v>
      </c>
      <c r="D16" s="6"/>
      <c r="E16" s="6"/>
      <c r="F16" s="9">
        <f>+C1*F12</f>
        <v>392600000</v>
      </c>
      <c r="G16" s="6"/>
      <c r="H16" s="9">
        <f>+C1*H13</f>
        <v>392600000</v>
      </c>
      <c r="I16" s="6"/>
      <c r="J16" s="6"/>
      <c r="K16" s="9">
        <f>+C1*K14</f>
        <v>588900000</v>
      </c>
      <c r="L16" s="6"/>
      <c r="M16" s="6"/>
      <c r="N16" s="9">
        <f>+C1*N15</f>
        <v>196300000</v>
      </c>
    </row>
    <row r="18" spans="2:13" x14ac:dyDescent="0.3">
      <c r="B18" s="15" t="s">
        <v>143</v>
      </c>
      <c r="C18" s="309">
        <f>+C16</f>
        <v>392600000</v>
      </c>
      <c r="D18" s="309"/>
    </row>
    <row r="19" spans="2:13" x14ac:dyDescent="0.3">
      <c r="B19" s="15" t="s">
        <v>145</v>
      </c>
      <c r="C19" s="309">
        <f>+F16</f>
        <v>392600000</v>
      </c>
      <c r="D19" s="309"/>
    </row>
    <row r="20" spans="2:13" x14ac:dyDescent="0.3">
      <c r="B20" s="15" t="s">
        <v>146</v>
      </c>
      <c r="C20" s="309">
        <f>+H16</f>
        <v>392600000</v>
      </c>
      <c r="D20" s="309"/>
    </row>
    <row r="21" spans="2:13" x14ac:dyDescent="0.3">
      <c r="B21" s="15" t="s">
        <v>147</v>
      </c>
      <c r="C21" s="309">
        <f>+K16</f>
        <v>588900000</v>
      </c>
      <c r="D21" s="309"/>
      <c r="M21" s="2"/>
    </row>
    <row r="22" spans="2:13" x14ac:dyDescent="0.3">
      <c r="B22" s="15" t="s">
        <v>144</v>
      </c>
      <c r="C22" s="309">
        <f>+N16</f>
        <v>196300000</v>
      </c>
      <c r="D22" s="309"/>
    </row>
  </sheetData>
  <mergeCells count="6">
    <mergeCell ref="C22:D22"/>
    <mergeCell ref="C1:D1"/>
    <mergeCell ref="C18:D18"/>
    <mergeCell ref="C19:D19"/>
    <mergeCell ref="C20:D20"/>
    <mergeCell ref="C21:D21"/>
  </mergeCells>
  <pageMargins left="0.25" right="0.25" top="0.75" bottom="0.75" header="0.3" footer="0.3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FA1A-762C-454E-8EB2-63C69813CEF7}">
  <dimension ref="B1:AB32"/>
  <sheetViews>
    <sheetView zoomScale="90" zoomScaleNormal="90" workbookViewId="0">
      <pane xSplit="3" ySplit="7" topLeftCell="M19" activePane="bottomRight" state="frozen"/>
      <selection pane="topRight" activeCell="C1" sqref="C1"/>
      <selection pane="bottomLeft" activeCell="A7" sqref="A7"/>
      <selection pane="bottomRight" activeCell="D30" sqref="D30"/>
    </sheetView>
  </sheetViews>
  <sheetFormatPr defaultColWidth="11.5546875" defaultRowHeight="14.4" x14ac:dyDescent="0.3"/>
  <cols>
    <col min="2" max="2" width="9.5546875" customWidth="1"/>
    <col min="3" max="3" width="25.44140625" customWidth="1"/>
    <col min="4" max="4" width="19.109375" customWidth="1"/>
    <col min="5" max="5" width="20.33203125" customWidth="1"/>
    <col min="6" max="6" width="19.33203125" customWidth="1"/>
    <col min="7" max="7" width="20.6640625" customWidth="1"/>
    <col min="8" max="8" width="21" customWidth="1"/>
    <col min="9" max="9" width="21.33203125" customWidth="1"/>
    <col min="10" max="10" width="19.88671875" customWidth="1"/>
    <col min="11" max="11" width="20.109375" customWidth="1"/>
    <col min="12" max="12" width="19.5546875" customWidth="1"/>
    <col min="13" max="16" width="19.33203125" bestFit="1" customWidth="1"/>
    <col min="17" max="17" width="18.33203125" customWidth="1"/>
    <col min="18" max="18" width="18.6640625" customWidth="1"/>
    <col min="19" max="19" width="18.44140625" customWidth="1"/>
    <col min="20" max="20" width="17.44140625" customWidth="1"/>
    <col min="21" max="21" width="18.44140625" customWidth="1"/>
    <col min="22" max="22" width="18" customWidth="1"/>
    <col min="23" max="23" width="20.44140625" customWidth="1"/>
    <col min="24" max="24" width="21.44140625" customWidth="1"/>
    <col min="25" max="28" width="17.44140625" bestFit="1" customWidth="1"/>
  </cols>
  <sheetData>
    <row r="1" spans="2:28" x14ac:dyDescent="0.3">
      <c r="D1" s="311" t="s">
        <v>149</v>
      </c>
      <c r="E1" s="311"/>
      <c r="F1" s="311"/>
      <c r="G1" s="311"/>
      <c r="J1" s="311" t="s">
        <v>149</v>
      </c>
      <c r="K1" s="311"/>
      <c r="L1" s="311"/>
      <c r="M1" s="311"/>
      <c r="P1" s="311" t="s">
        <v>149</v>
      </c>
      <c r="Q1" s="311"/>
      <c r="R1" s="311"/>
      <c r="S1" s="311"/>
      <c r="W1" s="311" t="s">
        <v>149</v>
      </c>
      <c r="X1" s="311"/>
      <c r="Y1" s="311"/>
      <c r="Z1" s="311"/>
    </row>
    <row r="2" spans="2:28" ht="15" hidden="1" customHeight="1" x14ac:dyDescent="0.3">
      <c r="C2" s="1" t="s">
        <v>2</v>
      </c>
      <c r="D2" s="2">
        <v>30800</v>
      </c>
      <c r="J2" s="70">
        <v>0.5</v>
      </c>
      <c r="M2" s="274" t="s">
        <v>84</v>
      </c>
      <c r="N2" s="274"/>
      <c r="O2" s="274"/>
      <c r="W2" s="97"/>
    </row>
    <row r="3" spans="2:28" ht="29.25" customHeight="1" x14ac:dyDescent="0.3">
      <c r="C3" s="1"/>
      <c r="D3" s="2"/>
      <c r="J3" s="314" t="s">
        <v>156</v>
      </c>
      <c r="K3" s="314"/>
      <c r="M3" s="107" t="s">
        <v>153</v>
      </c>
      <c r="N3" s="107" t="s">
        <v>154</v>
      </c>
      <c r="O3" s="314"/>
      <c r="P3" s="314"/>
      <c r="W3" s="108"/>
      <c r="Z3" s="108" t="s">
        <v>157</v>
      </c>
    </row>
    <row r="4" spans="2:28" x14ac:dyDescent="0.3">
      <c r="B4" s="267" t="s">
        <v>3</v>
      </c>
      <c r="C4" s="267"/>
      <c r="D4" s="6">
        <v>0</v>
      </c>
      <c r="E4" s="6">
        <v>1</v>
      </c>
      <c r="F4" s="6">
        <v>2</v>
      </c>
      <c r="G4" s="15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  <c r="P4" s="6">
        <v>12</v>
      </c>
      <c r="Q4" s="6">
        <v>13</v>
      </c>
      <c r="R4" s="6">
        <v>14</v>
      </c>
      <c r="S4" s="6">
        <v>15</v>
      </c>
      <c r="T4" s="6">
        <v>16</v>
      </c>
      <c r="U4" s="6">
        <v>17</v>
      </c>
      <c r="V4" s="6">
        <v>18</v>
      </c>
      <c r="W4" s="6">
        <v>19</v>
      </c>
      <c r="X4" s="6">
        <v>20</v>
      </c>
      <c r="Y4" s="6">
        <v>21</v>
      </c>
      <c r="Z4" s="130">
        <v>22</v>
      </c>
      <c r="AA4" s="109">
        <v>23</v>
      </c>
      <c r="AB4" s="109">
        <v>24</v>
      </c>
    </row>
    <row r="5" spans="2:28" ht="29.25" customHeight="1" x14ac:dyDescent="0.3">
      <c r="B5" s="318" t="s">
        <v>155</v>
      </c>
      <c r="C5" s="319"/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3">
        <v>0.5</v>
      </c>
      <c r="K5" s="43">
        <v>0.5</v>
      </c>
      <c r="L5" s="43">
        <v>0.5</v>
      </c>
      <c r="M5" s="43">
        <v>0.9</v>
      </c>
      <c r="N5" s="43">
        <v>1.1000000000000001</v>
      </c>
      <c r="O5" s="43">
        <v>1.22</v>
      </c>
      <c r="P5" s="53">
        <f>1+'POSTERIOR PROYECTO'!$F$11</f>
        <v>1.2483472853688029</v>
      </c>
      <c r="Q5" s="53">
        <f>1+'POSTERIOR PROYECTO'!$F$11</f>
        <v>1.2483472853688029</v>
      </c>
      <c r="R5" s="53">
        <f>1+'POSTERIOR PROYECTO'!$F$11</f>
        <v>1.2483472853688029</v>
      </c>
      <c r="S5" s="53">
        <f>1+'POSTERIOR PROYECTO'!$F$11</f>
        <v>1.2483472853688029</v>
      </c>
      <c r="T5" s="53">
        <f>1+'POSTERIOR PROYECTO'!$F$11</f>
        <v>1.2483472853688029</v>
      </c>
      <c r="U5" s="53">
        <f>1+'POSTERIOR PROYECTO'!$F$11</f>
        <v>1.2483472853688029</v>
      </c>
      <c r="V5" s="53">
        <f>1+'POSTERIOR PROYECTO'!$F$11</f>
        <v>1.2483472853688029</v>
      </c>
      <c r="W5" s="53">
        <f>1+'POSTERIOR PROYECTO'!$F$11</f>
        <v>1.2483472853688029</v>
      </c>
      <c r="X5" s="53">
        <f>1+'POSTERIOR PROYECTO'!$F$11</f>
        <v>1.2483472853688029</v>
      </c>
      <c r="Y5" s="53">
        <f>1+'POSTERIOR PROYECTO'!$F$11</f>
        <v>1.2483472853688029</v>
      </c>
      <c r="Z5" s="53">
        <f>1+'POSTERIOR PROYECTO'!$F$11</f>
        <v>1.2483472853688029</v>
      </c>
      <c r="AA5" s="53">
        <f>1+'POSTERIOR PROYECTO'!$F$11</f>
        <v>1.2483472853688029</v>
      </c>
      <c r="AB5" s="53">
        <f>1+'POSTERIOR PROYECTO'!$F$11</f>
        <v>1.2483472853688029</v>
      </c>
    </row>
    <row r="6" spans="2:28" x14ac:dyDescent="0.3">
      <c r="B6" s="317" t="s">
        <v>0</v>
      </c>
      <c r="C6" s="317"/>
      <c r="D6" s="27">
        <f>+INT('POSTERIOR PROYECTO'!$D$11)*D5</f>
        <v>190540</v>
      </c>
      <c r="E6" s="27">
        <f>+INT('POSTERIOR PROYECTO'!$D$11)*E5</f>
        <v>190540</v>
      </c>
      <c r="F6" s="27">
        <f>+INT('POSTERIOR PROYECTO'!$D$11)*F5</f>
        <v>190540</v>
      </c>
      <c r="G6" s="27">
        <f>+INT('POSTERIOR PROYECTO'!$D$11)*G5</f>
        <v>190540</v>
      </c>
      <c r="H6" s="27">
        <f>+INT('POSTERIOR PROYECTO'!$D$11)*H5</f>
        <v>190540</v>
      </c>
      <c r="I6" s="27">
        <f>+INT('POSTERIOR PROYECTO'!$D$11)*I5</f>
        <v>190540</v>
      </c>
      <c r="J6" s="27">
        <f>+INT('POSTERIOR PROYECTO'!$D$11)*J5</f>
        <v>95270</v>
      </c>
      <c r="K6" s="27">
        <f>+INT('POSTERIOR PROYECTO'!$D$11)*K5</f>
        <v>95270</v>
      </c>
      <c r="L6" s="27">
        <f>+INT('POSTERIOR PROYECTO'!$D$11)*L5</f>
        <v>95270</v>
      </c>
      <c r="M6" s="27">
        <f>+INT('POSTERIOR PROYECTO'!$D$11)*M5</f>
        <v>171486</v>
      </c>
      <c r="N6" s="27">
        <f>+INT('POSTERIOR PROYECTO'!$D$11)*N5</f>
        <v>209594.00000000003</v>
      </c>
      <c r="O6" s="27">
        <f>+INT('POSTERIOR PROYECTO'!$D$11)*O5</f>
        <v>232458.8</v>
      </c>
      <c r="P6" s="27">
        <f>+INT('POSTERIOR PROYECTO'!$D$11)*P5</f>
        <v>237860.09175417171</v>
      </c>
      <c r="Q6" s="27">
        <f>+INT('POSTERIOR PROYECTO'!$D$11)*Q5</f>
        <v>237860.09175417171</v>
      </c>
      <c r="R6" s="27">
        <f>+INT('POSTERIOR PROYECTO'!$D$11)*R5</f>
        <v>237860.09175417171</v>
      </c>
      <c r="S6" s="27">
        <f>+INT('POSTERIOR PROYECTO'!$D$11)*S5</f>
        <v>237860.09175417171</v>
      </c>
      <c r="T6" s="27">
        <f>+INT('POSTERIOR PROYECTO'!$D$11)*T5</f>
        <v>237860.09175417171</v>
      </c>
      <c r="U6" s="27">
        <f>+INT('POSTERIOR PROYECTO'!$D$11)*U5</f>
        <v>237860.09175417171</v>
      </c>
      <c r="V6" s="27">
        <f>+INT('POSTERIOR PROYECTO'!$D$11)*V5</f>
        <v>237860.09175417171</v>
      </c>
      <c r="W6" s="27">
        <f>+INT('POSTERIOR PROYECTO'!$D$11)*W5</f>
        <v>237860.09175417171</v>
      </c>
      <c r="X6" s="27">
        <f>+INT('POSTERIOR PROYECTO'!$D$11)*X5</f>
        <v>237860.09175417171</v>
      </c>
      <c r="Y6" s="27">
        <f>+INT('POSTERIOR PROYECTO'!$D$11)*Y5</f>
        <v>237860.09175417171</v>
      </c>
      <c r="Z6" s="27">
        <f>+INT('POSTERIOR PROYECTO'!$D$11)*Z5</f>
        <v>237860.09175417171</v>
      </c>
      <c r="AA6" s="27">
        <f>+INT('POSTERIOR PROYECTO'!$D$11)*AA5</f>
        <v>237860.09175417171</v>
      </c>
      <c r="AB6" s="27">
        <f>+INT('POSTERIOR PROYECTO'!$D$11)*AB5</f>
        <v>237860.09175417171</v>
      </c>
    </row>
    <row r="7" spans="2:28" x14ac:dyDescent="0.3">
      <c r="B7" s="316" t="s">
        <v>1</v>
      </c>
      <c r="C7" s="316"/>
      <c r="D7" s="93">
        <f>'POSTERIOR PROYECTO'!$C$76*D5</f>
        <v>5977264895.999999</v>
      </c>
      <c r="E7" s="93">
        <f>'POSTERIOR PROYECTO'!$C$76*E5</f>
        <v>5977264895.999999</v>
      </c>
      <c r="F7" s="93">
        <f>'POSTERIOR PROYECTO'!$C$76*F5</f>
        <v>5977264895.999999</v>
      </c>
      <c r="G7" s="93">
        <f>'POSTERIOR PROYECTO'!$C$76*G5</f>
        <v>5977264895.999999</v>
      </c>
      <c r="H7" s="93">
        <f>'POSTERIOR PROYECTO'!$C$76*H5</f>
        <v>5977264895.999999</v>
      </c>
      <c r="I7" s="93">
        <f>'POSTERIOR PROYECTO'!$C$76*I5</f>
        <v>5977264895.999999</v>
      </c>
      <c r="J7" s="93">
        <f>'POSTERIOR PROYECTO'!$C$76*J5</f>
        <v>2988632447.9999995</v>
      </c>
      <c r="K7" s="93">
        <f>'POSTERIOR PROYECTO'!$C$76*K5</f>
        <v>2988632447.9999995</v>
      </c>
      <c r="L7" s="93">
        <f>'POSTERIOR PROYECTO'!$C$76*L5</f>
        <v>2988632447.9999995</v>
      </c>
      <c r="M7" s="93">
        <f>'POSTERIOR PROYECTO'!$C$76*M5</f>
        <v>5379538406.3999996</v>
      </c>
      <c r="N7" s="93">
        <f>'POSTERIOR PROYECTO'!$C$76*N5</f>
        <v>6574991385.5999994</v>
      </c>
      <c r="O7" s="93">
        <f>'POSTERIOR PROYECTO'!$C$76*O5</f>
        <v>7292263173.1199989</v>
      </c>
      <c r="P7" s="93">
        <f>'POSTERIOR PROYECTO'!D76</f>
        <v>7461702406.85184</v>
      </c>
      <c r="Q7" s="93">
        <f>$P7</f>
        <v>7461702406.85184</v>
      </c>
      <c r="R7" s="93">
        <f t="shared" ref="R7:AB8" si="0">$P7</f>
        <v>7461702406.85184</v>
      </c>
      <c r="S7" s="93">
        <f t="shared" si="0"/>
        <v>7461702406.85184</v>
      </c>
      <c r="T7" s="93">
        <f t="shared" si="0"/>
        <v>7461702406.85184</v>
      </c>
      <c r="U7" s="93">
        <f t="shared" si="0"/>
        <v>7461702406.85184</v>
      </c>
      <c r="V7" s="93">
        <f t="shared" si="0"/>
        <v>7461702406.85184</v>
      </c>
      <c r="W7" s="93">
        <f t="shared" si="0"/>
        <v>7461702406.85184</v>
      </c>
      <c r="X7" s="93">
        <f t="shared" si="0"/>
        <v>7461702406.85184</v>
      </c>
      <c r="Y7" s="93">
        <f t="shared" si="0"/>
        <v>7461702406.85184</v>
      </c>
      <c r="Z7" s="93">
        <f t="shared" si="0"/>
        <v>7461702406.85184</v>
      </c>
      <c r="AA7" s="93">
        <f t="shared" si="0"/>
        <v>7461702406.85184</v>
      </c>
      <c r="AB7" s="93">
        <f t="shared" si="0"/>
        <v>7461702406.85184</v>
      </c>
    </row>
    <row r="8" spans="2:28" x14ac:dyDescent="0.3">
      <c r="B8" s="315" t="s">
        <v>14</v>
      </c>
      <c r="C8" s="6" t="s">
        <v>7</v>
      </c>
      <c r="D8" s="9">
        <f>+ACTUAL!C83</f>
        <v>2339838299</v>
      </c>
      <c r="E8" s="9">
        <f t="shared" ref="E8:F13" si="1">+D8</f>
        <v>2339838299</v>
      </c>
      <c r="F8" s="9">
        <f t="shared" si="1"/>
        <v>2339838299</v>
      </c>
      <c r="G8" s="9">
        <f t="shared" ref="G8:I8" si="2">+F8</f>
        <v>2339838299</v>
      </c>
      <c r="H8" s="9">
        <f t="shared" si="2"/>
        <v>2339838299</v>
      </c>
      <c r="I8" s="9">
        <f t="shared" si="2"/>
        <v>2339838299</v>
      </c>
      <c r="J8" s="9">
        <f>+I8/2</f>
        <v>1169919149.5</v>
      </c>
      <c r="K8" s="9">
        <f t="shared" ref="K8:L8" si="3">+J8</f>
        <v>1169919149.5</v>
      </c>
      <c r="L8" s="9">
        <f t="shared" si="3"/>
        <v>1169919149.5</v>
      </c>
      <c r="M8" s="9">
        <f>+I8*0.9</f>
        <v>2105854469.1000001</v>
      </c>
      <c r="N8" s="9">
        <f>+I8*1.1</f>
        <v>2573822128.9000001</v>
      </c>
      <c r="O8" s="9">
        <f>+'POSTERIOR PROYECTO'!$D80</f>
        <v>2896623122.1700001</v>
      </c>
      <c r="P8" s="9">
        <f>+'POSTERIOR PROYECTO'!$D80</f>
        <v>2896623122.1700001</v>
      </c>
      <c r="Q8" s="9">
        <f>$P8</f>
        <v>2896623122.1700001</v>
      </c>
      <c r="R8" s="9">
        <f t="shared" si="0"/>
        <v>2896623122.1700001</v>
      </c>
      <c r="S8" s="9">
        <f t="shared" si="0"/>
        <v>2896623122.1700001</v>
      </c>
      <c r="T8" s="9">
        <f t="shared" si="0"/>
        <v>2896623122.1700001</v>
      </c>
      <c r="U8" s="9">
        <f t="shared" si="0"/>
        <v>2896623122.1700001</v>
      </c>
      <c r="V8" s="9">
        <f t="shared" si="0"/>
        <v>2896623122.1700001</v>
      </c>
      <c r="W8" s="9">
        <f t="shared" si="0"/>
        <v>2896623122.1700001</v>
      </c>
      <c r="X8" s="9">
        <f t="shared" si="0"/>
        <v>2896623122.1700001</v>
      </c>
      <c r="Y8" s="9">
        <f t="shared" si="0"/>
        <v>2896623122.1700001</v>
      </c>
      <c r="Z8" s="9">
        <f t="shared" si="0"/>
        <v>2896623122.1700001</v>
      </c>
      <c r="AA8" s="9">
        <f t="shared" si="0"/>
        <v>2896623122.1700001</v>
      </c>
      <c r="AB8" s="9">
        <f t="shared" si="0"/>
        <v>2896623122.1700001</v>
      </c>
    </row>
    <row r="9" spans="2:28" x14ac:dyDescent="0.3">
      <c r="B9" s="315"/>
      <c r="C9" s="6" t="s">
        <v>8</v>
      </c>
      <c r="D9" s="9">
        <f>+ACTUAL!C84</f>
        <v>956878960</v>
      </c>
      <c r="E9" s="9">
        <f t="shared" si="1"/>
        <v>956878960</v>
      </c>
      <c r="F9" s="9">
        <f t="shared" si="1"/>
        <v>956878960</v>
      </c>
      <c r="G9" s="9">
        <f t="shared" ref="G9:I9" si="4">+F9</f>
        <v>956878960</v>
      </c>
      <c r="H9" s="9">
        <f t="shared" si="4"/>
        <v>956878960</v>
      </c>
      <c r="I9" s="9">
        <f t="shared" si="4"/>
        <v>956878960</v>
      </c>
      <c r="J9" s="9">
        <f>+I9*0.7</f>
        <v>669815272</v>
      </c>
      <c r="K9" s="9">
        <f t="shared" ref="K9:O13" si="5">+J9</f>
        <v>669815272</v>
      </c>
      <c r="L9" s="9">
        <f t="shared" si="5"/>
        <v>669815272</v>
      </c>
      <c r="M9" s="9">
        <f>+I9*0.9</f>
        <v>861191064</v>
      </c>
      <c r="N9" s="9">
        <f>+I9*1.1</f>
        <v>1052566856.0000001</v>
      </c>
      <c r="O9" s="9">
        <f>+'POSTERIOR PROYECTO'!$D81</f>
        <v>1224355480.8</v>
      </c>
      <c r="P9" s="9">
        <f>+'POSTERIOR PROYECTO'!$D81</f>
        <v>1224355480.8</v>
      </c>
      <c r="Q9" s="9">
        <f t="shared" ref="Q9:AB10" si="6">$P9</f>
        <v>1224355480.8</v>
      </c>
      <c r="R9" s="9">
        <f t="shared" si="6"/>
        <v>1224355480.8</v>
      </c>
      <c r="S9" s="9">
        <f t="shared" si="6"/>
        <v>1224355480.8</v>
      </c>
      <c r="T9" s="9">
        <f t="shared" si="6"/>
        <v>1224355480.8</v>
      </c>
      <c r="U9" s="9">
        <f t="shared" si="6"/>
        <v>1224355480.8</v>
      </c>
      <c r="V9" s="9">
        <f t="shared" si="6"/>
        <v>1224355480.8</v>
      </c>
      <c r="W9" s="9">
        <f t="shared" si="6"/>
        <v>1224355480.8</v>
      </c>
      <c r="X9" s="9">
        <f t="shared" si="6"/>
        <v>1224355480.8</v>
      </c>
      <c r="Y9" s="9">
        <f t="shared" si="6"/>
        <v>1224355480.8</v>
      </c>
      <c r="Z9" s="9">
        <f t="shared" si="6"/>
        <v>1224355480.8</v>
      </c>
      <c r="AA9" s="9">
        <f t="shared" si="6"/>
        <v>1224355480.8</v>
      </c>
      <c r="AB9" s="9">
        <f t="shared" si="6"/>
        <v>1224355480.8</v>
      </c>
    </row>
    <row r="10" spans="2:28" x14ac:dyDescent="0.3">
      <c r="B10" s="315"/>
      <c r="C10" s="6" t="s">
        <v>15</v>
      </c>
      <c r="D10" s="9">
        <f>+ACTUAL!C85</f>
        <v>244296000</v>
      </c>
      <c r="E10" s="9">
        <f t="shared" si="1"/>
        <v>244296000</v>
      </c>
      <c r="F10" s="9">
        <f t="shared" si="1"/>
        <v>244296000</v>
      </c>
      <c r="G10" s="9">
        <f t="shared" ref="G10:I10" si="7">+F10</f>
        <v>244296000</v>
      </c>
      <c r="H10" s="9">
        <f t="shared" si="7"/>
        <v>244296000</v>
      </c>
      <c r="I10" s="9">
        <f t="shared" si="7"/>
        <v>244296000</v>
      </c>
      <c r="J10" s="9">
        <f t="shared" ref="J10" si="8">+I10</f>
        <v>244296000</v>
      </c>
      <c r="K10" s="9">
        <f t="shared" si="5"/>
        <v>244296000</v>
      </c>
      <c r="L10" s="9">
        <f t="shared" si="5"/>
        <v>244296000</v>
      </c>
      <c r="M10" s="9">
        <f>+'POSTERIOR PROYECTO'!D82</f>
        <v>159432000</v>
      </c>
      <c r="N10" s="9">
        <f>+M10</f>
        <v>159432000</v>
      </c>
      <c r="O10" s="9">
        <f>+'POSTERIOR PROYECTO'!$D82</f>
        <v>159432000</v>
      </c>
      <c r="P10" s="9">
        <f>+'POSTERIOR PROYECTO'!$D82</f>
        <v>159432000</v>
      </c>
      <c r="Q10" s="9">
        <f t="shared" si="6"/>
        <v>159432000</v>
      </c>
      <c r="R10" s="9">
        <f t="shared" si="6"/>
        <v>159432000</v>
      </c>
      <c r="S10" s="9">
        <f t="shared" si="6"/>
        <v>159432000</v>
      </c>
      <c r="T10" s="9">
        <f t="shared" si="6"/>
        <v>159432000</v>
      </c>
      <c r="U10" s="9">
        <f t="shared" si="6"/>
        <v>159432000</v>
      </c>
      <c r="V10" s="9">
        <f t="shared" si="6"/>
        <v>159432000</v>
      </c>
      <c r="W10" s="9">
        <f t="shared" si="6"/>
        <v>159432000</v>
      </c>
      <c r="X10" s="9">
        <f t="shared" si="6"/>
        <v>159432000</v>
      </c>
      <c r="Y10" s="9">
        <f t="shared" si="6"/>
        <v>159432000</v>
      </c>
      <c r="Z10" s="9">
        <f t="shared" si="6"/>
        <v>159432000</v>
      </c>
      <c r="AA10" s="9">
        <f t="shared" si="6"/>
        <v>159432000</v>
      </c>
      <c r="AB10" s="9">
        <f t="shared" si="6"/>
        <v>159432000</v>
      </c>
    </row>
    <row r="11" spans="2:28" ht="28.8" x14ac:dyDescent="0.3">
      <c r="B11" s="315"/>
      <c r="C11" s="15" t="s">
        <v>10</v>
      </c>
      <c r="D11" s="9">
        <f>+ACTUAL!C86</f>
        <v>59772648.959999993</v>
      </c>
      <c r="E11" s="9">
        <f t="shared" si="1"/>
        <v>59772648.959999993</v>
      </c>
      <c r="F11" s="9">
        <f t="shared" si="1"/>
        <v>59772648.959999993</v>
      </c>
      <c r="G11" s="9">
        <f t="shared" ref="G11:I11" si="9">+F11</f>
        <v>59772648.959999993</v>
      </c>
      <c r="H11" s="9">
        <f t="shared" si="9"/>
        <v>59772648.959999993</v>
      </c>
      <c r="I11" s="9">
        <f t="shared" si="9"/>
        <v>59772648.959999993</v>
      </c>
      <c r="J11" s="9">
        <f t="shared" ref="J11" si="10">+I11</f>
        <v>59772648.959999993</v>
      </c>
      <c r="K11" s="9">
        <f t="shared" si="5"/>
        <v>59772648.959999993</v>
      </c>
      <c r="L11" s="9">
        <f t="shared" si="5"/>
        <v>59772648.959999993</v>
      </c>
      <c r="M11" s="9">
        <f>+'POSTERIOR PROYECTO'!D83</f>
        <v>74617024.0685184</v>
      </c>
      <c r="N11" s="9">
        <f>+M11</f>
        <v>74617024.0685184</v>
      </c>
      <c r="O11" s="9">
        <f>+'POSTERIOR PROYECTO'!D83</f>
        <v>74617024.0685184</v>
      </c>
      <c r="P11" s="9">
        <f>$O11</f>
        <v>74617024.0685184</v>
      </c>
      <c r="Q11" s="9">
        <f t="shared" ref="P11:AB13" si="11">$O11</f>
        <v>74617024.0685184</v>
      </c>
      <c r="R11" s="9">
        <f t="shared" si="11"/>
        <v>74617024.0685184</v>
      </c>
      <c r="S11" s="9">
        <f t="shared" si="11"/>
        <v>74617024.0685184</v>
      </c>
      <c r="T11" s="9">
        <f t="shared" si="11"/>
        <v>74617024.0685184</v>
      </c>
      <c r="U11" s="9">
        <f t="shared" si="11"/>
        <v>74617024.0685184</v>
      </c>
      <c r="V11" s="9">
        <f t="shared" si="11"/>
        <v>74617024.0685184</v>
      </c>
      <c r="W11" s="9">
        <f t="shared" si="11"/>
        <v>74617024.0685184</v>
      </c>
      <c r="X11" s="9">
        <f t="shared" si="11"/>
        <v>74617024.0685184</v>
      </c>
      <c r="Y11" s="9">
        <f t="shared" si="11"/>
        <v>74617024.0685184</v>
      </c>
      <c r="Z11" s="9">
        <f t="shared" si="11"/>
        <v>74617024.0685184</v>
      </c>
      <c r="AA11" s="9">
        <f t="shared" si="11"/>
        <v>74617024.0685184</v>
      </c>
      <c r="AB11" s="9">
        <f t="shared" si="11"/>
        <v>74617024.0685184</v>
      </c>
    </row>
    <row r="12" spans="2:28" x14ac:dyDescent="0.3">
      <c r="B12" s="315"/>
      <c r="C12" s="6" t="s">
        <v>11</v>
      </c>
      <c r="D12" s="9">
        <f t="shared" ref="D12:AB12" si="12">SUM(D8:D11)</f>
        <v>3600785907.96</v>
      </c>
      <c r="E12" s="9">
        <f t="shared" si="12"/>
        <v>3600785907.96</v>
      </c>
      <c r="F12" s="9">
        <f t="shared" si="12"/>
        <v>3600785907.96</v>
      </c>
      <c r="G12" s="9">
        <f t="shared" si="12"/>
        <v>3600785907.96</v>
      </c>
      <c r="H12" s="9">
        <f t="shared" si="12"/>
        <v>3600785907.96</v>
      </c>
      <c r="I12" s="9">
        <f t="shared" si="12"/>
        <v>3600785907.96</v>
      </c>
      <c r="J12" s="9">
        <f t="shared" si="12"/>
        <v>2143803070.46</v>
      </c>
      <c r="K12" s="9">
        <f t="shared" si="12"/>
        <v>2143803070.46</v>
      </c>
      <c r="L12" s="9">
        <f t="shared" si="12"/>
        <v>2143803070.46</v>
      </c>
      <c r="M12" s="9">
        <f t="shared" si="12"/>
        <v>3201094557.168519</v>
      </c>
      <c r="N12" s="9">
        <f t="shared" si="12"/>
        <v>3860438008.9685183</v>
      </c>
      <c r="O12" s="9">
        <f t="shared" si="12"/>
        <v>4355027627.0385189</v>
      </c>
      <c r="P12" s="9">
        <f t="shared" si="12"/>
        <v>4355027627.0385189</v>
      </c>
      <c r="Q12" s="9">
        <f t="shared" si="12"/>
        <v>4355027627.0385189</v>
      </c>
      <c r="R12" s="9">
        <f t="shared" si="12"/>
        <v>4355027627.0385189</v>
      </c>
      <c r="S12" s="9">
        <f t="shared" si="12"/>
        <v>4355027627.0385189</v>
      </c>
      <c r="T12" s="9">
        <f t="shared" si="12"/>
        <v>4355027627.0385189</v>
      </c>
      <c r="U12" s="9">
        <f t="shared" si="12"/>
        <v>4355027627.0385189</v>
      </c>
      <c r="V12" s="9">
        <f t="shared" si="12"/>
        <v>4355027627.0385189</v>
      </c>
      <c r="W12" s="9">
        <f t="shared" si="12"/>
        <v>4355027627.0385189</v>
      </c>
      <c r="X12" s="9">
        <f t="shared" si="12"/>
        <v>4355027627.0385189</v>
      </c>
      <c r="Y12" s="9">
        <f t="shared" si="12"/>
        <v>4355027627.0385189</v>
      </c>
      <c r="Z12" s="9">
        <f t="shared" si="12"/>
        <v>4355027627.0385189</v>
      </c>
      <c r="AA12" s="9">
        <f t="shared" si="12"/>
        <v>4355027627.0385189</v>
      </c>
      <c r="AB12" s="9">
        <f t="shared" si="12"/>
        <v>4355027627.0385189</v>
      </c>
    </row>
    <row r="13" spans="2:28" x14ac:dyDescent="0.3">
      <c r="B13" s="315"/>
      <c r="C13" s="6" t="s">
        <v>77</v>
      </c>
      <c r="D13" s="9">
        <f>+ACTUAL!C89</f>
        <v>911376502.04826117</v>
      </c>
      <c r="E13" s="9">
        <f t="shared" si="1"/>
        <v>911376502.04826117</v>
      </c>
      <c r="F13" s="9">
        <f t="shared" si="1"/>
        <v>911376502.04826117</v>
      </c>
      <c r="G13" s="9">
        <f t="shared" ref="G13:I13" si="13">+F13</f>
        <v>911376502.04826117</v>
      </c>
      <c r="H13" s="9">
        <f t="shared" si="13"/>
        <v>911376502.04826117</v>
      </c>
      <c r="I13" s="9">
        <f t="shared" si="13"/>
        <v>911376502.04826117</v>
      </c>
      <c r="J13" s="9">
        <f t="shared" ref="J13" si="14">+I13</f>
        <v>911376502.04826117</v>
      </c>
      <c r="K13" s="9">
        <f t="shared" si="5"/>
        <v>911376502.04826117</v>
      </c>
      <c r="L13" s="9">
        <f t="shared" si="5"/>
        <v>911376502.04826117</v>
      </c>
      <c r="M13" s="9">
        <f t="shared" si="5"/>
        <v>911376502.04826117</v>
      </c>
      <c r="N13" s="9">
        <f t="shared" si="5"/>
        <v>911376502.04826117</v>
      </c>
      <c r="O13" s="9">
        <f t="shared" si="5"/>
        <v>911376502.04826117</v>
      </c>
      <c r="P13" s="9">
        <f t="shared" si="11"/>
        <v>911376502.04826117</v>
      </c>
      <c r="Q13" s="9">
        <f t="shared" si="11"/>
        <v>911376502.04826117</v>
      </c>
      <c r="R13" s="9">
        <f t="shared" si="11"/>
        <v>911376502.04826117</v>
      </c>
      <c r="S13" s="9">
        <f t="shared" si="11"/>
        <v>911376502.04826117</v>
      </c>
      <c r="T13" s="9">
        <f t="shared" si="11"/>
        <v>911376502.04826117</v>
      </c>
      <c r="U13" s="9">
        <f t="shared" si="11"/>
        <v>911376502.04826117</v>
      </c>
      <c r="V13" s="9">
        <f t="shared" si="11"/>
        <v>911376502.04826117</v>
      </c>
      <c r="W13" s="9">
        <f t="shared" si="11"/>
        <v>911376502.04826117</v>
      </c>
      <c r="X13" s="9">
        <f t="shared" si="11"/>
        <v>911376502.04826117</v>
      </c>
      <c r="Y13" s="9">
        <f t="shared" si="11"/>
        <v>911376502.04826117</v>
      </c>
      <c r="Z13" s="9">
        <f t="shared" si="11"/>
        <v>911376502.04826117</v>
      </c>
      <c r="AA13" s="9">
        <f t="shared" si="11"/>
        <v>911376502.04826117</v>
      </c>
      <c r="AB13" s="9">
        <f t="shared" si="11"/>
        <v>911376502.04826117</v>
      </c>
    </row>
    <row r="14" spans="2:28" ht="17.399999999999999" x14ac:dyDescent="0.35">
      <c r="B14" s="315"/>
      <c r="C14" s="95" t="s">
        <v>13</v>
      </c>
      <c r="D14" s="96">
        <f>+D12+D13</f>
        <v>4512162410.0082607</v>
      </c>
      <c r="E14" s="96">
        <f t="shared" ref="E14:AB14" si="15">+E12+E13</f>
        <v>4512162410.0082607</v>
      </c>
      <c r="F14" s="96">
        <f t="shared" si="15"/>
        <v>4512162410.0082607</v>
      </c>
      <c r="G14" s="96">
        <f t="shared" si="15"/>
        <v>4512162410.0082607</v>
      </c>
      <c r="H14" s="96">
        <f t="shared" si="15"/>
        <v>4512162410.0082607</v>
      </c>
      <c r="I14" s="96">
        <f t="shared" si="15"/>
        <v>4512162410.0082607</v>
      </c>
      <c r="J14" s="96">
        <f t="shared" si="15"/>
        <v>3055179572.5082612</v>
      </c>
      <c r="K14" s="96">
        <f t="shared" si="15"/>
        <v>3055179572.5082612</v>
      </c>
      <c r="L14" s="96">
        <f t="shared" si="15"/>
        <v>3055179572.5082612</v>
      </c>
      <c r="M14" s="96">
        <f t="shared" si="15"/>
        <v>4112471059.2167802</v>
      </c>
      <c r="N14" s="96">
        <f t="shared" si="15"/>
        <v>4771814511.0167789</v>
      </c>
      <c r="O14" s="96">
        <f t="shared" si="15"/>
        <v>5266404129.0867805</v>
      </c>
      <c r="P14" s="96">
        <f t="shared" si="15"/>
        <v>5266404129.0867805</v>
      </c>
      <c r="Q14" s="96">
        <f t="shared" si="15"/>
        <v>5266404129.0867805</v>
      </c>
      <c r="R14" s="96">
        <f t="shared" si="15"/>
        <v>5266404129.0867805</v>
      </c>
      <c r="S14" s="96">
        <f t="shared" si="15"/>
        <v>5266404129.0867805</v>
      </c>
      <c r="T14" s="96">
        <f t="shared" si="15"/>
        <v>5266404129.0867805</v>
      </c>
      <c r="U14" s="96">
        <f t="shared" si="15"/>
        <v>5266404129.0867805</v>
      </c>
      <c r="V14" s="96">
        <f t="shared" si="15"/>
        <v>5266404129.0867805</v>
      </c>
      <c r="W14" s="96">
        <f t="shared" si="15"/>
        <v>5266404129.0867805</v>
      </c>
      <c r="X14" s="96">
        <f t="shared" si="15"/>
        <v>5266404129.0867805</v>
      </c>
      <c r="Y14" s="96">
        <f t="shared" si="15"/>
        <v>5266404129.0867805</v>
      </c>
      <c r="Z14" s="96">
        <f t="shared" si="15"/>
        <v>5266404129.0867805</v>
      </c>
      <c r="AA14" s="96">
        <f t="shared" si="15"/>
        <v>5266404129.0867805</v>
      </c>
      <c r="AB14" s="96">
        <f t="shared" si="15"/>
        <v>5266404129.0867805</v>
      </c>
    </row>
    <row r="15" spans="2:28" x14ac:dyDescent="0.3">
      <c r="B15" s="6"/>
      <c r="C15" s="6" t="s">
        <v>70</v>
      </c>
      <c r="D15" s="170">
        <f>+CRONOGRAMA!C16</f>
        <v>392600000</v>
      </c>
      <c r="E15" s="9">
        <f>+CRONOGRAMA!D16</f>
        <v>0</v>
      </c>
      <c r="F15" s="9">
        <f>+CRONOGRAMA!E16</f>
        <v>0</v>
      </c>
      <c r="G15" s="170">
        <f>+CRONOGRAMA!F16</f>
        <v>392600000</v>
      </c>
      <c r="H15" s="9">
        <f>+CRONOGRAMA!G16</f>
        <v>0</v>
      </c>
      <c r="I15" s="170">
        <f>+CRONOGRAMA!H16</f>
        <v>392600000</v>
      </c>
      <c r="J15" s="9">
        <f>+CRONOGRAMA!I16</f>
        <v>0</v>
      </c>
      <c r="K15" s="9">
        <f>+CRONOGRAMA!J16</f>
        <v>0</v>
      </c>
      <c r="L15" s="170">
        <f>+CRONOGRAMA!K16</f>
        <v>588900000</v>
      </c>
      <c r="M15" s="9">
        <f>+CRONOGRAMA!L16</f>
        <v>0</v>
      </c>
      <c r="N15" s="9">
        <f>+CRONOGRAMA!M16</f>
        <v>0</v>
      </c>
      <c r="O15" s="170">
        <f>+CRONOGRAMA!N16</f>
        <v>196300000</v>
      </c>
      <c r="P15" s="9"/>
      <c r="Q15" s="9"/>
      <c r="R15" s="9"/>
      <c r="S15" s="9"/>
      <c r="T15" s="9"/>
      <c r="U15" s="9"/>
      <c r="V15" s="9"/>
      <c r="W15" s="96"/>
      <c r="X15" s="9"/>
      <c r="Y15" s="9"/>
      <c r="Z15" s="9"/>
      <c r="AA15" s="9"/>
      <c r="AB15" s="9"/>
    </row>
    <row r="16" spans="2:28" x14ac:dyDescent="0.3">
      <c r="B16" s="6"/>
      <c r="C16" s="67" t="s">
        <v>80</v>
      </c>
      <c r="D16" s="94">
        <f>+D14+D15</f>
        <v>4904762410.0082607</v>
      </c>
      <c r="E16" s="94">
        <f>+E14+E15</f>
        <v>4512162410.0082607</v>
      </c>
      <c r="F16" s="94">
        <f>+F14+F15</f>
        <v>4512162410.0082607</v>
      </c>
      <c r="G16" s="94">
        <f>+G14+G15</f>
        <v>4904762410.0082607</v>
      </c>
      <c r="H16" s="94">
        <f t="shared" ref="H16:L16" si="16">+H14+H15</f>
        <v>4512162410.0082607</v>
      </c>
      <c r="I16" s="94">
        <f t="shared" si="16"/>
        <v>4904762410.0082607</v>
      </c>
      <c r="J16" s="94">
        <f>+J14+J15</f>
        <v>3055179572.5082612</v>
      </c>
      <c r="K16" s="94">
        <f t="shared" si="16"/>
        <v>3055179572.5082612</v>
      </c>
      <c r="L16" s="94">
        <f t="shared" si="16"/>
        <v>3644079572.5082612</v>
      </c>
      <c r="M16" s="94">
        <f t="shared" ref="M16" si="17">+M14+M15</f>
        <v>4112471059.2167802</v>
      </c>
      <c r="N16" s="94">
        <f t="shared" ref="N16" si="18">+N14+N15</f>
        <v>4771814511.0167789</v>
      </c>
      <c r="O16" s="94">
        <f t="shared" ref="O16" si="19">+O14+O15</f>
        <v>5462704129.0867805</v>
      </c>
      <c r="P16" s="94">
        <f>+P14+P15</f>
        <v>5266404129.0867805</v>
      </c>
      <c r="Q16" s="94">
        <f t="shared" ref="Q16:X16" si="20">+Q14+Q15</f>
        <v>5266404129.0867805</v>
      </c>
      <c r="R16" s="94">
        <f t="shared" si="20"/>
        <v>5266404129.0867805</v>
      </c>
      <c r="S16" s="94">
        <f t="shared" si="20"/>
        <v>5266404129.0867805</v>
      </c>
      <c r="T16" s="94">
        <f t="shared" si="20"/>
        <v>5266404129.0867805</v>
      </c>
      <c r="U16" s="94">
        <f t="shared" si="20"/>
        <v>5266404129.0867805</v>
      </c>
      <c r="V16" s="94">
        <f t="shared" si="20"/>
        <v>5266404129.0867805</v>
      </c>
      <c r="W16" s="94">
        <f t="shared" si="20"/>
        <v>5266404129.0867805</v>
      </c>
      <c r="X16" s="94">
        <f t="shared" si="20"/>
        <v>5266404129.0867805</v>
      </c>
      <c r="Y16" s="94">
        <f t="shared" ref="Y16:AB16" si="21">+Y14+Y15</f>
        <v>5266404129.0867805</v>
      </c>
      <c r="Z16" s="94">
        <f t="shared" si="21"/>
        <v>5266404129.0867805</v>
      </c>
      <c r="AA16" s="94">
        <f t="shared" si="21"/>
        <v>5266404129.0867805</v>
      </c>
      <c r="AB16" s="94">
        <f t="shared" si="21"/>
        <v>5266404129.0867805</v>
      </c>
    </row>
    <row r="17" spans="2:28" x14ac:dyDescent="0.3">
      <c r="B17" s="6"/>
      <c r="C17" s="6" t="s">
        <v>71</v>
      </c>
      <c r="D17" s="9">
        <f t="shared" ref="D17:P17" si="22">+D7-D16</f>
        <v>1072502485.9917383</v>
      </c>
      <c r="E17" s="9">
        <f t="shared" si="22"/>
        <v>1465102485.9917383</v>
      </c>
      <c r="F17" s="9">
        <f t="shared" si="22"/>
        <v>1465102485.9917383</v>
      </c>
      <c r="G17" s="9">
        <f t="shared" si="22"/>
        <v>1072502485.9917383</v>
      </c>
      <c r="H17" s="9">
        <f t="shared" si="22"/>
        <v>1465102485.9917383</v>
      </c>
      <c r="I17" s="9">
        <f t="shared" si="22"/>
        <v>1072502485.9917383</v>
      </c>
      <c r="J17" s="9">
        <f t="shared" si="22"/>
        <v>-66547124.508261681</v>
      </c>
      <c r="K17" s="9">
        <f t="shared" si="22"/>
        <v>-66547124.508261681</v>
      </c>
      <c r="L17" s="9">
        <f t="shared" si="22"/>
        <v>-655447124.50826168</v>
      </c>
      <c r="M17" s="9">
        <f t="shared" si="22"/>
        <v>1267067347.1832194</v>
      </c>
      <c r="N17" s="9">
        <f t="shared" si="22"/>
        <v>1803176874.5832205</v>
      </c>
      <c r="O17" s="9">
        <f t="shared" si="22"/>
        <v>1829559044.0332184</v>
      </c>
      <c r="P17" s="9">
        <f t="shared" si="22"/>
        <v>2195298277.7650595</v>
      </c>
      <c r="Q17" s="9">
        <f>P17</f>
        <v>2195298277.7650595</v>
      </c>
      <c r="R17" s="9">
        <f t="shared" ref="R17:X17" si="23">Q17</f>
        <v>2195298277.7650595</v>
      </c>
      <c r="S17" s="9">
        <f t="shared" si="23"/>
        <v>2195298277.7650595</v>
      </c>
      <c r="T17" s="9">
        <f t="shared" si="23"/>
        <v>2195298277.7650595</v>
      </c>
      <c r="U17" s="9">
        <f t="shared" si="23"/>
        <v>2195298277.7650595</v>
      </c>
      <c r="V17" s="9">
        <f t="shared" si="23"/>
        <v>2195298277.7650595</v>
      </c>
      <c r="W17" s="126">
        <f t="shared" si="23"/>
        <v>2195298277.7650595</v>
      </c>
      <c r="X17" s="9">
        <f t="shared" si="23"/>
        <v>2195298277.7650595</v>
      </c>
      <c r="Y17" s="9">
        <f t="shared" ref="Y17" si="24">X17</f>
        <v>2195298277.7650595</v>
      </c>
      <c r="Z17" s="9">
        <f t="shared" ref="Z17" si="25">Y17</f>
        <v>2195298277.7650595</v>
      </c>
      <c r="AA17" s="9">
        <f t="shared" ref="AA17" si="26">Z17</f>
        <v>2195298277.7650595</v>
      </c>
      <c r="AB17" s="9">
        <f t="shared" ref="AB17" si="27">AA17</f>
        <v>2195298277.7650595</v>
      </c>
    </row>
    <row r="18" spans="2:28" x14ac:dyDescent="0.3">
      <c r="B18" s="6"/>
      <c r="C18" s="6" t="s">
        <v>78</v>
      </c>
      <c r="D18" s="9">
        <f>D17</f>
        <v>1072502485.9917383</v>
      </c>
      <c r="E18" s="9">
        <f>E17+D18</f>
        <v>2537604971.9834766</v>
      </c>
      <c r="F18" s="9">
        <f t="shared" ref="F18:V18" si="28">F17+E18</f>
        <v>4002707457.975215</v>
      </c>
      <c r="G18" s="9">
        <f t="shared" si="28"/>
        <v>5075209943.9669533</v>
      </c>
      <c r="H18" s="9">
        <f t="shared" si="28"/>
        <v>6540312429.9586916</v>
      </c>
      <c r="I18" s="9">
        <f t="shared" si="28"/>
        <v>7612814915.9504299</v>
      </c>
      <c r="J18" s="9">
        <f t="shared" si="28"/>
        <v>7546267791.4421682</v>
      </c>
      <c r="K18" s="9">
        <f t="shared" si="28"/>
        <v>7479720666.9339066</v>
      </c>
      <c r="L18" s="9">
        <f t="shared" si="28"/>
        <v>6824273542.4256449</v>
      </c>
      <c r="M18" s="9">
        <f t="shared" si="28"/>
        <v>8091340889.6088638</v>
      </c>
      <c r="N18" s="9">
        <f t="shared" si="28"/>
        <v>9894517764.1920853</v>
      </c>
      <c r="O18" s="9">
        <f t="shared" si="28"/>
        <v>11724076808.225304</v>
      </c>
      <c r="P18" s="9">
        <f t="shared" si="28"/>
        <v>13919375085.990364</v>
      </c>
      <c r="Q18" s="9">
        <f t="shared" si="28"/>
        <v>16114673363.755424</v>
      </c>
      <c r="R18" s="9">
        <f t="shared" si="28"/>
        <v>18309971641.520485</v>
      </c>
      <c r="S18" s="9">
        <f t="shared" si="28"/>
        <v>20505269919.285545</v>
      </c>
      <c r="T18" s="9">
        <f t="shared" si="28"/>
        <v>22700568197.050606</v>
      </c>
      <c r="U18" s="9">
        <f t="shared" si="28"/>
        <v>24895866474.815666</v>
      </c>
      <c r="V18" s="9">
        <f t="shared" si="28"/>
        <v>27091164752.580727</v>
      </c>
      <c r="W18" s="127">
        <f>W17+V18</f>
        <v>29286463030.345787</v>
      </c>
      <c r="X18" s="9">
        <f t="shared" ref="X18" si="29">X17+W18</f>
        <v>31481761308.110847</v>
      </c>
      <c r="Y18" s="9">
        <f t="shared" ref="Y18" si="30">Y17+X18</f>
        <v>33677059585.875908</v>
      </c>
      <c r="Z18" s="9">
        <f t="shared" ref="Z18" si="31">Z17+Y18</f>
        <v>35872357863.640968</v>
      </c>
      <c r="AA18" s="9">
        <f t="shared" ref="AA18" si="32">AA17+Z18</f>
        <v>38067656141.406029</v>
      </c>
      <c r="AB18" s="9">
        <f t="shared" ref="AB18" si="33">AB17+AA18</f>
        <v>40262954419.171089</v>
      </c>
    </row>
    <row r="19" spans="2:28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28"/>
      <c r="X19" s="2"/>
      <c r="Y19" s="2"/>
      <c r="Z19" s="2"/>
      <c r="AA19" s="2"/>
      <c r="AB19" s="2"/>
    </row>
    <row r="20" spans="2:28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28"/>
      <c r="X20" s="2"/>
      <c r="Y20" s="2"/>
      <c r="Z20" s="2"/>
      <c r="AA20" s="2"/>
      <c r="AB20" s="2"/>
    </row>
    <row r="21" spans="2:28" ht="18" x14ac:dyDescent="0.35">
      <c r="C21" s="92" t="s">
        <v>148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129"/>
      <c r="X21" s="88"/>
      <c r="Y21" s="88"/>
      <c r="Z21" s="88"/>
      <c r="AA21" s="88"/>
      <c r="AB21" s="88"/>
    </row>
    <row r="22" spans="2:28" x14ac:dyDescent="0.3">
      <c r="C22" s="6" t="s">
        <v>79</v>
      </c>
      <c r="D22" s="9">
        <f>E17</f>
        <v>1465102485.9917383</v>
      </c>
      <c r="E22" s="9">
        <f>D22</f>
        <v>1465102485.9917383</v>
      </c>
      <c r="F22" s="9">
        <f t="shared" ref="F22:X22" si="34">E22</f>
        <v>1465102485.9917383</v>
      </c>
      <c r="G22" s="9">
        <f t="shared" si="34"/>
        <v>1465102485.9917383</v>
      </c>
      <c r="H22" s="9">
        <f t="shared" si="34"/>
        <v>1465102485.9917383</v>
      </c>
      <c r="I22" s="9">
        <f t="shared" si="34"/>
        <v>1465102485.9917383</v>
      </c>
      <c r="J22" s="9">
        <f t="shared" si="34"/>
        <v>1465102485.9917383</v>
      </c>
      <c r="K22" s="9">
        <f t="shared" si="34"/>
        <v>1465102485.9917383</v>
      </c>
      <c r="L22" s="9">
        <f t="shared" si="34"/>
        <v>1465102485.9917383</v>
      </c>
      <c r="M22" s="9">
        <f t="shared" si="34"/>
        <v>1465102485.9917383</v>
      </c>
      <c r="N22" s="9">
        <f t="shared" si="34"/>
        <v>1465102485.9917383</v>
      </c>
      <c r="O22" s="9">
        <f t="shared" si="34"/>
        <v>1465102485.9917383</v>
      </c>
      <c r="P22" s="9">
        <f t="shared" si="34"/>
        <v>1465102485.9917383</v>
      </c>
      <c r="Q22" s="9">
        <f t="shared" si="34"/>
        <v>1465102485.9917383</v>
      </c>
      <c r="R22" s="9">
        <f t="shared" si="34"/>
        <v>1465102485.9917383</v>
      </c>
      <c r="S22" s="9">
        <f t="shared" si="34"/>
        <v>1465102485.9917383</v>
      </c>
      <c r="T22" s="9">
        <f t="shared" si="34"/>
        <v>1465102485.9917383</v>
      </c>
      <c r="U22" s="9">
        <f t="shared" si="34"/>
        <v>1465102485.9917383</v>
      </c>
      <c r="V22" s="9">
        <f t="shared" si="34"/>
        <v>1465102485.9917383</v>
      </c>
      <c r="W22" s="126">
        <f t="shared" si="34"/>
        <v>1465102485.9917383</v>
      </c>
      <c r="X22" s="9">
        <f t="shared" si="34"/>
        <v>1465102485.9917383</v>
      </c>
      <c r="Y22" s="9">
        <f t="shared" ref="Y22" si="35">X22</f>
        <v>1465102485.9917383</v>
      </c>
      <c r="Z22" s="9">
        <f t="shared" ref="Z22" si="36">Y22</f>
        <v>1465102485.9917383</v>
      </c>
      <c r="AA22" s="9">
        <f t="shared" ref="AA22" si="37">Z22</f>
        <v>1465102485.9917383</v>
      </c>
      <c r="AB22" s="9">
        <f t="shared" ref="AB22" si="38">AA22</f>
        <v>1465102485.9917383</v>
      </c>
    </row>
    <row r="23" spans="2:28" x14ac:dyDescent="0.3">
      <c r="C23" s="6" t="s">
        <v>78</v>
      </c>
      <c r="D23" s="9">
        <f>D22</f>
        <v>1465102485.9917383</v>
      </c>
      <c r="E23" s="9">
        <f>E22+D23</f>
        <v>2930204971.9834766</v>
      </c>
      <c r="F23" s="9">
        <f t="shared" ref="F23:X23" si="39">F22+E23</f>
        <v>4395307457.975215</v>
      </c>
      <c r="G23" s="9">
        <f t="shared" si="39"/>
        <v>5860409943.9669533</v>
      </c>
      <c r="H23" s="9">
        <f t="shared" si="39"/>
        <v>7325512429.9586916</v>
      </c>
      <c r="I23" s="9">
        <f t="shared" si="39"/>
        <v>8790614915.9504299</v>
      </c>
      <c r="J23" s="9">
        <f t="shared" si="39"/>
        <v>10255717401.942169</v>
      </c>
      <c r="K23" s="9">
        <f t="shared" si="39"/>
        <v>11720819887.933907</v>
      </c>
      <c r="L23" s="9">
        <f t="shared" si="39"/>
        <v>13185922373.925644</v>
      </c>
      <c r="M23" s="9">
        <f t="shared" si="39"/>
        <v>14651024859.917381</v>
      </c>
      <c r="N23" s="9">
        <f t="shared" si="39"/>
        <v>16116127345.909119</v>
      </c>
      <c r="O23" s="9">
        <f t="shared" si="39"/>
        <v>17581229831.900856</v>
      </c>
      <c r="P23" s="9">
        <f t="shared" si="39"/>
        <v>19046332317.892593</v>
      </c>
      <c r="Q23" s="9">
        <f t="shared" si="39"/>
        <v>20511434803.884331</v>
      </c>
      <c r="R23" s="9">
        <f t="shared" si="39"/>
        <v>21976537289.876068</v>
      </c>
      <c r="S23" s="9">
        <f t="shared" si="39"/>
        <v>23441639775.867805</v>
      </c>
      <c r="T23" s="9">
        <f t="shared" si="39"/>
        <v>24906742261.859543</v>
      </c>
      <c r="U23" s="9">
        <f t="shared" si="39"/>
        <v>26371844747.85128</v>
      </c>
      <c r="V23" s="9">
        <f t="shared" si="39"/>
        <v>27836947233.843018</v>
      </c>
      <c r="W23" s="127">
        <f t="shared" si="39"/>
        <v>29302049719.834755</v>
      </c>
      <c r="X23" s="9">
        <f t="shared" si="39"/>
        <v>30767152205.826492</v>
      </c>
      <c r="Y23" s="9">
        <f t="shared" ref="Y23" si="40">Y22+X23</f>
        <v>32232254691.81823</v>
      </c>
      <c r="Z23" s="9">
        <f t="shared" ref="Z23" si="41">Z22+Y23</f>
        <v>33697357177.809967</v>
      </c>
      <c r="AA23" s="9">
        <f t="shared" ref="AA23" si="42">AA22+Z23</f>
        <v>35162459663.801704</v>
      </c>
      <c r="AB23" s="9">
        <f t="shared" ref="AB23" si="43">AB22+AA23</f>
        <v>36627562149.793442</v>
      </c>
    </row>
    <row r="24" spans="2:28" x14ac:dyDescent="0.3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8" ht="18" x14ac:dyDescent="0.35">
      <c r="B25" s="312" t="s">
        <v>79</v>
      </c>
      <c r="C25" s="92" t="s">
        <v>148</v>
      </c>
      <c r="D25" s="123">
        <f>+D22</f>
        <v>1465102485.9917383</v>
      </c>
      <c r="E25" s="123">
        <f t="shared" ref="E25:AB25" si="44">+E22</f>
        <v>1465102485.9917383</v>
      </c>
      <c r="F25" s="123">
        <f t="shared" si="44"/>
        <v>1465102485.9917383</v>
      </c>
      <c r="G25" s="123">
        <f t="shared" si="44"/>
        <v>1465102485.9917383</v>
      </c>
      <c r="H25" s="123">
        <f t="shared" si="44"/>
        <v>1465102485.9917383</v>
      </c>
      <c r="I25" s="123">
        <f t="shared" si="44"/>
        <v>1465102485.9917383</v>
      </c>
      <c r="J25" s="123">
        <f t="shared" si="44"/>
        <v>1465102485.9917383</v>
      </c>
      <c r="K25" s="123">
        <f t="shared" si="44"/>
        <v>1465102485.9917383</v>
      </c>
      <c r="L25" s="123">
        <f t="shared" si="44"/>
        <v>1465102485.9917383</v>
      </c>
      <c r="M25" s="123">
        <f t="shared" si="44"/>
        <v>1465102485.9917383</v>
      </c>
      <c r="N25" s="123">
        <f t="shared" si="44"/>
        <v>1465102485.9917383</v>
      </c>
      <c r="O25" s="123">
        <f t="shared" si="44"/>
        <v>1465102485.9917383</v>
      </c>
      <c r="P25" s="123">
        <f t="shared" si="44"/>
        <v>1465102485.9917383</v>
      </c>
      <c r="Q25" s="123">
        <f t="shared" si="44"/>
        <v>1465102485.9917383</v>
      </c>
      <c r="R25" s="123">
        <f t="shared" si="44"/>
        <v>1465102485.9917383</v>
      </c>
      <c r="S25" s="123">
        <f t="shared" si="44"/>
        <v>1465102485.9917383</v>
      </c>
      <c r="T25" s="123">
        <f t="shared" si="44"/>
        <v>1465102485.9917383</v>
      </c>
      <c r="U25" s="123">
        <f t="shared" si="44"/>
        <v>1465102485.9917383</v>
      </c>
      <c r="V25" s="123">
        <f t="shared" si="44"/>
        <v>1465102485.9917383</v>
      </c>
      <c r="W25" s="123">
        <f t="shared" si="44"/>
        <v>1465102485.9917383</v>
      </c>
      <c r="X25" s="123">
        <f t="shared" si="44"/>
        <v>1465102485.9917383</v>
      </c>
      <c r="Y25" s="123">
        <f t="shared" si="44"/>
        <v>1465102485.9917383</v>
      </c>
      <c r="Z25" s="123">
        <f t="shared" si="44"/>
        <v>1465102485.9917383</v>
      </c>
      <c r="AA25" s="123">
        <f t="shared" si="44"/>
        <v>1465102485.9917383</v>
      </c>
      <c r="AB25" s="123">
        <f t="shared" si="44"/>
        <v>1465102485.9917383</v>
      </c>
    </row>
    <row r="26" spans="2:28" ht="18" x14ac:dyDescent="0.35">
      <c r="B26" s="313"/>
      <c r="C26" s="92" t="s">
        <v>159</v>
      </c>
      <c r="D26" s="124">
        <f>+D17</f>
        <v>1072502485.9917383</v>
      </c>
      <c r="E26" s="124">
        <f t="shared" ref="E26:AB26" si="45">+E17</f>
        <v>1465102485.9917383</v>
      </c>
      <c r="F26" s="124">
        <f t="shared" si="45"/>
        <v>1465102485.9917383</v>
      </c>
      <c r="G26" s="124">
        <f t="shared" si="45"/>
        <v>1072502485.9917383</v>
      </c>
      <c r="H26" s="124">
        <f t="shared" si="45"/>
        <v>1465102485.9917383</v>
      </c>
      <c r="I26" s="124">
        <f t="shared" si="45"/>
        <v>1072502485.9917383</v>
      </c>
      <c r="J26" s="124">
        <f t="shared" si="45"/>
        <v>-66547124.508261681</v>
      </c>
      <c r="K26" s="124">
        <f t="shared" si="45"/>
        <v>-66547124.508261681</v>
      </c>
      <c r="L26" s="124">
        <f t="shared" si="45"/>
        <v>-655447124.50826168</v>
      </c>
      <c r="M26" s="124">
        <f t="shared" si="45"/>
        <v>1267067347.1832194</v>
      </c>
      <c r="N26" s="124">
        <f t="shared" si="45"/>
        <v>1803176874.5832205</v>
      </c>
      <c r="O26" s="124">
        <f t="shared" si="45"/>
        <v>1829559044.0332184</v>
      </c>
      <c r="P26" s="124">
        <f t="shared" si="45"/>
        <v>2195298277.7650595</v>
      </c>
      <c r="Q26" s="124">
        <f t="shared" si="45"/>
        <v>2195298277.7650595</v>
      </c>
      <c r="R26" s="124">
        <f t="shared" si="45"/>
        <v>2195298277.7650595</v>
      </c>
      <c r="S26" s="124">
        <f t="shared" si="45"/>
        <v>2195298277.7650595</v>
      </c>
      <c r="T26" s="124">
        <f t="shared" si="45"/>
        <v>2195298277.7650595</v>
      </c>
      <c r="U26" s="124">
        <f t="shared" si="45"/>
        <v>2195298277.7650595</v>
      </c>
      <c r="V26" s="124">
        <f t="shared" si="45"/>
        <v>2195298277.7650595</v>
      </c>
      <c r="W26" s="124">
        <f t="shared" si="45"/>
        <v>2195298277.7650595</v>
      </c>
      <c r="X26" s="124">
        <f t="shared" si="45"/>
        <v>2195298277.7650595</v>
      </c>
      <c r="Y26" s="124">
        <f t="shared" si="45"/>
        <v>2195298277.7650595</v>
      </c>
      <c r="Z26" s="124">
        <f t="shared" si="45"/>
        <v>2195298277.7650595</v>
      </c>
      <c r="AA26" s="124">
        <f t="shared" si="45"/>
        <v>2195298277.7650595</v>
      </c>
      <c r="AB26" s="124">
        <f t="shared" si="45"/>
        <v>2195298277.7650595</v>
      </c>
    </row>
    <row r="27" spans="2:28" ht="36" x14ac:dyDescent="0.35">
      <c r="C27" s="125" t="s">
        <v>161</v>
      </c>
      <c r="D27" s="123">
        <f>+D26-D25</f>
        <v>-392600000</v>
      </c>
      <c r="E27" s="123">
        <f t="shared" ref="E27:AB27" si="46">+E26-E25</f>
        <v>0</v>
      </c>
      <c r="F27" s="123">
        <f t="shared" si="46"/>
        <v>0</v>
      </c>
      <c r="G27" s="123">
        <f t="shared" si="46"/>
        <v>-392600000</v>
      </c>
      <c r="H27" s="123">
        <f t="shared" si="46"/>
        <v>0</v>
      </c>
      <c r="I27" s="123">
        <f t="shared" si="46"/>
        <v>-392600000</v>
      </c>
      <c r="J27" s="123">
        <f t="shared" si="46"/>
        <v>-1531649610.5</v>
      </c>
      <c r="K27" s="123">
        <f t="shared" si="46"/>
        <v>-1531649610.5</v>
      </c>
      <c r="L27" s="123">
        <f t="shared" si="46"/>
        <v>-2120549610.5</v>
      </c>
      <c r="M27" s="123">
        <f t="shared" si="46"/>
        <v>-198035138.80851889</v>
      </c>
      <c r="N27" s="123">
        <f t="shared" si="46"/>
        <v>338074388.59148216</v>
      </c>
      <c r="O27" s="123">
        <f t="shared" si="46"/>
        <v>364456558.04148006</v>
      </c>
      <c r="P27" s="123">
        <f t="shared" si="46"/>
        <v>730195791.77332115</v>
      </c>
      <c r="Q27" s="123">
        <f t="shared" si="46"/>
        <v>730195791.77332115</v>
      </c>
      <c r="R27" s="123">
        <f t="shared" si="46"/>
        <v>730195791.77332115</v>
      </c>
      <c r="S27" s="123">
        <f t="shared" si="46"/>
        <v>730195791.77332115</v>
      </c>
      <c r="T27" s="123">
        <f t="shared" si="46"/>
        <v>730195791.77332115</v>
      </c>
      <c r="U27" s="123">
        <f t="shared" si="46"/>
        <v>730195791.77332115</v>
      </c>
      <c r="V27" s="123">
        <f t="shared" si="46"/>
        <v>730195791.77332115</v>
      </c>
      <c r="W27" s="123">
        <f t="shared" si="46"/>
        <v>730195791.77332115</v>
      </c>
      <c r="X27" s="123">
        <f t="shared" si="46"/>
        <v>730195791.77332115</v>
      </c>
      <c r="Y27" s="123">
        <f t="shared" si="46"/>
        <v>730195791.77332115</v>
      </c>
      <c r="Z27" s="123">
        <f t="shared" si="46"/>
        <v>730195791.77332115</v>
      </c>
      <c r="AA27" s="123">
        <f t="shared" si="46"/>
        <v>730195791.77332115</v>
      </c>
      <c r="AB27" s="123">
        <f t="shared" si="46"/>
        <v>730195791.77332115</v>
      </c>
    </row>
    <row r="29" spans="2:28" x14ac:dyDescent="0.3">
      <c r="C29" s="6" t="s">
        <v>260</v>
      </c>
      <c r="D29" s="171">
        <f>+D27</f>
        <v>-392600000</v>
      </c>
      <c r="E29" s="131">
        <f t="shared" ref="E29:AB29" si="47">+PV($D$32,E4,,E27,0)*-1</f>
        <v>0</v>
      </c>
      <c r="F29" s="131">
        <f t="shared" si="47"/>
        <v>0</v>
      </c>
      <c r="G29" s="131">
        <f t="shared" si="47"/>
        <v>-381166898.7577911</v>
      </c>
      <c r="H29" s="131">
        <f t="shared" si="47"/>
        <v>0</v>
      </c>
      <c r="I29" s="131">
        <f t="shared" si="47"/>
        <v>-373730407.3745482</v>
      </c>
      <c r="J29" s="131">
        <f t="shared" si="47"/>
        <v>-1443740673.1111186</v>
      </c>
      <c r="K29" s="131">
        <f t="shared" si="47"/>
        <v>-1429587754.3431218</v>
      </c>
      <c r="L29" s="131">
        <f t="shared" si="47"/>
        <v>-1959843801.4269459</v>
      </c>
      <c r="M29" s="131">
        <f t="shared" si="47"/>
        <v>-181232844.68209165</v>
      </c>
      <c r="N29" s="131">
        <f t="shared" si="47"/>
        <v>306357522.87894738</v>
      </c>
      <c r="O29" s="131">
        <f t="shared" si="47"/>
        <v>327027048.78194779</v>
      </c>
      <c r="P29" s="131">
        <f t="shared" si="47"/>
        <v>648782100.29875922</v>
      </c>
      <c r="Q29" s="131">
        <f t="shared" si="47"/>
        <v>642422121.29790986</v>
      </c>
      <c r="R29" s="131">
        <f t="shared" si="47"/>
        <v>636124488.85821366</v>
      </c>
      <c r="S29" s="131">
        <f t="shared" si="47"/>
        <v>629888591.79939961</v>
      </c>
      <c r="T29" s="131">
        <f t="shared" si="47"/>
        <v>623713824.93256712</v>
      </c>
      <c r="U29" s="131">
        <f t="shared" si="47"/>
        <v>617599589.00145268</v>
      </c>
      <c r="V29" s="131">
        <f t="shared" si="47"/>
        <v>611545290.62427223</v>
      </c>
      <c r="W29" s="131">
        <f t="shared" si="47"/>
        <v>605550342.23613453</v>
      </c>
      <c r="X29" s="131">
        <f t="shared" si="47"/>
        <v>599614162.03201747</v>
      </c>
      <c r="Y29" s="131">
        <f t="shared" si="47"/>
        <v>593736173.91030538</v>
      </c>
      <c r="Z29" s="131">
        <f t="shared" si="47"/>
        <v>587915807.41687834</v>
      </c>
      <c r="AA29" s="131">
        <f t="shared" si="47"/>
        <v>582152497.68974984</v>
      </c>
      <c r="AB29" s="131">
        <f t="shared" si="47"/>
        <v>576445685.40424764</v>
      </c>
    </row>
    <row r="30" spans="2:28" x14ac:dyDescent="0.3">
      <c r="C30" s="6" t="s">
        <v>162</v>
      </c>
      <c r="D30" s="29">
        <f>+SUM(D29:AB29)</f>
        <v>2426972867.467186</v>
      </c>
    </row>
    <row r="31" spans="2:28" x14ac:dyDescent="0.3">
      <c r="C31" t="s">
        <v>158</v>
      </c>
      <c r="D31" s="110">
        <f>+IRR(D27:AB27)</f>
        <v>4.1405858327107525E-2</v>
      </c>
    </row>
    <row r="32" spans="2:28" x14ac:dyDescent="0.3">
      <c r="C32" t="s">
        <v>160</v>
      </c>
      <c r="D32" s="111">
        <v>9.9000000000000008E-3</v>
      </c>
    </row>
  </sheetData>
  <mergeCells count="13">
    <mergeCell ref="B25:B26"/>
    <mergeCell ref="J3:K3"/>
    <mergeCell ref="O3:P3"/>
    <mergeCell ref="B8:B14"/>
    <mergeCell ref="B7:C7"/>
    <mergeCell ref="B6:C6"/>
    <mergeCell ref="B4:C4"/>
    <mergeCell ref="B5:C5"/>
    <mergeCell ref="D1:G1"/>
    <mergeCell ref="J1:M1"/>
    <mergeCell ref="P1:S1"/>
    <mergeCell ref="W1:Z1"/>
    <mergeCell ref="M2:O2"/>
  </mergeCells>
  <conditionalFormatting sqref="D17:P17">
    <cfRule type="cellIs" dxfId="2" priority="1" operator="lessThan">
      <formula>0</formula>
    </cfRule>
  </conditionalFormatting>
  <pageMargins left="0.25" right="0.25" top="0.75" bottom="0.75" header="0.3" footer="0.3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2DA-FB7B-46AF-8A76-E5863B7BA3F6}">
  <dimension ref="B1:F26"/>
  <sheetViews>
    <sheetView workbookViewId="0">
      <selection activeCell="I13" sqref="I13"/>
    </sheetView>
  </sheetViews>
  <sheetFormatPr defaultColWidth="11.5546875" defaultRowHeight="14.4" x14ac:dyDescent="0.3"/>
  <cols>
    <col min="2" max="2" width="35" customWidth="1"/>
    <col min="3" max="3" width="19.5546875" customWidth="1"/>
    <col min="4" max="4" width="20.44140625" customWidth="1"/>
    <col min="5" max="5" width="13.33203125" customWidth="1"/>
  </cols>
  <sheetData>
    <row r="1" spans="2:6" ht="15" thickBot="1" x14ac:dyDescent="0.35"/>
    <row r="2" spans="2:6" ht="15" thickBot="1" x14ac:dyDescent="0.35">
      <c r="B2" s="118" t="s">
        <v>40</v>
      </c>
      <c r="C2" s="119" t="s">
        <v>165</v>
      </c>
      <c r="D2" s="119" t="s">
        <v>164</v>
      </c>
      <c r="E2" s="143" t="s">
        <v>74</v>
      </c>
      <c r="F2" s="144" t="s">
        <v>166</v>
      </c>
    </row>
    <row r="3" spans="2:6" x14ac:dyDescent="0.3">
      <c r="B3" s="141" t="s">
        <v>112</v>
      </c>
      <c r="C3" s="117">
        <f>'POSTERIOR PROYECTO'!D4</f>
        <v>7200</v>
      </c>
      <c r="D3" s="117">
        <f>'POSTERIOR PROYECTO'!E4</f>
        <v>8820</v>
      </c>
      <c r="E3" s="182">
        <f t="shared" ref="E3:E24" si="0">+D3/C3-1</f>
        <v>0.22500000000000009</v>
      </c>
      <c r="F3" s="142"/>
    </row>
    <row r="4" spans="2:6" x14ac:dyDescent="0.3">
      <c r="B4" s="134" t="s">
        <v>83</v>
      </c>
      <c r="C4" s="180">
        <f>'POSTERIOR PROYECTO'!D5</f>
        <v>0.95599999999999996</v>
      </c>
      <c r="D4" s="180">
        <f>'POSTERIOR PROYECTO'!E5</f>
        <v>0.95599999999999996</v>
      </c>
      <c r="E4" s="169">
        <f t="shared" si="0"/>
        <v>0</v>
      </c>
      <c r="F4" s="137"/>
    </row>
    <row r="5" spans="2:6" x14ac:dyDescent="0.3">
      <c r="B5" s="134" t="s">
        <v>169</v>
      </c>
      <c r="C5" s="117">
        <f>'POSTERIOR PROYECTO'!D6</f>
        <v>6883</v>
      </c>
      <c r="D5" s="117">
        <f>'POSTERIOR PROYECTO'!E6</f>
        <v>8431.92</v>
      </c>
      <c r="E5" s="183">
        <f t="shared" si="0"/>
        <v>0.225035594944065</v>
      </c>
      <c r="F5" s="137"/>
    </row>
    <row r="6" spans="2:6" x14ac:dyDescent="0.3">
      <c r="B6" s="134" t="s">
        <v>82</v>
      </c>
      <c r="C6" s="181">
        <f>'POSTERIOR PROYECTO'!D7</f>
        <v>3.8699999999999998E-2</v>
      </c>
      <c r="D6" s="181">
        <f>'POSTERIOR PROYECTO'!E7</f>
        <v>2.0500000000000001E-2</v>
      </c>
      <c r="E6" s="169">
        <f t="shared" si="0"/>
        <v>-0.47028423772609818</v>
      </c>
      <c r="F6" s="137"/>
    </row>
    <row r="7" spans="2:6" x14ac:dyDescent="0.3">
      <c r="B7" s="135" t="s">
        <v>85</v>
      </c>
      <c r="C7" s="117">
        <f>'POSTERIOR PROYECTO'!D8</f>
        <v>6616</v>
      </c>
      <c r="D7" s="117">
        <f>'POSTERIOR PROYECTO'!E8</f>
        <v>8259.0656400000007</v>
      </c>
      <c r="E7" s="169">
        <f t="shared" si="0"/>
        <v>0.24834728536880291</v>
      </c>
      <c r="F7" s="137"/>
    </row>
    <row r="8" spans="2:6" x14ac:dyDescent="0.3">
      <c r="B8" s="134" t="s">
        <v>113</v>
      </c>
      <c r="C8" s="117">
        <f>'POSTERIOR PROYECTO'!D9</f>
        <v>264.64</v>
      </c>
      <c r="D8" s="117">
        <f>'POSTERIOR PROYECTO'!E9</f>
        <v>330.3626256</v>
      </c>
      <c r="E8" s="169">
        <f t="shared" si="0"/>
        <v>0.24834728536880291</v>
      </c>
      <c r="F8" s="137"/>
    </row>
    <row r="9" spans="2:6" x14ac:dyDescent="0.3">
      <c r="B9" s="136" t="s">
        <v>115</v>
      </c>
      <c r="C9" s="66">
        <f>'POSTERIOR PROYECTO'!D11</f>
        <v>190540.79999999999</v>
      </c>
      <c r="D9" s="66">
        <f>'POSTERIOR PROYECTO'!E11</f>
        <v>237861.090432</v>
      </c>
      <c r="E9" s="183">
        <f t="shared" si="0"/>
        <v>0.24834728536880291</v>
      </c>
      <c r="F9" s="138">
        <v>0.15</v>
      </c>
    </row>
    <row r="10" spans="2:6" x14ac:dyDescent="0.3">
      <c r="B10" s="135" t="s">
        <v>172</v>
      </c>
      <c r="C10" s="132">
        <f>'POSTERIOR PROYECTO'!F20+'POSTERIOR PROYECTO'!F24</f>
        <v>2935852646.4000001</v>
      </c>
      <c r="D10" s="132">
        <f>'POSTERIOR PROYECTO'!G20+'POSTERIOR PROYECTO'!G24</f>
        <v>3664963681.376256</v>
      </c>
      <c r="E10" s="169">
        <f t="shared" si="0"/>
        <v>0.24834728536880291</v>
      </c>
      <c r="F10" s="137"/>
    </row>
    <row r="11" spans="2:6" x14ac:dyDescent="0.3">
      <c r="B11" s="135" t="s">
        <v>173</v>
      </c>
      <c r="C11" s="132">
        <f>'POSTERIOR PROYECTO'!F21+'POSTERIOR PROYECTO'!F25</f>
        <v>1782775941.1199996</v>
      </c>
      <c r="D11" s="132">
        <f>'POSTERIOR PROYECTO'!G21+'POSTERIOR PROYECTO'!G25</f>
        <v>2225523506.5179648</v>
      </c>
      <c r="E11" s="169">
        <f t="shared" si="0"/>
        <v>0.24834728536880313</v>
      </c>
      <c r="F11" s="137"/>
    </row>
    <row r="12" spans="2:6" x14ac:dyDescent="0.3">
      <c r="B12" s="135" t="s">
        <v>174</v>
      </c>
      <c r="C12" s="132">
        <f>'POSTERIOR PROYECTO'!F22+'POSTERIOR PROYECTO'!F26</f>
        <v>1258636308.48</v>
      </c>
      <c r="D12" s="132">
        <f>'POSTERIOR PROYECTO'!G22+'POSTERIOR PROYECTO'!G26</f>
        <v>1571215218.9576192</v>
      </c>
      <c r="E12" s="169">
        <f t="shared" si="0"/>
        <v>0.24834728536880291</v>
      </c>
      <c r="F12" s="137"/>
    </row>
    <row r="13" spans="2:6" ht="18.600000000000001" thickBot="1" x14ac:dyDescent="0.4">
      <c r="B13" s="147" t="s">
        <v>1</v>
      </c>
      <c r="C13" s="148">
        <f>SUM(C10:C12)</f>
        <v>5977264896</v>
      </c>
      <c r="D13" s="148">
        <f>SUM(D10:D12)</f>
        <v>7461702406.8518391</v>
      </c>
      <c r="E13" s="184">
        <f t="shared" si="0"/>
        <v>0.24834728536880268</v>
      </c>
      <c r="F13" s="149"/>
    </row>
    <row r="14" spans="2:6" ht="15.6" x14ac:dyDescent="0.3">
      <c r="B14" s="145" t="s">
        <v>14</v>
      </c>
      <c r="C14" s="146"/>
      <c r="D14" s="146"/>
      <c r="E14" s="168"/>
      <c r="F14" s="142"/>
    </row>
    <row r="15" spans="2:6" ht="15.6" x14ac:dyDescent="0.3">
      <c r="B15" s="11" t="s">
        <v>7</v>
      </c>
      <c r="C15" s="133">
        <f>+'POSTERIOR PROYECTO'!C80</f>
        <v>2339838299</v>
      </c>
      <c r="D15" s="133">
        <f>+'POSTERIOR PROYECTO'!D80</f>
        <v>2896623122.1700001</v>
      </c>
      <c r="E15" s="169">
        <f t="shared" si="0"/>
        <v>0.2379586757802703</v>
      </c>
      <c r="F15" s="137"/>
    </row>
    <row r="16" spans="2:6" ht="15.6" x14ac:dyDescent="0.3">
      <c r="B16" s="11" t="s">
        <v>119</v>
      </c>
      <c r="C16" s="133">
        <f>+'POSTERIOR PROYECTO'!C81</f>
        <v>956878960</v>
      </c>
      <c r="D16" s="133">
        <f>+'POSTERIOR PROYECTO'!D81</f>
        <v>1224355480.8</v>
      </c>
      <c r="E16" s="169">
        <f t="shared" si="0"/>
        <v>0.27953015165052841</v>
      </c>
      <c r="F16" s="137"/>
    </row>
    <row r="17" spans="2:6" ht="15.6" x14ac:dyDescent="0.3">
      <c r="B17" s="11" t="s">
        <v>120</v>
      </c>
      <c r="C17" s="133">
        <f>+'POSTERIOR PROYECTO'!C82</f>
        <v>244296000</v>
      </c>
      <c r="D17" s="133">
        <f>+'POSTERIOR PROYECTO'!D82</f>
        <v>159432000</v>
      </c>
      <c r="E17" s="183">
        <f t="shared" si="0"/>
        <v>-0.34738186462324394</v>
      </c>
      <c r="F17" s="137"/>
    </row>
    <row r="18" spans="2:6" ht="15.6" x14ac:dyDescent="0.3">
      <c r="B18" s="91" t="s">
        <v>121</v>
      </c>
      <c r="C18" s="133">
        <f>+'POSTERIOR PROYECTO'!C83</f>
        <v>59772648.959999993</v>
      </c>
      <c r="D18" s="133">
        <f>+'POSTERIOR PROYECTO'!D83</f>
        <v>74617024.0685184</v>
      </c>
      <c r="E18" s="169">
        <f t="shared" si="0"/>
        <v>0.24834728536880313</v>
      </c>
      <c r="F18" s="137"/>
    </row>
    <row r="19" spans="2:6" x14ac:dyDescent="0.3">
      <c r="B19" s="11" t="s">
        <v>118</v>
      </c>
      <c r="C19" s="9">
        <f>+'POSTERIOR PROYECTO'!C84</f>
        <v>44720100.233044446</v>
      </c>
      <c r="D19" s="9">
        <f>+'POSTERIOR PROYECTO'!D84</f>
        <v>50310100.233044446</v>
      </c>
      <c r="E19" s="169">
        <f t="shared" si="0"/>
        <v>0.12499971983223457</v>
      </c>
      <c r="F19" s="139"/>
    </row>
    <row r="20" spans="2:6" x14ac:dyDescent="0.3">
      <c r="B20" s="32" t="s">
        <v>11</v>
      </c>
      <c r="C20" s="9">
        <f>+'POSTERIOR PROYECTO'!C85</f>
        <v>3645506008.1930447</v>
      </c>
      <c r="D20" s="9">
        <f>+'POSTERIOR PROYECTO'!D85</f>
        <v>4405337727.2715635</v>
      </c>
      <c r="E20" s="169">
        <f t="shared" si="0"/>
        <v>0.20842969874987038</v>
      </c>
      <c r="F20" s="139"/>
    </row>
    <row r="21" spans="2:6" x14ac:dyDescent="0.3">
      <c r="B21" s="32" t="s">
        <v>12</v>
      </c>
      <c r="C21" s="9">
        <f>+'POSTERIOR PROYECTO'!C86</f>
        <v>911376502.04826117</v>
      </c>
      <c r="D21" s="9">
        <f>+'POSTERIOR PROYECTO'!D86</f>
        <v>911376502.04826117</v>
      </c>
      <c r="E21" s="169">
        <f t="shared" si="0"/>
        <v>0</v>
      </c>
      <c r="F21" s="139"/>
    </row>
    <row r="22" spans="2:6" ht="17.399999999999999" x14ac:dyDescent="0.35">
      <c r="B22" s="57" t="s">
        <v>42</v>
      </c>
      <c r="C22" s="122">
        <f>+C21+C20</f>
        <v>4556882510.2413063</v>
      </c>
      <c r="D22" s="122">
        <f>+D21+D20</f>
        <v>5316714229.3198242</v>
      </c>
      <c r="E22" s="169">
        <f t="shared" si="0"/>
        <v>0.16674375899989613</v>
      </c>
      <c r="F22" s="140"/>
    </row>
    <row r="23" spans="2:6" ht="15.6" x14ac:dyDescent="0.3">
      <c r="B23" s="59" t="s">
        <v>43</v>
      </c>
      <c r="C23" s="122">
        <f>+C13-C22</f>
        <v>1420382385.7586937</v>
      </c>
      <c r="D23" s="122">
        <f>+D13-D22</f>
        <v>2144988177.5320148</v>
      </c>
      <c r="E23" s="169">
        <f t="shared" si="0"/>
        <v>0.51014839316405269</v>
      </c>
      <c r="F23" s="320">
        <v>7.0000000000000007E-2</v>
      </c>
    </row>
    <row r="24" spans="2:6" x14ac:dyDescent="0.3">
      <c r="B24" s="11" t="s">
        <v>168</v>
      </c>
      <c r="C24" s="53">
        <f>+C23/C13</f>
        <v>0.23763082454472062</v>
      </c>
      <c r="D24" s="53">
        <f>+D23/D13</f>
        <v>0.28746632612449696</v>
      </c>
      <c r="E24" s="183">
        <f t="shared" si="0"/>
        <v>0.20971816966614787</v>
      </c>
      <c r="F24" s="320"/>
    </row>
    <row r="25" spans="2:6" x14ac:dyDescent="0.3">
      <c r="B25" s="11" t="s">
        <v>163</v>
      </c>
      <c r="C25" s="9">
        <f>+'POSTERIOR PROYECTO'!C93</f>
        <v>956.62084136128453</v>
      </c>
      <c r="D25" s="9">
        <f>+'POSTERIOR PROYECTO'!D93</f>
        <v>894.08725397898104</v>
      </c>
      <c r="E25" s="169">
        <f t="shared" ref="E25:E26" si="1">+D25/C25-1</f>
        <v>-6.5369250468469198E-2</v>
      </c>
      <c r="F25" s="320">
        <v>-0.1</v>
      </c>
    </row>
    <row r="26" spans="2:6" ht="15" thickBot="1" x14ac:dyDescent="0.35">
      <c r="B26" s="115" t="s">
        <v>167</v>
      </c>
      <c r="C26" s="116">
        <f>+'POSTERIOR PROYECTO'!C94</f>
        <v>23915.521034032117</v>
      </c>
      <c r="D26" s="116">
        <f>+'POSTERIOR PROYECTO'!D94</f>
        <v>22352.181349474526</v>
      </c>
      <c r="E26" s="185">
        <f t="shared" si="1"/>
        <v>-6.5369250468469309E-2</v>
      </c>
      <c r="F26" s="321"/>
    </row>
  </sheetData>
  <mergeCells count="2">
    <mergeCell ref="F25:F26"/>
    <mergeCell ref="F23:F24"/>
  </mergeCells>
  <conditionalFormatting sqref="E6">
    <cfRule type="cellIs" dxfId="1" priority="1" operator="lessThan">
      <formula>0</formula>
    </cfRule>
  </conditionalFormatting>
  <conditionalFormatting sqref="E25:E26">
    <cfRule type="cellIs" dxfId="0" priority="2" operator="lessThan">
      <formula>0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748E-AE02-4CD9-8549-817F487DA1A2}">
  <dimension ref="B2:F20"/>
  <sheetViews>
    <sheetView workbookViewId="0">
      <selection activeCell="D5" sqref="D5"/>
    </sheetView>
  </sheetViews>
  <sheetFormatPr defaultColWidth="11.5546875" defaultRowHeight="14.4" x14ac:dyDescent="0.3"/>
  <cols>
    <col min="2" max="2" width="8" customWidth="1"/>
    <col min="3" max="3" width="19.33203125" customWidth="1"/>
    <col min="4" max="4" width="18.6640625" customWidth="1"/>
    <col min="5" max="5" width="16.6640625" customWidth="1"/>
    <col min="6" max="6" width="13" customWidth="1"/>
  </cols>
  <sheetData>
    <row r="2" spans="2:6" ht="28.8" x14ac:dyDescent="0.3">
      <c r="C2" s="15" t="s">
        <v>175</v>
      </c>
      <c r="D2" s="15" t="s">
        <v>187</v>
      </c>
      <c r="E2" s="15" t="s">
        <v>177</v>
      </c>
      <c r="F2" s="15" t="s">
        <v>188</v>
      </c>
    </row>
    <row r="3" spans="2:6" x14ac:dyDescent="0.3">
      <c r="B3">
        <v>1</v>
      </c>
      <c r="C3" s="6" t="s">
        <v>179</v>
      </c>
      <c r="D3" s="6"/>
      <c r="E3" s="6"/>
      <c r="F3" s="6"/>
    </row>
    <row r="4" spans="2:6" x14ac:dyDescent="0.3">
      <c r="B4">
        <v>2</v>
      </c>
      <c r="C4" s="6" t="s">
        <v>180</v>
      </c>
      <c r="D4" s="6"/>
      <c r="E4" s="6"/>
      <c r="F4" s="6"/>
    </row>
    <row r="5" spans="2:6" x14ac:dyDescent="0.3">
      <c r="B5">
        <v>3</v>
      </c>
      <c r="C5" s="6" t="s">
        <v>181</v>
      </c>
      <c r="D5" s="8">
        <f>12600 *24*30</f>
        <v>9072000</v>
      </c>
      <c r="E5" s="8">
        <v>4955760</v>
      </c>
      <c r="F5" s="43">
        <f>+E5/D5</f>
        <v>0.54626984126984124</v>
      </c>
    </row>
    <row r="6" spans="2:6" x14ac:dyDescent="0.3">
      <c r="B6">
        <v>4</v>
      </c>
      <c r="C6" s="6" t="s">
        <v>182</v>
      </c>
      <c r="D6" s="8"/>
      <c r="E6" s="8"/>
      <c r="F6" s="43"/>
    </row>
    <row r="7" spans="2:6" x14ac:dyDescent="0.3">
      <c r="B7">
        <v>5</v>
      </c>
      <c r="C7" s="6" t="s">
        <v>183</v>
      </c>
      <c r="D7" s="8">
        <f>7200*24*30</f>
        <v>5184000</v>
      </c>
      <c r="E7" s="8">
        <v>4955760</v>
      </c>
      <c r="F7" s="43">
        <f>+E7/D7</f>
        <v>0.95597222222222222</v>
      </c>
    </row>
    <row r="8" spans="2:6" x14ac:dyDescent="0.3">
      <c r="B8">
        <v>6</v>
      </c>
      <c r="C8" s="6" t="s">
        <v>184</v>
      </c>
      <c r="D8" s="8">
        <f>8820*24*30</f>
        <v>6350400</v>
      </c>
      <c r="E8" s="8">
        <v>4763520</v>
      </c>
      <c r="F8" s="43">
        <f>+E8/D8</f>
        <v>0.75011337868480721</v>
      </c>
    </row>
    <row r="9" spans="2:6" x14ac:dyDescent="0.3">
      <c r="B9">
        <v>7</v>
      </c>
      <c r="C9" s="6" t="s">
        <v>185</v>
      </c>
      <c r="D9" s="6"/>
      <c r="E9" s="6"/>
      <c r="F9" s="6"/>
    </row>
    <row r="10" spans="2:6" x14ac:dyDescent="0.3">
      <c r="B10">
        <v>8</v>
      </c>
      <c r="C10" s="6" t="s">
        <v>186</v>
      </c>
      <c r="D10" s="6"/>
      <c r="E10" s="6"/>
      <c r="F10" s="6"/>
    </row>
    <row r="12" spans="2:6" ht="28.8" x14ac:dyDescent="0.3">
      <c r="C12" s="15" t="s">
        <v>175</v>
      </c>
      <c r="D12" s="15" t="s">
        <v>176</v>
      </c>
      <c r="E12" s="15" t="s">
        <v>177</v>
      </c>
      <c r="F12" s="15" t="s">
        <v>178</v>
      </c>
    </row>
    <row r="13" spans="2:6" x14ac:dyDescent="0.3">
      <c r="B13">
        <v>1</v>
      </c>
      <c r="C13" s="6" t="s">
        <v>179</v>
      </c>
      <c r="D13" s="6"/>
      <c r="E13" s="6"/>
      <c r="F13" s="6"/>
    </row>
    <row r="14" spans="2:6" x14ac:dyDescent="0.3">
      <c r="B14">
        <v>2</v>
      </c>
      <c r="C14" s="6" t="s">
        <v>180</v>
      </c>
      <c r="D14" s="6"/>
      <c r="E14" s="6"/>
      <c r="F14" s="6"/>
    </row>
    <row r="15" spans="2:6" x14ac:dyDescent="0.3">
      <c r="B15">
        <v>3</v>
      </c>
      <c r="C15" s="6" t="s">
        <v>181</v>
      </c>
      <c r="D15" s="8">
        <f>12600 *24*30</f>
        <v>9072000</v>
      </c>
      <c r="E15" s="8">
        <v>6070320</v>
      </c>
      <c r="F15" s="43">
        <f>+E15/D15</f>
        <v>0.66912698412698413</v>
      </c>
    </row>
    <row r="16" spans="2:6" x14ac:dyDescent="0.3">
      <c r="B16">
        <v>4</v>
      </c>
      <c r="C16" s="6" t="s">
        <v>182</v>
      </c>
      <c r="D16" s="8"/>
      <c r="E16" s="8"/>
      <c r="F16" s="43"/>
    </row>
    <row r="17" spans="2:6" x14ac:dyDescent="0.3">
      <c r="B17">
        <v>5</v>
      </c>
      <c r="C17" s="6" t="s">
        <v>183</v>
      </c>
      <c r="D17" s="8">
        <f>3600*3*24*30</f>
        <v>7776000</v>
      </c>
      <c r="E17" s="8">
        <v>6070320</v>
      </c>
      <c r="F17" s="43">
        <f>+E17/D17</f>
        <v>0.7806481481481482</v>
      </c>
    </row>
    <row r="18" spans="2:6" x14ac:dyDescent="0.3">
      <c r="B18">
        <v>6</v>
      </c>
      <c r="C18" s="6" t="s">
        <v>184</v>
      </c>
      <c r="D18" s="8">
        <f>8820*24*30</f>
        <v>6350400</v>
      </c>
      <c r="E18" s="8">
        <v>5834880</v>
      </c>
      <c r="F18" s="43">
        <f>+E18/D18</f>
        <v>0.91882086167800459</v>
      </c>
    </row>
    <row r="19" spans="2:6" x14ac:dyDescent="0.3">
      <c r="B19">
        <v>7</v>
      </c>
      <c r="C19" s="6" t="s">
        <v>185</v>
      </c>
      <c r="D19" s="6"/>
      <c r="E19" s="8">
        <v>5834880</v>
      </c>
      <c r="F19" s="6"/>
    </row>
    <row r="20" spans="2:6" x14ac:dyDescent="0.3">
      <c r="B20">
        <v>8</v>
      </c>
      <c r="C20" s="6" t="s">
        <v>186</v>
      </c>
      <c r="D20" s="6"/>
      <c r="E20" s="8">
        <v>5834880</v>
      </c>
      <c r="F20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F787A557CF4E41B7FD33428A03229B" ma:contentTypeVersion="10" ma:contentTypeDescription="Crear nuevo documento." ma:contentTypeScope="" ma:versionID="b898884e0f5772ff725eb5c83ac2d376">
  <xsd:schema xmlns:xsd="http://www.w3.org/2001/XMLSchema" xmlns:xs="http://www.w3.org/2001/XMLSchema" xmlns:p="http://schemas.microsoft.com/office/2006/metadata/properties" xmlns:ns3="043edc3f-420b-4e08-b331-83684868bc7b" xmlns:ns4="7bb47a53-d0be-4ae6-b388-d820c34db808" targetNamespace="http://schemas.microsoft.com/office/2006/metadata/properties" ma:root="true" ma:fieldsID="12d973c3c360468056e72855c6bd0273" ns3:_="" ns4:_="">
    <xsd:import namespace="043edc3f-420b-4e08-b331-83684868bc7b"/>
    <xsd:import namespace="7bb47a53-d0be-4ae6-b388-d820c34db8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edc3f-420b-4e08-b331-83684868b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47a53-d0be-4ae6-b388-d820c34db8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BD61DB-D121-4C41-A471-4418FD648C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BE4D35-E99D-4190-8343-7F975521DD37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043edc3f-420b-4e08-b331-83684868bc7b"/>
    <ds:schemaRef ds:uri="http://schemas.microsoft.com/office/infopath/2007/PartnerControls"/>
    <ds:schemaRef ds:uri="http://www.w3.org/XML/1998/namespace"/>
    <ds:schemaRef ds:uri="http://purl.org/dc/terms/"/>
    <ds:schemaRef ds:uri="7bb47a53-d0be-4ae6-b388-d820c34db808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227983D-C9C3-450E-9680-B84725F81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3edc3f-420b-4e08-b331-83684868bc7b"/>
    <ds:schemaRef ds:uri="7bb47a53-d0be-4ae6-b388-d820c34db8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ACTUAL</vt:lpstr>
      <vt:lpstr>PROPUESTA</vt:lpstr>
      <vt:lpstr>POSTERIOR PROYECTO</vt:lpstr>
      <vt:lpstr>Sheet1</vt:lpstr>
      <vt:lpstr>CRONOGRAMA</vt:lpstr>
      <vt:lpstr>FLUJO DE CAJA </vt:lpstr>
      <vt:lpstr>RESUMEN</vt:lpstr>
      <vt:lpstr>INDICADORES</vt:lpstr>
      <vt:lpstr>ACTUAL!Print_Area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Sebastian</dc:creator>
  <cp:lastModifiedBy>juan duenas</cp:lastModifiedBy>
  <cp:lastPrinted>2024-06-27T02:58:20Z</cp:lastPrinted>
  <dcterms:created xsi:type="dcterms:W3CDTF">2024-06-10T12:04:57Z</dcterms:created>
  <dcterms:modified xsi:type="dcterms:W3CDTF">2024-06-27T03:08:23Z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0x01010008F787A557CF4E41B7FD33428A03229B</vt:lpwstr>
  </property>
</Properties>
</file>