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nkPad\Documents\u\APMG1\Tile-Tech\anexos\analisis-economico\"/>
    </mc:Choice>
  </mc:AlternateContent>
  <xr:revisionPtr revIDLastSave="0" documentId="13_ncr:1_{19E8D580-8D7F-4131-925B-AA3AFA9786C2}" xr6:coauthVersionLast="47" xr6:coauthVersionMax="47" xr10:uidLastSave="{00000000-0000-0000-0000-000000000000}"/>
  <bookViews>
    <workbookView xWindow="-108" yWindow="-108" windowWidth="23256" windowHeight="12456" tabRatio="664" xr2:uid="{F88F103A-AD35-45C9-9307-C4B5E54861C8}"/>
  </bookViews>
  <sheets>
    <sheet name="ACTUAL" sheetId="2" r:id="rId1"/>
    <sheet name="PROPUESTA" sheetId="3" r:id="rId2"/>
    <sheet name="CRONOGRAMA" sheetId="5" r:id="rId3"/>
    <sheet name="POSTERIOR PROYECTO" sheetId="7" r:id="rId4"/>
    <sheet name="FLUJO DE CAJA 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7" i="7" l="1"/>
  <c r="F23" i="3"/>
  <c r="H22" i="3"/>
  <c r="E53" i="2"/>
  <c r="E54" i="2"/>
  <c r="E55" i="2"/>
  <c r="E56" i="2"/>
  <c r="E57" i="2"/>
  <c r="E58" i="2"/>
  <c r="E59" i="2"/>
  <c r="E52" i="2"/>
  <c r="P9" i="1"/>
  <c r="P10" i="1"/>
  <c r="P6" i="1"/>
  <c r="P5" i="1"/>
  <c r="O9" i="1"/>
  <c r="O10" i="1"/>
  <c r="O6" i="1"/>
  <c r="O5" i="1"/>
  <c r="M10" i="1"/>
  <c r="N10" i="1" s="1"/>
  <c r="M9" i="1"/>
  <c r="N9" i="1" s="1"/>
  <c r="H12" i="7"/>
  <c r="D71" i="7"/>
  <c r="E45" i="7"/>
  <c r="E44" i="7"/>
  <c r="C49" i="7"/>
  <c r="E49" i="7" s="1"/>
  <c r="C46" i="7"/>
  <c r="C39" i="7"/>
  <c r="C40" i="7"/>
  <c r="C41" i="7"/>
  <c r="E41" i="7" s="1"/>
  <c r="C42" i="7"/>
  <c r="E42" i="7" s="1"/>
  <c r="C43" i="7"/>
  <c r="E43" i="7" s="1"/>
  <c r="C38" i="7"/>
  <c r="E38" i="7" s="1"/>
  <c r="C34" i="7"/>
  <c r="C35" i="7"/>
  <c r="E35" i="7" s="1"/>
  <c r="C33" i="7"/>
  <c r="C36" i="7" s="1"/>
  <c r="E36" i="7" s="1"/>
  <c r="C24" i="7"/>
  <c r="C25" i="7"/>
  <c r="E25" i="7" s="1"/>
  <c r="C26" i="7"/>
  <c r="E26" i="7" s="1"/>
  <c r="C27" i="7"/>
  <c r="E27" i="7" s="1"/>
  <c r="C28" i="7"/>
  <c r="E28" i="7" s="1"/>
  <c r="C23" i="7"/>
  <c r="E17" i="7"/>
  <c r="E16" i="7"/>
  <c r="E15" i="7"/>
  <c r="E14" i="7"/>
  <c r="E13" i="7"/>
  <c r="E12" i="7"/>
  <c r="E11" i="7"/>
  <c r="E10" i="7"/>
  <c r="E9" i="7"/>
  <c r="E8" i="7"/>
  <c r="E7" i="7"/>
  <c r="E6" i="7"/>
  <c r="D15" i="7"/>
  <c r="D16" i="7" s="1"/>
  <c r="D12" i="7"/>
  <c r="D13" i="7" s="1"/>
  <c r="D11" i="7"/>
  <c r="D10" i="7"/>
  <c r="D9" i="7"/>
  <c r="D8" i="7"/>
  <c r="D7" i="7"/>
  <c r="E5" i="7"/>
  <c r="F63" i="7"/>
  <c r="G63" i="7" s="1"/>
  <c r="E61" i="7"/>
  <c r="G61" i="7" s="1"/>
  <c r="D61" i="7"/>
  <c r="F60" i="7"/>
  <c r="G60" i="7" s="1"/>
  <c r="F59" i="7"/>
  <c r="G59" i="7" s="1"/>
  <c r="F58" i="7"/>
  <c r="G58" i="7" s="1"/>
  <c r="F57" i="7"/>
  <c r="G57" i="7" s="1"/>
  <c r="F56" i="7"/>
  <c r="G56" i="7" s="1"/>
  <c r="F55" i="7"/>
  <c r="G55" i="7" s="1"/>
  <c r="F54" i="7"/>
  <c r="G54" i="7" s="1"/>
  <c r="C47" i="7"/>
  <c r="E47" i="7" s="1"/>
  <c r="E46" i="7"/>
  <c r="E40" i="7"/>
  <c r="E39" i="7"/>
  <c r="E34" i="7"/>
  <c r="E33" i="7"/>
  <c r="E24" i="7"/>
  <c r="E23" i="7"/>
  <c r="C15" i="7"/>
  <c r="C16" i="7" s="1"/>
  <c r="C7" i="7"/>
  <c r="C9" i="7" s="1"/>
  <c r="C11" i="7" s="1"/>
  <c r="J14" i="1"/>
  <c r="E14" i="1"/>
  <c r="F14" i="1"/>
  <c r="H14" i="1"/>
  <c r="K14" i="1"/>
  <c r="M14" i="1"/>
  <c r="N14" i="1"/>
  <c r="D21" i="3"/>
  <c r="F21" i="3" s="1"/>
  <c r="H21" i="3" s="1"/>
  <c r="C42" i="3"/>
  <c r="C13" i="2"/>
  <c r="C14" i="2"/>
  <c r="G37" i="3"/>
  <c r="G38" i="3"/>
  <c r="G39" i="3"/>
  <c r="E36" i="3"/>
  <c r="D18" i="3"/>
  <c r="F18" i="3" s="1"/>
  <c r="H18" i="3" s="1"/>
  <c r="C28" i="3" s="1"/>
  <c r="D19" i="3"/>
  <c r="F19" i="3" s="1"/>
  <c r="H19" i="3" s="1"/>
  <c r="C29" i="3" s="1"/>
  <c r="D20" i="3"/>
  <c r="F20" i="3" s="1"/>
  <c r="H20" i="3" s="1"/>
  <c r="C30" i="3" s="1"/>
  <c r="D17" i="3"/>
  <c r="F17" i="3" s="1"/>
  <c r="H17" i="3" s="1"/>
  <c r="C27" i="3" s="1"/>
  <c r="D59" i="2"/>
  <c r="F58" i="2"/>
  <c r="F61" i="2"/>
  <c r="G61" i="2" s="1"/>
  <c r="F57" i="2"/>
  <c r="F60" i="2" s="1"/>
  <c r="G60" i="2" s="1"/>
  <c r="F56" i="2"/>
  <c r="G56" i="2" s="1"/>
  <c r="F55" i="2"/>
  <c r="F54" i="2"/>
  <c r="F53" i="2"/>
  <c r="F52" i="2"/>
  <c r="E47" i="2"/>
  <c r="C45" i="2"/>
  <c r="E45" i="2" s="1"/>
  <c r="E44" i="2"/>
  <c r="E41" i="2"/>
  <c r="E40" i="2"/>
  <c r="E39" i="2"/>
  <c r="E38" i="2"/>
  <c r="E37" i="2"/>
  <c r="E36" i="2"/>
  <c r="E33" i="2"/>
  <c r="E32" i="2"/>
  <c r="E31" i="2"/>
  <c r="C34" i="2"/>
  <c r="E34" i="2" s="1"/>
  <c r="E26" i="2"/>
  <c r="E25" i="2"/>
  <c r="E24" i="2"/>
  <c r="E23" i="2"/>
  <c r="E22" i="2"/>
  <c r="E21" i="2"/>
  <c r="C5" i="2"/>
  <c r="C7" i="2" s="1"/>
  <c r="H23" i="3" l="1"/>
  <c r="H24" i="3" s="1"/>
  <c r="G53" i="2"/>
  <c r="G58" i="2"/>
  <c r="G54" i="2"/>
  <c r="G55" i="2"/>
  <c r="G59" i="2"/>
  <c r="G52" i="2"/>
  <c r="E29" i="7"/>
  <c r="D68" i="7" s="1"/>
  <c r="D14" i="7"/>
  <c r="D17" i="7" s="1"/>
  <c r="F62" i="7"/>
  <c r="G62" i="7" s="1"/>
  <c r="G64" i="7"/>
  <c r="D70" i="7" s="1"/>
  <c r="E50" i="7"/>
  <c r="D69" i="7" s="1"/>
  <c r="C10" i="7"/>
  <c r="C12" i="7" s="1"/>
  <c r="C31" i="3"/>
  <c r="C33" i="3" s="1"/>
  <c r="C44" i="3" s="1"/>
  <c r="G36" i="3"/>
  <c r="G40" i="3" s="1"/>
  <c r="C45" i="3" s="1"/>
  <c r="E48" i="2"/>
  <c r="C67" i="2" s="1"/>
  <c r="G57" i="2"/>
  <c r="G62" i="2" s="1"/>
  <c r="C68" i="2" s="1"/>
  <c r="E27" i="2"/>
  <c r="C66" i="2" s="1"/>
  <c r="C9" i="2"/>
  <c r="C8" i="2"/>
  <c r="C10" i="2" s="1"/>
  <c r="D7" i="1" l="1"/>
  <c r="C68" i="7"/>
  <c r="E68" i="7" s="1"/>
  <c r="O8" i="1"/>
  <c r="P8" i="1"/>
  <c r="C12" i="2"/>
  <c r="C11" i="2"/>
  <c r="C15" i="2" s="1"/>
  <c r="D6" i="1" s="1"/>
  <c r="C70" i="7"/>
  <c r="E70" i="7" s="1"/>
  <c r="D9" i="1"/>
  <c r="E9" i="1" s="1"/>
  <c r="F9" i="1" s="1"/>
  <c r="G9" i="1" s="1"/>
  <c r="H9" i="1" s="1"/>
  <c r="I9" i="1" s="1"/>
  <c r="J9" i="1" s="1"/>
  <c r="K9" i="1" s="1"/>
  <c r="L9" i="1" s="1"/>
  <c r="O7" i="1"/>
  <c r="P7" i="1"/>
  <c r="C69" i="7"/>
  <c r="E69" i="7" s="1"/>
  <c r="D8" i="1"/>
  <c r="E8" i="1" s="1"/>
  <c r="F8" i="1" s="1"/>
  <c r="G8" i="1" s="1"/>
  <c r="H8" i="1" s="1"/>
  <c r="I8" i="1" s="1"/>
  <c r="C14" i="7"/>
  <c r="C13" i="7"/>
  <c r="C17" i="7" s="1"/>
  <c r="H30" i="3"/>
  <c r="K24" i="3"/>
  <c r="L24" i="3" s="1"/>
  <c r="C70" i="2" s="1"/>
  <c r="C72" i="7" s="1"/>
  <c r="D72" i="7" s="1"/>
  <c r="E72" i="7" s="1"/>
  <c r="C43" i="3"/>
  <c r="C46" i="3" s="1"/>
  <c r="C48" i="3" s="1"/>
  <c r="C50" i="3" s="1"/>
  <c r="D5" i="1"/>
  <c r="E5" i="1" s="1"/>
  <c r="F5" i="1" s="1"/>
  <c r="G5" i="1" s="1"/>
  <c r="H5" i="1" s="1"/>
  <c r="I5" i="1" s="1"/>
  <c r="O11" i="1" l="1"/>
  <c r="D25" i="1"/>
  <c r="C1" i="5"/>
  <c r="P11" i="1"/>
  <c r="D73" i="7"/>
  <c r="E6" i="1"/>
  <c r="F6" i="1" s="1"/>
  <c r="G6" i="1" s="1"/>
  <c r="H6" i="1" s="1"/>
  <c r="I6" i="1" s="1"/>
  <c r="C69" i="2"/>
  <c r="J8" i="1"/>
  <c r="K8" i="1" s="1"/>
  <c r="L8" i="1" s="1"/>
  <c r="N8" i="1"/>
  <c r="M8" i="1"/>
  <c r="J5" i="1"/>
  <c r="K5" i="1" s="1"/>
  <c r="L5" i="1" s="1"/>
  <c r="N5" i="1"/>
  <c r="M5" i="1"/>
  <c r="E7" i="1"/>
  <c r="C71" i="2"/>
  <c r="C72" i="2" s="1"/>
  <c r="C17" i="5" l="1"/>
  <c r="D14" i="1" s="1"/>
  <c r="N17" i="5"/>
  <c r="O14" i="1" s="1"/>
  <c r="H17" i="5"/>
  <c r="I14" i="1" s="1"/>
  <c r="K17" i="5"/>
  <c r="L14" i="1" s="1"/>
  <c r="F17" i="5"/>
  <c r="G14" i="1" s="1"/>
  <c r="J6" i="1"/>
  <c r="K6" i="1" s="1"/>
  <c r="L6" i="1" s="1"/>
  <c r="N6" i="1"/>
  <c r="M6" i="1"/>
  <c r="F7" i="1"/>
  <c r="C73" i="2"/>
  <c r="C75" i="2" s="1"/>
  <c r="C76" i="2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C74" i="7"/>
  <c r="D74" i="7" s="1"/>
  <c r="D10" i="1"/>
  <c r="C71" i="7"/>
  <c r="G7" i="1" l="1"/>
  <c r="E71" i="7"/>
  <c r="C73" i="7"/>
  <c r="E74" i="7"/>
  <c r="D75" i="7"/>
  <c r="E10" i="1"/>
  <c r="D11" i="1"/>
  <c r="D13" i="1" s="1"/>
  <c r="D15" i="1" s="1"/>
  <c r="D16" i="1" s="1"/>
  <c r="D17" i="1" s="1"/>
  <c r="P12" i="1"/>
  <c r="P13" i="1" s="1"/>
  <c r="P15" i="1" s="1"/>
  <c r="P16" i="1" s="1"/>
  <c r="Q16" i="1" s="1"/>
  <c r="R16" i="1" s="1"/>
  <c r="S16" i="1" s="1"/>
  <c r="T16" i="1" s="1"/>
  <c r="U16" i="1" s="1"/>
  <c r="V16" i="1" s="1"/>
  <c r="W16" i="1" s="1"/>
  <c r="O13" i="1"/>
  <c r="O15" i="1" s="1"/>
  <c r="O16" i="1" s="1"/>
  <c r="D77" i="7" l="1"/>
  <c r="H7" i="1"/>
  <c r="F10" i="1"/>
  <c r="E11" i="1"/>
  <c r="E13" i="1" s="1"/>
  <c r="E15" i="1" s="1"/>
  <c r="E16" i="1" s="1"/>
  <c r="C75" i="7"/>
  <c r="C77" i="7" s="1"/>
  <c r="C78" i="7" s="1"/>
  <c r="E73" i="7"/>
  <c r="X16" i="1"/>
  <c r="I7" i="1" l="1"/>
  <c r="E75" i="7"/>
  <c r="D21" i="1"/>
  <c r="E17" i="1"/>
  <c r="G10" i="1"/>
  <c r="F11" i="1"/>
  <c r="F13" i="1" s="1"/>
  <c r="F15" i="1" s="1"/>
  <c r="F16" i="1" s="1"/>
  <c r="D78" i="7"/>
  <c r="E78" i="7" s="1"/>
  <c r="F17" i="1" l="1"/>
  <c r="D22" i="1"/>
  <c r="E21" i="1"/>
  <c r="H10" i="1"/>
  <c r="G11" i="1"/>
  <c r="G13" i="1" s="1"/>
  <c r="G15" i="1" s="1"/>
  <c r="G16" i="1" s="1"/>
  <c r="M7" i="1"/>
  <c r="M11" i="1" s="1"/>
  <c r="M13" i="1" s="1"/>
  <c r="M15" i="1" s="1"/>
  <c r="M16" i="1" s="1"/>
  <c r="N7" i="1"/>
  <c r="N11" i="1" s="1"/>
  <c r="N13" i="1" s="1"/>
  <c r="N15" i="1" s="1"/>
  <c r="N16" i="1" s="1"/>
  <c r="J7" i="1"/>
  <c r="G17" i="1" l="1"/>
  <c r="I10" i="1"/>
  <c r="H11" i="1"/>
  <c r="H13" i="1" s="1"/>
  <c r="H15" i="1" s="1"/>
  <c r="H16" i="1" s="1"/>
  <c r="E22" i="1"/>
  <c r="F21" i="1"/>
  <c r="K7" i="1"/>
  <c r="H17" i="1" l="1"/>
  <c r="L7" i="1"/>
  <c r="J10" i="1"/>
  <c r="I11" i="1"/>
  <c r="I13" i="1" s="1"/>
  <c r="I15" i="1" s="1"/>
  <c r="I16" i="1" s="1"/>
  <c r="G21" i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F22" i="1"/>
  <c r="I17" i="1" l="1"/>
  <c r="K10" i="1"/>
  <c r="J11" i="1"/>
  <c r="J13" i="1" s="1"/>
  <c r="G22" i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J15" i="1" l="1"/>
  <c r="J16" i="1" s="1"/>
  <c r="J17" i="1" s="1"/>
  <c r="K13" i="1"/>
  <c r="L10" i="1"/>
  <c r="L11" i="1" s="1"/>
  <c r="K11" i="1"/>
  <c r="L13" i="1" l="1"/>
  <c r="L15" i="1" s="1"/>
  <c r="L16" i="1" s="1"/>
  <c r="K15" i="1"/>
  <c r="K16" i="1" s="1"/>
  <c r="K17" i="1" s="1"/>
  <c r="L17" i="1" l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</calcChain>
</file>

<file path=xl/sharedStrings.xml><?xml version="1.0" encoding="utf-8"?>
<sst xmlns="http://schemas.openxmlformats.org/spreadsheetml/2006/main" count="277" uniqueCount="163">
  <si>
    <t>PRODUCCION M2</t>
  </si>
  <si>
    <t>INGRESOS POR VENTAS</t>
  </si>
  <si>
    <t>PRECIO M2 DE BALDOSA</t>
  </si>
  <si>
    <t>MES</t>
  </si>
  <si>
    <t>Defectos 3,4%</t>
  </si>
  <si>
    <t>produccion menos defectos</t>
  </si>
  <si>
    <t>disponibilidad</t>
  </si>
  <si>
    <t>produccion final baldosas por hora</t>
  </si>
  <si>
    <t>produccion final en M2 por hora</t>
  </si>
  <si>
    <t>produccion final baldosas por mes</t>
  </si>
  <si>
    <t>produccion final en M2 por mes</t>
  </si>
  <si>
    <t>Produccion ideal</t>
  </si>
  <si>
    <t>ANTES DEL PROYECTO</t>
  </si>
  <si>
    <t>DESPUES DEL PROYECTO</t>
  </si>
  <si>
    <t>COSTOS Y GASTOS</t>
  </si>
  <si>
    <t>Materia primas</t>
  </si>
  <si>
    <t>Servicios</t>
  </si>
  <si>
    <t>RECURSO HUMANO</t>
  </si>
  <si>
    <t>Servicios (Mantenimiento) 1% ventas</t>
  </si>
  <si>
    <t>TOTAL COSTOS</t>
  </si>
  <si>
    <t>GASTOS 25%</t>
  </si>
  <si>
    <t>TOTAL EGRESOS</t>
  </si>
  <si>
    <t>EGRESOS</t>
  </si>
  <si>
    <t>Recurso Humano</t>
  </si>
  <si>
    <t>Arcilla</t>
  </si>
  <si>
    <t>Feldespatos</t>
  </si>
  <si>
    <t>Arenas</t>
  </si>
  <si>
    <t>Carbonatos</t>
  </si>
  <si>
    <t>Caolines</t>
  </si>
  <si>
    <t>ESMALTE</t>
  </si>
  <si>
    <t>TOTAL</t>
  </si>
  <si>
    <t>INSUMOS O MATERIALES</t>
  </si>
  <si>
    <t>CANTIDA MES</t>
  </si>
  <si>
    <t>VALOR Kg</t>
  </si>
  <si>
    <t>VALRO MES</t>
  </si>
  <si>
    <t>SERVICIOS PUBLICOS</t>
  </si>
  <si>
    <t>atomizador</t>
  </si>
  <si>
    <t>secador</t>
  </si>
  <si>
    <t>Horno</t>
  </si>
  <si>
    <t xml:space="preserve">COMBUSTIBLE GAS </t>
  </si>
  <si>
    <t xml:space="preserve">VALOR M3 </t>
  </si>
  <si>
    <t>molino</t>
  </si>
  <si>
    <t>prensa</t>
  </si>
  <si>
    <t>esmaltadora</t>
  </si>
  <si>
    <t>empaque</t>
  </si>
  <si>
    <t>paletizado</t>
  </si>
  <si>
    <t>otros planta</t>
  </si>
  <si>
    <t>ENERGIA</t>
  </si>
  <si>
    <t>CONSUMO M3 PROMEDIO MES</t>
  </si>
  <si>
    <t>VALOR MES</t>
  </si>
  <si>
    <t>CONSUMO KW PROMEDIO MES</t>
  </si>
  <si>
    <t xml:space="preserve">VALOR KW </t>
  </si>
  <si>
    <t>NA</t>
  </si>
  <si>
    <t>AGUA</t>
  </si>
  <si>
    <t>TOTAL SERVICIOS PUBLICO</t>
  </si>
  <si>
    <t>CARGO</t>
  </si>
  <si>
    <t>TOTAL CARGOS</t>
  </si>
  <si>
    <t>COSTO MES</t>
  </si>
  <si>
    <t>VALOR TOTAL MES</t>
  </si>
  <si>
    <t>MOLIENDA</t>
  </si>
  <si>
    <t>OPERARIO</t>
  </si>
  <si>
    <t>ATOMIZADO</t>
  </si>
  <si>
    <t>PRESADO</t>
  </si>
  <si>
    <t>SECADO</t>
  </si>
  <si>
    <t>ESMALTADO</t>
  </si>
  <si>
    <t xml:space="preserve">EMPAQUETADO </t>
  </si>
  <si>
    <t>PALETIZADO</t>
  </si>
  <si>
    <t>SUPERVISOR</t>
  </si>
  <si>
    <t>INGENIERO DE PRODUCCION</t>
  </si>
  <si>
    <t>AREA</t>
  </si>
  <si>
    <t>PUESTOS POR TURNO</t>
  </si>
  <si>
    <t>COSTO MES CARGO</t>
  </si>
  <si>
    <t>Servicios publicos</t>
  </si>
  <si>
    <t>Depresiacion (15 AÑOS)</t>
  </si>
  <si>
    <t>CONCEPTO</t>
  </si>
  <si>
    <t>VALOR</t>
  </si>
  <si>
    <t>TOTAL COSTOS Y GASTOS</t>
  </si>
  <si>
    <t>RENTABILIDAD</t>
  </si>
  <si>
    <t>% RENTABILIDAD</t>
  </si>
  <si>
    <t>INTERVENCIONES</t>
  </si>
  <si>
    <t>Nueva esmaltadora</t>
  </si>
  <si>
    <t>Implementar empacadora</t>
  </si>
  <si>
    <t>Robotizar el paletizado</t>
  </si>
  <si>
    <t>INVERSIONES</t>
  </si>
  <si>
    <t>Realizacion de los estudios y diseños integrales tecnicos y financieros del proyecto de automatizacion de la planta incluye la puesta en opoeración</t>
  </si>
  <si>
    <t>COSTOS DEL PROYECTO</t>
  </si>
  <si>
    <t>EQUIPOS</t>
  </si>
  <si>
    <t>TRM</t>
  </si>
  <si>
    <t>VALOR $US</t>
  </si>
  <si>
    <t>aranceles</t>
  </si>
  <si>
    <t>Valor puesto en colombia</t>
  </si>
  <si>
    <t>IVA</t>
  </si>
  <si>
    <t>VALOR FINAL</t>
  </si>
  <si>
    <t>Adquisición de Esmaltadora</t>
  </si>
  <si>
    <t>Adquisición  de empacadora</t>
  </si>
  <si>
    <t>Adquisición Robot KR22 R1610-2</t>
  </si>
  <si>
    <t>Gripper 2FGP20</t>
  </si>
  <si>
    <t>Adquisición de sensores y actuadores</t>
  </si>
  <si>
    <t xml:space="preserve">Instalación de Esmaltadora </t>
  </si>
  <si>
    <t>Instalación de Empacadora</t>
  </si>
  <si>
    <t>Instalación del robot</t>
  </si>
  <si>
    <t>Capacitacion y entrenamiento al personal</t>
  </si>
  <si>
    <t>NUMERO</t>
  </si>
  <si>
    <t xml:space="preserve">SALARIO </t>
  </si>
  <si>
    <t xml:space="preserve">TIEMPO </t>
  </si>
  <si>
    <t>VALOR TOTAL</t>
  </si>
  <si>
    <t>SUMINISTROS</t>
  </si>
  <si>
    <t>GASTOS DE DESPLAZAMIENTO</t>
  </si>
  <si>
    <t>OTROS GASTOS</t>
  </si>
  <si>
    <t>Ingeniero en formacion</t>
  </si>
  <si>
    <t>9 MESES</t>
  </si>
  <si>
    <t xml:space="preserve">VALOR COP </t>
  </si>
  <si>
    <t>INSTALACIONES DE EQUIPOS (Suministros transporte y mano de obra)</t>
  </si>
  <si>
    <t>ASESORIA Y ACOMPAÑAMIENTO</t>
  </si>
  <si>
    <t>PRECIO VENTA M2 calidad 1</t>
  </si>
  <si>
    <t>% calida 1 80%</t>
  </si>
  <si>
    <t>% cslidad 2  20%</t>
  </si>
  <si>
    <t>DISEÑO AUTOMATIZACION PLANTA</t>
  </si>
  <si>
    <t>SERIVICIOS INTALACION</t>
  </si>
  <si>
    <t>VALOR CON IVA</t>
  </si>
  <si>
    <t>Controlador</t>
  </si>
  <si>
    <t>Reja separadora</t>
  </si>
  <si>
    <t>Markup por Riesgos</t>
  </si>
  <si>
    <t>PRECIO ESTIMADO DEL PROYECTO</t>
  </si>
  <si>
    <t>C</t>
  </si>
  <si>
    <t xml:space="preserve">CRONOGRMA IMPLEMETACIÓN </t>
  </si>
  <si>
    <t>MESES</t>
  </si>
  <si>
    <t xml:space="preserve">EVALUCION Y DISEÑO </t>
  </si>
  <si>
    <t>ADQUISION Y RECEPCION EQUIPOS</t>
  </si>
  <si>
    <t>ISNTALACION Y PUESTA EN FUNCIONAMIENTO PROPUESTA</t>
  </si>
  <si>
    <t>ESTABILIZACION PRODUCCION</t>
  </si>
  <si>
    <t xml:space="preserve">CRONOGRMA PAGOS </t>
  </si>
  <si>
    <t>ANTICIPO</t>
  </si>
  <si>
    <t>1 PAGO PARCIAL</t>
  </si>
  <si>
    <t>2 PAGO</t>
  </si>
  <si>
    <t>3 PAGO</t>
  </si>
  <si>
    <t>ULTIMO PAGO</t>
  </si>
  <si>
    <t>VALOR PROYECTO</t>
  </si>
  <si>
    <t>PROYECTO INVERSION</t>
  </si>
  <si>
    <t>SALDO FINAL</t>
  </si>
  <si>
    <t>Fábrica produce 8820 baldosas por hora</t>
  </si>
  <si>
    <t>Se aumenta la produccion al superar el cuello de botella del esmaltado por lo cual el limite de produccion lo da el Horno.
Se reducen la perdidas de 3,4% AL 2,05%</t>
  </si>
  <si>
    <t>% VARIACION</t>
  </si>
  <si>
    <t>VALOR ACTAUL</t>
  </si>
  <si>
    <t>VALOR POSTERIOR PROYECTO</t>
  </si>
  <si>
    <t xml:space="preserve">GASTOS </t>
  </si>
  <si>
    <t>sin automatización</t>
  </si>
  <si>
    <t>costo del proyecto</t>
  </si>
  <si>
    <t>ACUMULADO</t>
  </si>
  <si>
    <t>SALDO</t>
  </si>
  <si>
    <t>EGRESOS +INVERSION</t>
  </si>
  <si>
    <t>PRECIO VENTA M2 calidad 2</t>
  </si>
  <si>
    <t>CANTIDA MES [kg]</t>
  </si>
  <si>
    <t xml:space="preserve">Consultoria del proyecto 12 MESES
</t>
  </si>
  <si>
    <t xml:space="preserve">Defectos </t>
  </si>
  <si>
    <t>Disponibilidad</t>
  </si>
  <si>
    <t>Produccion final baldosas por hora</t>
  </si>
  <si>
    <t>Produccion final en M2 por hora</t>
  </si>
  <si>
    <t>Produccion final baldosas por mes</t>
  </si>
  <si>
    <t>Produccion final en M2 por mes</t>
  </si>
  <si>
    <t>% calidad 2  20%</t>
  </si>
  <si>
    <t>Inicio de instalacion de equipos y la produción se afecta en un 50%</t>
  </si>
  <si>
    <t>Perido de transición produción en 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</si>
</sst>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* #,##0_-;\-* #,##0_-;_-* &quot;-&quot;??_-;_-@_-"/>
    <numFmt numFmtId="166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wrapText="1"/>
    </xf>
    <xf numFmtId="164" fontId="0" fillId="0" borderId="0" xfId="2" applyNumberFormat="1" applyFont="1"/>
    <xf numFmtId="0" fontId="0" fillId="2" borderId="0" xfId="0" applyFill="1"/>
    <xf numFmtId="165" fontId="0" fillId="0" borderId="0" xfId="1" applyNumberFormat="1" applyFont="1"/>
    <xf numFmtId="164" fontId="0" fillId="0" borderId="0" xfId="0" applyNumberFormat="1"/>
    <xf numFmtId="0" fontId="0" fillId="0" borderId="1" xfId="0" applyBorder="1"/>
    <xf numFmtId="0" fontId="3" fillId="0" borderId="1" xfId="0" applyFont="1" applyBorder="1"/>
    <xf numFmtId="0" fontId="0" fillId="0" borderId="0" xfId="0" applyAlignment="1">
      <alignment horizontal="center"/>
    </xf>
    <xf numFmtId="165" fontId="0" fillId="0" borderId="1" xfId="1" applyNumberFormat="1" applyFont="1" applyBorder="1"/>
    <xf numFmtId="164" fontId="0" fillId="0" borderId="1" xfId="2" applyNumberFormat="1" applyFont="1" applyBorder="1"/>
    <xf numFmtId="164" fontId="4" fillId="0" borderId="1" xfId="2" applyNumberFormat="1" applyFont="1" applyBorder="1"/>
    <xf numFmtId="0" fontId="0" fillId="0" borderId="6" xfId="0" applyBorder="1"/>
    <xf numFmtId="164" fontId="0" fillId="0" borderId="7" xfId="2" applyNumberFormat="1" applyFont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/>
    <xf numFmtId="164" fontId="2" fillId="0" borderId="0" xfId="2" applyNumberFormat="1" applyFont="1"/>
    <xf numFmtId="165" fontId="0" fillId="0" borderId="0" xfId="0" applyNumberFormat="1"/>
    <xf numFmtId="165" fontId="2" fillId="0" borderId="0" xfId="0" applyNumberFormat="1" applyFont="1"/>
    <xf numFmtId="0" fontId="0" fillId="0" borderId="1" xfId="0" applyBorder="1" applyAlignment="1">
      <alignment wrapText="1"/>
    </xf>
    <xf numFmtId="164" fontId="0" fillId="0" borderId="1" xfId="2" applyNumberFormat="1" applyFont="1" applyBorder="1" applyAlignment="1">
      <alignment vertical="center"/>
    </xf>
    <xf numFmtId="0" fontId="2" fillId="0" borderId="1" xfId="0" applyFont="1" applyBorder="1"/>
    <xf numFmtId="164" fontId="2" fillId="0" borderId="1" xfId="2" applyNumberFormat="1" applyFont="1" applyBorder="1" applyAlignment="1">
      <alignment vertical="center"/>
    </xf>
    <xf numFmtId="164" fontId="2" fillId="0" borderId="1" xfId="2" applyNumberFormat="1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165" fontId="0" fillId="0" borderId="1" xfId="1" applyNumberFormat="1" applyFont="1" applyFill="1" applyBorder="1"/>
    <xf numFmtId="164" fontId="2" fillId="0" borderId="0" xfId="0" applyNumberFormat="1" applyFont="1"/>
    <xf numFmtId="164" fontId="2" fillId="0" borderId="10" xfId="2" applyNumberFormat="1" applyFont="1" applyBorder="1"/>
    <xf numFmtId="165" fontId="0" fillId="0" borderId="1" xfId="1" applyNumberFormat="1" applyFont="1" applyBorder="1" applyAlignment="1">
      <alignment vertical="top"/>
    </xf>
    <xf numFmtId="164" fontId="2" fillId="0" borderId="1" xfId="0" applyNumberFormat="1" applyFont="1" applyBorder="1"/>
    <xf numFmtId="164" fontId="5" fillId="0" borderId="0" xfId="0" applyNumberFormat="1" applyFont="1"/>
    <xf numFmtId="164" fontId="0" fillId="0" borderId="1" xfId="0" applyNumberFormat="1" applyBorder="1"/>
    <xf numFmtId="164" fontId="5" fillId="0" borderId="1" xfId="0" applyNumberFormat="1" applyFont="1" applyBorder="1"/>
    <xf numFmtId="164" fontId="0" fillId="0" borderId="7" xfId="0" applyNumberFormat="1" applyBorder="1"/>
    <xf numFmtId="0" fontId="2" fillId="0" borderId="6" xfId="0" applyFont="1" applyBorder="1"/>
    <xf numFmtId="164" fontId="2" fillId="0" borderId="7" xfId="0" applyNumberFormat="1" applyFont="1" applyBorder="1"/>
    <xf numFmtId="0" fontId="3" fillId="0" borderId="8" xfId="0" applyFont="1" applyBorder="1"/>
    <xf numFmtId="164" fontId="5" fillId="0" borderId="10" xfId="0" applyNumberFormat="1" applyFont="1" applyBorder="1"/>
    <xf numFmtId="0" fontId="0" fillId="0" borderId="21" xfId="0" applyBorder="1"/>
    <xf numFmtId="164" fontId="0" fillId="0" borderId="22" xfId="0" applyNumberFormat="1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19" xfId="0" applyBorder="1"/>
    <xf numFmtId="164" fontId="0" fillId="0" borderId="19" xfId="2" applyNumberFormat="1" applyFont="1" applyBorder="1"/>
    <xf numFmtId="164" fontId="2" fillId="0" borderId="24" xfId="0" applyNumberFormat="1" applyFont="1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32" xfId="2" applyNumberFormat="1" applyFont="1" applyBorder="1"/>
    <xf numFmtId="9" fontId="0" fillId="0" borderId="0" xfId="3" applyFont="1"/>
    <xf numFmtId="0" fontId="5" fillId="0" borderId="0" xfId="0" applyFont="1"/>
    <xf numFmtId="166" fontId="5" fillId="0" borderId="0" xfId="3" applyNumberFormat="1" applyFont="1"/>
    <xf numFmtId="0" fontId="5" fillId="0" borderId="0" xfId="0" applyFont="1" applyAlignment="1">
      <alignment wrapText="1"/>
    </xf>
    <xf numFmtId="8" fontId="6" fillId="0" borderId="1" xfId="0" applyNumberFormat="1" applyFont="1" applyBorder="1"/>
    <xf numFmtId="9" fontId="0" fillId="0" borderId="1" xfId="3" applyFont="1" applyBorder="1"/>
    <xf numFmtId="0" fontId="6" fillId="0" borderId="1" xfId="0" applyFont="1" applyBorder="1" applyAlignment="1">
      <alignment wrapText="1"/>
    </xf>
    <xf numFmtId="8" fontId="6" fillId="0" borderId="1" xfId="0" applyNumberFormat="1" applyFont="1" applyBorder="1" applyAlignment="1">
      <alignment horizontal="right" wrapText="1"/>
    </xf>
    <xf numFmtId="9" fontId="0" fillId="0" borderId="19" xfId="3" applyFont="1" applyBorder="1"/>
    <xf numFmtId="0" fontId="2" fillId="0" borderId="16" xfId="0" applyFont="1" applyBorder="1"/>
    <xf numFmtId="0" fontId="0" fillId="5" borderId="16" xfId="0" applyFill="1" applyBorder="1"/>
    <xf numFmtId="0" fontId="0" fillId="5" borderId="18" xfId="0" applyFill="1" applyBorder="1"/>
    <xf numFmtId="0" fontId="0" fillId="5" borderId="17" xfId="0" applyFill="1" applyBorder="1"/>
    <xf numFmtId="164" fontId="5" fillId="0" borderId="17" xfId="2" applyNumberFormat="1" applyFont="1" applyBorder="1"/>
    <xf numFmtId="164" fontId="4" fillId="0" borderId="0" xfId="2" applyNumberFormat="1" applyFont="1"/>
    <xf numFmtId="0" fontId="0" fillId="0" borderId="16" xfId="0" applyBorder="1" applyAlignment="1">
      <alignment wrapText="1"/>
    </xf>
    <xf numFmtId="0" fontId="0" fillId="5" borderId="14" xfId="0" applyFill="1" applyBorder="1"/>
    <xf numFmtId="0" fontId="0" fillId="5" borderId="15" xfId="0" applyFill="1" applyBorder="1"/>
    <xf numFmtId="0" fontId="0" fillId="5" borderId="26" xfId="0" applyFill="1" applyBorder="1"/>
    <xf numFmtId="164" fontId="0" fillId="0" borderId="17" xfId="0" applyNumberFormat="1" applyBorder="1"/>
    <xf numFmtId="0" fontId="4" fillId="3" borderId="0" xfId="0" applyFont="1" applyFill="1"/>
    <xf numFmtId="0" fontId="2" fillId="3" borderId="0" xfId="0" applyFont="1" applyFill="1"/>
    <xf numFmtId="0" fontId="0" fillId="3" borderId="1" xfId="0" applyFill="1" applyBorder="1"/>
    <xf numFmtId="10" fontId="0" fillId="0" borderId="1" xfId="0" applyNumberFormat="1" applyBorder="1"/>
    <xf numFmtId="166" fontId="0" fillId="0" borderId="1" xfId="3" applyNumberFormat="1" applyFont="1" applyBorder="1"/>
    <xf numFmtId="0" fontId="4" fillId="3" borderId="1" xfId="0" applyFont="1" applyFill="1" applyBorder="1"/>
    <xf numFmtId="44" fontId="0" fillId="0" borderId="0" xfId="0" applyNumberFormat="1"/>
    <xf numFmtId="9" fontId="2" fillId="0" borderId="0" xfId="3" applyFont="1" applyBorder="1"/>
    <xf numFmtId="8" fontId="6" fillId="0" borderId="19" xfId="0" applyNumberFormat="1" applyFont="1" applyBorder="1" applyAlignment="1">
      <alignment horizontal="right" wrapText="1"/>
    </xf>
    <xf numFmtId="0" fontId="7" fillId="0" borderId="33" xfId="0" applyFont="1" applyBorder="1"/>
    <xf numFmtId="166" fontId="7" fillId="0" borderId="33" xfId="0" applyNumberFormat="1" applyFont="1" applyBorder="1"/>
    <xf numFmtId="44" fontId="0" fillId="0" borderId="1" xfId="2" applyFont="1" applyBorder="1"/>
    <xf numFmtId="44" fontId="0" fillId="0" borderId="1" xfId="0" applyNumberFormat="1" applyBorder="1"/>
    <xf numFmtId="0" fontId="7" fillId="0" borderId="0" xfId="0" applyFont="1" applyAlignment="1">
      <alignment wrapText="1"/>
    </xf>
    <xf numFmtId="10" fontId="0" fillId="0" borderId="1" xfId="3" applyNumberFormat="1" applyFont="1" applyBorder="1"/>
    <xf numFmtId="166" fontId="0" fillId="0" borderId="1" xfId="0" applyNumberFormat="1" applyBorder="1"/>
    <xf numFmtId="9" fontId="0" fillId="0" borderId="7" xfId="3" applyFont="1" applyBorder="1"/>
    <xf numFmtId="0" fontId="3" fillId="0" borderId="6" xfId="0" applyFont="1" applyBorder="1"/>
    <xf numFmtId="0" fontId="0" fillId="0" borderId="7" xfId="0" applyBorder="1"/>
    <xf numFmtId="0" fontId="5" fillId="0" borderId="6" xfId="0" applyFont="1" applyBorder="1"/>
    <xf numFmtId="0" fontId="5" fillId="0" borderId="8" xfId="0" applyFont="1" applyBorder="1"/>
    <xf numFmtId="166" fontId="5" fillId="0" borderId="9" xfId="3" applyNumberFormat="1" applyFont="1" applyBorder="1"/>
    <xf numFmtId="9" fontId="0" fillId="0" borderId="10" xfId="3" applyFont="1" applyBorder="1"/>
    <xf numFmtId="164" fontId="0" fillId="0" borderId="20" xfId="0" applyNumberFormat="1" applyBorder="1"/>
    <xf numFmtId="9" fontId="0" fillId="0" borderId="22" xfId="3" applyFont="1" applyBorder="1"/>
    <xf numFmtId="0" fontId="0" fillId="7" borderId="23" xfId="0" applyFill="1" applyBorder="1"/>
    <xf numFmtId="0" fontId="0" fillId="7" borderId="27" xfId="0" applyFill="1" applyBorder="1" applyAlignment="1">
      <alignment horizontal="center"/>
    </xf>
    <xf numFmtId="0" fontId="0" fillId="7" borderId="24" xfId="0" applyFill="1" applyBorder="1"/>
    <xf numFmtId="0" fontId="0" fillId="7" borderId="27" xfId="0" applyFill="1" applyBorder="1" applyAlignment="1">
      <alignment horizontal="center" wrapText="1"/>
    </xf>
    <xf numFmtId="0" fontId="2" fillId="3" borderId="1" xfId="0" applyFont="1" applyFill="1" applyBorder="1"/>
    <xf numFmtId="165" fontId="2" fillId="0" borderId="1" xfId="1" applyNumberFormat="1" applyFont="1" applyBorder="1"/>
    <xf numFmtId="0" fontId="0" fillId="6" borderId="1" xfId="0" applyFill="1" applyBorder="1"/>
    <xf numFmtId="9" fontId="0" fillId="0" borderId="1" xfId="0" applyNumberFormat="1" applyBorder="1"/>
    <xf numFmtId="0" fontId="0" fillId="0" borderId="31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0" borderId="25" xfId="0" applyFont="1" applyBorder="1" applyAlignment="1">
      <alignment horizontal="center" vertical="top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17" xfId="0" applyBorder="1" applyAlignment="1">
      <alignment horizontal="left"/>
    </xf>
    <xf numFmtId="0" fontId="2" fillId="0" borderId="0" xfId="0" applyFont="1" applyAlignment="1">
      <alignment horizontal="center" vertical="top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4" xfId="0" applyFill="1" applyBorder="1"/>
    <xf numFmtId="1" fontId="0" fillId="0" borderId="1" xfId="0" applyNumberFormat="1" applyBorder="1"/>
    <xf numFmtId="0" fontId="7" fillId="0" borderId="0" xfId="0" applyFont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9" fontId="7" fillId="0" borderId="0" xfId="0" applyNumberFormat="1" applyFont="1" applyAlignment="1">
      <alignment wrapText="1"/>
    </xf>
    <xf numFmtId="9" fontId="0" fillId="0" borderId="0" xfId="0" applyNumberFormat="1"/>
    <xf numFmtId="0" fontId="0" fillId="8" borderId="0" xfId="0" applyFill="1"/>
    <xf numFmtId="0" fontId="0" fillId="8" borderId="1" xfId="0" applyFill="1" applyBorder="1"/>
    <xf numFmtId="164" fontId="0" fillId="8" borderId="0" xfId="0" applyNumberFormat="1" applyFill="1"/>
    <xf numFmtId="164" fontId="0" fillId="8" borderId="1" xfId="0" applyNumberForma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403C-54EA-4DB7-A3C6-5ABA5B343DBD}">
  <dimension ref="B2:G76"/>
  <sheetViews>
    <sheetView tabSelected="1" topLeftCell="A57" zoomScale="85" zoomScaleNormal="85" workbookViewId="0">
      <selection activeCell="I55" sqref="I55"/>
    </sheetView>
  </sheetViews>
  <sheetFormatPr defaultColWidth="11.5546875" defaultRowHeight="14.4" x14ac:dyDescent="0.3"/>
  <cols>
    <col min="1" max="1" width="4.88671875" customWidth="1"/>
    <col min="2" max="2" width="31.88671875" customWidth="1"/>
    <col min="3" max="3" width="22.33203125" customWidth="1"/>
    <col min="4" max="4" width="15.6640625" customWidth="1"/>
    <col min="5" max="5" width="15.5546875" bestFit="1" customWidth="1"/>
    <col min="6" max="6" width="13" bestFit="1" customWidth="1"/>
    <col min="7" max="7" width="16.6640625" bestFit="1" customWidth="1"/>
  </cols>
  <sheetData>
    <row r="2" spans="2:3" x14ac:dyDescent="0.3">
      <c r="B2" s="6"/>
      <c r="C2" s="21" t="s">
        <v>12</v>
      </c>
    </row>
    <row r="3" spans="2:3" x14ac:dyDescent="0.3">
      <c r="B3" s="77" t="s">
        <v>11</v>
      </c>
      <c r="C3" s="6">
        <v>7200</v>
      </c>
    </row>
    <row r="4" spans="2:3" x14ac:dyDescent="0.3">
      <c r="B4" s="77" t="s">
        <v>4</v>
      </c>
      <c r="C4" s="78">
        <v>3.4000000000000002E-2</v>
      </c>
    </row>
    <row r="5" spans="2:3" x14ac:dyDescent="0.3">
      <c r="B5" s="77" t="s">
        <v>5</v>
      </c>
      <c r="C5" s="9">
        <f>7200*0.9613</f>
        <v>6921.3600000000006</v>
      </c>
    </row>
    <row r="6" spans="2:3" x14ac:dyDescent="0.3">
      <c r="B6" s="77" t="s">
        <v>6</v>
      </c>
      <c r="C6" s="79">
        <v>0.95599999999999996</v>
      </c>
    </row>
    <row r="7" spans="2:3" x14ac:dyDescent="0.3">
      <c r="B7" s="77" t="s">
        <v>7</v>
      </c>
      <c r="C7" s="9">
        <f>+C5*C6</f>
        <v>6616.8201600000002</v>
      </c>
    </row>
    <row r="8" spans="2:3" x14ac:dyDescent="0.3">
      <c r="B8" s="77" t="s">
        <v>8</v>
      </c>
      <c r="C8" s="9">
        <f>+C7/25</f>
        <v>264.67280640000001</v>
      </c>
    </row>
    <row r="9" spans="2:3" x14ac:dyDescent="0.3">
      <c r="B9" s="77" t="s">
        <v>9</v>
      </c>
      <c r="C9" s="9">
        <f>+C7*24*30</f>
        <v>4764110.5152000003</v>
      </c>
    </row>
    <row r="10" spans="2:3" x14ac:dyDescent="0.3">
      <c r="B10" s="77" t="s">
        <v>10</v>
      </c>
      <c r="C10" s="9">
        <f>+C8*24*30</f>
        <v>190564.42060800001</v>
      </c>
    </row>
    <row r="11" spans="2:3" x14ac:dyDescent="0.3">
      <c r="B11" s="77" t="s">
        <v>115</v>
      </c>
      <c r="C11" s="9">
        <f>+C10*0.8</f>
        <v>152451.53648640003</v>
      </c>
    </row>
    <row r="12" spans="2:3" x14ac:dyDescent="0.3">
      <c r="B12" s="77" t="s">
        <v>116</v>
      </c>
      <c r="C12" s="9">
        <f>+C10*0.2</f>
        <v>38112.884121600007</v>
      </c>
    </row>
    <row r="13" spans="2:3" x14ac:dyDescent="0.3">
      <c r="B13" s="77" t="s">
        <v>114</v>
      </c>
      <c r="C13" s="10">
        <f>30800</f>
        <v>30800</v>
      </c>
    </row>
    <row r="14" spans="2:3" x14ac:dyDescent="0.3">
      <c r="B14" s="77" t="s">
        <v>151</v>
      </c>
      <c r="C14" s="10">
        <f>+C13*60%</f>
        <v>18480</v>
      </c>
    </row>
    <row r="15" spans="2:3" ht="18" x14ac:dyDescent="0.35">
      <c r="B15" s="80" t="s">
        <v>1</v>
      </c>
      <c r="C15" s="11">
        <f>+INT(C11)*C13+INT(C12)*C14</f>
        <v>5399800560</v>
      </c>
    </row>
    <row r="16" spans="2:3" ht="18" x14ac:dyDescent="0.35">
      <c r="B16" s="75"/>
      <c r="C16" s="69"/>
    </row>
    <row r="17" spans="2:5" x14ac:dyDescent="0.3">
      <c r="B17" s="76"/>
      <c r="C17" s="20"/>
    </row>
    <row r="18" spans="2:5" ht="18" x14ac:dyDescent="0.3">
      <c r="B18" s="120" t="s">
        <v>14</v>
      </c>
      <c r="C18" s="120"/>
      <c r="D18" s="120"/>
      <c r="E18" s="120"/>
    </row>
    <row r="19" spans="2:5" ht="15" thickBot="1" x14ac:dyDescent="0.35"/>
    <row r="20" spans="2:5" x14ac:dyDescent="0.3">
      <c r="B20" s="14" t="s">
        <v>31</v>
      </c>
      <c r="C20" s="15" t="s">
        <v>152</v>
      </c>
      <c r="D20" s="15" t="s">
        <v>33</v>
      </c>
      <c r="E20" s="16" t="s">
        <v>34</v>
      </c>
    </row>
    <row r="21" spans="2:5" x14ac:dyDescent="0.3">
      <c r="B21" s="12" t="s">
        <v>24</v>
      </c>
      <c r="C21" s="138">
        <v>2302716</v>
      </c>
      <c r="D21" s="6">
        <v>572</v>
      </c>
      <c r="E21" s="13">
        <f>+D21*C21</f>
        <v>1317153552</v>
      </c>
    </row>
    <row r="22" spans="2:5" x14ac:dyDescent="0.3">
      <c r="B22" s="12" t="s">
        <v>25</v>
      </c>
      <c r="C22" s="138">
        <v>1151358</v>
      </c>
      <c r="D22" s="6">
        <v>220</v>
      </c>
      <c r="E22" s="13">
        <f t="shared" ref="E22:E26" si="0">+D22*C22</f>
        <v>253298760</v>
      </c>
    </row>
    <row r="23" spans="2:5" x14ac:dyDescent="0.3">
      <c r="B23" s="12" t="s">
        <v>26</v>
      </c>
      <c r="C23" s="138">
        <v>690814.79999999993</v>
      </c>
      <c r="D23" s="6">
        <v>272</v>
      </c>
      <c r="E23" s="13">
        <f t="shared" si="0"/>
        <v>187901625.59999999</v>
      </c>
    </row>
    <row r="24" spans="2:5" x14ac:dyDescent="0.3">
      <c r="B24" s="12" t="s">
        <v>27</v>
      </c>
      <c r="C24" s="138">
        <v>322380.24000000005</v>
      </c>
      <c r="D24" s="6">
        <v>879</v>
      </c>
      <c r="E24" s="13">
        <f t="shared" si="0"/>
        <v>283372230.96000004</v>
      </c>
    </row>
    <row r="25" spans="2:5" x14ac:dyDescent="0.3">
      <c r="B25" s="12" t="s">
        <v>28</v>
      </c>
      <c r="C25" s="138">
        <v>138162.96</v>
      </c>
      <c r="D25" s="6">
        <v>770</v>
      </c>
      <c r="E25" s="13">
        <f t="shared" si="0"/>
        <v>106385479.19999999</v>
      </c>
    </row>
    <row r="26" spans="2:5" x14ac:dyDescent="0.3">
      <c r="B26" s="12" t="s">
        <v>29</v>
      </c>
      <c r="C26" s="138">
        <v>92568</v>
      </c>
      <c r="D26" s="6">
        <v>900</v>
      </c>
      <c r="E26" s="13">
        <f t="shared" si="0"/>
        <v>83311200</v>
      </c>
    </row>
    <row r="27" spans="2:5" ht="15" thickBot="1" x14ac:dyDescent="0.35">
      <c r="B27" s="117" t="s">
        <v>30</v>
      </c>
      <c r="C27" s="118"/>
      <c r="D27" s="119"/>
      <c r="E27" s="32">
        <f>SUM(E21:E26)</f>
        <v>2231422847.7599998</v>
      </c>
    </row>
    <row r="29" spans="2:5" x14ac:dyDescent="0.3">
      <c r="B29" s="121" t="s">
        <v>35</v>
      </c>
      <c r="C29" s="121"/>
      <c r="D29" s="121"/>
      <c r="E29" s="121"/>
    </row>
    <row r="30" spans="2:5" ht="28.8" x14ac:dyDescent="0.3">
      <c r="B30" s="27" t="s">
        <v>39</v>
      </c>
      <c r="C30" s="28" t="s">
        <v>48</v>
      </c>
      <c r="D30" s="29" t="s">
        <v>40</v>
      </c>
      <c r="E30" s="29" t="s">
        <v>49</v>
      </c>
    </row>
    <row r="31" spans="2:5" x14ac:dyDescent="0.3">
      <c r="B31" s="6" t="s">
        <v>36</v>
      </c>
      <c r="C31" s="6">
        <v>141120</v>
      </c>
      <c r="D31" s="22">
        <v>2219</v>
      </c>
      <c r="E31" s="10">
        <f>+D31*C31</f>
        <v>313145280</v>
      </c>
    </row>
    <row r="32" spans="2:5" x14ac:dyDescent="0.3">
      <c r="B32" s="6" t="s">
        <v>37</v>
      </c>
      <c r="C32" s="6">
        <v>18000</v>
      </c>
      <c r="D32" s="22">
        <v>2219</v>
      </c>
      <c r="E32" s="10">
        <f t="shared" ref="E32:E34" si="1">+D32*C32</f>
        <v>39942000</v>
      </c>
    </row>
    <row r="33" spans="2:5" x14ac:dyDescent="0.3">
      <c r="B33" s="6" t="s">
        <v>38</v>
      </c>
      <c r="C33" s="6">
        <v>108000</v>
      </c>
      <c r="D33" s="22">
        <v>2219</v>
      </c>
      <c r="E33" s="10">
        <f t="shared" si="1"/>
        <v>239652000</v>
      </c>
    </row>
    <row r="34" spans="2:5" x14ac:dyDescent="0.3">
      <c r="B34" s="23" t="s">
        <v>30</v>
      </c>
      <c r="C34" s="23">
        <f>SUM(C31:C33)</f>
        <v>267120</v>
      </c>
      <c r="D34" s="24">
        <v>2219</v>
      </c>
      <c r="E34" s="25">
        <f t="shared" si="1"/>
        <v>592739280</v>
      </c>
    </row>
    <row r="35" spans="2:5" ht="28.8" x14ac:dyDescent="0.3">
      <c r="B35" s="29" t="s">
        <v>47</v>
      </c>
      <c r="C35" s="28" t="s">
        <v>50</v>
      </c>
      <c r="D35" s="29" t="s">
        <v>51</v>
      </c>
      <c r="E35" s="29" t="s">
        <v>49</v>
      </c>
    </row>
    <row r="36" spans="2:5" x14ac:dyDescent="0.3">
      <c r="B36" s="6" t="s">
        <v>41</v>
      </c>
      <c r="C36" s="30">
        <v>36000</v>
      </c>
      <c r="D36" s="22">
        <v>845</v>
      </c>
      <c r="E36" s="10">
        <f>+D36*C36</f>
        <v>30420000</v>
      </c>
    </row>
    <row r="37" spans="2:5" x14ac:dyDescent="0.3">
      <c r="B37" s="6" t="s">
        <v>36</v>
      </c>
      <c r="C37" s="30">
        <v>96000</v>
      </c>
      <c r="D37" s="22">
        <v>845</v>
      </c>
      <c r="E37" s="10">
        <f t="shared" ref="E37:E47" si="2">+D37*C37</f>
        <v>81120000</v>
      </c>
    </row>
    <row r="38" spans="2:5" x14ac:dyDescent="0.3">
      <c r="B38" s="6" t="s">
        <v>42</v>
      </c>
      <c r="C38" s="30">
        <v>24000</v>
      </c>
      <c r="D38" s="22">
        <v>845</v>
      </c>
      <c r="E38" s="10">
        <f t="shared" si="2"/>
        <v>20280000</v>
      </c>
    </row>
    <row r="39" spans="2:5" x14ac:dyDescent="0.3">
      <c r="B39" s="6" t="s">
        <v>37</v>
      </c>
      <c r="C39" s="30">
        <v>1500</v>
      </c>
      <c r="D39" s="22">
        <v>845</v>
      </c>
      <c r="E39" s="10">
        <f t="shared" si="2"/>
        <v>1267500</v>
      </c>
    </row>
    <row r="40" spans="2:5" x14ac:dyDescent="0.3">
      <c r="B40" s="6" t="s">
        <v>43</v>
      </c>
      <c r="C40" s="30">
        <v>21600</v>
      </c>
      <c r="D40" s="22">
        <v>845</v>
      </c>
      <c r="E40" s="10">
        <f t="shared" si="2"/>
        <v>18252000</v>
      </c>
    </row>
    <row r="41" spans="2:5" x14ac:dyDescent="0.3">
      <c r="B41" s="6" t="s">
        <v>38</v>
      </c>
      <c r="C41" s="30">
        <v>1700</v>
      </c>
      <c r="D41" s="22">
        <v>845</v>
      </c>
      <c r="E41" s="10">
        <f t="shared" si="2"/>
        <v>1436500</v>
      </c>
    </row>
    <row r="42" spans="2:5" x14ac:dyDescent="0.3">
      <c r="B42" s="6" t="s">
        <v>44</v>
      </c>
      <c r="C42" s="30" t="s">
        <v>52</v>
      </c>
      <c r="D42" s="22">
        <v>845</v>
      </c>
      <c r="E42" s="30" t="s">
        <v>52</v>
      </c>
    </row>
    <row r="43" spans="2:5" x14ac:dyDescent="0.3">
      <c r="B43" s="6" t="s">
        <v>45</v>
      </c>
      <c r="C43" s="30" t="s">
        <v>52</v>
      </c>
      <c r="D43" s="22">
        <v>845</v>
      </c>
      <c r="E43" s="30" t="s">
        <v>52</v>
      </c>
    </row>
    <row r="44" spans="2:5" x14ac:dyDescent="0.3">
      <c r="B44" s="6" t="s">
        <v>46</v>
      </c>
      <c r="C44" s="30">
        <v>12600</v>
      </c>
      <c r="D44" s="22">
        <v>845</v>
      </c>
      <c r="E44" s="10">
        <f t="shared" si="2"/>
        <v>10647000</v>
      </c>
    </row>
    <row r="45" spans="2:5" x14ac:dyDescent="0.3">
      <c r="B45" s="23" t="s">
        <v>30</v>
      </c>
      <c r="C45" s="26">
        <f>SUM(C36:C44)</f>
        <v>193400</v>
      </c>
      <c r="D45" s="24">
        <v>845</v>
      </c>
      <c r="E45" s="25">
        <f t="shared" si="2"/>
        <v>163423000</v>
      </c>
    </row>
    <row r="46" spans="2:5" ht="28.8" x14ac:dyDescent="0.3">
      <c r="B46" s="23" t="s">
        <v>53</v>
      </c>
      <c r="C46" s="28" t="s">
        <v>48</v>
      </c>
      <c r="D46" s="29" t="s">
        <v>40</v>
      </c>
      <c r="E46" s="29" t="s">
        <v>49</v>
      </c>
    </row>
    <row r="47" spans="2:5" x14ac:dyDescent="0.3">
      <c r="B47" s="23" t="s">
        <v>41</v>
      </c>
      <c r="C47" s="23">
        <v>86400</v>
      </c>
      <c r="D47" s="23">
        <v>28.7</v>
      </c>
      <c r="E47" s="25">
        <f t="shared" si="2"/>
        <v>2479680</v>
      </c>
    </row>
    <row r="48" spans="2:5" x14ac:dyDescent="0.3">
      <c r="B48" s="122" t="s">
        <v>54</v>
      </c>
      <c r="C48" s="123"/>
      <c r="D48" s="123"/>
      <c r="E48" s="31">
        <f>+E47+E45+E34</f>
        <v>758641960</v>
      </c>
    </row>
    <row r="49" spans="2:7" x14ac:dyDescent="0.3">
      <c r="D49" s="17"/>
    </row>
    <row r="50" spans="2:7" ht="15" thickBot="1" x14ac:dyDescent="0.35">
      <c r="C50" t="s">
        <v>17</v>
      </c>
    </row>
    <row r="51" spans="2:7" ht="28.8" x14ac:dyDescent="0.3">
      <c r="B51" s="50" t="s">
        <v>55</v>
      </c>
      <c r="C51" s="51" t="s">
        <v>69</v>
      </c>
      <c r="D51" s="52" t="s">
        <v>70</v>
      </c>
      <c r="E51" s="52" t="s">
        <v>56</v>
      </c>
      <c r="F51" s="52" t="s">
        <v>71</v>
      </c>
      <c r="G51" s="53" t="s">
        <v>58</v>
      </c>
    </row>
    <row r="52" spans="2:7" x14ac:dyDescent="0.3">
      <c r="B52" s="111" t="s">
        <v>60</v>
      </c>
      <c r="C52" s="6" t="s">
        <v>59</v>
      </c>
      <c r="D52" s="6">
        <v>1</v>
      </c>
      <c r="E52" s="6">
        <f>4*D52</f>
        <v>4</v>
      </c>
      <c r="F52" s="10">
        <f t="shared" ref="F52:F58" si="3">1700000*1.56</f>
        <v>2652000</v>
      </c>
      <c r="G52" s="13">
        <f t="shared" ref="G52:G61" si="4">+F52*E52</f>
        <v>10608000</v>
      </c>
    </row>
    <row r="53" spans="2:7" x14ac:dyDescent="0.3">
      <c r="B53" s="112"/>
      <c r="C53" s="6" t="s">
        <v>61</v>
      </c>
      <c r="D53" s="6">
        <v>1</v>
      </c>
      <c r="E53" s="6">
        <f t="shared" ref="E53:E59" si="5">4*D53</f>
        <v>4</v>
      </c>
      <c r="F53" s="10">
        <f t="shared" si="3"/>
        <v>2652000</v>
      </c>
      <c r="G53" s="13">
        <f t="shared" si="4"/>
        <v>10608000</v>
      </c>
    </row>
    <row r="54" spans="2:7" x14ac:dyDescent="0.3">
      <c r="B54" s="112"/>
      <c r="C54" s="6" t="s">
        <v>62</v>
      </c>
      <c r="D54" s="6">
        <v>2</v>
      </c>
      <c r="E54" s="6">
        <f t="shared" si="5"/>
        <v>8</v>
      </c>
      <c r="F54" s="10">
        <f t="shared" si="3"/>
        <v>2652000</v>
      </c>
      <c r="G54" s="13">
        <f t="shared" si="4"/>
        <v>21216000</v>
      </c>
    </row>
    <row r="55" spans="2:7" x14ac:dyDescent="0.3">
      <c r="B55" s="112"/>
      <c r="C55" s="6" t="s">
        <v>63</v>
      </c>
      <c r="D55" s="6">
        <v>1</v>
      </c>
      <c r="E55" s="6">
        <f t="shared" si="5"/>
        <v>4</v>
      </c>
      <c r="F55" s="10">
        <f t="shared" si="3"/>
        <v>2652000</v>
      </c>
      <c r="G55" s="13">
        <f t="shared" si="4"/>
        <v>10608000</v>
      </c>
    </row>
    <row r="56" spans="2:7" x14ac:dyDescent="0.3">
      <c r="B56" s="112"/>
      <c r="C56" s="6" t="s">
        <v>64</v>
      </c>
      <c r="D56" s="6">
        <v>1</v>
      </c>
      <c r="E56" s="6">
        <f t="shared" si="5"/>
        <v>4</v>
      </c>
      <c r="F56" s="10">
        <f t="shared" si="3"/>
        <v>2652000</v>
      </c>
      <c r="G56" s="13">
        <f t="shared" si="4"/>
        <v>10608000</v>
      </c>
    </row>
    <row r="57" spans="2:7" x14ac:dyDescent="0.3">
      <c r="B57" s="112"/>
      <c r="C57" s="6" t="s">
        <v>65</v>
      </c>
      <c r="D57" s="6">
        <v>4</v>
      </c>
      <c r="E57" s="6">
        <f t="shared" si="5"/>
        <v>16</v>
      </c>
      <c r="F57" s="10">
        <f t="shared" si="3"/>
        <v>2652000</v>
      </c>
      <c r="G57" s="13">
        <f t="shared" si="4"/>
        <v>42432000</v>
      </c>
    </row>
    <row r="58" spans="2:7" x14ac:dyDescent="0.3">
      <c r="B58" s="112"/>
      <c r="C58" s="6" t="s">
        <v>66</v>
      </c>
      <c r="D58" s="6">
        <v>6</v>
      </c>
      <c r="E58" s="6">
        <f t="shared" si="5"/>
        <v>24</v>
      </c>
      <c r="F58" s="10">
        <f t="shared" si="3"/>
        <v>2652000</v>
      </c>
      <c r="G58" s="13">
        <f t="shared" si="4"/>
        <v>63648000</v>
      </c>
    </row>
    <row r="59" spans="2:7" x14ac:dyDescent="0.3">
      <c r="B59" s="113"/>
      <c r="C59" s="6" t="s">
        <v>30</v>
      </c>
      <c r="D59" s="6">
        <f>SUM(D52:D58)</f>
        <v>16</v>
      </c>
      <c r="E59" s="6">
        <f t="shared" si="5"/>
        <v>64</v>
      </c>
      <c r="F59" s="10"/>
      <c r="G59" s="13">
        <f t="shared" si="4"/>
        <v>0</v>
      </c>
    </row>
    <row r="60" spans="2:7" x14ac:dyDescent="0.3">
      <c r="B60" s="124" t="s">
        <v>67</v>
      </c>
      <c r="C60" s="125"/>
      <c r="D60" s="6">
        <v>2</v>
      </c>
      <c r="E60" s="6">
        <v>8</v>
      </c>
      <c r="F60" s="10">
        <f>+F57*3</f>
        <v>7956000</v>
      </c>
      <c r="G60" s="13">
        <f t="shared" si="4"/>
        <v>63648000</v>
      </c>
    </row>
    <row r="61" spans="2:7" ht="15" thickBot="1" x14ac:dyDescent="0.35">
      <c r="B61" s="108" t="s">
        <v>68</v>
      </c>
      <c r="C61" s="109"/>
      <c r="D61" s="110"/>
      <c r="E61" s="47">
        <v>1</v>
      </c>
      <c r="F61" s="48">
        <f>7000000*1.56</f>
        <v>10920000</v>
      </c>
      <c r="G61" s="54">
        <f t="shared" si="4"/>
        <v>10920000</v>
      </c>
    </row>
    <row r="62" spans="2:7" ht="15" thickBot="1" x14ac:dyDescent="0.35">
      <c r="B62" s="114" t="s">
        <v>30</v>
      </c>
      <c r="C62" s="115"/>
      <c r="D62" s="115"/>
      <c r="E62" s="115"/>
      <c r="F62" s="115"/>
      <c r="G62" s="49">
        <f>SUM(G52:G61)</f>
        <v>244296000</v>
      </c>
    </row>
    <row r="63" spans="2:7" x14ac:dyDescent="0.3">
      <c r="B63" s="8"/>
      <c r="C63" s="8"/>
      <c r="D63" s="8"/>
      <c r="E63" s="8"/>
      <c r="F63" s="8"/>
      <c r="G63" s="31"/>
    </row>
    <row r="64" spans="2:7" ht="22.5" customHeight="1" thickBot="1" x14ac:dyDescent="0.35">
      <c r="B64" s="116" t="s">
        <v>14</v>
      </c>
      <c r="C64" s="116"/>
      <c r="D64" s="8"/>
      <c r="E64" s="8"/>
      <c r="F64" s="8"/>
      <c r="G64" s="31"/>
    </row>
    <row r="65" spans="2:3" ht="15" thickBot="1" x14ac:dyDescent="0.35">
      <c r="B65" s="45" t="s">
        <v>74</v>
      </c>
      <c r="C65" s="46" t="s">
        <v>75</v>
      </c>
    </row>
    <row r="66" spans="2:3" x14ac:dyDescent="0.3">
      <c r="B66" s="43" t="s">
        <v>15</v>
      </c>
      <c r="C66" s="44">
        <f>+E27</f>
        <v>2231422847.7599998</v>
      </c>
    </row>
    <row r="67" spans="2:3" x14ac:dyDescent="0.3">
      <c r="B67" s="12" t="s">
        <v>72</v>
      </c>
      <c r="C67" s="38">
        <f>+E48</f>
        <v>758641960</v>
      </c>
    </row>
    <row r="68" spans="2:3" x14ac:dyDescent="0.3">
      <c r="B68" s="12" t="s">
        <v>17</v>
      </c>
      <c r="C68" s="38">
        <f>+G62</f>
        <v>244296000</v>
      </c>
    </row>
    <row r="69" spans="2:3" x14ac:dyDescent="0.3">
      <c r="B69" s="12" t="s">
        <v>18</v>
      </c>
      <c r="C69" s="38">
        <f>+C15*1%</f>
        <v>53998005.600000001</v>
      </c>
    </row>
    <row r="70" spans="2:3" x14ac:dyDescent="0.3">
      <c r="B70" s="12" t="s">
        <v>73</v>
      </c>
      <c r="C70" s="38">
        <f>+PROPUESTA!L24</f>
        <v>44720100.233044446</v>
      </c>
    </row>
    <row r="71" spans="2:3" x14ac:dyDescent="0.3">
      <c r="B71" s="39" t="s">
        <v>19</v>
      </c>
      <c r="C71" s="40">
        <f>SUM(C66:C70)</f>
        <v>3333078913.5930443</v>
      </c>
    </row>
    <row r="72" spans="2:3" x14ac:dyDescent="0.3">
      <c r="B72" s="39" t="s">
        <v>20</v>
      </c>
      <c r="C72" s="40">
        <f>+C71*0.25</f>
        <v>833269728.39826107</v>
      </c>
    </row>
    <row r="73" spans="2:3" ht="18" thickBot="1" x14ac:dyDescent="0.4">
      <c r="B73" s="41" t="s">
        <v>76</v>
      </c>
      <c r="C73" s="42">
        <f>+C72+C71</f>
        <v>4166348641.9913054</v>
      </c>
    </row>
    <row r="75" spans="2:3" ht="15.6" x14ac:dyDescent="0.3">
      <c r="B75" s="56" t="s">
        <v>77</v>
      </c>
      <c r="C75" s="35">
        <f>+C15-C73</f>
        <v>1233451918.0086946</v>
      </c>
    </row>
    <row r="76" spans="2:3" ht="15.6" x14ac:dyDescent="0.3">
      <c r="B76" s="56" t="s">
        <v>78</v>
      </c>
      <c r="C76" s="57">
        <f>+C75/C15</f>
        <v>0.22842545836705766</v>
      </c>
    </row>
  </sheetData>
  <mergeCells count="9">
    <mergeCell ref="B18:E18"/>
    <mergeCell ref="B29:E29"/>
    <mergeCell ref="B48:D48"/>
    <mergeCell ref="B60:C60"/>
    <mergeCell ref="B61:D61"/>
    <mergeCell ref="B52:B59"/>
    <mergeCell ref="B62:F62"/>
    <mergeCell ref="B64:C64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3426-E21D-4B87-859C-E536AB3C07D4}">
  <dimension ref="B2:L50"/>
  <sheetViews>
    <sheetView topLeftCell="A28" workbookViewId="0">
      <selection activeCell="F36" sqref="F36"/>
    </sheetView>
  </sheetViews>
  <sheetFormatPr defaultColWidth="11.5546875" defaultRowHeight="14.4" x14ac:dyDescent="0.3"/>
  <cols>
    <col min="2" max="2" width="36.5546875" customWidth="1"/>
    <col min="3" max="3" width="17.109375" customWidth="1"/>
    <col min="4" max="4" width="15.33203125" customWidth="1"/>
    <col min="5" max="5" width="13.33203125" customWidth="1"/>
    <col min="6" max="6" width="14" bestFit="1" customWidth="1"/>
    <col min="7" max="7" width="12.88671875" customWidth="1"/>
    <col min="8" max="8" width="17.33203125" bestFit="1" customWidth="1"/>
  </cols>
  <sheetData>
    <row r="2" spans="2:8" x14ac:dyDescent="0.3">
      <c r="B2" s="129" t="s">
        <v>79</v>
      </c>
      <c r="C2" s="129"/>
      <c r="D2" s="129"/>
    </row>
    <row r="3" spans="2:8" x14ac:dyDescent="0.3">
      <c r="B3" s="129" t="s">
        <v>80</v>
      </c>
      <c r="C3" s="129"/>
      <c r="D3" s="129"/>
    </row>
    <row r="4" spans="2:8" x14ac:dyDescent="0.3">
      <c r="B4" s="129" t="s">
        <v>81</v>
      </c>
      <c r="C4" s="129"/>
      <c r="D4" s="129"/>
    </row>
    <row r="5" spans="2:8" x14ac:dyDescent="0.3">
      <c r="B5" s="129" t="s">
        <v>82</v>
      </c>
      <c r="C5" s="129"/>
      <c r="D5" s="129"/>
    </row>
    <row r="7" spans="2:8" x14ac:dyDescent="0.3">
      <c r="B7" t="s">
        <v>83</v>
      </c>
    </row>
    <row r="9" spans="2:8" x14ac:dyDescent="0.3">
      <c r="B9" s="126" t="s">
        <v>153</v>
      </c>
      <c r="C9" s="126"/>
      <c r="D9" s="126"/>
      <c r="E9" s="126"/>
      <c r="F9" s="126"/>
    </row>
    <row r="10" spans="2:8" x14ac:dyDescent="0.3">
      <c r="B10" t="s">
        <v>84</v>
      </c>
    </row>
    <row r="12" spans="2:8" x14ac:dyDescent="0.3">
      <c r="B12" t="s">
        <v>85</v>
      </c>
    </row>
    <row r="13" spans="2:8" x14ac:dyDescent="0.3">
      <c r="B13" t="s">
        <v>117</v>
      </c>
      <c r="C13" s="2">
        <v>300000000</v>
      </c>
    </row>
    <row r="14" spans="2:8" ht="15.6" x14ac:dyDescent="0.3">
      <c r="B14" s="58" t="s">
        <v>86</v>
      </c>
    </row>
    <row r="15" spans="2:8" x14ac:dyDescent="0.3">
      <c r="B15" t="s">
        <v>87</v>
      </c>
      <c r="C15" s="4">
        <v>3900</v>
      </c>
    </row>
    <row r="16" spans="2:8" ht="28.8" x14ac:dyDescent="0.3">
      <c r="B16" s="21" t="s">
        <v>86</v>
      </c>
      <c r="C16" s="21" t="s">
        <v>88</v>
      </c>
      <c r="D16" s="21" t="s">
        <v>111</v>
      </c>
      <c r="E16" s="21" t="s">
        <v>89</v>
      </c>
      <c r="F16" s="21" t="s">
        <v>90</v>
      </c>
      <c r="G16" s="21" t="s">
        <v>91</v>
      </c>
      <c r="H16" s="21" t="s">
        <v>92</v>
      </c>
    </row>
    <row r="17" spans="2:12" x14ac:dyDescent="0.3">
      <c r="B17" s="6" t="s">
        <v>93</v>
      </c>
      <c r="C17" s="59">
        <v>10000</v>
      </c>
      <c r="D17" s="10">
        <f>+C17*$C$15</f>
        <v>39000000</v>
      </c>
      <c r="E17" s="60">
        <v>0.05</v>
      </c>
      <c r="F17" s="10">
        <f>+D17*1.05</f>
        <v>40950000</v>
      </c>
      <c r="G17" s="60">
        <v>0.19</v>
      </c>
      <c r="H17" s="10">
        <f>+F17*1.19</f>
        <v>48730500</v>
      </c>
    </row>
    <row r="18" spans="2:12" x14ac:dyDescent="0.3">
      <c r="B18" s="6" t="s">
        <v>94</v>
      </c>
      <c r="C18" s="59">
        <v>80946.67</v>
      </c>
      <c r="D18" s="10">
        <f t="shared" ref="D18:D23" si="0">+C18*$C$15</f>
        <v>315692013</v>
      </c>
      <c r="E18" s="60">
        <v>0.05</v>
      </c>
      <c r="F18" s="10">
        <f t="shared" ref="F18:F23" si="1">+D18*1.05</f>
        <v>331476613.65000004</v>
      </c>
      <c r="G18" s="60">
        <v>0.19</v>
      </c>
      <c r="H18" s="10">
        <f t="shared" ref="H18:H23" si="2">+F18*1.19</f>
        <v>394457170.24350005</v>
      </c>
    </row>
    <row r="19" spans="2:12" x14ac:dyDescent="0.3">
      <c r="B19" s="61" t="s">
        <v>95</v>
      </c>
      <c r="C19" s="62">
        <v>82000</v>
      </c>
      <c r="D19" s="10">
        <f t="shared" si="0"/>
        <v>319800000</v>
      </c>
      <c r="E19" s="60">
        <v>0.05</v>
      </c>
      <c r="F19" s="10">
        <f t="shared" si="1"/>
        <v>335790000</v>
      </c>
      <c r="G19" s="60">
        <v>0.19</v>
      </c>
      <c r="H19" s="10">
        <f t="shared" si="2"/>
        <v>399590100</v>
      </c>
    </row>
    <row r="20" spans="2:12" x14ac:dyDescent="0.3">
      <c r="B20" s="61" t="s">
        <v>96</v>
      </c>
      <c r="C20" s="62">
        <v>12700</v>
      </c>
      <c r="D20" s="10">
        <f t="shared" si="0"/>
        <v>49530000</v>
      </c>
      <c r="E20" s="60">
        <v>0.05</v>
      </c>
      <c r="F20" s="10">
        <f t="shared" si="1"/>
        <v>52006500</v>
      </c>
      <c r="G20" s="60">
        <v>0.19</v>
      </c>
      <c r="H20" s="10">
        <f t="shared" si="2"/>
        <v>61887735</v>
      </c>
    </row>
    <row r="21" spans="2:12" x14ac:dyDescent="0.3">
      <c r="B21" s="61" t="s">
        <v>120</v>
      </c>
      <c r="C21" s="83">
        <v>15000</v>
      </c>
      <c r="D21" s="10">
        <f t="shared" si="0"/>
        <v>58500000</v>
      </c>
      <c r="E21" s="60">
        <v>0.05</v>
      </c>
      <c r="F21" s="10">
        <f t="shared" ref="F21" si="3">+D21*1.05</f>
        <v>61425000</v>
      </c>
      <c r="G21" s="60">
        <v>0.19</v>
      </c>
      <c r="H21" s="10">
        <f t="shared" ref="H21" si="4">+F21*1.19</f>
        <v>73095750</v>
      </c>
    </row>
    <row r="22" spans="2:12" x14ac:dyDescent="0.3">
      <c r="B22" s="61" t="s">
        <v>121</v>
      </c>
      <c r="C22" s="83"/>
      <c r="D22" s="10"/>
      <c r="E22" s="63"/>
      <c r="F22" s="48">
        <v>20000000</v>
      </c>
      <c r="G22" s="60">
        <v>0.19</v>
      </c>
      <c r="H22" s="10">
        <f>+F22*1.19</f>
        <v>23800000</v>
      </c>
    </row>
    <row r="23" spans="2:12" x14ac:dyDescent="0.3">
      <c r="B23" s="6" t="s">
        <v>97</v>
      </c>
      <c r="C23" s="48"/>
      <c r="D23" s="10">
        <v>3900000</v>
      </c>
      <c r="E23" s="63"/>
      <c r="F23" s="48">
        <f>+D23</f>
        <v>3900000</v>
      </c>
      <c r="G23" s="63">
        <v>0.19</v>
      </c>
      <c r="H23" s="10">
        <f t="shared" si="2"/>
        <v>4641000</v>
      </c>
    </row>
    <row r="24" spans="2:12" ht="15.6" x14ac:dyDescent="0.3">
      <c r="B24" s="64" t="s">
        <v>30</v>
      </c>
      <c r="C24" s="65"/>
      <c r="D24" s="66"/>
      <c r="E24" s="66"/>
      <c r="F24" s="66"/>
      <c r="G24" s="67"/>
      <c r="H24" s="68">
        <f>SUM(H17:H23)</f>
        <v>1006202255.2435</v>
      </c>
      <c r="K24">
        <f>+H24/15/12</f>
        <v>5590012.5291305557</v>
      </c>
      <c r="L24">
        <f>+K24*8</f>
        <v>44720100.233044446</v>
      </c>
    </row>
    <row r="26" spans="2:12" ht="34.5" customHeight="1" x14ac:dyDescent="0.3">
      <c r="B26" s="127" t="s">
        <v>112</v>
      </c>
      <c r="C26" s="128"/>
    </row>
    <row r="27" spans="2:12" x14ac:dyDescent="0.3">
      <c r="B27" s="6" t="s">
        <v>98</v>
      </c>
      <c r="C27" s="10">
        <f>+H17*15%</f>
        <v>7309575</v>
      </c>
    </row>
    <row r="28" spans="2:12" x14ac:dyDescent="0.3">
      <c r="B28" s="6" t="s">
        <v>99</v>
      </c>
      <c r="C28" s="10">
        <f>+H18*15%</f>
        <v>59168575.536525004</v>
      </c>
    </row>
    <row r="29" spans="2:12" x14ac:dyDescent="0.3">
      <c r="B29" s="6" t="s">
        <v>100</v>
      </c>
      <c r="C29" s="10">
        <f>+H19*15%</f>
        <v>59938515</v>
      </c>
    </row>
    <row r="30" spans="2:12" x14ac:dyDescent="0.3">
      <c r="B30" s="6" t="s">
        <v>101</v>
      </c>
      <c r="C30" s="10">
        <f>+H20*150%</f>
        <v>92831602.5</v>
      </c>
      <c r="H30" s="5">
        <f>+H24+C31</f>
        <v>1225450523.280025</v>
      </c>
    </row>
    <row r="31" spans="2:12" x14ac:dyDescent="0.3">
      <c r="B31" s="23" t="s">
        <v>30</v>
      </c>
      <c r="C31" s="34">
        <f>SUM(C27:C30)</f>
        <v>219248268.03652501</v>
      </c>
    </row>
    <row r="32" spans="2:12" x14ac:dyDescent="0.3">
      <c r="B32" s="17" t="s">
        <v>91</v>
      </c>
      <c r="C32" s="82">
        <v>0.19</v>
      </c>
    </row>
    <row r="33" spans="2:7" x14ac:dyDescent="0.3">
      <c r="B33" t="s">
        <v>119</v>
      </c>
      <c r="C33" s="18">
        <f>+C31*1.19</f>
        <v>260905438.96346474</v>
      </c>
    </row>
    <row r="35" spans="2:7" x14ac:dyDescent="0.3">
      <c r="B35" s="6"/>
      <c r="C35" s="6" t="s">
        <v>102</v>
      </c>
      <c r="D35" s="6" t="s">
        <v>103</v>
      </c>
      <c r="E35" s="6" t="s">
        <v>57</v>
      </c>
      <c r="F35" s="6" t="s">
        <v>104</v>
      </c>
      <c r="G35" s="6" t="s">
        <v>105</v>
      </c>
    </row>
    <row r="36" spans="2:7" x14ac:dyDescent="0.3">
      <c r="B36" s="21" t="s">
        <v>109</v>
      </c>
      <c r="C36" s="6">
        <v>4</v>
      </c>
      <c r="D36" s="10">
        <v>2500000</v>
      </c>
      <c r="E36" s="10">
        <f>+D36*1.56</f>
        <v>3900000</v>
      </c>
      <c r="F36" s="6" t="s">
        <v>110</v>
      </c>
      <c r="G36" s="10">
        <f>+E36*9</f>
        <v>35100000</v>
      </c>
    </row>
    <row r="37" spans="2:7" x14ac:dyDescent="0.3">
      <c r="B37" s="21" t="s">
        <v>106</v>
      </c>
      <c r="C37" s="6"/>
      <c r="D37" s="6"/>
      <c r="E37" s="10">
        <v>4000000</v>
      </c>
      <c r="F37" s="6" t="s">
        <v>110</v>
      </c>
      <c r="G37" s="10">
        <f t="shared" ref="G37:G39" si="5">+E37*9</f>
        <v>36000000</v>
      </c>
    </row>
    <row r="38" spans="2:7" x14ac:dyDescent="0.3">
      <c r="B38" s="21" t="s">
        <v>107</v>
      </c>
      <c r="C38" s="6"/>
      <c r="D38" s="6"/>
      <c r="E38" s="10">
        <v>2000000</v>
      </c>
      <c r="F38" s="6" t="s">
        <v>110</v>
      </c>
      <c r="G38" s="10">
        <f t="shared" si="5"/>
        <v>18000000</v>
      </c>
    </row>
    <row r="39" spans="2:7" x14ac:dyDescent="0.3">
      <c r="B39" s="21" t="s">
        <v>108</v>
      </c>
      <c r="C39" s="47"/>
      <c r="D39" s="47"/>
      <c r="E39" s="48">
        <v>1000000</v>
      </c>
      <c r="F39" s="6" t="s">
        <v>110</v>
      </c>
      <c r="G39" s="10">
        <f t="shared" si="5"/>
        <v>9000000</v>
      </c>
    </row>
    <row r="40" spans="2:7" x14ac:dyDescent="0.3">
      <c r="B40" s="70" t="s">
        <v>30</v>
      </c>
      <c r="C40" s="71"/>
      <c r="D40" s="72"/>
      <c r="E40" s="72"/>
      <c r="F40" s="73"/>
      <c r="G40" s="74">
        <f>SUM(G36:G39)</f>
        <v>98100000</v>
      </c>
    </row>
    <row r="42" spans="2:7" x14ac:dyDescent="0.3">
      <c r="B42" t="s">
        <v>117</v>
      </c>
      <c r="C42" s="81">
        <f>+C13</f>
        <v>300000000</v>
      </c>
    </row>
    <row r="43" spans="2:7" x14ac:dyDescent="0.3">
      <c r="B43" s="6" t="s">
        <v>86</v>
      </c>
      <c r="C43" s="36">
        <f>+H24</f>
        <v>1006202255.2435</v>
      </c>
    </row>
    <row r="44" spans="2:7" x14ac:dyDescent="0.3">
      <c r="B44" s="6" t="s">
        <v>118</v>
      </c>
      <c r="C44" s="36">
        <f>+C33</f>
        <v>260905438.96346474</v>
      </c>
    </row>
    <row r="45" spans="2:7" x14ac:dyDescent="0.3">
      <c r="B45" s="6" t="s">
        <v>113</v>
      </c>
      <c r="C45" s="36">
        <f>+G40</f>
        <v>98100000</v>
      </c>
    </row>
    <row r="46" spans="2:7" ht="15.6" x14ac:dyDescent="0.3">
      <c r="B46" s="6" t="s">
        <v>30</v>
      </c>
      <c r="C46" s="37">
        <f>SUM(C43:C44)</f>
        <v>1267107694.2069647</v>
      </c>
    </row>
    <row r="47" spans="2:7" x14ac:dyDescent="0.3">
      <c r="B47" s="84" t="s">
        <v>122</v>
      </c>
      <c r="C47" s="85">
        <v>0.3</v>
      </c>
    </row>
    <row r="48" spans="2:7" x14ac:dyDescent="0.3">
      <c r="B48" t="s">
        <v>30</v>
      </c>
      <c r="C48" s="2">
        <f>+C46*1.3</f>
        <v>1647240002.4690542</v>
      </c>
    </row>
    <row r="50" spans="2:3" x14ac:dyDescent="0.3">
      <c r="B50" t="s">
        <v>123</v>
      </c>
      <c r="C50" s="2">
        <f>+C48*1.2</f>
        <v>1976688002.9628649</v>
      </c>
    </row>
  </sheetData>
  <mergeCells count="6">
    <mergeCell ref="B9:F9"/>
    <mergeCell ref="B26:C26"/>
    <mergeCell ref="B2:D2"/>
    <mergeCell ref="B3:D3"/>
    <mergeCell ref="B4:D4"/>
    <mergeCell ref="B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F07B-C8D6-4625-88E0-C4F1A65093DC}">
  <dimension ref="A1:N22"/>
  <sheetViews>
    <sheetView workbookViewId="0">
      <selection activeCell="P19" sqref="P19"/>
    </sheetView>
  </sheetViews>
  <sheetFormatPr defaultColWidth="11.5546875" defaultRowHeight="14.4" x14ac:dyDescent="0.3"/>
  <cols>
    <col min="1" max="1" width="8.44140625" customWidth="1"/>
    <col min="2" max="2" width="25.6640625" customWidth="1"/>
    <col min="3" max="3" width="14.5546875" customWidth="1"/>
    <col min="6" max="6" width="14" bestFit="1" customWidth="1"/>
    <col min="8" max="8" width="14" bestFit="1" customWidth="1"/>
    <col min="11" max="11" width="14" bestFit="1" customWidth="1"/>
    <col min="14" max="14" width="14" bestFit="1" customWidth="1"/>
  </cols>
  <sheetData>
    <row r="1" spans="1:14" x14ac:dyDescent="0.3">
      <c r="B1" t="s">
        <v>137</v>
      </c>
      <c r="C1" s="130">
        <f>+PROPUESTA!C50</f>
        <v>1976688002.9628649</v>
      </c>
      <c r="D1" s="130"/>
    </row>
    <row r="2" spans="1:14" x14ac:dyDescent="0.3">
      <c r="A2" t="s">
        <v>124</v>
      </c>
    </row>
    <row r="3" spans="1:14" x14ac:dyDescent="0.3">
      <c r="B3" t="s">
        <v>125</v>
      </c>
    </row>
    <row r="5" spans="1:14" x14ac:dyDescent="0.3">
      <c r="B5" s="21" t="s">
        <v>126</v>
      </c>
      <c r="C5" s="6">
        <v>0</v>
      </c>
      <c r="D5" s="6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6">
        <v>8</v>
      </c>
      <c r="L5" s="6">
        <v>9</v>
      </c>
      <c r="M5" s="6">
        <v>10</v>
      </c>
      <c r="N5" s="6">
        <v>11</v>
      </c>
    </row>
    <row r="6" spans="1:14" x14ac:dyDescent="0.3">
      <c r="B6" s="21" t="s">
        <v>127</v>
      </c>
      <c r="C6" s="106"/>
      <c r="D6" s="106"/>
      <c r="E6" s="106"/>
      <c r="F6" s="6"/>
      <c r="G6" s="6"/>
      <c r="H6" s="6"/>
      <c r="I6" s="6"/>
      <c r="J6" s="6"/>
      <c r="K6" s="6"/>
      <c r="L6" s="6"/>
      <c r="M6" s="6"/>
      <c r="N6" s="6"/>
    </row>
    <row r="7" spans="1:14" ht="28.8" x14ac:dyDescent="0.3">
      <c r="B7" s="21" t="s">
        <v>128</v>
      </c>
      <c r="C7" s="6"/>
      <c r="D7" s="6"/>
      <c r="E7" s="6"/>
      <c r="F7" s="106"/>
      <c r="G7" s="106"/>
      <c r="H7" s="106"/>
      <c r="I7" s="6"/>
      <c r="J7" s="6"/>
      <c r="K7" s="6"/>
      <c r="L7" s="6"/>
      <c r="M7" s="6"/>
      <c r="N7" s="6"/>
    </row>
    <row r="8" spans="1:14" ht="43.2" x14ac:dyDescent="0.3">
      <c r="B8" s="21" t="s">
        <v>129</v>
      </c>
      <c r="C8" s="6"/>
      <c r="D8" s="6"/>
      <c r="E8" s="6"/>
      <c r="F8" s="6"/>
      <c r="G8" s="6"/>
      <c r="H8" s="6"/>
      <c r="I8" s="106"/>
      <c r="J8" s="106"/>
      <c r="K8" s="106"/>
      <c r="L8" s="6"/>
      <c r="M8" s="6"/>
      <c r="N8" s="6"/>
    </row>
    <row r="9" spans="1:14" ht="28.8" x14ac:dyDescent="0.3">
      <c r="B9" s="21" t="s">
        <v>130</v>
      </c>
      <c r="C9" s="6"/>
      <c r="D9" s="6"/>
      <c r="E9" s="6"/>
      <c r="F9" s="6"/>
      <c r="G9" s="6"/>
      <c r="H9" s="6"/>
      <c r="I9" s="6"/>
      <c r="J9" s="6"/>
      <c r="K9" s="6"/>
      <c r="L9" s="106"/>
      <c r="M9" s="106"/>
      <c r="N9" s="106"/>
    </row>
    <row r="10" spans="1:14" x14ac:dyDescent="0.3">
      <c r="B10" s="21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3">
      <c r="B11" s="21" t="s">
        <v>131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3">
      <c r="B12" s="21" t="s">
        <v>132</v>
      </c>
      <c r="C12" s="107">
        <v>0.2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3">
      <c r="B13" s="21" t="s">
        <v>133</v>
      </c>
      <c r="C13" s="6"/>
      <c r="D13" s="6"/>
      <c r="E13" s="6"/>
      <c r="F13" s="107">
        <v>0.2</v>
      </c>
      <c r="G13" s="6"/>
      <c r="H13" s="6"/>
      <c r="I13" s="6"/>
      <c r="J13" s="6"/>
      <c r="K13" s="6"/>
      <c r="L13" s="6"/>
      <c r="M13" s="6"/>
      <c r="N13" s="6"/>
    </row>
    <row r="14" spans="1:14" x14ac:dyDescent="0.3">
      <c r="B14" s="21" t="s">
        <v>134</v>
      </c>
      <c r="C14" s="6"/>
      <c r="D14" s="6"/>
      <c r="E14" s="6"/>
      <c r="F14" s="6"/>
      <c r="G14" s="6"/>
      <c r="H14" s="107">
        <v>0.2</v>
      </c>
      <c r="I14" s="6"/>
      <c r="J14" s="6"/>
      <c r="K14" s="6"/>
      <c r="L14" s="6"/>
      <c r="M14" s="6"/>
      <c r="N14" s="6"/>
    </row>
    <row r="15" spans="1:14" x14ac:dyDescent="0.3">
      <c r="B15" s="21" t="s">
        <v>135</v>
      </c>
      <c r="C15" s="6"/>
      <c r="D15" s="6"/>
      <c r="E15" s="6"/>
      <c r="F15" s="6"/>
      <c r="G15" s="6"/>
      <c r="H15" s="6"/>
      <c r="I15" s="6"/>
      <c r="J15" s="6"/>
      <c r="K15" s="107">
        <v>0.3</v>
      </c>
      <c r="L15" s="6"/>
      <c r="M15" s="6"/>
      <c r="N15" s="6"/>
    </row>
    <row r="16" spans="1:14" x14ac:dyDescent="0.3">
      <c r="B16" s="21" t="s">
        <v>136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07">
        <v>0.1</v>
      </c>
    </row>
    <row r="17" spans="2:14" x14ac:dyDescent="0.3">
      <c r="B17" s="21" t="s">
        <v>75</v>
      </c>
      <c r="C17" s="10">
        <f>+C1*$C$12</f>
        <v>395337600.59257299</v>
      </c>
      <c r="D17" s="6"/>
      <c r="E17" s="6"/>
      <c r="F17" s="10">
        <f>+C1*F13</f>
        <v>395337600.59257299</v>
      </c>
      <c r="G17" s="6"/>
      <c r="H17" s="10">
        <f>+C1*H14</f>
        <v>395337600.59257299</v>
      </c>
      <c r="I17" s="6"/>
      <c r="J17" s="6"/>
      <c r="K17" s="10">
        <f>+C1*K15</f>
        <v>593006400.88885939</v>
      </c>
      <c r="L17" s="6"/>
      <c r="M17" s="6"/>
      <c r="N17" s="10">
        <f>+C1*N16</f>
        <v>197668800.29628649</v>
      </c>
    </row>
    <row r="22" spans="2:14" x14ac:dyDescent="0.3">
      <c r="M22" s="2"/>
    </row>
  </sheetData>
  <mergeCells count="1"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9884-3E5C-400A-BA14-73D8C7B1295A}">
  <dimension ref="B1:H78"/>
  <sheetViews>
    <sheetView topLeftCell="A62" workbookViewId="0">
      <selection activeCell="G77" sqref="G77"/>
    </sheetView>
  </sheetViews>
  <sheetFormatPr defaultColWidth="11.5546875" defaultRowHeight="14.4" x14ac:dyDescent="0.3"/>
  <cols>
    <col min="1" max="1" width="4.88671875" customWidth="1"/>
    <col min="2" max="2" width="31.88671875" customWidth="1"/>
    <col min="3" max="3" width="22.33203125" customWidth="1"/>
    <col min="4" max="4" width="21.5546875" bestFit="1" customWidth="1"/>
    <col min="5" max="5" width="15.5546875" bestFit="1" customWidth="1"/>
    <col min="6" max="6" width="13" bestFit="1" customWidth="1"/>
    <col min="7" max="7" width="16.6640625" bestFit="1" customWidth="1"/>
  </cols>
  <sheetData>
    <row r="1" spans="2:8" ht="53.25" customHeight="1" x14ac:dyDescent="0.3">
      <c r="B1" s="132" t="s">
        <v>141</v>
      </c>
      <c r="C1" s="132"/>
      <c r="D1" s="132"/>
      <c r="E1" s="132"/>
    </row>
    <row r="4" spans="2:8" ht="28.8" x14ac:dyDescent="0.3">
      <c r="B4" s="6"/>
      <c r="C4" s="21" t="s">
        <v>12</v>
      </c>
      <c r="D4" s="21" t="s">
        <v>13</v>
      </c>
      <c r="E4" t="s">
        <v>142</v>
      </c>
    </row>
    <row r="5" spans="2:8" x14ac:dyDescent="0.3">
      <c r="B5" s="77" t="s">
        <v>11</v>
      </c>
      <c r="C5" s="6">
        <v>7200</v>
      </c>
      <c r="D5" s="9">
        <v>8820</v>
      </c>
      <c r="E5" s="55">
        <f>+D5/C5-1</f>
        <v>0.22500000000000009</v>
      </c>
      <c r="G5" s="3" t="s">
        <v>140</v>
      </c>
    </row>
    <row r="6" spans="2:8" x14ac:dyDescent="0.3">
      <c r="B6" s="77" t="s">
        <v>154</v>
      </c>
      <c r="C6" s="78">
        <v>3.4000000000000002E-2</v>
      </c>
      <c r="D6" s="89">
        <v>2.0500000000000001E-2</v>
      </c>
      <c r="E6" s="55">
        <f t="shared" ref="E6:E17" si="0">+D6/C6-1</f>
        <v>-0.3970588235294118</v>
      </c>
    </row>
    <row r="7" spans="2:8" x14ac:dyDescent="0.3">
      <c r="B7" s="77" t="s">
        <v>5</v>
      </c>
      <c r="C7" s="9">
        <f>7200*0.9613</f>
        <v>6921.3600000000006</v>
      </c>
      <c r="D7" s="9">
        <f>+D5*(100%-D6)</f>
        <v>8639.19</v>
      </c>
      <c r="E7" s="55">
        <f t="shared" si="0"/>
        <v>0.24819255175283472</v>
      </c>
    </row>
    <row r="8" spans="2:8" x14ac:dyDescent="0.3">
      <c r="B8" s="77" t="s">
        <v>155</v>
      </c>
      <c r="C8" s="79">
        <v>0.95599999999999996</v>
      </c>
      <c r="D8" s="90">
        <f>+C8</f>
        <v>0.95599999999999996</v>
      </c>
      <c r="E8" s="55">
        <f t="shared" si="0"/>
        <v>0</v>
      </c>
    </row>
    <row r="9" spans="2:8" x14ac:dyDescent="0.3">
      <c r="B9" s="77" t="s">
        <v>156</v>
      </c>
      <c r="C9" s="9">
        <f>+C7*C8</f>
        <v>6616.8201600000002</v>
      </c>
      <c r="D9" s="9">
        <f>+D7*D8</f>
        <v>8259.0656400000007</v>
      </c>
      <c r="E9" s="55">
        <f t="shared" si="0"/>
        <v>0.24819255175283472</v>
      </c>
    </row>
    <row r="10" spans="2:8" x14ac:dyDescent="0.3">
      <c r="B10" s="77" t="s">
        <v>157</v>
      </c>
      <c r="C10" s="9">
        <f>+C9/25</f>
        <v>264.67280640000001</v>
      </c>
      <c r="D10" s="9">
        <f>+D9/25</f>
        <v>330.3626256</v>
      </c>
      <c r="E10" s="55">
        <f t="shared" si="0"/>
        <v>0.24819255175283472</v>
      </c>
    </row>
    <row r="11" spans="2:8" x14ac:dyDescent="0.3">
      <c r="B11" s="77" t="s">
        <v>158</v>
      </c>
      <c r="C11" s="9">
        <f>+C9*24*30</f>
        <v>4764110.5152000003</v>
      </c>
      <c r="D11" s="9">
        <f>+D9*24*30</f>
        <v>5946527.2608000003</v>
      </c>
      <c r="E11" s="55">
        <f t="shared" si="0"/>
        <v>0.24819255175283472</v>
      </c>
    </row>
    <row r="12" spans="2:8" x14ac:dyDescent="0.3">
      <c r="B12" s="104" t="s">
        <v>159</v>
      </c>
      <c r="C12" s="105">
        <f>+C10*24*30</f>
        <v>190564.42060800001</v>
      </c>
      <c r="D12" s="105">
        <f>+D10*24*30</f>
        <v>237861.090432</v>
      </c>
      <c r="E12" s="55">
        <f t="shared" si="0"/>
        <v>0.2481925517528345</v>
      </c>
      <c r="H12" s="19">
        <f>+D12-C12</f>
        <v>47296.669823999982</v>
      </c>
    </row>
    <row r="13" spans="2:8" x14ac:dyDescent="0.3">
      <c r="B13" s="77" t="s">
        <v>115</v>
      </c>
      <c r="C13" s="9">
        <f>+C12*0.8</f>
        <v>152451.53648640003</v>
      </c>
      <c r="D13" s="9">
        <f>+D12*0.8</f>
        <v>190288.87234560002</v>
      </c>
      <c r="E13" s="55">
        <f t="shared" si="0"/>
        <v>0.2481925517528345</v>
      </c>
    </row>
    <row r="14" spans="2:8" x14ac:dyDescent="0.3">
      <c r="B14" s="77" t="s">
        <v>160</v>
      </c>
      <c r="C14" s="9">
        <f>+C12*0.2</f>
        <v>38112.884121600007</v>
      </c>
      <c r="D14" s="9">
        <f>+D12*0.2</f>
        <v>47572.218086400004</v>
      </c>
      <c r="E14" s="55">
        <f t="shared" si="0"/>
        <v>0.2481925517528345</v>
      </c>
    </row>
    <row r="15" spans="2:8" x14ac:dyDescent="0.3">
      <c r="B15" s="77" t="s">
        <v>114</v>
      </c>
      <c r="C15" s="10">
        <f>30800</f>
        <v>30800</v>
      </c>
      <c r="D15" s="10">
        <f>30800</f>
        <v>30800</v>
      </c>
      <c r="E15" s="55">
        <f t="shared" si="0"/>
        <v>0</v>
      </c>
    </row>
    <row r="16" spans="2:8" x14ac:dyDescent="0.3">
      <c r="B16" s="77" t="s">
        <v>114</v>
      </c>
      <c r="C16" s="10">
        <f>+C15*60%</f>
        <v>18480</v>
      </c>
      <c r="D16" s="10">
        <f>+D15*60%</f>
        <v>18480</v>
      </c>
      <c r="E16" s="55">
        <f t="shared" si="0"/>
        <v>0</v>
      </c>
    </row>
    <row r="17" spans="2:5" ht="18" x14ac:dyDescent="0.35">
      <c r="B17" s="80" t="s">
        <v>1</v>
      </c>
      <c r="C17" s="11">
        <f>+INT(C13)*C15+INT(C14)*C16</f>
        <v>5399800560</v>
      </c>
      <c r="D17" s="11">
        <f>+INT(D13)*D15+INT(D14)*D16</f>
        <v>6740000960</v>
      </c>
      <c r="E17" s="55">
        <f t="shared" si="0"/>
        <v>0.2481944259067228</v>
      </c>
    </row>
    <row r="18" spans="2:5" ht="18" x14ac:dyDescent="0.35">
      <c r="B18" s="75"/>
      <c r="C18" s="69"/>
    </row>
    <row r="19" spans="2:5" x14ac:dyDescent="0.3">
      <c r="B19" s="76"/>
      <c r="C19" s="20"/>
    </row>
    <row r="20" spans="2:5" ht="18" x14ac:dyDescent="0.3">
      <c r="B20" s="120" t="s">
        <v>14</v>
      </c>
      <c r="C20" s="120"/>
      <c r="D20" s="120"/>
      <c r="E20" s="120"/>
    </row>
    <row r="21" spans="2:5" ht="15" thickBot="1" x14ac:dyDescent="0.35"/>
    <row r="22" spans="2:5" x14ac:dyDescent="0.3">
      <c r="B22" s="14" t="s">
        <v>31</v>
      </c>
      <c r="C22" s="15" t="s">
        <v>32</v>
      </c>
      <c r="D22" s="15" t="s">
        <v>33</v>
      </c>
      <c r="E22" s="16" t="s">
        <v>34</v>
      </c>
    </row>
    <row r="23" spans="2:5" x14ac:dyDescent="0.3">
      <c r="B23" s="12" t="s">
        <v>24</v>
      </c>
      <c r="C23" s="9">
        <f>+ACTUAL!C21*1.23</f>
        <v>2832340.68</v>
      </c>
      <c r="D23" s="6">
        <v>572</v>
      </c>
      <c r="E23" s="13">
        <f>+D23*C23</f>
        <v>1620098868.96</v>
      </c>
    </row>
    <row r="24" spans="2:5" x14ac:dyDescent="0.3">
      <c r="B24" s="12" t="s">
        <v>25</v>
      </c>
      <c r="C24" s="9">
        <f>+ACTUAL!C22*1.23</f>
        <v>1416170.34</v>
      </c>
      <c r="D24" s="6">
        <v>220</v>
      </c>
      <c r="E24" s="13">
        <f t="shared" ref="E24:E28" si="1">+D24*C24</f>
        <v>311557474.80000001</v>
      </c>
    </row>
    <row r="25" spans="2:5" x14ac:dyDescent="0.3">
      <c r="B25" s="12" t="s">
        <v>26</v>
      </c>
      <c r="C25" s="9">
        <f>+ACTUAL!C23*1.23</f>
        <v>849702.20399999991</v>
      </c>
      <c r="D25" s="6">
        <v>272</v>
      </c>
      <c r="E25" s="13">
        <f t="shared" si="1"/>
        <v>231118999.48799998</v>
      </c>
    </row>
    <row r="26" spans="2:5" x14ac:dyDescent="0.3">
      <c r="B26" s="12" t="s">
        <v>27</v>
      </c>
      <c r="C26" s="9">
        <f>+ACTUAL!C24*1.23</f>
        <v>396527.69520000007</v>
      </c>
      <c r="D26" s="6">
        <v>879</v>
      </c>
      <c r="E26" s="13">
        <f t="shared" si="1"/>
        <v>348547844.08080006</v>
      </c>
    </row>
    <row r="27" spans="2:5" x14ac:dyDescent="0.3">
      <c r="B27" s="12" t="s">
        <v>28</v>
      </c>
      <c r="C27" s="9">
        <f>+ACTUAL!C25*1.23</f>
        <v>169940.44079999998</v>
      </c>
      <c r="D27" s="6">
        <v>770</v>
      </c>
      <c r="E27" s="13">
        <f t="shared" si="1"/>
        <v>130854139.41599998</v>
      </c>
    </row>
    <row r="28" spans="2:5" x14ac:dyDescent="0.3">
      <c r="B28" s="12" t="s">
        <v>29</v>
      </c>
      <c r="C28" s="9">
        <f>+ACTUAL!C26*1.23</f>
        <v>113858.64</v>
      </c>
      <c r="D28" s="6">
        <v>900</v>
      </c>
      <c r="E28" s="13">
        <f t="shared" si="1"/>
        <v>102472776</v>
      </c>
    </row>
    <row r="29" spans="2:5" ht="15" thickBot="1" x14ac:dyDescent="0.35">
      <c r="B29" s="117" t="s">
        <v>30</v>
      </c>
      <c r="C29" s="118"/>
      <c r="D29" s="119"/>
      <c r="E29" s="32">
        <f>SUM(E23:E28)</f>
        <v>2744650102.7448001</v>
      </c>
    </row>
    <row r="31" spans="2:5" x14ac:dyDescent="0.3">
      <c r="B31" s="121" t="s">
        <v>35</v>
      </c>
      <c r="C31" s="121"/>
      <c r="D31" s="121"/>
      <c r="E31" s="121"/>
    </row>
    <row r="32" spans="2:5" ht="28.8" x14ac:dyDescent="0.3">
      <c r="B32" s="27" t="s">
        <v>39</v>
      </c>
      <c r="C32" s="28" t="s">
        <v>48</v>
      </c>
      <c r="D32" s="29" t="s">
        <v>40</v>
      </c>
      <c r="E32" s="29" t="s">
        <v>49</v>
      </c>
    </row>
    <row r="33" spans="2:5" x14ac:dyDescent="0.3">
      <c r="B33" s="6" t="s">
        <v>36</v>
      </c>
      <c r="C33" s="9">
        <f>+ACTUAL!C31*1.23</f>
        <v>173577.60000000001</v>
      </c>
      <c r="D33" s="22">
        <v>2219</v>
      </c>
      <c r="E33" s="10">
        <f>+D33*C33</f>
        <v>385168694.40000004</v>
      </c>
    </row>
    <row r="34" spans="2:5" x14ac:dyDescent="0.3">
      <c r="B34" s="6" t="s">
        <v>37</v>
      </c>
      <c r="C34" s="9">
        <f>+ACTUAL!C32*1.23</f>
        <v>22140</v>
      </c>
      <c r="D34" s="22">
        <v>2219</v>
      </c>
      <c r="E34" s="10">
        <f t="shared" ref="E34:E36" si="2">+D34*C34</f>
        <v>49128660</v>
      </c>
    </row>
    <row r="35" spans="2:5" x14ac:dyDescent="0.3">
      <c r="B35" s="6" t="s">
        <v>38</v>
      </c>
      <c r="C35" s="9">
        <f>+ACTUAL!C33*1.23</f>
        <v>132840</v>
      </c>
      <c r="D35" s="22">
        <v>2219</v>
      </c>
      <c r="E35" s="10">
        <f t="shared" si="2"/>
        <v>294771960</v>
      </c>
    </row>
    <row r="36" spans="2:5" x14ac:dyDescent="0.3">
      <c r="B36" s="23" t="s">
        <v>30</v>
      </c>
      <c r="C36" s="23">
        <f>SUM(C33:C35)</f>
        <v>328557.59999999998</v>
      </c>
      <c r="D36" s="24">
        <v>2219</v>
      </c>
      <c r="E36" s="25">
        <f t="shared" si="2"/>
        <v>729069314.39999998</v>
      </c>
    </row>
    <row r="37" spans="2:5" ht="28.8" x14ac:dyDescent="0.3">
      <c r="B37" s="29" t="s">
        <v>47</v>
      </c>
      <c r="C37" s="28" t="s">
        <v>50</v>
      </c>
      <c r="D37" s="29" t="s">
        <v>51</v>
      </c>
      <c r="E37" s="29" t="s">
        <v>49</v>
      </c>
    </row>
    <row r="38" spans="2:5" x14ac:dyDescent="0.3">
      <c r="B38" s="6" t="s">
        <v>41</v>
      </c>
      <c r="C38" s="9">
        <f>+ACTUAL!C36*1.23</f>
        <v>44280</v>
      </c>
      <c r="D38" s="22">
        <v>845</v>
      </c>
      <c r="E38" s="10">
        <f>+D38*C38</f>
        <v>37416600</v>
      </c>
    </row>
    <row r="39" spans="2:5" x14ac:dyDescent="0.3">
      <c r="B39" s="6" t="s">
        <v>36</v>
      </c>
      <c r="C39" s="9">
        <f>+ACTUAL!C37*1.23</f>
        <v>118080</v>
      </c>
      <c r="D39" s="22">
        <v>845</v>
      </c>
      <c r="E39" s="10">
        <f t="shared" ref="E39:E49" si="3">+D39*C39</f>
        <v>99777600</v>
      </c>
    </row>
    <row r="40" spans="2:5" x14ac:dyDescent="0.3">
      <c r="B40" s="6" t="s">
        <v>42</v>
      </c>
      <c r="C40" s="9">
        <f>+ACTUAL!C38*1.23</f>
        <v>29520</v>
      </c>
      <c r="D40" s="22">
        <v>845</v>
      </c>
      <c r="E40" s="10">
        <f t="shared" si="3"/>
        <v>24944400</v>
      </c>
    </row>
    <row r="41" spans="2:5" x14ac:dyDescent="0.3">
      <c r="B41" s="6" t="s">
        <v>37</v>
      </c>
      <c r="C41" s="9">
        <f>+ACTUAL!C39*1.23</f>
        <v>1845</v>
      </c>
      <c r="D41" s="22">
        <v>845</v>
      </c>
      <c r="E41" s="10">
        <f t="shared" si="3"/>
        <v>1559025</v>
      </c>
    </row>
    <row r="42" spans="2:5" x14ac:dyDescent="0.3">
      <c r="B42" s="6" t="s">
        <v>43</v>
      </c>
      <c r="C42" s="9">
        <f>+ACTUAL!C40*1.23</f>
        <v>26568</v>
      </c>
      <c r="D42" s="22">
        <v>845</v>
      </c>
      <c r="E42" s="10">
        <f t="shared" si="3"/>
        <v>22449960</v>
      </c>
    </row>
    <row r="43" spans="2:5" x14ac:dyDescent="0.3">
      <c r="B43" s="6" t="s">
        <v>38</v>
      </c>
      <c r="C43" s="9">
        <f>+ACTUAL!C41*1.23</f>
        <v>2091</v>
      </c>
      <c r="D43" s="22">
        <v>845</v>
      </c>
      <c r="E43" s="10">
        <f t="shared" si="3"/>
        <v>1766895</v>
      </c>
    </row>
    <row r="44" spans="2:5" x14ac:dyDescent="0.3">
      <c r="B44" s="6" t="s">
        <v>44</v>
      </c>
      <c r="C44" s="30">
        <v>26568</v>
      </c>
      <c r="D44" s="22">
        <v>845</v>
      </c>
      <c r="E44" s="10">
        <f t="shared" si="3"/>
        <v>22449960</v>
      </c>
    </row>
    <row r="45" spans="2:5" x14ac:dyDescent="0.3">
      <c r="B45" s="6" t="s">
        <v>45</v>
      </c>
      <c r="C45" s="30">
        <v>29520</v>
      </c>
      <c r="D45" s="22">
        <v>845</v>
      </c>
      <c r="E45" s="10">
        <f t="shared" si="3"/>
        <v>24944400</v>
      </c>
    </row>
    <row r="46" spans="2:5" x14ac:dyDescent="0.3">
      <c r="B46" s="6" t="s">
        <v>46</v>
      </c>
      <c r="C46" s="9">
        <f>+ACTUAL!C44*1.23</f>
        <v>15498</v>
      </c>
      <c r="D46" s="22">
        <v>845</v>
      </c>
      <c r="E46" s="10">
        <f t="shared" si="3"/>
        <v>13095810</v>
      </c>
    </row>
    <row r="47" spans="2:5" x14ac:dyDescent="0.3">
      <c r="B47" s="23" t="s">
        <v>30</v>
      </c>
      <c r="C47" s="26">
        <f>SUM(C38:C46)</f>
        <v>293970</v>
      </c>
      <c r="D47" s="24">
        <v>845</v>
      </c>
      <c r="E47" s="25">
        <f t="shared" si="3"/>
        <v>248404650</v>
      </c>
    </row>
    <row r="48" spans="2:5" ht="28.8" x14ac:dyDescent="0.3">
      <c r="B48" s="23" t="s">
        <v>53</v>
      </c>
      <c r="C48" s="28" t="s">
        <v>48</v>
      </c>
      <c r="D48" s="29" t="s">
        <v>40</v>
      </c>
      <c r="E48" s="29" t="s">
        <v>49</v>
      </c>
    </row>
    <row r="49" spans="2:7" x14ac:dyDescent="0.3">
      <c r="B49" s="23" t="s">
        <v>41</v>
      </c>
      <c r="C49" s="9">
        <f>+ACTUAL!C47*1.23</f>
        <v>106272</v>
      </c>
      <c r="D49" s="23">
        <v>28.7</v>
      </c>
      <c r="E49" s="25">
        <f t="shared" si="3"/>
        <v>3050006.4</v>
      </c>
    </row>
    <row r="50" spans="2:7" x14ac:dyDescent="0.3">
      <c r="B50" s="122" t="s">
        <v>54</v>
      </c>
      <c r="C50" s="123"/>
      <c r="D50" s="123"/>
      <c r="E50" s="31">
        <f>+E49+E47+E36</f>
        <v>980523970.79999995</v>
      </c>
    </row>
    <row r="51" spans="2:7" x14ac:dyDescent="0.3">
      <c r="D51" s="17"/>
    </row>
    <row r="52" spans="2:7" ht="15" thickBot="1" x14ac:dyDescent="0.35">
      <c r="C52" t="s">
        <v>17</v>
      </c>
    </row>
    <row r="53" spans="2:7" ht="28.8" x14ac:dyDescent="0.3">
      <c r="B53" s="50" t="s">
        <v>55</v>
      </c>
      <c r="C53" s="51" t="s">
        <v>69</v>
      </c>
      <c r="D53" s="52" t="s">
        <v>70</v>
      </c>
      <c r="E53" s="52" t="s">
        <v>56</v>
      </c>
      <c r="F53" s="52" t="s">
        <v>71</v>
      </c>
      <c r="G53" s="53" t="s">
        <v>58</v>
      </c>
    </row>
    <row r="54" spans="2:7" x14ac:dyDescent="0.3">
      <c r="B54" s="111" t="s">
        <v>60</v>
      </c>
      <c r="C54" s="6" t="s">
        <v>59</v>
      </c>
      <c r="D54" s="6">
        <v>1</v>
      </c>
      <c r="E54" s="6">
        <v>4</v>
      </c>
      <c r="F54" s="10">
        <f t="shared" ref="F54:F60" si="4">1700000*1.56</f>
        <v>2652000</v>
      </c>
      <c r="G54" s="13">
        <f t="shared" ref="G54:G63" si="5">+F54*E54</f>
        <v>10608000</v>
      </c>
    </row>
    <row r="55" spans="2:7" x14ac:dyDescent="0.3">
      <c r="B55" s="112"/>
      <c r="C55" s="6" t="s">
        <v>61</v>
      </c>
      <c r="D55" s="6">
        <v>1</v>
      </c>
      <c r="E55" s="6">
        <v>4</v>
      </c>
      <c r="F55" s="10">
        <f t="shared" si="4"/>
        <v>2652000</v>
      </c>
      <c r="G55" s="13">
        <f t="shared" si="5"/>
        <v>10608000</v>
      </c>
    </row>
    <row r="56" spans="2:7" x14ac:dyDescent="0.3">
      <c r="B56" s="112"/>
      <c r="C56" s="6" t="s">
        <v>62</v>
      </c>
      <c r="D56" s="6">
        <v>2</v>
      </c>
      <c r="E56" s="6">
        <v>8</v>
      </c>
      <c r="F56" s="10">
        <f t="shared" si="4"/>
        <v>2652000</v>
      </c>
      <c r="G56" s="13">
        <f t="shared" si="5"/>
        <v>21216000</v>
      </c>
    </row>
    <row r="57" spans="2:7" x14ac:dyDescent="0.3">
      <c r="B57" s="112"/>
      <c r="C57" s="6" t="s">
        <v>63</v>
      </c>
      <c r="D57" s="6">
        <v>1</v>
      </c>
      <c r="E57" s="6">
        <v>4</v>
      </c>
      <c r="F57" s="10">
        <f t="shared" si="4"/>
        <v>2652000</v>
      </c>
      <c r="G57" s="13">
        <f t="shared" si="5"/>
        <v>10608000</v>
      </c>
    </row>
    <row r="58" spans="2:7" x14ac:dyDescent="0.3">
      <c r="B58" s="112"/>
      <c r="C58" s="6" t="s">
        <v>64</v>
      </c>
      <c r="D58" s="6">
        <v>1</v>
      </c>
      <c r="E58" s="6">
        <v>4</v>
      </c>
      <c r="F58" s="10">
        <f t="shared" si="4"/>
        <v>2652000</v>
      </c>
      <c r="G58" s="13">
        <f t="shared" si="5"/>
        <v>10608000</v>
      </c>
    </row>
    <row r="59" spans="2:7" x14ac:dyDescent="0.3">
      <c r="B59" s="112"/>
      <c r="C59" s="6" t="s">
        <v>65</v>
      </c>
      <c r="D59" s="6">
        <v>1</v>
      </c>
      <c r="E59" s="6">
        <v>4</v>
      </c>
      <c r="F59" s="10">
        <f t="shared" si="4"/>
        <v>2652000</v>
      </c>
      <c r="G59" s="13">
        <f t="shared" si="5"/>
        <v>10608000</v>
      </c>
    </row>
    <row r="60" spans="2:7" x14ac:dyDescent="0.3">
      <c r="B60" s="112"/>
      <c r="C60" s="6" t="s">
        <v>66</v>
      </c>
      <c r="D60" s="6">
        <v>1</v>
      </c>
      <c r="E60" s="6">
        <v>4</v>
      </c>
      <c r="F60" s="10">
        <f t="shared" si="4"/>
        <v>2652000</v>
      </c>
      <c r="G60" s="13">
        <f t="shared" si="5"/>
        <v>10608000</v>
      </c>
    </row>
    <row r="61" spans="2:7" x14ac:dyDescent="0.3">
      <c r="B61" s="113"/>
      <c r="C61" s="6" t="s">
        <v>30</v>
      </c>
      <c r="D61" s="6">
        <f>SUM(D54:D60)</f>
        <v>8</v>
      </c>
      <c r="E61" s="6">
        <f>SUM(E54:E60)</f>
        <v>32</v>
      </c>
      <c r="F61" s="10"/>
      <c r="G61" s="13">
        <f t="shared" si="5"/>
        <v>0</v>
      </c>
    </row>
    <row r="62" spans="2:7" x14ac:dyDescent="0.3">
      <c r="B62" s="124" t="s">
        <v>67</v>
      </c>
      <c r="C62" s="125"/>
      <c r="D62" s="6">
        <v>2</v>
      </c>
      <c r="E62" s="6">
        <v>8</v>
      </c>
      <c r="F62" s="10">
        <f>+F59*3</f>
        <v>7956000</v>
      </c>
      <c r="G62" s="13">
        <f t="shared" si="5"/>
        <v>63648000</v>
      </c>
    </row>
    <row r="63" spans="2:7" ht="15" thickBot="1" x14ac:dyDescent="0.35">
      <c r="B63" s="108" t="s">
        <v>68</v>
      </c>
      <c r="C63" s="109"/>
      <c r="D63" s="110"/>
      <c r="E63" s="47">
        <v>1</v>
      </c>
      <c r="F63" s="48">
        <f>7000000*1.56</f>
        <v>10920000</v>
      </c>
      <c r="G63" s="54">
        <f t="shared" si="5"/>
        <v>10920000</v>
      </c>
    </row>
    <row r="64" spans="2:7" ht="15" thickBot="1" x14ac:dyDescent="0.35">
      <c r="B64" s="114" t="s">
        <v>30</v>
      </c>
      <c r="C64" s="115"/>
      <c r="D64" s="115"/>
      <c r="E64" s="115"/>
      <c r="F64" s="115"/>
      <c r="G64" s="49">
        <f>SUM(G54:G63)</f>
        <v>159432000</v>
      </c>
    </row>
    <row r="65" spans="2:7" x14ac:dyDescent="0.3">
      <c r="B65" s="8"/>
      <c r="C65" s="8"/>
      <c r="D65" s="8"/>
      <c r="E65" s="8"/>
      <c r="F65" s="8"/>
      <c r="G65" s="31"/>
    </row>
    <row r="66" spans="2:7" ht="22.5" customHeight="1" thickBot="1" x14ac:dyDescent="0.35">
      <c r="B66" s="131" t="s">
        <v>14</v>
      </c>
      <c r="C66" s="131"/>
      <c r="D66" s="8"/>
      <c r="E66" s="8"/>
      <c r="F66" s="8"/>
      <c r="G66" s="31"/>
    </row>
    <row r="67" spans="2:7" ht="29.4" thickBot="1" x14ac:dyDescent="0.35">
      <c r="B67" s="100" t="s">
        <v>74</v>
      </c>
      <c r="C67" s="101" t="s">
        <v>143</v>
      </c>
      <c r="D67" s="103" t="s">
        <v>144</v>
      </c>
      <c r="E67" s="102" t="s">
        <v>142</v>
      </c>
    </row>
    <row r="68" spans="2:7" x14ac:dyDescent="0.3">
      <c r="B68" s="43" t="s">
        <v>15</v>
      </c>
      <c r="C68" s="98">
        <f>+ACTUAL!C66</f>
        <v>2231422847.7599998</v>
      </c>
      <c r="D68" s="98">
        <f>+E29</f>
        <v>2744650102.7448001</v>
      </c>
      <c r="E68" s="99">
        <f>+D68/C68-1</f>
        <v>0.2300000000000002</v>
      </c>
    </row>
    <row r="69" spans="2:7" x14ac:dyDescent="0.3">
      <c r="B69" s="12" t="s">
        <v>72</v>
      </c>
      <c r="C69" s="36">
        <f>+ACTUAL!C67</f>
        <v>758641960</v>
      </c>
      <c r="D69" s="36">
        <f>+E50</f>
        <v>980523970.79999995</v>
      </c>
      <c r="E69" s="91">
        <f t="shared" ref="E69:E78" si="6">+D69/C69-1</f>
        <v>0.29247263201734852</v>
      </c>
    </row>
    <row r="70" spans="2:7" x14ac:dyDescent="0.3">
      <c r="B70" s="12" t="s">
        <v>17</v>
      </c>
      <c r="C70" s="36">
        <f>+ACTUAL!C68</f>
        <v>244296000</v>
      </c>
      <c r="D70" s="36">
        <f>+G64</f>
        <v>159432000</v>
      </c>
      <c r="E70" s="91">
        <f t="shared" si="6"/>
        <v>-0.34738186462324394</v>
      </c>
    </row>
    <row r="71" spans="2:7" x14ac:dyDescent="0.3">
      <c r="B71" s="12" t="s">
        <v>18</v>
      </c>
      <c r="C71" s="36">
        <f>+ACTUAL!C69</f>
        <v>53998005.600000001</v>
      </c>
      <c r="D71" s="10">
        <f>+D17*1%</f>
        <v>67400009.599999994</v>
      </c>
      <c r="E71" s="91">
        <f t="shared" si="6"/>
        <v>0.24819442590672258</v>
      </c>
    </row>
    <row r="72" spans="2:7" x14ac:dyDescent="0.3">
      <c r="B72" s="12" t="s">
        <v>73</v>
      </c>
      <c r="C72" s="36">
        <f>+ACTUAL!C70</f>
        <v>44720100.233044446</v>
      </c>
      <c r="D72" s="36">
        <f>+C72+PROPUESTA!K24</f>
        <v>50310112.762175001</v>
      </c>
      <c r="E72" s="91">
        <f t="shared" si="6"/>
        <v>0.125</v>
      </c>
    </row>
    <row r="73" spans="2:7" x14ac:dyDescent="0.3">
      <c r="B73" s="39" t="s">
        <v>19</v>
      </c>
      <c r="C73" s="34">
        <f>SUM(C68:C72)</f>
        <v>3333078913.5930443</v>
      </c>
      <c r="D73" s="34">
        <f>SUM(D68:D72)</f>
        <v>4002316195.9069748</v>
      </c>
      <c r="E73" s="91">
        <f t="shared" si="6"/>
        <v>0.2007865099096906</v>
      </c>
    </row>
    <row r="74" spans="2:7" x14ac:dyDescent="0.3">
      <c r="B74" s="39" t="s">
        <v>20</v>
      </c>
      <c r="C74" s="34">
        <f>+ACTUAL!C72</f>
        <v>833269728.39826107</v>
      </c>
      <c r="D74" s="34">
        <f>+C74</f>
        <v>833269728.39826107</v>
      </c>
      <c r="E74" s="91">
        <f t="shared" si="6"/>
        <v>0</v>
      </c>
    </row>
    <row r="75" spans="2:7" ht="17.399999999999999" x14ac:dyDescent="0.35">
      <c r="B75" s="92" t="s">
        <v>76</v>
      </c>
      <c r="C75" s="37">
        <f>+C74+C73</f>
        <v>4166348641.9913054</v>
      </c>
      <c r="D75" s="37">
        <f>+D74+D73</f>
        <v>4835585924.3052359</v>
      </c>
      <c r="E75" s="91">
        <f t="shared" si="6"/>
        <v>0.16062920792775248</v>
      </c>
    </row>
    <row r="76" spans="2:7" x14ac:dyDescent="0.3">
      <c r="B76" s="12"/>
      <c r="C76" s="6"/>
      <c r="D76" s="6"/>
      <c r="E76" s="93"/>
    </row>
    <row r="77" spans="2:7" ht="15.6" x14ac:dyDescent="0.3">
      <c r="B77" s="94" t="s">
        <v>77</v>
      </c>
      <c r="C77" s="37">
        <f>+C17-C75</f>
        <v>1233451918.0086946</v>
      </c>
      <c r="D77" s="37">
        <f>+D17-D75</f>
        <v>1904415035.6947641</v>
      </c>
      <c r="E77" s="91">
        <f>+D77/C77-1</f>
        <v>0.5439718467253134</v>
      </c>
    </row>
    <row r="78" spans="2:7" ht="16.2" thickBot="1" x14ac:dyDescent="0.35">
      <c r="B78" s="95" t="s">
        <v>78</v>
      </c>
      <c r="C78" s="96">
        <f>+C77/C17</f>
        <v>0.22842545836705766</v>
      </c>
      <c r="D78" s="96">
        <f>+D77/D17</f>
        <v>0.28255411935353258</v>
      </c>
      <c r="E78" s="97">
        <f t="shared" si="6"/>
        <v>0.23696422182283805</v>
      </c>
    </row>
  </sheetData>
  <mergeCells count="10">
    <mergeCell ref="B63:D63"/>
    <mergeCell ref="B64:F64"/>
    <mergeCell ref="B66:C66"/>
    <mergeCell ref="B1:E1"/>
    <mergeCell ref="B20:E20"/>
    <mergeCell ref="B29:D29"/>
    <mergeCell ref="B31:E31"/>
    <mergeCell ref="B50:D50"/>
    <mergeCell ref="B54:B61"/>
    <mergeCell ref="B62:C6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FFA1A-762C-454E-8EB2-63C69813CEF7}">
  <dimension ref="B1:Y25"/>
  <sheetViews>
    <sheetView zoomScale="90" zoomScaleNormal="90" workbookViewId="0">
      <pane xSplit="3" ySplit="6" topLeftCell="H7" activePane="bottomRight" state="frozen"/>
      <selection pane="topRight" activeCell="C1" sqref="C1"/>
      <selection pane="bottomLeft" activeCell="A7" sqref="A7"/>
      <selection pane="bottomRight" activeCell="AA22" sqref="AA22"/>
    </sheetView>
  </sheetViews>
  <sheetFormatPr defaultColWidth="11.5546875" defaultRowHeight="14.4" x14ac:dyDescent="0.3"/>
  <cols>
    <col min="2" max="2" width="9.5546875" customWidth="1"/>
    <col min="3" max="3" width="25.44140625" customWidth="1"/>
    <col min="4" max="4" width="19.109375" customWidth="1"/>
    <col min="5" max="5" width="20.33203125" customWidth="1"/>
    <col min="6" max="6" width="18.33203125" bestFit="1" customWidth="1"/>
    <col min="7" max="7" width="20.77734375" customWidth="1"/>
    <col min="8" max="8" width="21" customWidth="1"/>
    <col min="9" max="9" width="21.21875" customWidth="1"/>
    <col min="10" max="10" width="19.88671875" customWidth="1"/>
    <col min="11" max="11" width="20.109375" customWidth="1"/>
    <col min="12" max="12" width="19.5546875" customWidth="1"/>
    <col min="13" max="16" width="19.33203125" bestFit="1" customWidth="1"/>
    <col min="17" max="17" width="18.33203125" customWidth="1"/>
    <col min="18" max="18" width="18.6640625" customWidth="1"/>
    <col min="19" max="19" width="18.44140625" customWidth="1"/>
    <col min="20" max="20" width="17.44140625" customWidth="1"/>
    <col min="21" max="21" width="18.44140625" customWidth="1"/>
    <col min="22" max="22" width="18" customWidth="1"/>
    <col min="23" max="23" width="20.44140625" customWidth="1"/>
    <col min="24" max="24" width="21.44140625" customWidth="1"/>
  </cols>
  <sheetData>
    <row r="1" spans="2:25" x14ac:dyDescent="0.3">
      <c r="W1" s="143"/>
    </row>
    <row r="2" spans="2:25" x14ac:dyDescent="0.3">
      <c r="C2" s="1" t="s">
        <v>2</v>
      </c>
      <c r="D2" s="2">
        <v>30800</v>
      </c>
      <c r="J2" s="139" t="s">
        <v>161</v>
      </c>
      <c r="M2" s="129" t="s">
        <v>162</v>
      </c>
      <c r="N2" s="129"/>
      <c r="O2" s="129"/>
      <c r="W2" s="143"/>
    </row>
    <row r="3" spans="2:25" ht="36.6" customHeight="1" x14ac:dyDescent="0.3">
      <c r="C3" s="88"/>
      <c r="J3" s="140"/>
      <c r="M3" s="141">
        <v>0.9</v>
      </c>
      <c r="N3" s="141">
        <v>1.1000000000000001</v>
      </c>
      <c r="O3" s="142">
        <v>1.25</v>
      </c>
      <c r="W3" s="143"/>
    </row>
    <row r="4" spans="2:25" x14ac:dyDescent="0.3">
      <c r="B4" s="136" t="s">
        <v>3</v>
      </c>
      <c r="C4" s="136"/>
      <c r="D4" s="6">
        <v>0</v>
      </c>
      <c r="E4" s="6">
        <v>1</v>
      </c>
      <c r="F4" s="6">
        <v>2</v>
      </c>
      <c r="G4" s="21">
        <v>3</v>
      </c>
      <c r="H4" s="6">
        <v>4</v>
      </c>
      <c r="I4" s="6">
        <v>5</v>
      </c>
      <c r="J4" s="6">
        <v>6</v>
      </c>
      <c r="K4" s="6">
        <v>7</v>
      </c>
      <c r="L4" s="6">
        <v>8</v>
      </c>
      <c r="M4" s="6">
        <v>9</v>
      </c>
      <c r="N4" s="6">
        <v>10</v>
      </c>
      <c r="O4" s="6">
        <v>11</v>
      </c>
      <c r="P4" s="6">
        <v>12</v>
      </c>
      <c r="Q4" s="6">
        <v>13</v>
      </c>
      <c r="R4" s="6">
        <v>14</v>
      </c>
      <c r="S4" s="6">
        <v>15</v>
      </c>
      <c r="T4" s="6">
        <v>16</v>
      </c>
      <c r="U4" s="6">
        <v>17</v>
      </c>
      <c r="V4" s="6">
        <v>18</v>
      </c>
      <c r="W4" s="144">
        <v>19</v>
      </c>
      <c r="X4" s="6">
        <v>20</v>
      </c>
      <c r="Y4" s="6">
        <v>21</v>
      </c>
    </row>
    <row r="5" spans="2:25" x14ac:dyDescent="0.3">
      <c r="B5" s="135" t="s">
        <v>0</v>
      </c>
      <c r="C5" s="135"/>
      <c r="D5" s="33">
        <f>+INT(ACTUAL!C10)</f>
        <v>190564</v>
      </c>
      <c r="E5" s="9">
        <f>+D5</f>
        <v>190564</v>
      </c>
      <c r="F5" s="9">
        <f t="shared" ref="F5" si="0">+E5</f>
        <v>190564</v>
      </c>
      <c r="G5" s="9">
        <f t="shared" ref="G5:I5" si="1">+F5</f>
        <v>190564</v>
      </c>
      <c r="H5" s="9">
        <f t="shared" si="1"/>
        <v>190564</v>
      </c>
      <c r="I5" s="9">
        <f t="shared" si="1"/>
        <v>190564</v>
      </c>
      <c r="J5" s="9">
        <f>+I5/2</f>
        <v>95282</v>
      </c>
      <c r="K5" s="9">
        <f t="shared" ref="K5:L7" si="2">+J5</f>
        <v>95282</v>
      </c>
      <c r="L5" s="9">
        <f t="shared" si="2"/>
        <v>95282</v>
      </c>
      <c r="M5" s="9">
        <f>+I5*0.9</f>
        <v>171507.6</v>
      </c>
      <c r="N5" s="9">
        <f>+I5*1.1</f>
        <v>209620.40000000002</v>
      </c>
      <c r="O5" s="9">
        <f>+'POSTERIOR PROYECTO'!D12</f>
        <v>237861.090432</v>
      </c>
      <c r="P5" s="9">
        <f>+'POSTERIOR PROYECTO'!D12</f>
        <v>237861.090432</v>
      </c>
      <c r="W5" s="143"/>
    </row>
    <row r="6" spans="2:25" x14ac:dyDescent="0.3">
      <c r="B6" s="134" t="s">
        <v>1</v>
      </c>
      <c r="C6" s="134"/>
      <c r="D6" s="34">
        <f>+ACTUAL!C15</f>
        <v>5399800560</v>
      </c>
      <c r="E6" s="86">
        <f>+D6</f>
        <v>5399800560</v>
      </c>
      <c r="F6" s="86">
        <f t="shared" ref="F6" si="3">+E6</f>
        <v>5399800560</v>
      </c>
      <c r="G6" s="86">
        <f t="shared" ref="G6:I6" si="4">+F6</f>
        <v>5399800560</v>
      </c>
      <c r="H6" s="10">
        <f t="shared" si="4"/>
        <v>5399800560</v>
      </c>
      <c r="I6" s="10">
        <f t="shared" si="4"/>
        <v>5399800560</v>
      </c>
      <c r="J6" s="10">
        <f>+I6/2</f>
        <v>2699900280</v>
      </c>
      <c r="K6" s="36">
        <f t="shared" si="2"/>
        <v>2699900280</v>
      </c>
      <c r="L6" s="36">
        <f t="shared" si="2"/>
        <v>2699900280</v>
      </c>
      <c r="M6" s="10">
        <f>+I6*0.9</f>
        <v>4859820504</v>
      </c>
      <c r="N6" s="10">
        <f>+I6*1.1</f>
        <v>5939780616.000001</v>
      </c>
      <c r="O6" s="10">
        <f>+'POSTERIOR PROYECTO'!D17</f>
        <v>6740000960</v>
      </c>
      <c r="P6" s="10">
        <f>+'POSTERIOR PROYECTO'!D17</f>
        <v>6740000960</v>
      </c>
      <c r="W6" s="143"/>
    </row>
    <row r="7" spans="2:25" x14ac:dyDescent="0.3">
      <c r="B7" s="133" t="s">
        <v>22</v>
      </c>
      <c r="C7" s="6" t="s">
        <v>15</v>
      </c>
      <c r="D7" s="86">
        <f>+ACTUAL!C66</f>
        <v>2231422847.7599998</v>
      </c>
      <c r="E7" s="86">
        <f t="shared" ref="E7:F12" si="5">+D7</f>
        <v>2231422847.7599998</v>
      </c>
      <c r="F7" s="86">
        <f t="shared" si="5"/>
        <v>2231422847.7599998</v>
      </c>
      <c r="G7" s="86">
        <f t="shared" ref="G7:I7" si="6">+F7</f>
        <v>2231422847.7599998</v>
      </c>
      <c r="H7" s="10">
        <f t="shared" si="6"/>
        <v>2231422847.7599998</v>
      </c>
      <c r="I7" s="10">
        <f t="shared" si="6"/>
        <v>2231422847.7599998</v>
      </c>
      <c r="J7" s="10">
        <f>+I7/2</f>
        <v>1115711423.8799999</v>
      </c>
      <c r="K7" s="36">
        <f t="shared" si="2"/>
        <v>1115711423.8799999</v>
      </c>
      <c r="L7" s="36">
        <f t="shared" si="2"/>
        <v>1115711423.8799999</v>
      </c>
      <c r="M7" s="10">
        <f>+I7*0.9</f>
        <v>2008280562.9839997</v>
      </c>
      <c r="N7" s="10">
        <f>+I7*1.1</f>
        <v>2454565132.5359998</v>
      </c>
      <c r="O7" s="10">
        <f>+'POSTERIOR PROYECTO'!D68</f>
        <v>2744650102.7448001</v>
      </c>
      <c r="P7" s="10">
        <f>+'POSTERIOR PROYECTO'!D68</f>
        <v>2744650102.7448001</v>
      </c>
      <c r="W7" s="143"/>
    </row>
    <row r="8" spans="2:25" x14ac:dyDescent="0.3">
      <c r="B8" s="133"/>
      <c r="C8" s="6" t="s">
        <v>16</v>
      </c>
      <c r="D8" s="86">
        <f>+ACTUAL!C67</f>
        <v>758641960</v>
      </c>
      <c r="E8" s="86">
        <f t="shared" si="5"/>
        <v>758641960</v>
      </c>
      <c r="F8" s="86">
        <f t="shared" si="5"/>
        <v>758641960</v>
      </c>
      <c r="G8" s="86">
        <f t="shared" ref="G8:I8" si="7">+F8</f>
        <v>758641960</v>
      </c>
      <c r="H8" s="10">
        <f t="shared" si="7"/>
        <v>758641960</v>
      </c>
      <c r="I8" s="10">
        <f t="shared" si="7"/>
        <v>758641960</v>
      </c>
      <c r="J8" s="10">
        <f>+I8*0.7</f>
        <v>531049371.99999994</v>
      </c>
      <c r="K8" s="36">
        <f t="shared" ref="K8:P12" si="8">+J8</f>
        <v>531049371.99999994</v>
      </c>
      <c r="L8" s="36">
        <f t="shared" si="8"/>
        <v>531049371.99999994</v>
      </c>
      <c r="M8" s="10">
        <f>+I8*0.9</f>
        <v>682777764</v>
      </c>
      <c r="N8" s="10">
        <f>+I8*1.1</f>
        <v>834506156.00000012</v>
      </c>
      <c r="O8" s="10">
        <f>+'POSTERIOR PROYECTO'!D69</f>
        <v>980523970.79999995</v>
      </c>
      <c r="P8" s="10">
        <f>+'POSTERIOR PROYECTO'!D69</f>
        <v>980523970.79999995</v>
      </c>
      <c r="W8" s="143"/>
    </row>
    <row r="9" spans="2:25" x14ac:dyDescent="0.3">
      <c r="B9" s="133"/>
      <c r="C9" s="6" t="s">
        <v>23</v>
      </c>
      <c r="D9" s="86">
        <f>+ACTUAL!C68</f>
        <v>244296000</v>
      </c>
      <c r="E9" s="86">
        <f t="shared" si="5"/>
        <v>244296000</v>
      </c>
      <c r="F9" s="86">
        <f t="shared" si="5"/>
        <v>244296000</v>
      </c>
      <c r="G9" s="86">
        <f t="shared" ref="G9:I9" si="9">+F9</f>
        <v>244296000</v>
      </c>
      <c r="H9" s="10">
        <f t="shared" si="9"/>
        <v>244296000</v>
      </c>
      <c r="I9" s="10">
        <f t="shared" si="9"/>
        <v>244296000</v>
      </c>
      <c r="J9" s="10">
        <f t="shared" ref="J9" si="10">+I9</f>
        <v>244296000</v>
      </c>
      <c r="K9" s="36">
        <f t="shared" si="8"/>
        <v>244296000</v>
      </c>
      <c r="L9" s="36">
        <f t="shared" si="8"/>
        <v>244296000</v>
      </c>
      <c r="M9" s="10">
        <f>+'POSTERIOR PROYECTO'!D70</f>
        <v>159432000</v>
      </c>
      <c r="N9" s="10">
        <f>+M9</f>
        <v>159432000</v>
      </c>
      <c r="O9" s="10">
        <f>+'POSTERIOR PROYECTO'!D70</f>
        <v>159432000</v>
      </c>
      <c r="P9" s="10">
        <f>+'POSTERIOR PROYECTO'!D70</f>
        <v>159432000</v>
      </c>
      <c r="W9" s="143"/>
    </row>
    <row r="10" spans="2:25" ht="28.8" x14ac:dyDescent="0.3">
      <c r="B10" s="133"/>
      <c r="C10" s="21" t="s">
        <v>18</v>
      </c>
      <c r="D10" s="86">
        <f>+ACTUAL!C69</f>
        <v>53998005.600000001</v>
      </c>
      <c r="E10" s="86">
        <f t="shared" si="5"/>
        <v>53998005.600000001</v>
      </c>
      <c r="F10" s="86">
        <f t="shared" si="5"/>
        <v>53998005.600000001</v>
      </c>
      <c r="G10" s="86">
        <f t="shared" ref="G10:I10" si="11">+F10</f>
        <v>53998005.600000001</v>
      </c>
      <c r="H10" s="10">
        <f t="shared" si="11"/>
        <v>53998005.600000001</v>
      </c>
      <c r="I10" s="10">
        <f t="shared" si="11"/>
        <v>53998005.600000001</v>
      </c>
      <c r="J10" s="10">
        <f t="shared" ref="J10" si="12">+I10</f>
        <v>53998005.600000001</v>
      </c>
      <c r="K10" s="36">
        <f t="shared" si="8"/>
        <v>53998005.600000001</v>
      </c>
      <c r="L10" s="36">
        <f t="shared" si="8"/>
        <v>53998005.600000001</v>
      </c>
      <c r="M10" s="10">
        <f>+'POSTERIOR PROYECTO'!D71</f>
        <v>67400009.599999994</v>
      </c>
      <c r="N10" s="10">
        <f>+M10</f>
        <v>67400009.599999994</v>
      </c>
      <c r="O10" s="10">
        <f>+'POSTERIOR PROYECTO'!D71</f>
        <v>67400009.599999994</v>
      </c>
      <c r="P10" s="10">
        <f>+'POSTERIOR PROYECTO'!D71</f>
        <v>67400009.599999994</v>
      </c>
      <c r="W10" s="143"/>
    </row>
    <row r="11" spans="2:25" x14ac:dyDescent="0.3">
      <c r="B11" s="133"/>
      <c r="C11" s="6" t="s">
        <v>19</v>
      </c>
      <c r="D11" s="86">
        <f>SUM(D7:D10)</f>
        <v>3288358813.3599997</v>
      </c>
      <c r="E11" s="86">
        <f t="shared" ref="E11:G11" si="13">SUM(E7:E10)</f>
        <v>3288358813.3599997</v>
      </c>
      <c r="F11" s="86">
        <f t="shared" si="13"/>
        <v>3288358813.3599997</v>
      </c>
      <c r="G11" s="86">
        <f t="shared" si="13"/>
        <v>3288358813.3599997</v>
      </c>
      <c r="H11" s="10">
        <f t="shared" ref="H11" si="14">SUM(H7:H10)</f>
        <v>3288358813.3599997</v>
      </c>
      <c r="I11" s="10">
        <f t="shared" ref="I11" si="15">SUM(I7:I10)</f>
        <v>3288358813.3599997</v>
      </c>
      <c r="J11" s="10">
        <f t="shared" ref="J11" si="16">SUM(J7:J10)</f>
        <v>1945054801.4799998</v>
      </c>
      <c r="K11" s="10">
        <f t="shared" ref="K11" si="17">SUM(K7:K10)</f>
        <v>1945054801.4799998</v>
      </c>
      <c r="L11" s="10">
        <f t="shared" ref="L11" si="18">SUM(L7:L10)</f>
        <v>1945054801.4799998</v>
      </c>
      <c r="M11" s="10">
        <f t="shared" ref="M11" si="19">SUM(M7:M10)</f>
        <v>2917890336.5839996</v>
      </c>
      <c r="N11" s="10">
        <f t="shared" ref="N11" si="20">SUM(N7:N10)</f>
        <v>3515903298.1359997</v>
      </c>
      <c r="O11" s="10">
        <f t="shared" ref="O11" si="21">SUM(O7:O10)</f>
        <v>3952006083.1447997</v>
      </c>
      <c r="P11" s="10">
        <f t="shared" si="8"/>
        <v>3952006083.1447997</v>
      </c>
      <c r="W11" s="143"/>
    </row>
    <row r="12" spans="2:25" x14ac:dyDescent="0.3">
      <c r="B12" s="133"/>
      <c r="C12" s="6" t="s">
        <v>145</v>
      </c>
      <c r="D12" s="86">
        <f>+ACTUAL!C72</f>
        <v>833269728.39826107</v>
      </c>
      <c r="E12" s="86">
        <f t="shared" si="5"/>
        <v>833269728.39826107</v>
      </c>
      <c r="F12" s="86">
        <f t="shared" si="5"/>
        <v>833269728.39826107</v>
      </c>
      <c r="G12" s="86">
        <f t="shared" ref="G12:I12" si="22">+F12</f>
        <v>833269728.39826107</v>
      </c>
      <c r="H12" s="10">
        <f t="shared" si="22"/>
        <v>833269728.39826107</v>
      </c>
      <c r="I12" s="10">
        <f t="shared" si="22"/>
        <v>833269728.39826107</v>
      </c>
      <c r="J12" s="10">
        <f t="shared" ref="J12" si="23">+I12</f>
        <v>833269728.39826107</v>
      </c>
      <c r="K12" s="36">
        <f t="shared" si="8"/>
        <v>833269728.39826107</v>
      </c>
      <c r="L12" s="36">
        <f t="shared" si="8"/>
        <v>833269728.39826107</v>
      </c>
      <c r="M12" s="36">
        <f t="shared" si="8"/>
        <v>833269728.39826107</v>
      </c>
      <c r="N12" s="36">
        <f t="shared" si="8"/>
        <v>833269728.39826107</v>
      </c>
      <c r="O12" s="10">
        <f t="shared" si="8"/>
        <v>833269728.39826107</v>
      </c>
      <c r="P12" s="10">
        <f t="shared" si="8"/>
        <v>833269728.39826107</v>
      </c>
      <c r="W12" s="143"/>
    </row>
    <row r="13" spans="2:25" ht="17.399999999999999" x14ac:dyDescent="0.35">
      <c r="B13" s="133"/>
      <c r="C13" s="7" t="s">
        <v>21</v>
      </c>
      <c r="D13" s="87">
        <f>+D11+D12</f>
        <v>4121628541.7582607</v>
      </c>
      <c r="E13" s="87">
        <f t="shared" ref="E13:G13" si="24">+E11+E12</f>
        <v>4121628541.7582607</v>
      </c>
      <c r="F13" s="87">
        <f t="shared" si="24"/>
        <v>4121628541.7582607</v>
      </c>
      <c r="G13" s="87">
        <f t="shared" si="24"/>
        <v>4121628541.7582607</v>
      </c>
      <c r="H13" s="36">
        <f t="shared" ref="H13" si="25">+H11+H12</f>
        <v>4121628541.7582607</v>
      </c>
      <c r="I13" s="36">
        <f t="shared" ref="I13" si="26">+I11+I12</f>
        <v>4121628541.7582607</v>
      </c>
      <c r="J13" s="36">
        <f t="shared" ref="J13" si="27">+J11+J12</f>
        <v>2778324529.8782606</v>
      </c>
      <c r="K13" s="36">
        <f>+J13</f>
        <v>2778324529.8782606</v>
      </c>
      <c r="L13" s="36">
        <f>+K13</f>
        <v>2778324529.8782606</v>
      </c>
      <c r="M13" s="36">
        <f t="shared" ref="M13" si="28">+M11+M12</f>
        <v>3751160064.9822607</v>
      </c>
      <c r="N13" s="36">
        <f t="shared" ref="N13" si="29">+N11+N12</f>
        <v>4349173026.5342607</v>
      </c>
      <c r="O13" s="10">
        <f t="shared" ref="O13:P13" si="30">+O11+O12</f>
        <v>4785275811.5430603</v>
      </c>
      <c r="P13" s="10">
        <f t="shared" si="30"/>
        <v>4785275811.5430603</v>
      </c>
      <c r="W13" s="143"/>
    </row>
    <row r="14" spans="2:25" x14ac:dyDescent="0.3">
      <c r="B14" s="6"/>
      <c r="C14" s="6" t="s">
        <v>138</v>
      </c>
      <c r="D14" s="10">
        <f>+CRONOGRAMA!C17</f>
        <v>395337600.59257299</v>
      </c>
      <c r="E14" s="86">
        <f>+CRONOGRAMA!D17</f>
        <v>0</v>
      </c>
      <c r="F14" s="86">
        <f>+CRONOGRAMA!E17</f>
        <v>0</v>
      </c>
      <c r="G14" s="86">
        <f>+CRONOGRAMA!F17</f>
        <v>395337600.59257299</v>
      </c>
      <c r="H14" s="10">
        <f>+CRONOGRAMA!G17</f>
        <v>0</v>
      </c>
      <c r="I14" s="10">
        <f>+CRONOGRAMA!H17</f>
        <v>395337600.59257299</v>
      </c>
      <c r="J14" s="10">
        <f>+CRONOGRAMA!I17</f>
        <v>0</v>
      </c>
      <c r="K14" s="10">
        <f>+CRONOGRAMA!J17</f>
        <v>0</v>
      </c>
      <c r="L14" s="10">
        <f>+CRONOGRAMA!K17</f>
        <v>593006400.88885939</v>
      </c>
      <c r="M14" s="10">
        <f>+CRONOGRAMA!L17</f>
        <v>0</v>
      </c>
      <c r="N14" s="10">
        <f>+CRONOGRAMA!M17</f>
        <v>0</v>
      </c>
      <c r="O14" s="10">
        <f>+CRONOGRAMA!N17</f>
        <v>197668800.29628649</v>
      </c>
      <c r="P14" s="10"/>
      <c r="W14" s="143"/>
    </row>
    <row r="15" spans="2:25" x14ac:dyDescent="0.3">
      <c r="B15" s="6"/>
      <c r="C15" s="6" t="s">
        <v>150</v>
      </c>
      <c r="D15" s="36">
        <f>+D13+D14</f>
        <v>4516966142.3508339</v>
      </c>
      <c r="E15" s="36">
        <f>+E13+E14</f>
        <v>4121628541.7582607</v>
      </c>
      <c r="F15" s="36">
        <f>+F13+F14</f>
        <v>4121628541.7582607</v>
      </c>
      <c r="G15" s="36">
        <f>+G13+G14</f>
        <v>4516966142.3508339</v>
      </c>
      <c r="H15" s="36">
        <f t="shared" ref="H15:L15" si="31">+H13+H14</f>
        <v>4121628541.7582607</v>
      </c>
      <c r="I15" s="36">
        <f t="shared" si="31"/>
        <v>4516966142.3508339</v>
      </c>
      <c r="J15" s="36">
        <f>+J13+J14</f>
        <v>2778324529.8782606</v>
      </c>
      <c r="K15" s="36">
        <f t="shared" si="31"/>
        <v>2778324529.8782606</v>
      </c>
      <c r="L15" s="36">
        <f t="shared" si="31"/>
        <v>3371330930.7671199</v>
      </c>
      <c r="M15" s="36">
        <f t="shared" ref="M15" si="32">+M13+M14</f>
        <v>3751160064.9822607</v>
      </c>
      <c r="N15" s="36">
        <f t="shared" ref="N15" si="33">+N13+N14</f>
        <v>4349173026.5342607</v>
      </c>
      <c r="O15" s="10">
        <f t="shared" ref="O15" si="34">+O13+O14</f>
        <v>4982944611.8393469</v>
      </c>
      <c r="P15" s="10">
        <f t="shared" ref="P15" si="35">+P13+P14</f>
        <v>4785275811.5430603</v>
      </c>
      <c r="W15" s="143"/>
    </row>
    <row r="16" spans="2:25" x14ac:dyDescent="0.3">
      <c r="B16" s="6"/>
      <c r="C16" s="6" t="s">
        <v>139</v>
      </c>
      <c r="D16" s="36">
        <f>+D6-D15</f>
        <v>882834417.64916611</v>
      </c>
      <c r="E16" s="36">
        <f t="shared" ref="E16:P16" si="36">+E6-E15</f>
        <v>1278172018.2417393</v>
      </c>
      <c r="F16" s="36">
        <f t="shared" si="36"/>
        <v>1278172018.2417393</v>
      </c>
      <c r="G16" s="36">
        <f t="shared" si="36"/>
        <v>882834417.64916611</v>
      </c>
      <c r="H16" s="36">
        <f t="shared" si="36"/>
        <v>1278172018.2417393</v>
      </c>
      <c r="I16" s="36">
        <f t="shared" si="36"/>
        <v>882834417.64916611</v>
      </c>
      <c r="J16" s="36">
        <f t="shared" si="36"/>
        <v>-78424249.878260612</v>
      </c>
      <c r="K16" s="36">
        <f t="shared" si="36"/>
        <v>-78424249.878260612</v>
      </c>
      <c r="L16" s="36">
        <f t="shared" si="36"/>
        <v>-671430650.76711988</v>
      </c>
      <c r="M16" s="36">
        <f t="shared" si="36"/>
        <v>1108660439.0177393</v>
      </c>
      <c r="N16" s="36">
        <f t="shared" si="36"/>
        <v>1590607589.4657402</v>
      </c>
      <c r="O16" s="10">
        <f t="shared" si="36"/>
        <v>1757056348.1606531</v>
      </c>
      <c r="P16" s="10">
        <f t="shared" si="36"/>
        <v>1954725148.4569397</v>
      </c>
      <c r="Q16" s="5">
        <f>P16</f>
        <v>1954725148.4569397</v>
      </c>
      <c r="R16" s="5">
        <f t="shared" ref="R16:X16" si="37">Q16</f>
        <v>1954725148.4569397</v>
      </c>
      <c r="S16" s="5">
        <f t="shared" si="37"/>
        <v>1954725148.4569397</v>
      </c>
      <c r="T16" s="5">
        <f t="shared" si="37"/>
        <v>1954725148.4569397</v>
      </c>
      <c r="U16" s="5">
        <f t="shared" si="37"/>
        <v>1954725148.4569397</v>
      </c>
      <c r="V16" s="5">
        <f t="shared" si="37"/>
        <v>1954725148.4569397</v>
      </c>
      <c r="W16" s="145">
        <f t="shared" si="37"/>
        <v>1954725148.4569397</v>
      </c>
      <c r="X16" s="5">
        <f t="shared" si="37"/>
        <v>1954725148.4569397</v>
      </c>
    </row>
    <row r="17" spans="3:24" x14ac:dyDescent="0.3">
      <c r="C17" s="137" t="s">
        <v>148</v>
      </c>
      <c r="D17" s="5">
        <f>D16</f>
        <v>882834417.64916611</v>
      </c>
      <c r="E17" s="5">
        <f>E16+D17</f>
        <v>2161006435.8909054</v>
      </c>
      <c r="F17" s="5">
        <f t="shared" ref="F17:V17" si="38">F16+E17</f>
        <v>3439178454.1326447</v>
      </c>
      <c r="G17" s="5">
        <f t="shared" si="38"/>
        <v>4322012871.7818108</v>
      </c>
      <c r="H17" s="5">
        <f t="shared" si="38"/>
        <v>5600184890.02355</v>
      </c>
      <c r="I17" s="5">
        <f t="shared" si="38"/>
        <v>6483019307.6727161</v>
      </c>
      <c r="J17" s="5">
        <f t="shared" si="38"/>
        <v>6404595057.7944555</v>
      </c>
      <c r="K17" s="5">
        <f t="shared" si="38"/>
        <v>6326170807.9161949</v>
      </c>
      <c r="L17" s="5">
        <f t="shared" si="38"/>
        <v>5654740157.1490746</v>
      </c>
      <c r="M17" s="5">
        <f t="shared" si="38"/>
        <v>6763400596.1668139</v>
      </c>
      <c r="N17" s="5">
        <f t="shared" si="38"/>
        <v>8354008185.6325541</v>
      </c>
      <c r="O17" s="5">
        <f t="shared" si="38"/>
        <v>10111064533.793207</v>
      </c>
      <c r="P17" s="5">
        <f t="shared" si="38"/>
        <v>12065789682.250147</v>
      </c>
      <c r="Q17" s="5">
        <f t="shared" si="38"/>
        <v>14020514830.707087</v>
      </c>
      <c r="R17" s="5">
        <f t="shared" si="38"/>
        <v>15975239979.164026</v>
      </c>
      <c r="S17" s="5">
        <f t="shared" si="38"/>
        <v>17929965127.620964</v>
      </c>
      <c r="T17" s="5">
        <f t="shared" si="38"/>
        <v>19884690276.077904</v>
      </c>
      <c r="U17" s="5">
        <f t="shared" si="38"/>
        <v>21839415424.534843</v>
      </c>
      <c r="V17" s="5">
        <f t="shared" si="38"/>
        <v>23794140572.991783</v>
      </c>
      <c r="W17" s="145">
        <f>W16+V17</f>
        <v>25748865721.448723</v>
      </c>
      <c r="X17" s="5">
        <f t="shared" ref="X17" si="39">X16+W17</f>
        <v>27703590869.905663</v>
      </c>
    </row>
    <row r="18" spans="3:24" x14ac:dyDescent="0.3">
      <c r="W18" s="143"/>
    </row>
    <row r="19" spans="3:24" x14ac:dyDescent="0.3">
      <c r="W19" s="143"/>
    </row>
    <row r="20" spans="3:24" x14ac:dyDescent="0.3">
      <c r="C20" s="6" t="s">
        <v>146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44"/>
      <c r="X20" s="6"/>
    </row>
    <row r="21" spans="3:24" x14ac:dyDescent="0.3">
      <c r="C21" s="6" t="s">
        <v>149</v>
      </c>
      <c r="D21" s="36">
        <f>E16</f>
        <v>1278172018.2417393</v>
      </c>
      <c r="E21" s="36">
        <f>D21</f>
        <v>1278172018.2417393</v>
      </c>
      <c r="F21" s="36">
        <f t="shared" ref="F21:X21" si="40">E21</f>
        <v>1278172018.2417393</v>
      </c>
      <c r="G21" s="36">
        <f t="shared" si="40"/>
        <v>1278172018.2417393</v>
      </c>
      <c r="H21" s="36">
        <f t="shared" si="40"/>
        <v>1278172018.2417393</v>
      </c>
      <c r="I21" s="36">
        <f t="shared" si="40"/>
        <v>1278172018.2417393</v>
      </c>
      <c r="J21" s="36">
        <f t="shared" si="40"/>
        <v>1278172018.2417393</v>
      </c>
      <c r="K21" s="36">
        <f t="shared" si="40"/>
        <v>1278172018.2417393</v>
      </c>
      <c r="L21" s="36">
        <f t="shared" si="40"/>
        <v>1278172018.2417393</v>
      </c>
      <c r="M21" s="36">
        <f t="shared" si="40"/>
        <v>1278172018.2417393</v>
      </c>
      <c r="N21" s="36">
        <f t="shared" si="40"/>
        <v>1278172018.2417393</v>
      </c>
      <c r="O21" s="36">
        <f t="shared" si="40"/>
        <v>1278172018.2417393</v>
      </c>
      <c r="P21" s="36">
        <f t="shared" si="40"/>
        <v>1278172018.2417393</v>
      </c>
      <c r="Q21" s="36">
        <f t="shared" si="40"/>
        <v>1278172018.2417393</v>
      </c>
      <c r="R21" s="36">
        <f t="shared" si="40"/>
        <v>1278172018.2417393</v>
      </c>
      <c r="S21" s="36">
        <f t="shared" si="40"/>
        <v>1278172018.2417393</v>
      </c>
      <c r="T21" s="36">
        <f t="shared" si="40"/>
        <v>1278172018.2417393</v>
      </c>
      <c r="U21" s="36">
        <f t="shared" si="40"/>
        <v>1278172018.2417393</v>
      </c>
      <c r="V21" s="36">
        <f t="shared" si="40"/>
        <v>1278172018.2417393</v>
      </c>
      <c r="W21" s="146">
        <f t="shared" si="40"/>
        <v>1278172018.2417393</v>
      </c>
      <c r="X21" s="36">
        <f t="shared" si="40"/>
        <v>1278172018.2417393</v>
      </c>
    </row>
    <row r="22" spans="3:24" x14ac:dyDescent="0.3">
      <c r="C22" s="6" t="s">
        <v>148</v>
      </c>
      <c r="D22" s="36">
        <f>D21</f>
        <v>1278172018.2417393</v>
      </c>
      <c r="E22" s="36">
        <f>E21+D22</f>
        <v>2556344036.4834785</v>
      </c>
      <c r="F22" s="36">
        <f t="shared" ref="F22:X22" si="41">F21+E22</f>
        <v>3834516054.7252178</v>
      </c>
      <c r="G22" s="36">
        <f t="shared" si="41"/>
        <v>5112688072.9669571</v>
      </c>
      <c r="H22" s="36">
        <f t="shared" si="41"/>
        <v>6390860091.2086964</v>
      </c>
      <c r="I22" s="36">
        <f t="shared" si="41"/>
        <v>7669032109.4504356</v>
      </c>
      <c r="J22" s="36">
        <f t="shared" si="41"/>
        <v>8947204127.6921749</v>
      </c>
      <c r="K22" s="36">
        <f t="shared" si="41"/>
        <v>10225376145.933914</v>
      </c>
      <c r="L22" s="36">
        <f t="shared" si="41"/>
        <v>11503548164.175653</v>
      </c>
      <c r="M22" s="36">
        <f t="shared" si="41"/>
        <v>12781720182.417393</v>
      </c>
      <c r="N22" s="36">
        <f t="shared" si="41"/>
        <v>14059892200.659132</v>
      </c>
      <c r="O22" s="36">
        <f t="shared" si="41"/>
        <v>15338064218.900871</v>
      </c>
      <c r="P22" s="36">
        <f t="shared" si="41"/>
        <v>16616236237.142611</v>
      </c>
      <c r="Q22" s="36">
        <f t="shared" si="41"/>
        <v>17894408255.38435</v>
      </c>
      <c r="R22" s="36">
        <f t="shared" si="41"/>
        <v>19172580273.626091</v>
      </c>
      <c r="S22" s="36">
        <f t="shared" si="41"/>
        <v>20450752291.867828</v>
      </c>
      <c r="T22" s="36">
        <f t="shared" si="41"/>
        <v>21728924310.109566</v>
      </c>
      <c r="U22" s="36">
        <f t="shared" si="41"/>
        <v>23007096328.351303</v>
      </c>
      <c r="V22" s="36">
        <f t="shared" si="41"/>
        <v>24285268346.59304</v>
      </c>
      <c r="W22" s="146">
        <f t="shared" si="41"/>
        <v>25563440364.834778</v>
      </c>
      <c r="X22" s="36">
        <f t="shared" si="41"/>
        <v>26841612383.076515</v>
      </c>
    </row>
    <row r="25" spans="3:24" x14ac:dyDescent="0.3">
      <c r="C25" t="s">
        <v>147</v>
      </c>
      <c r="D25" s="2">
        <f>PROPUESTA!C50</f>
        <v>1976688002.9628649</v>
      </c>
    </row>
  </sheetData>
  <mergeCells count="6">
    <mergeCell ref="M2:O2"/>
    <mergeCell ref="B7:B13"/>
    <mergeCell ref="B6:C6"/>
    <mergeCell ref="B5:C5"/>
    <mergeCell ref="B4:C4"/>
    <mergeCell ref="J2:J3"/>
  </mergeCells>
  <conditionalFormatting sqref="D16:P1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ACTUAL</vt:lpstr>
      <vt:lpstr>PROPUESTA</vt:lpstr>
      <vt:lpstr>CRONOGRAMA</vt:lpstr>
      <vt:lpstr>POSTERIOR PROYECTO</vt:lpstr>
      <vt:lpstr>FLUJO DE CAJA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 Dueñas</dc:creator>
  <cp:lastModifiedBy>juan duenas</cp:lastModifiedBy>
  <cp:lastPrinted>2024-06-10T18:29:21Z</cp:lastPrinted>
  <dcterms:created xsi:type="dcterms:W3CDTF">2024-06-10T12:04:57Z</dcterms:created>
  <dcterms:modified xsi:type="dcterms:W3CDTF">2024-06-10T19:25:03Z</dcterms:modified>
</cp:coreProperties>
</file>