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ebastian\Portafolio\SIMULTÁNEAS\"/>
    </mc:Choice>
  </mc:AlternateContent>
  <xr:revisionPtr revIDLastSave="0" documentId="13_ncr:1_{CBD1DE49-DBD2-4CAB-91CB-4A261F209F46}" xr6:coauthVersionLast="47" xr6:coauthVersionMax="47" xr10:uidLastSave="{00000000-0000-0000-0000-000000000000}"/>
  <bookViews>
    <workbookView xWindow="-120" yWindow="-120" windowWidth="29040" windowHeight="15840" firstSheet="2" activeTab="2" xr2:uid="{DB340214-A301-4506-B0EA-FE37736B9633}"/>
  </bookViews>
  <sheets>
    <sheet name="Hoja1" sheetId="1" state="hidden" r:id="rId1"/>
    <sheet name="Hoja1 (2)" sheetId="2" state="hidden" r:id="rId2"/>
    <sheet name="MODELO SIMULTÁNE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3" l="1"/>
  <c r="L4" i="3"/>
  <c r="D10" i="3" l="1"/>
  <c r="J10" i="3" s="1"/>
  <c r="I7" i="3"/>
  <c r="D6" i="3"/>
  <c r="D20" i="3" s="1"/>
  <c r="R28" i="3" s="1"/>
  <c r="AD3" i="3"/>
  <c r="AC3" i="3"/>
  <c r="K13" i="3" s="1"/>
  <c r="AB3" i="3"/>
  <c r="R7" i="3" s="1"/>
  <c r="H16" i="2"/>
  <c r="H18" i="2" s="1"/>
  <c r="G18" i="2"/>
  <c r="D10" i="1"/>
  <c r="D10" i="2"/>
  <c r="S2" i="2"/>
  <c r="R2" i="2"/>
  <c r="Q2" i="2"/>
  <c r="I7" i="2"/>
  <c r="D6" i="2"/>
  <c r="H11" i="1"/>
  <c r="G11" i="1"/>
  <c r="F11" i="1"/>
  <c r="D7" i="1"/>
  <c r="D17" i="1" s="1"/>
  <c r="I7" i="1"/>
  <c r="M20" i="3" l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D12" i="3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T7" i="3"/>
  <c r="S7" i="3"/>
  <c r="D11" i="3"/>
  <c r="D12" i="2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D11" i="2"/>
  <c r="D20" i="2"/>
  <c r="D11" i="1"/>
  <c r="L6" i="3" l="1"/>
  <c r="R24" i="3"/>
  <c r="R26" i="3" s="1"/>
  <c r="D16" i="3"/>
  <c r="D18" i="3" s="1"/>
  <c r="J14" i="3"/>
  <c r="AB9" i="3"/>
  <c r="D42" i="3"/>
  <c r="D16" i="2"/>
  <c r="D18" i="2" s="1"/>
  <c r="D42" i="2"/>
  <c r="F19" i="1"/>
  <c r="D14" i="1"/>
  <c r="D22" i="3" l="1"/>
  <c r="D36" i="3"/>
  <c r="N37" i="3"/>
  <c r="F37" i="3"/>
  <c r="D37" i="3" s="1"/>
  <c r="F37" i="2"/>
  <c r="D37" i="2" s="1"/>
  <c r="D35" i="2"/>
  <c r="D31" i="2"/>
  <c r="D27" i="2"/>
  <c r="D23" i="2"/>
  <c r="D34" i="2"/>
  <c r="D30" i="2"/>
  <c r="D22" i="2"/>
  <c r="D33" i="2"/>
  <c r="D29" i="2"/>
  <c r="D25" i="2"/>
  <c r="D26" i="2"/>
  <c r="D36" i="2"/>
  <c r="D32" i="2"/>
  <c r="D28" i="2"/>
  <c r="D24" i="2"/>
  <c r="F34" i="1"/>
  <c r="D34" i="1" s="1"/>
  <c r="D15" i="1"/>
  <c r="D29" i="1" s="1"/>
  <c r="F20" i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D39" i="1"/>
  <c r="D29" i="3" l="1"/>
  <c r="D23" i="3"/>
  <c r="D34" i="3"/>
  <c r="D32" i="3"/>
  <c r="D30" i="3"/>
  <c r="D28" i="3"/>
  <c r="D26" i="3"/>
  <c r="D24" i="3"/>
  <c r="D25" i="3"/>
  <c r="D35" i="3"/>
  <c r="D31" i="3"/>
  <c r="D33" i="3"/>
  <c r="D27" i="3"/>
  <c r="D38" i="2"/>
  <c r="D40" i="2" s="1"/>
  <c r="D44" i="2" s="1"/>
  <c r="D25" i="1"/>
  <c r="D26" i="1"/>
  <c r="D23" i="1"/>
  <c r="D32" i="1"/>
  <c r="D20" i="1"/>
  <c r="D22" i="1"/>
  <c r="D19" i="1"/>
  <c r="D31" i="1"/>
  <c r="D30" i="1"/>
  <c r="D27" i="1"/>
  <c r="D21" i="1"/>
  <c r="D28" i="1"/>
  <c r="D24" i="1"/>
  <c r="D33" i="1"/>
  <c r="D38" i="3" l="1"/>
  <c r="K11" i="3" s="1"/>
  <c r="D35" i="1"/>
  <c r="D37" i="1" s="1"/>
  <c r="D41" i="1" s="1"/>
  <c r="D40" i="3" l="1"/>
  <c r="D44" i="3" s="1"/>
  <c r="K16" i="3" l="1"/>
  <c r="K19" i="3" s="1"/>
  <c r="L27" i="3" l="1"/>
  <c r="L35" i="3"/>
  <c r="L36" i="3"/>
  <c r="L25" i="3"/>
  <c r="L28" i="3"/>
  <c r="L29" i="3"/>
  <c r="L31" i="3"/>
  <c r="L34" i="3"/>
  <c r="L32" i="3"/>
  <c r="L26" i="3"/>
  <c r="L33" i="3"/>
  <c r="L30" i="3"/>
  <c r="L24" i="3"/>
  <c r="L23" i="3"/>
  <c r="L22" i="3"/>
  <c r="L37" i="3"/>
  <c r="K21" i="3" l="1"/>
</calcChain>
</file>

<file path=xl/sharedStrings.xml><?xml version="1.0" encoding="utf-8"?>
<sst xmlns="http://schemas.openxmlformats.org/spreadsheetml/2006/main" count="302" uniqueCount="105">
  <si>
    <t xml:space="preserve">dia </t>
  </si>
  <si>
    <t>mes</t>
  </si>
  <si>
    <t>año</t>
  </si>
  <si>
    <t>cupón</t>
  </si>
  <si>
    <t>TFIT16240724</t>
  </si>
  <si>
    <t>TES</t>
  </si>
  <si>
    <t>TFIT15260826</t>
  </si>
  <si>
    <t>TFIT10040522</t>
  </si>
  <si>
    <t>TIR</t>
  </si>
  <si>
    <t>TFIT16280428</t>
  </si>
  <si>
    <t>Tasa cupón</t>
  </si>
  <si>
    <t>NO</t>
  </si>
  <si>
    <t>TFIT16180930</t>
  </si>
  <si>
    <t>Cupón</t>
  </si>
  <si>
    <t>TFIT16300632</t>
  </si>
  <si>
    <t>VN</t>
  </si>
  <si>
    <t>Día</t>
  </si>
  <si>
    <t>Mes</t>
  </si>
  <si>
    <t>Año</t>
  </si>
  <si>
    <t>TFIT08261125</t>
  </si>
  <si>
    <t>Negociación</t>
  </si>
  <si>
    <t>TFIT16181034</t>
  </si>
  <si>
    <t>Vencimiento</t>
  </si>
  <si>
    <t>TFIT08031127</t>
  </si>
  <si>
    <t>Cupon 1</t>
  </si>
  <si>
    <t>TFIT31261050</t>
  </si>
  <si>
    <t>Bisiesto entre negociación y cupon 1?</t>
  </si>
  <si>
    <t xml:space="preserve"> -&gt; </t>
  </si>
  <si>
    <t>29 de febrero entre negociación y c1?</t>
  </si>
  <si>
    <t>TFIT16090736</t>
  </si>
  <si>
    <t>Días</t>
  </si>
  <si>
    <t>Cupones</t>
  </si>
  <si>
    <t>c1</t>
  </si>
  <si>
    <t>Días cupon 1</t>
  </si>
  <si>
    <t>c2</t>
  </si>
  <si>
    <t>Días cupon 2</t>
  </si>
  <si>
    <t>c3</t>
  </si>
  <si>
    <t>Días cupon 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</si>
  <si>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</si>
  <si>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</si>
  <si>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</si>
  <si>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</si>
  <si>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</si>
  <si>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</si>
  <si>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</si>
  <si>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</si>
  <si>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</si>
  <si>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</si>
  <si>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</si>
  <si>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</si>
  <si>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principal</t>
  </si>
  <si>
    <t>Días Principal</t>
  </si>
  <si>
    <t>VG</t>
  </si>
  <si>
    <t>PS</t>
  </si>
  <si>
    <t>CC</t>
  </si>
  <si>
    <t>PL</t>
  </si>
  <si>
    <t>Fecha de Negociación</t>
  </si>
  <si>
    <t>Digitar fecha de negociación</t>
  </si>
  <si>
    <t>Seleccionar TES</t>
  </si>
  <si>
    <t>Días cupon 4</t>
  </si>
  <si>
    <t>Días cupon 5</t>
  </si>
  <si>
    <t>Días cupon 6</t>
  </si>
  <si>
    <t>Días cupon 7</t>
  </si>
  <si>
    <t>Días cupon 8</t>
  </si>
  <si>
    <t>Días cupon 9</t>
  </si>
  <si>
    <t>Días cupon 10</t>
  </si>
  <si>
    <t>Días cupon 11</t>
  </si>
  <si>
    <t>Días cupon 12</t>
  </si>
  <si>
    <t>Días cupon 13</t>
  </si>
  <si>
    <t>Días cupon 14</t>
  </si>
  <si>
    <t>Días cupon 15</t>
  </si>
  <si>
    <t>SI</t>
  </si>
  <si>
    <t>Tes ses</t>
  </si>
  <si>
    <t>Fechas</t>
  </si>
  <si>
    <t>Días al vencimiento</t>
  </si>
  <si>
    <t>Seleccionar Tes</t>
  </si>
  <si>
    <t>Seleccionar</t>
  </si>
  <si>
    <t>Ingresar dato</t>
  </si>
  <si>
    <t>Color</t>
  </si>
  <si>
    <t>Instrucción</t>
  </si>
  <si>
    <t>MODELO TES</t>
  </si>
  <si>
    <t>19</t>
  </si>
  <si>
    <t>testes</t>
  </si>
  <si>
    <t>31</t>
  </si>
  <si>
    <t>SIMULTÁNEA</t>
  </si>
  <si>
    <t>Fecha de Inicio Simultanea</t>
  </si>
  <si>
    <t>Fecha Final Simultanea</t>
  </si>
  <si>
    <t>Tasa de Fondeo</t>
  </si>
  <si>
    <t>Valor Simultánea</t>
  </si>
  <si>
    <t>VF Simultánea</t>
  </si>
  <si>
    <t>TIR Recompra</t>
  </si>
  <si>
    <t>Cupón en Simultánea</t>
  </si>
  <si>
    <t>Inicio Simultánea</t>
  </si>
  <si>
    <t>Fin Simultánea</t>
  </si>
  <si>
    <t/>
  </si>
  <si>
    <t>Bisiesto entre la Simultánea</t>
  </si>
  <si>
    <t>Bisiesto entre fin simultánea y vencimiento</t>
  </si>
  <si>
    <t>FECHAS SIMULTÁNEA</t>
  </si>
  <si>
    <t>29 de febrero entre fin simultánea y siguiente cupón?</t>
  </si>
  <si>
    <t>VG Recompra</t>
  </si>
  <si>
    <t>Siguiente Cupón</t>
  </si>
  <si>
    <t xml:space="preserve">   </t>
  </si>
  <si>
    <t>MODELO TES - SIMULTANEAS</t>
  </si>
  <si>
    <t>TFIT10250112</t>
  </si>
  <si>
    <t>INSTRUCCIONES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</si>
</sst>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00"/>
    <numFmt numFmtId="166" formatCode="_-&quot;$&quot;* #,##0.0000_-;\-&quot;$&quot;* #,##0.0000_-;_-&quot;$&quot;* &quot;-&quot;????_-;_-@_-"/>
    <numFmt numFmtId="167" formatCode="_-* #,##0_-;\-* #,##0_-;_-* &quot;-&quot;??_-;_-@_-"/>
    <numFmt numFmtId="168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18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</fills>
  <borders count="3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4" fontId="0" fillId="0" borderId="32" xfId="1" applyNumberFormat="1" applyFon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10" fontId="0" fillId="3" borderId="17" xfId="0" applyNumberFormat="1" applyFill="1" applyBorder="1" applyAlignment="1">
      <alignment horizontal="center" vertical="center"/>
    </xf>
    <xf numFmtId="164" fontId="0" fillId="3" borderId="20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64" fontId="0" fillId="0" borderId="0" xfId="1" applyNumberFormat="1" applyFont="1" applyAlignment="1"/>
    <xf numFmtId="166" fontId="0" fillId="0" borderId="0" xfId="0" applyNumberFormat="1"/>
    <xf numFmtId="0" fontId="0" fillId="0" borderId="0" xfId="0" applyAlignment="1">
      <alignment vertical="center" wrapText="1"/>
    </xf>
    <xf numFmtId="0" fontId="0" fillId="4" borderId="3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7" fontId="0" fillId="0" borderId="17" xfId="3" applyNumberFormat="1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10" fontId="5" fillId="7" borderId="17" xfId="0" applyNumberFormat="1" applyFont="1" applyFill="1" applyBorder="1" applyAlignment="1">
      <alignment horizontal="center" vertical="center"/>
    </xf>
    <xf numFmtId="164" fontId="5" fillId="7" borderId="20" xfId="0" applyNumberFormat="1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1" fontId="5" fillId="7" borderId="9" xfId="0" applyNumberFormat="1" applyFont="1" applyFill="1" applyBorder="1" applyAlignment="1">
      <alignment horizontal="center" vertical="center"/>
    </xf>
    <xf numFmtId="1" fontId="5" fillId="7" borderId="2" xfId="0" applyNumberFormat="1" applyFont="1" applyFill="1" applyBorder="1" applyAlignment="1">
      <alignment horizontal="center" vertical="center"/>
    </xf>
    <xf numFmtId="1" fontId="5" fillId="7" borderId="11" xfId="0" applyNumberFormat="1" applyFont="1" applyFill="1" applyBorder="1" applyAlignment="1">
      <alignment horizontal="center" vertical="center"/>
    </xf>
    <xf numFmtId="10" fontId="5" fillId="7" borderId="20" xfId="2" applyNumberFormat="1" applyFont="1" applyFill="1" applyBorder="1" applyAlignment="1">
      <alignment horizontal="center" vertical="center"/>
    </xf>
    <xf numFmtId="164" fontId="0" fillId="6" borderId="29" xfId="0" applyNumberFormat="1" applyFill="1" applyBorder="1" applyAlignment="1">
      <alignment horizontal="center" vertical="center"/>
    </xf>
    <xf numFmtId="165" fontId="0" fillId="6" borderId="29" xfId="0" applyNumberFormat="1" applyFill="1" applyBorder="1" applyAlignment="1">
      <alignment horizontal="center" vertical="center"/>
    </xf>
    <xf numFmtId="168" fontId="0" fillId="6" borderId="32" xfId="2" applyNumberFormat="1" applyFont="1" applyFill="1" applyBorder="1" applyAlignment="1">
      <alignment horizontal="center" vertical="center"/>
    </xf>
    <xf numFmtId="164" fontId="0" fillId="6" borderId="12" xfId="0" applyNumberFormat="1" applyFill="1" applyBorder="1"/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5">
    <dxf>
      <fill>
        <patternFill>
          <bgColor theme="8" tint="0.39994506668294322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669A-192C-4F49-BD63-CB6DA35A968F}">
  <dimension ref="A2:O42"/>
  <sheetViews>
    <sheetView workbookViewId="0">
      <selection activeCell="D5" sqref="D5"/>
    </sheetView>
  </sheetViews>
  <sheetFormatPr baseColWidth="10" defaultRowHeight="15" x14ac:dyDescent="0.25"/>
  <cols>
    <col min="3" max="3" width="13.5703125" bestFit="1" customWidth="1"/>
    <col min="4" max="4" width="15.140625" bestFit="1" customWidth="1"/>
    <col min="9" max="9" width="11.85546875" bestFit="1" customWidth="1"/>
  </cols>
  <sheetData>
    <row r="2" spans="1: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0</v>
      </c>
      <c r="M2" s="1" t="s">
        <v>1</v>
      </c>
      <c r="N2" s="1" t="s">
        <v>2</v>
      </c>
      <c r="O2" s="1" t="s">
        <v>3</v>
      </c>
    </row>
    <row r="3" spans="1:15" x14ac:dyDescent="0.25">
      <c r="B3" s="1"/>
      <c r="C3" s="1"/>
      <c r="D3" s="1"/>
      <c r="E3" s="1"/>
      <c r="F3" s="1"/>
      <c r="G3" s="1"/>
      <c r="H3" s="1"/>
      <c r="I3" s="1"/>
      <c r="J3" s="1"/>
      <c r="K3" s="2" t="s">
        <v>4</v>
      </c>
      <c r="L3" s="1">
        <v>24</v>
      </c>
      <c r="M3" s="1">
        <v>7</v>
      </c>
      <c r="N3" s="1">
        <v>2024</v>
      </c>
      <c r="O3" s="3">
        <v>0.1</v>
      </c>
    </row>
    <row r="4" spans="1:15" ht="15.75" thickBot="1" x14ac:dyDescent="0.3">
      <c r="B4" s="1"/>
      <c r="F4" t="s">
        <v>57</v>
      </c>
      <c r="I4" s="1"/>
      <c r="J4" s="1"/>
      <c r="K4" s="2" t="s">
        <v>6</v>
      </c>
      <c r="L4" s="1">
        <v>26</v>
      </c>
      <c r="M4" s="1">
        <v>8</v>
      </c>
      <c r="N4" s="1">
        <v>2026</v>
      </c>
      <c r="O4" s="5">
        <v>7.4999999999999997E-2</v>
      </c>
    </row>
    <row r="5" spans="1:15" ht="15.75" thickBot="1" x14ac:dyDescent="0.3">
      <c r="A5" t="s">
        <v>58</v>
      </c>
      <c r="B5" s="6"/>
      <c r="C5" s="22" t="s">
        <v>5</v>
      </c>
      <c r="D5" s="10" t="s">
        <v>72</v>
      </c>
      <c r="F5" s="16"/>
      <c r="G5" s="17" t="s">
        <v>56</v>
      </c>
      <c r="H5" s="18"/>
      <c r="I5" s="1"/>
      <c r="J5" s="1"/>
      <c r="K5" s="2" t="s">
        <v>7</v>
      </c>
      <c r="L5" s="1">
        <v>4</v>
      </c>
      <c r="M5" s="1">
        <v>5</v>
      </c>
      <c r="N5" s="1">
        <v>2022</v>
      </c>
      <c r="O5" s="3">
        <v>7.0000000000000007E-2</v>
      </c>
    </row>
    <row r="6" spans="1:15" ht="15.75" thickBot="1" x14ac:dyDescent="0.3">
      <c r="B6" s="6"/>
      <c r="C6" s="23" t="s">
        <v>8</v>
      </c>
      <c r="D6" s="12">
        <v>6.25E-2</v>
      </c>
      <c r="F6" s="11" t="s">
        <v>16</v>
      </c>
      <c r="G6" s="1" t="s">
        <v>17</v>
      </c>
      <c r="H6" s="15" t="s">
        <v>18</v>
      </c>
      <c r="I6" s="1"/>
      <c r="J6" s="1"/>
      <c r="K6" s="2" t="s">
        <v>9</v>
      </c>
      <c r="L6" s="1">
        <v>28</v>
      </c>
      <c r="M6" s="1">
        <v>4</v>
      </c>
      <c r="N6" s="1">
        <v>2028</v>
      </c>
      <c r="O6" s="3">
        <v>0.06</v>
      </c>
    </row>
    <row r="7" spans="1:15" ht="15.75" thickBot="1" x14ac:dyDescent="0.3">
      <c r="B7" s="1"/>
      <c r="C7" s="23" t="s">
        <v>10</v>
      </c>
      <c r="D7" s="13">
        <f>VLOOKUP(D5,K2:O14,5,FALSE)</f>
        <v>9.2499999999999999E-2</v>
      </c>
      <c r="E7" s="1"/>
      <c r="F7" s="19" t="s">
        <v>81</v>
      </c>
      <c r="G7" s="21">
        <v>5</v>
      </c>
      <c r="H7" s="20">
        <v>2011</v>
      </c>
      <c r="I7" s="1" t="str">
        <f>IF(DAY(DATE(H7,3,0))=29,"Bisiesto","")</f>
        <v/>
      </c>
      <c r="J7" s="1"/>
      <c r="K7" s="2" t="s">
        <v>12</v>
      </c>
      <c r="L7" s="1">
        <v>18</v>
      </c>
      <c r="M7" s="1">
        <v>9</v>
      </c>
      <c r="N7" s="1">
        <v>2030</v>
      </c>
      <c r="O7" s="5">
        <v>7.7499999999999999E-2</v>
      </c>
    </row>
    <row r="8" spans="1:15" ht="15.75" thickBot="1" x14ac:dyDescent="0.3">
      <c r="B8" s="1"/>
      <c r="C8" s="24" t="s">
        <v>15</v>
      </c>
      <c r="D8" s="14">
        <v>3000000000</v>
      </c>
      <c r="E8" s="1"/>
      <c r="F8" s="1"/>
      <c r="G8" s="1"/>
      <c r="H8" s="1"/>
      <c r="I8" s="1"/>
      <c r="J8" s="1"/>
      <c r="K8" s="2" t="s">
        <v>14</v>
      </c>
      <c r="L8" s="1">
        <v>30</v>
      </c>
      <c r="M8" s="1">
        <v>6</v>
      </c>
      <c r="N8" s="1">
        <v>2032</v>
      </c>
      <c r="O8" s="3">
        <v>7.0000000000000007E-2</v>
      </c>
    </row>
    <row r="9" spans="1:15" x14ac:dyDescent="0.25">
      <c r="B9" s="1"/>
      <c r="E9" s="1"/>
      <c r="I9" s="1"/>
      <c r="J9" s="1"/>
      <c r="K9" s="2" t="s">
        <v>19</v>
      </c>
      <c r="L9" s="1">
        <v>26</v>
      </c>
      <c r="M9" s="1">
        <v>11</v>
      </c>
      <c r="N9" s="1">
        <v>2025</v>
      </c>
      <c r="O9" s="5">
        <v>6.25E-2</v>
      </c>
    </row>
    <row r="10" spans="1:15" x14ac:dyDescent="0.25">
      <c r="B10" s="1"/>
      <c r="C10" s="1" t="s">
        <v>20</v>
      </c>
      <c r="D10" s="6" t="str">
        <f>CONCATENATE(F7,"-",G7,"-",H7)</f>
        <v>19-5-2011</v>
      </c>
      <c r="E10" s="1"/>
      <c r="I10" s="1"/>
      <c r="J10" s="1"/>
      <c r="K10" s="2" t="s">
        <v>21</v>
      </c>
      <c r="L10" s="1">
        <v>18</v>
      </c>
      <c r="M10" s="1">
        <v>10</v>
      </c>
      <c r="N10" s="1">
        <v>2034</v>
      </c>
      <c r="O10" s="5">
        <v>7.2499999999999995E-2</v>
      </c>
    </row>
    <row r="11" spans="1:15" x14ac:dyDescent="0.25">
      <c r="B11" s="1"/>
      <c r="C11" s="1" t="s">
        <v>22</v>
      </c>
      <c r="D11" s="6" t="str">
        <f>CONCATENATE(F11,"-",G11,"-",H11)</f>
        <v>14-5-2014</v>
      </c>
      <c r="E11" s="1"/>
      <c r="F11" s="4">
        <f>VLOOKUP(D5,K2:O14,2,FALSE)</f>
        <v>14</v>
      </c>
      <c r="G11" s="4">
        <f>VLOOKUP(D5,K2:O14,3,FALSE)</f>
        <v>5</v>
      </c>
      <c r="H11" s="4">
        <f>VLOOKUP(D5,K2:O14,4,FALSE)</f>
        <v>2014</v>
      </c>
      <c r="I11" s="1"/>
      <c r="J11" s="1"/>
      <c r="K11" s="2" t="s">
        <v>23</v>
      </c>
      <c r="L11" s="1">
        <v>3</v>
      </c>
      <c r="M11" s="1">
        <v>11</v>
      </c>
      <c r="N11" s="1">
        <v>2027</v>
      </c>
      <c r="O11" s="5">
        <v>5.7500000000000002E-2</v>
      </c>
    </row>
    <row r="12" spans="1:15" x14ac:dyDescent="0.25">
      <c r="B12" s="1"/>
      <c r="C12" s="1" t="s">
        <v>24</v>
      </c>
      <c r="D12" s="6">
        <v>41043</v>
      </c>
      <c r="E12" s="1"/>
      <c r="F12" s="1"/>
      <c r="G12" s="1"/>
      <c r="H12" s="1"/>
      <c r="I12" s="1"/>
      <c r="J12" s="1"/>
      <c r="K12" s="2" t="s">
        <v>25</v>
      </c>
      <c r="L12" s="1">
        <v>26</v>
      </c>
      <c r="M12" s="1">
        <v>10</v>
      </c>
      <c r="N12" s="1">
        <v>2050</v>
      </c>
      <c r="O12" s="5">
        <v>7.2499999999999995E-2</v>
      </c>
    </row>
    <row r="13" spans="1:15" x14ac:dyDescent="0.25">
      <c r="A13" s="77" t="s">
        <v>26</v>
      </c>
      <c r="B13" s="77"/>
      <c r="C13" s="77"/>
      <c r="D13" s="7" t="s">
        <v>71</v>
      </c>
      <c r="E13" s="1" t="s">
        <v>27</v>
      </c>
      <c r="F13" s="77" t="s">
        <v>28</v>
      </c>
      <c r="G13" s="77"/>
      <c r="H13" s="77"/>
      <c r="I13" s="77"/>
      <c r="J13" s="1"/>
      <c r="K13" s="2" t="s">
        <v>29</v>
      </c>
      <c r="L13" s="1">
        <v>9</v>
      </c>
      <c r="M13" s="1">
        <v>7</v>
      </c>
      <c r="N13" s="1">
        <v>2036</v>
      </c>
      <c r="O13" s="5">
        <v>6.25E-2</v>
      </c>
    </row>
    <row r="14" spans="1:15" x14ac:dyDescent="0.25">
      <c r="B14" s="1"/>
      <c r="C14" s="1" t="s">
        <v>30</v>
      </c>
      <c r="D14" s="8">
        <f>(ROUNDDOWN((_xlfn.DAYS(D11,D10)/365),0)*365)+IF(D13="SI",_xlfn.DAYS(D12,D10)-1,IF(D13="NO",_xlfn.DAYS(D12,D10),"Falta selección"))</f>
        <v>1090</v>
      </c>
      <c r="E14" s="1"/>
      <c r="F14" s="1"/>
      <c r="G14" s="1"/>
      <c r="H14" s="1"/>
      <c r="I14" s="1"/>
      <c r="J14" s="1"/>
      <c r="K14" s="1" t="s">
        <v>72</v>
      </c>
      <c r="L14" s="1">
        <v>14</v>
      </c>
      <c r="M14" s="1">
        <v>5</v>
      </c>
      <c r="N14" s="1">
        <v>2014</v>
      </c>
      <c r="O14" s="28">
        <v>9.2499999999999999E-2</v>
      </c>
    </row>
    <row r="15" spans="1:15" x14ac:dyDescent="0.25">
      <c r="B15" s="1"/>
      <c r="C15" s="1" t="s">
        <v>31</v>
      </c>
      <c r="D15" s="1">
        <f>ROUNDUP(D14/365,0)</f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thickBot="1" x14ac:dyDescent="0.3">
      <c r="B16" s="1"/>
      <c r="C16" s="1"/>
      <c r="D16" s="8"/>
      <c r="E16" s="1"/>
      <c r="F16" s="1"/>
      <c r="G16" s="1"/>
      <c r="H16" s="1"/>
      <c r="I16" s="1"/>
      <c r="J16" s="1"/>
      <c r="K16" s="1" t="s">
        <v>71</v>
      </c>
      <c r="L16" s="1"/>
      <c r="M16" s="1"/>
      <c r="N16" s="1"/>
      <c r="O16" s="1"/>
    </row>
    <row r="17" spans="2:15" ht="15.75" thickBot="1" x14ac:dyDescent="0.3">
      <c r="C17" s="16" t="s">
        <v>13</v>
      </c>
      <c r="D17" s="25">
        <f>D8*D7</f>
        <v>277500000</v>
      </c>
      <c r="E17" s="1"/>
      <c r="F17" s="1"/>
      <c r="G17" s="1"/>
      <c r="H17" s="1"/>
      <c r="I17" s="1"/>
      <c r="J17" s="1"/>
      <c r="K17" s="1" t="s">
        <v>11</v>
      </c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>
        <v>1</v>
      </c>
      <c r="C19" s="1" t="s">
        <v>32</v>
      </c>
      <c r="D19" s="9">
        <f t="shared" ref="D19:D33" si="0">IF(B19&lt;=$D$15,$D$17/((1+$D$6)^(F19/365)),"0")</f>
        <v>261393461.017382</v>
      </c>
      <c r="E19" s="1" t="s">
        <v>33</v>
      </c>
      <c r="F19" s="1">
        <f>+IF(D13="SI",_xlfn.DAYS(D12,D10)-1,IF(D13="NO",_xlfn.DAYS(D12,D10),"Falta selección"))</f>
        <v>360</v>
      </c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>
        <v>2</v>
      </c>
      <c r="C20" s="1" t="s">
        <v>34</v>
      </c>
      <c r="D20" s="9">
        <f t="shared" si="0"/>
        <v>246017375.07518309</v>
      </c>
      <c r="E20" s="1" t="s">
        <v>35</v>
      </c>
      <c r="F20" s="1">
        <f>F19+365</f>
        <v>725</v>
      </c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>
        <v>3</v>
      </c>
      <c r="C21" s="1" t="s">
        <v>36</v>
      </c>
      <c r="D21" s="9">
        <f t="shared" si="0"/>
        <v>231545764.77664289</v>
      </c>
      <c r="E21" s="1" t="s">
        <v>37</v>
      </c>
      <c r="F21" s="1">
        <f t="shared" ref="F21:F33" si="1">F20+365</f>
        <v>1090</v>
      </c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">
        <v>4</v>
      </c>
      <c r="C22" s="1" t="s">
        <v>38</v>
      </c>
      <c r="D22" s="9" t="str">
        <f t="shared" si="0"/>
        <v>0</v>
      </c>
      <c r="E22" s="1" t="s">
        <v>59</v>
      </c>
      <c r="F22" s="1">
        <f t="shared" si="1"/>
        <v>1455</v>
      </c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">
        <v>5</v>
      </c>
      <c r="C23" s="1" t="s">
        <v>39</v>
      </c>
      <c r="D23" s="9" t="str">
        <f t="shared" si="0"/>
        <v>0</v>
      </c>
      <c r="E23" s="1" t="s">
        <v>60</v>
      </c>
      <c r="F23" s="1">
        <f t="shared" si="1"/>
        <v>1820</v>
      </c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">
        <v>6</v>
      </c>
      <c r="C24" s="1" t="s">
        <v>40</v>
      </c>
      <c r="D24" s="9" t="str">
        <f t="shared" si="0"/>
        <v>0</v>
      </c>
      <c r="E24" s="1" t="s">
        <v>61</v>
      </c>
      <c r="F24" s="1">
        <f t="shared" si="1"/>
        <v>2185</v>
      </c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1">
        <v>7</v>
      </c>
      <c r="C25" s="1" t="s">
        <v>41</v>
      </c>
      <c r="D25" s="9" t="str">
        <f t="shared" si="0"/>
        <v>0</v>
      </c>
      <c r="E25" s="1" t="s">
        <v>62</v>
      </c>
      <c r="F25" s="1">
        <f t="shared" si="1"/>
        <v>2550</v>
      </c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>
        <v>8</v>
      </c>
      <c r="C26" s="1" t="s">
        <v>42</v>
      </c>
      <c r="D26" s="9" t="str">
        <f t="shared" si="0"/>
        <v>0</v>
      </c>
      <c r="E26" s="1" t="s">
        <v>63</v>
      </c>
      <c r="F26" s="1">
        <f t="shared" si="1"/>
        <v>2915</v>
      </c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>
        <v>9</v>
      </c>
      <c r="C27" s="1" t="s">
        <v>43</v>
      </c>
      <c r="D27" s="9" t="str">
        <f t="shared" si="0"/>
        <v>0</v>
      </c>
      <c r="E27" s="1" t="s">
        <v>64</v>
      </c>
      <c r="F27" s="1">
        <f t="shared" si="1"/>
        <v>3280</v>
      </c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1">
        <v>10</v>
      </c>
      <c r="C28" s="1" t="s">
        <v>44</v>
      </c>
      <c r="D28" s="9" t="str">
        <f t="shared" si="0"/>
        <v>0</v>
      </c>
      <c r="E28" s="1" t="s">
        <v>65</v>
      </c>
      <c r="F28" s="1">
        <f t="shared" si="1"/>
        <v>3645</v>
      </c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1">
        <v>11</v>
      </c>
      <c r="C29" s="1" t="s">
        <v>45</v>
      </c>
      <c r="D29" s="9" t="str">
        <f t="shared" si="0"/>
        <v>0</v>
      </c>
      <c r="E29" s="1" t="s">
        <v>66</v>
      </c>
      <c r="F29" s="1">
        <f t="shared" si="1"/>
        <v>4010</v>
      </c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">
        <v>12</v>
      </c>
      <c r="C30" s="1" t="s">
        <v>46</v>
      </c>
      <c r="D30" s="9" t="str">
        <f t="shared" si="0"/>
        <v>0</v>
      </c>
      <c r="E30" s="1" t="s">
        <v>67</v>
      </c>
      <c r="F30" s="1">
        <f t="shared" si="1"/>
        <v>4375</v>
      </c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1">
        <v>13</v>
      </c>
      <c r="C31" s="1" t="s">
        <v>47</v>
      </c>
      <c r="D31" s="9" t="str">
        <f t="shared" si="0"/>
        <v>0</v>
      </c>
      <c r="E31" s="1" t="s">
        <v>68</v>
      </c>
      <c r="F31" s="1">
        <f t="shared" si="1"/>
        <v>4740</v>
      </c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1">
        <v>14</v>
      </c>
      <c r="C32" s="1" t="s">
        <v>48</v>
      </c>
      <c r="D32" s="9" t="str">
        <f t="shared" si="0"/>
        <v>0</v>
      </c>
      <c r="E32" s="1" t="s">
        <v>69</v>
      </c>
      <c r="F32" s="1">
        <f t="shared" si="1"/>
        <v>5105</v>
      </c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1">
        <v>15</v>
      </c>
      <c r="C33" s="1" t="s">
        <v>49</v>
      </c>
      <c r="D33" s="9" t="str">
        <f t="shared" si="0"/>
        <v>0</v>
      </c>
      <c r="E33" s="1" t="s">
        <v>70</v>
      </c>
      <c r="F33" s="1">
        <f t="shared" si="1"/>
        <v>5470</v>
      </c>
      <c r="G33" s="1"/>
      <c r="H33" s="1"/>
      <c r="I33" s="1"/>
      <c r="J33" s="1"/>
      <c r="K33" s="1"/>
      <c r="L33" s="1"/>
      <c r="M33" s="1"/>
      <c r="N33" s="1"/>
      <c r="O33" s="1"/>
    </row>
    <row r="34" spans="2:15" ht="15.75" thickBot="1" x14ac:dyDescent="0.3">
      <c r="B34" s="1"/>
      <c r="C34" s="1" t="s">
        <v>50</v>
      </c>
      <c r="D34" s="9">
        <f>D8/((1+$D$6)^(F34/365))</f>
        <v>2503197457.0447879</v>
      </c>
      <c r="E34" s="1" t="s">
        <v>51</v>
      </c>
      <c r="F34" s="8">
        <f>D14</f>
        <v>1090</v>
      </c>
      <c r="G34" s="1"/>
      <c r="H34" s="1"/>
      <c r="I34" s="1"/>
      <c r="J34" s="1"/>
      <c r="K34" s="1"/>
      <c r="L34" s="1"/>
      <c r="M34" s="1"/>
      <c r="N34" s="1"/>
      <c r="O34" s="1"/>
    </row>
    <row r="35" spans="2:15" ht="15.75" thickBot="1" x14ac:dyDescent="0.3">
      <c r="B35" s="1"/>
      <c r="C35" s="27" t="s">
        <v>52</v>
      </c>
      <c r="D35" s="25">
        <f>SUM(D19:D34)</f>
        <v>3242154057.9139957</v>
      </c>
      <c r="E35" s="1"/>
      <c r="F35" s="1"/>
      <c r="G35" s="1"/>
      <c r="H35" s="1"/>
      <c r="I35" s="1"/>
      <c r="J35" s="1"/>
    </row>
    <row r="36" spans="2:15" ht="15.75" thickBot="1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5" ht="15.75" thickBot="1" x14ac:dyDescent="0.3">
      <c r="B37" s="1"/>
      <c r="C37" s="27" t="s">
        <v>53</v>
      </c>
      <c r="D37" s="26">
        <f>(D35/D8)*100</f>
        <v>108.07180193046652</v>
      </c>
      <c r="E37" s="1"/>
      <c r="F37" s="1"/>
      <c r="G37" s="1"/>
      <c r="H37" s="1"/>
      <c r="I37" s="1"/>
      <c r="J37" s="1"/>
    </row>
    <row r="38" spans="2:15" ht="15.75" thickBot="1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2:15" ht="15.75" thickBot="1" x14ac:dyDescent="0.3">
      <c r="B39" s="1"/>
      <c r="C39" s="27" t="s">
        <v>54</v>
      </c>
      <c r="D39" s="26">
        <f>D7*((365-F19)/365)*100</f>
        <v>0.12671232876712327</v>
      </c>
      <c r="E39" s="1"/>
      <c r="F39" s="1"/>
      <c r="G39" s="1"/>
      <c r="H39" s="1"/>
      <c r="I39" s="1"/>
      <c r="J39" s="1"/>
    </row>
    <row r="40" spans="2:15" ht="15.75" thickBot="1" x14ac:dyDescent="0.3">
      <c r="B40" s="1"/>
      <c r="C40" s="1"/>
      <c r="D40" s="1"/>
      <c r="E40" s="1"/>
      <c r="F40" s="1"/>
      <c r="G40" s="1"/>
      <c r="H40" s="1"/>
      <c r="I40" s="1"/>
      <c r="J40" s="1"/>
    </row>
    <row r="41" spans="2:15" ht="15.75" thickBot="1" x14ac:dyDescent="0.3">
      <c r="B41" s="1"/>
      <c r="C41" s="27" t="s">
        <v>55</v>
      </c>
      <c r="D41" s="26">
        <f>D37-D39</f>
        <v>107.94508960169939</v>
      </c>
      <c r="E41" s="1"/>
      <c r="F41" s="1"/>
      <c r="G41" s="1"/>
      <c r="H41" s="1"/>
      <c r="I41" s="1"/>
      <c r="J41" s="1"/>
    </row>
    <row r="42" spans="2:15" x14ac:dyDescent="0.25">
      <c r="B42" s="1"/>
      <c r="E42" s="1"/>
      <c r="F42" s="1"/>
      <c r="G42" s="1"/>
      <c r="H42" s="1"/>
      <c r="I42" s="1"/>
      <c r="J42" s="1"/>
    </row>
  </sheetData>
  <mergeCells count="2">
    <mergeCell ref="F13:I13"/>
    <mergeCell ref="A13:C13"/>
  </mergeCells>
  <phoneticPr fontId="3" type="noConversion"/>
  <dataValidations count="2">
    <dataValidation type="list" allowBlank="1" showInputMessage="1" showErrorMessage="1" sqref="D5" xr:uid="{F0D6036E-86DD-40F1-810E-033EFBC46A1A}">
      <formula1>$K$3:$K$14</formula1>
    </dataValidation>
    <dataValidation type="list" allowBlank="1" showInputMessage="1" showErrorMessage="1" sqref="D13" xr:uid="{F4538277-BCF0-4C91-87F1-79DADCDB6882}">
      <formula1>$K$16:$K$17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2761-48CC-4A9F-959A-6376F5438268}">
  <dimension ref="A1:S45"/>
  <sheetViews>
    <sheetView topLeftCell="A4" workbookViewId="0">
      <selection activeCell="D38" sqref="D38"/>
    </sheetView>
  </sheetViews>
  <sheetFormatPr baseColWidth="10" defaultRowHeight="15" x14ac:dyDescent="0.25"/>
  <cols>
    <col min="3" max="3" width="13.5703125" bestFit="1" customWidth="1"/>
    <col min="4" max="4" width="15.140625" bestFit="1" customWidth="1"/>
    <col min="7" max="7" width="12.5703125" customWidth="1"/>
    <col min="9" max="9" width="11.85546875" bestFit="1" customWidth="1"/>
    <col min="11" max="19" width="11.42578125" customWidth="1"/>
  </cols>
  <sheetData>
    <row r="1" spans="1:19" ht="15.75" thickBot="1" x14ac:dyDescent="0.3"/>
    <row r="2" spans="1:19" ht="15.75" thickBot="1" x14ac:dyDescent="0.3">
      <c r="B2" s="1"/>
      <c r="C2" s="1"/>
      <c r="D2" s="78" t="s">
        <v>80</v>
      </c>
      <c r="E2" s="79"/>
      <c r="F2" s="79"/>
      <c r="G2" s="80"/>
      <c r="H2" s="1"/>
      <c r="I2" s="1"/>
      <c r="J2" s="1"/>
      <c r="K2" s="1"/>
      <c r="L2" s="1" t="s">
        <v>0</v>
      </c>
      <c r="M2" s="1" t="s">
        <v>1</v>
      </c>
      <c r="N2" s="1" t="s">
        <v>2</v>
      </c>
      <c r="O2" s="1" t="s">
        <v>3</v>
      </c>
      <c r="Q2" s="1">
        <f>VLOOKUP(D5,K2:O14,2,FALSE)</f>
        <v>1</v>
      </c>
      <c r="R2" s="1">
        <f>VLOOKUP(D5,K2:O14,3,FALSE)</f>
        <v>1</v>
      </c>
      <c r="S2" s="1">
        <f>VLOOKUP(D5,K2:O14,4,FALSE)</f>
        <v>2020</v>
      </c>
    </row>
    <row r="3" spans="1:19" x14ac:dyDescent="0.25">
      <c r="B3" s="1"/>
      <c r="C3" s="1"/>
      <c r="D3" s="1"/>
      <c r="E3" s="1"/>
      <c r="F3" s="1"/>
      <c r="G3" s="1"/>
      <c r="H3" s="1"/>
      <c r="I3" s="1"/>
      <c r="J3" s="1"/>
      <c r="K3" s="2" t="s">
        <v>4</v>
      </c>
      <c r="L3" s="1">
        <v>24</v>
      </c>
      <c r="M3" s="1">
        <v>7</v>
      </c>
      <c r="N3" s="1">
        <v>2024</v>
      </c>
      <c r="O3" s="3">
        <v>0.1</v>
      </c>
    </row>
    <row r="4" spans="1:19" ht="15.75" thickBot="1" x14ac:dyDescent="0.3">
      <c r="B4" s="1"/>
      <c r="D4" t="s">
        <v>75</v>
      </c>
      <c r="F4" t="s">
        <v>57</v>
      </c>
      <c r="I4" s="1"/>
      <c r="J4" s="1"/>
      <c r="K4" s="2" t="s">
        <v>6</v>
      </c>
      <c r="L4" s="1">
        <v>26</v>
      </c>
      <c r="M4" s="1">
        <v>8</v>
      </c>
      <c r="N4" s="1">
        <v>2026</v>
      </c>
      <c r="O4" s="5">
        <v>7.4999999999999997E-2</v>
      </c>
      <c r="Q4" s="1" t="s">
        <v>71</v>
      </c>
    </row>
    <row r="5" spans="1:19" ht="15.75" thickBot="1" x14ac:dyDescent="0.3">
      <c r="B5" s="88" t="s">
        <v>5</v>
      </c>
      <c r="C5" s="89"/>
      <c r="D5" s="31" t="s">
        <v>82</v>
      </c>
      <c r="F5" s="16"/>
      <c r="G5" s="17" t="s">
        <v>56</v>
      </c>
      <c r="H5" s="18"/>
      <c r="I5" s="1"/>
      <c r="J5" s="1"/>
      <c r="K5" s="2" t="s">
        <v>7</v>
      </c>
      <c r="L5" s="1">
        <v>4</v>
      </c>
      <c r="M5" s="1">
        <v>5</v>
      </c>
      <c r="N5" s="1">
        <v>2022</v>
      </c>
      <c r="O5" s="3">
        <v>7.0000000000000007E-2</v>
      </c>
      <c r="Q5" s="1" t="s">
        <v>11</v>
      </c>
    </row>
    <row r="6" spans="1:19" ht="15.75" thickBot="1" x14ac:dyDescent="0.3">
      <c r="B6" s="90" t="s">
        <v>10</v>
      </c>
      <c r="C6" s="91"/>
      <c r="D6" s="32">
        <f>VLOOKUP(D5,K2:O14,5,FALSE)</f>
        <v>0.05</v>
      </c>
      <c r="F6" s="11" t="s">
        <v>16</v>
      </c>
      <c r="G6" s="1" t="s">
        <v>17</v>
      </c>
      <c r="H6" s="15" t="s">
        <v>18</v>
      </c>
      <c r="I6" s="1"/>
      <c r="J6" s="1"/>
      <c r="K6" s="2" t="s">
        <v>9</v>
      </c>
      <c r="L6" s="1">
        <v>28</v>
      </c>
      <c r="M6" s="1">
        <v>4</v>
      </c>
      <c r="N6" s="1">
        <v>2028</v>
      </c>
      <c r="O6" s="3">
        <v>0.06</v>
      </c>
    </row>
    <row r="7" spans="1:19" ht="15.75" thickBot="1" x14ac:dyDescent="0.3">
      <c r="B7" s="90" t="s">
        <v>8</v>
      </c>
      <c r="C7" s="91"/>
      <c r="D7" s="52">
        <v>4.5900000000000003E-2</v>
      </c>
      <c r="E7" s="1"/>
      <c r="F7" s="19" t="s">
        <v>83</v>
      </c>
      <c r="G7" s="21">
        <v>10</v>
      </c>
      <c r="H7" s="20">
        <v>2018</v>
      </c>
      <c r="I7" s="1" t="str">
        <f>IF(DAY(DATE(H7,3,0))=29,"Bisiesto","")</f>
        <v/>
      </c>
      <c r="J7" s="58"/>
      <c r="K7" s="2" t="s">
        <v>12</v>
      </c>
      <c r="L7" s="1">
        <v>18</v>
      </c>
      <c r="M7" s="1">
        <v>9</v>
      </c>
      <c r="N7" s="1">
        <v>2030</v>
      </c>
      <c r="O7" s="5">
        <v>7.7499999999999999E-2</v>
      </c>
    </row>
    <row r="8" spans="1:19" ht="15.75" thickBot="1" x14ac:dyDescent="0.3">
      <c r="B8" s="92" t="s">
        <v>15</v>
      </c>
      <c r="C8" s="93"/>
      <c r="D8" s="53">
        <v>1000000000</v>
      </c>
      <c r="E8" s="1"/>
      <c r="F8" s="1"/>
      <c r="G8" s="1"/>
      <c r="H8" s="1"/>
      <c r="I8" s="1"/>
      <c r="J8" s="1"/>
      <c r="K8" s="2" t="s">
        <v>14</v>
      </c>
      <c r="L8" s="1">
        <v>30</v>
      </c>
      <c r="M8" s="1">
        <v>6</v>
      </c>
      <c r="N8" s="1">
        <v>2032</v>
      </c>
      <c r="O8" s="3">
        <v>7.0000000000000007E-2</v>
      </c>
    </row>
    <row r="9" spans="1:19" ht="15.75" thickBot="1" x14ac:dyDescent="0.3">
      <c r="B9" s="94"/>
      <c r="C9" s="95"/>
      <c r="D9" s="96"/>
      <c r="E9" s="1"/>
      <c r="F9" s="50" t="s">
        <v>78</v>
      </c>
      <c r="G9" s="51" t="s">
        <v>79</v>
      </c>
      <c r="I9" s="1"/>
      <c r="J9" s="1"/>
      <c r="K9" s="2" t="s">
        <v>19</v>
      </c>
      <c r="L9" s="1">
        <v>26</v>
      </c>
      <c r="M9" s="1">
        <v>11</v>
      </c>
      <c r="N9" s="1">
        <v>2025</v>
      </c>
      <c r="O9" s="5">
        <v>6.25E-2</v>
      </c>
    </row>
    <row r="10" spans="1:19" x14ac:dyDescent="0.25">
      <c r="B10" s="83" t="s">
        <v>73</v>
      </c>
      <c r="C10" s="54" t="s">
        <v>20</v>
      </c>
      <c r="D10" s="36" t="str">
        <f>CONCATENATE(F7,"-",G7,"-",H7)</f>
        <v>31-10-2018</v>
      </c>
      <c r="E10" s="1"/>
      <c r="F10" s="48"/>
      <c r="G10" s="49" t="s">
        <v>76</v>
      </c>
      <c r="I10" s="1"/>
      <c r="J10" s="1"/>
      <c r="K10" s="2" t="s">
        <v>21</v>
      </c>
      <c r="L10" s="1">
        <v>18</v>
      </c>
      <c r="M10" s="1">
        <v>10</v>
      </c>
      <c r="N10" s="1">
        <v>2034</v>
      </c>
      <c r="O10" s="5">
        <v>7.2499999999999995E-2</v>
      </c>
    </row>
    <row r="11" spans="1:19" ht="15.75" thickBot="1" x14ac:dyDescent="0.3">
      <c r="B11" s="84"/>
      <c r="C11" s="55" t="s">
        <v>22</v>
      </c>
      <c r="D11" s="33" t="str">
        <f>CONCATENATE(Q2,"-",R2,"-",S2)</f>
        <v>1-1-2020</v>
      </c>
      <c r="E11" s="1"/>
      <c r="F11" s="46"/>
      <c r="G11" s="47" t="s">
        <v>77</v>
      </c>
      <c r="I11" s="1"/>
      <c r="J11" s="1"/>
      <c r="K11" s="2" t="s">
        <v>23</v>
      </c>
      <c r="L11" s="1">
        <v>3</v>
      </c>
      <c r="M11" s="1">
        <v>11</v>
      </c>
      <c r="N11" s="1">
        <v>2027</v>
      </c>
      <c r="O11" s="5">
        <v>5.7500000000000002E-2</v>
      </c>
    </row>
    <row r="12" spans="1:19" ht="15.75" thickBot="1" x14ac:dyDescent="0.3">
      <c r="B12" s="85"/>
      <c r="C12" s="56" t="s">
        <v>24</v>
      </c>
      <c r="D12" s="37" t="str">
        <f>IF(R2&gt;G7,CONCATENATE(Q2,"-",R2,"-",H7),IF(Q2&gt;F7,CONCATENATE(Q2,"-",R2,"-",H7),CONCATENATE(Q2,"-",R2,"-",H7+1)))</f>
        <v>1-1-2019</v>
      </c>
      <c r="E12" s="1"/>
      <c r="F12" s="1"/>
      <c r="G12" s="1"/>
      <c r="H12" s="1"/>
      <c r="I12" s="1"/>
      <c r="J12" s="1"/>
      <c r="K12" s="2" t="s">
        <v>25</v>
      </c>
      <c r="L12" s="1">
        <v>26</v>
      </c>
      <c r="M12" s="1">
        <v>10</v>
      </c>
      <c r="N12" s="1">
        <v>2050</v>
      </c>
      <c r="O12" s="5">
        <v>7.2499999999999995E-2</v>
      </c>
    </row>
    <row r="13" spans="1:19" ht="15.75" thickBot="1" x14ac:dyDescent="0.3">
      <c r="B13" s="94"/>
      <c r="C13" s="95"/>
      <c r="D13" s="96"/>
      <c r="E13" s="1"/>
      <c r="F13" s="1"/>
      <c r="G13" s="1"/>
      <c r="H13" s="1"/>
      <c r="I13" s="1"/>
      <c r="J13" s="1"/>
      <c r="K13" s="2" t="s">
        <v>29</v>
      </c>
      <c r="L13" s="1">
        <v>9</v>
      </c>
      <c r="M13" s="1">
        <v>7</v>
      </c>
      <c r="N13" s="1">
        <v>2036</v>
      </c>
      <c r="O13" s="5">
        <v>6.25E-2</v>
      </c>
    </row>
    <row r="14" spans="1:19" ht="29.25" customHeight="1" thickBot="1" x14ac:dyDescent="0.3">
      <c r="A14" s="29"/>
      <c r="B14" s="86" t="s">
        <v>28</v>
      </c>
      <c r="C14" s="87"/>
      <c r="D14" s="38" t="s">
        <v>11</v>
      </c>
      <c r="E14" s="1"/>
      <c r="F14" s="29"/>
      <c r="G14" s="29"/>
      <c r="H14" s="29"/>
      <c r="I14" s="29"/>
      <c r="J14" s="1"/>
      <c r="K14" s="1" t="s">
        <v>82</v>
      </c>
      <c r="L14" s="1">
        <v>1</v>
      </c>
      <c r="M14" s="1">
        <v>1</v>
      </c>
      <c r="N14" s="1">
        <v>2020</v>
      </c>
      <c r="O14" s="57">
        <v>0.05</v>
      </c>
    </row>
    <row r="15" spans="1:19" ht="15" customHeight="1" thickBot="1" x14ac:dyDescent="0.3">
      <c r="A15" s="29"/>
      <c r="B15" s="100"/>
      <c r="C15" s="101"/>
      <c r="D15" s="102"/>
      <c r="E15" s="1"/>
      <c r="F15" s="29"/>
      <c r="G15" s="29"/>
      <c r="H15" s="29"/>
      <c r="I15" s="29"/>
      <c r="J15" s="1"/>
      <c r="K15" s="1"/>
      <c r="L15" s="1"/>
      <c r="M15" s="1"/>
      <c r="N15" s="1"/>
      <c r="O15" s="28"/>
    </row>
    <row r="16" spans="1:19" ht="15.75" thickBot="1" x14ac:dyDescent="0.3">
      <c r="B16" s="81" t="s">
        <v>74</v>
      </c>
      <c r="C16" s="82"/>
      <c r="D16" s="42">
        <f>(ROUNDDOWN((_xlfn.DAYS(D11,D10)/365),0)*365)+IF(D14="SI",_xlfn.DAYS(D12,D10)-1,IF(D14="NO",_xlfn.DAYS(D12,D10),"Falta selección"))</f>
        <v>427</v>
      </c>
      <c r="E16" s="1"/>
      <c r="F16" s="1"/>
      <c r="G16" s="6">
        <v>40933</v>
      </c>
      <c r="H16" s="6">
        <f>G16+15</f>
        <v>40948</v>
      </c>
      <c r="I16" s="1"/>
      <c r="J16" s="1"/>
      <c r="K16" s="1"/>
      <c r="L16" s="1"/>
      <c r="M16" s="1"/>
      <c r="N16" s="1"/>
      <c r="O16" s="1"/>
    </row>
    <row r="17" spans="2:15" ht="15.75" thickBot="1" x14ac:dyDescent="0.3">
      <c r="B17" s="97"/>
      <c r="C17" s="98"/>
      <c r="D17" s="99"/>
      <c r="E17" s="1"/>
      <c r="F17" s="1"/>
      <c r="G17" s="6">
        <v>40754</v>
      </c>
      <c r="H17" s="6">
        <v>40814</v>
      </c>
      <c r="I17" s="1"/>
      <c r="J17" s="1"/>
      <c r="K17" s="1"/>
      <c r="L17" s="1"/>
      <c r="M17" s="1"/>
      <c r="N17" s="1"/>
      <c r="O17" s="1"/>
    </row>
    <row r="18" spans="2:15" ht="15.75" thickBot="1" x14ac:dyDescent="0.3">
      <c r="B18" s="81" t="s">
        <v>31</v>
      </c>
      <c r="C18" s="82"/>
      <c r="D18" s="43">
        <f>ROUNDUP(D16/365,0)</f>
        <v>2</v>
      </c>
      <c r="E18" s="1"/>
      <c r="F18" s="1"/>
      <c r="G18" s="1">
        <f>_xlfn.DAYS(G17,G16)</f>
        <v>-179</v>
      </c>
      <c r="H18" s="1">
        <f>_xlfn.DAYS(H17,H16)</f>
        <v>-134</v>
      </c>
      <c r="I18" s="1"/>
      <c r="J18" s="1"/>
      <c r="L18" s="1"/>
      <c r="M18" s="1"/>
      <c r="N18" s="1"/>
      <c r="O18" s="1"/>
    </row>
    <row r="19" spans="2:15" ht="15.75" thickBot="1" x14ac:dyDescent="0.3">
      <c r="B19" s="94"/>
      <c r="C19" s="95"/>
      <c r="D19" s="96"/>
      <c r="E19" s="1"/>
      <c r="F19" s="1"/>
      <c r="G19" s="1"/>
      <c r="H19" s="1"/>
      <c r="I19" s="1"/>
      <c r="J19" s="1"/>
      <c r="L19" s="1"/>
      <c r="M19" s="1"/>
      <c r="N19" s="1"/>
      <c r="O19" s="1"/>
    </row>
    <row r="20" spans="2:15" ht="15.75" thickBot="1" x14ac:dyDescent="0.3">
      <c r="B20" s="81" t="s">
        <v>13</v>
      </c>
      <c r="C20" s="82"/>
      <c r="D20" s="44">
        <f>D8*D6</f>
        <v>50000000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15.75" thickBot="1" x14ac:dyDescent="0.3">
      <c r="B21" s="103"/>
      <c r="C21" s="104"/>
      <c r="D21" s="10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idden="1" x14ac:dyDescent="0.25">
      <c r="B22" s="34">
        <v>1</v>
      </c>
      <c r="C22" s="30" t="s">
        <v>32</v>
      </c>
      <c r="D22" s="35">
        <f t="shared" ref="D22:D36" si="0">IF(B22&lt;=$D$18,$D$20/((1+$D$7)^(F22/365)),"0")</f>
        <v>49620295.528192364</v>
      </c>
      <c r="E22" s="1" t="s">
        <v>33</v>
      </c>
      <c r="F22" s="1">
        <f>+IF(D14="SI",_xlfn.DAYS(D12,D10)-1,IF(D14="NO",_xlfn.DAYS(D12,D10),"Falta selección"))</f>
        <v>62</v>
      </c>
      <c r="G22" s="1"/>
      <c r="H22" s="1"/>
      <c r="I22" s="1"/>
      <c r="J22" s="1"/>
      <c r="K22" s="1"/>
      <c r="L22" s="1"/>
      <c r="M22" s="1"/>
      <c r="N22" s="1"/>
      <c r="O22" s="1"/>
    </row>
    <row r="23" spans="2:15" hidden="1" x14ac:dyDescent="0.25">
      <c r="B23" s="34">
        <v>2</v>
      </c>
      <c r="C23" s="30" t="s">
        <v>34</v>
      </c>
      <c r="D23" s="35">
        <f t="shared" si="0"/>
        <v>47442676.669081524</v>
      </c>
      <c r="E23" s="1" t="s">
        <v>35</v>
      </c>
      <c r="F23" s="1">
        <f>F22+365</f>
        <v>427</v>
      </c>
      <c r="G23" s="1"/>
      <c r="H23" s="1"/>
      <c r="I23" s="1"/>
      <c r="J23" s="1"/>
      <c r="K23" s="1"/>
      <c r="L23" s="1"/>
      <c r="M23" s="1"/>
      <c r="N23" s="1"/>
      <c r="O23" s="1"/>
    </row>
    <row r="24" spans="2:15" hidden="1" x14ac:dyDescent="0.25">
      <c r="B24" s="34">
        <v>3</v>
      </c>
      <c r="C24" s="30" t="s">
        <v>36</v>
      </c>
      <c r="D24" s="35" t="str">
        <f t="shared" si="0"/>
        <v>0</v>
      </c>
      <c r="E24" s="1" t="s">
        <v>37</v>
      </c>
      <c r="F24" s="1">
        <f t="shared" ref="F24:F36" si="1">F23+365</f>
        <v>792</v>
      </c>
      <c r="G24" s="1"/>
      <c r="H24" s="1"/>
      <c r="I24" s="1"/>
      <c r="J24" s="1"/>
      <c r="K24" s="1"/>
      <c r="L24" s="1"/>
      <c r="M24" s="1"/>
      <c r="N24" s="1"/>
      <c r="O24" s="1"/>
    </row>
    <row r="25" spans="2:15" hidden="1" x14ac:dyDescent="0.25">
      <c r="B25" s="34">
        <v>4</v>
      </c>
      <c r="C25" s="30" t="s">
        <v>38</v>
      </c>
      <c r="D25" s="35" t="str">
        <f t="shared" si="0"/>
        <v>0</v>
      </c>
      <c r="E25" s="1" t="s">
        <v>59</v>
      </c>
      <c r="F25" s="1">
        <f t="shared" si="1"/>
        <v>1157</v>
      </c>
      <c r="G25" s="1"/>
      <c r="H25" s="1"/>
      <c r="I25" s="1"/>
      <c r="J25" s="1"/>
      <c r="K25" s="1"/>
      <c r="L25" s="1"/>
      <c r="M25" s="1"/>
      <c r="N25" s="1"/>
      <c r="O25" s="1"/>
    </row>
    <row r="26" spans="2:15" hidden="1" x14ac:dyDescent="0.25">
      <c r="B26" s="34">
        <v>5</v>
      </c>
      <c r="C26" s="30" t="s">
        <v>39</v>
      </c>
      <c r="D26" s="35" t="str">
        <f t="shared" si="0"/>
        <v>0</v>
      </c>
      <c r="E26" s="1" t="s">
        <v>60</v>
      </c>
      <c r="F26" s="1">
        <f t="shared" si="1"/>
        <v>1522</v>
      </c>
      <c r="G26" s="1"/>
      <c r="H26" s="1"/>
      <c r="I26" s="1"/>
      <c r="J26" s="1"/>
      <c r="K26" s="1"/>
      <c r="L26" s="1"/>
      <c r="M26" s="1"/>
      <c r="N26" s="1"/>
      <c r="O26" s="1"/>
    </row>
    <row r="27" spans="2:15" hidden="1" x14ac:dyDescent="0.25">
      <c r="B27" s="34">
        <v>6</v>
      </c>
      <c r="C27" s="30" t="s">
        <v>40</v>
      </c>
      <c r="D27" s="35" t="str">
        <f t="shared" si="0"/>
        <v>0</v>
      </c>
      <c r="E27" s="1" t="s">
        <v>61</v>
      </c>
      <c r="F27" s="1">
        <f t="shared" si="1"/>
        <v>1887</v>
      </c>
      <c r="G27" s="1"/>
      <c r="H27" s="1"/>
      <c r="I27" s="1"/>
      <c r="J27" s="1"/>
      <c r="K27" s="1"/>
      <c r="L27" s="1"/>
      <c r="M27" s="1"/>
      <c r="N27" s="1"/>
      <c r="O27" s="1"/>
    </row>
    <row r="28" spans="2:15" hidden="1" x14ac:dyDescent="0.25">
      <c r="B28" s="34">
        <v>7</v>
      </c>
      <c r="C28" s="30" t="s">
        <v>41</v>
      </c>
      <c r="D28" s="35" t="str">
        <f t="shared" si="0"/>
        <v>0</v>
      </c>
      <c r="E28" s="1" t="s">
        <v>62</v>
      </c>
      <c r="F28" s="1">
        <f t="shared" si="1"/>
        <v>2252</v>
      </c>
      <c r="G28" s="1"/>
      <c r="H28" s="1"/>
      <c r="I28" s="1"/>
      <c r="J28" s="1"/>
      <c r="K28" s="1"/>
      <c r="L28" s="1"/>
      <c r="M28" s="1"/>
      <c r="N28" s="1"/>
      <c r="O28" s="1"/>
    </row>
    <row r="29" spans="2:15" hidden="1" x14ac:dyDescent="0.25">
      <c r="B29" s="34">
        <v>8</v>
      </c>
      <c r="C29" s="30" t="s">
        <v>42</v>
      </c>
      <c r="D29" s="35" t="str">
        <f t="shared" si="0"/>
        <v>0</v>
      </c>
      <c r="E29" s="1" t="s">
        <v>63</v>
      </c>
      <c r="F29" s="1">
        <f t="shared" si="1"/>
        <v>2617</v>
      </c>
      <c r="G29" s="1"/>
      <c r="H29" s="1"/>
      <c r="I29" s="1"/>
      <c r="J29" s="1"/>
      <c r="K29" s="1"/>
      <c r="L29" s="1"/>
      <c r="M29" s="1"/>
      <c r="N29" s="1"/>
      <c r="O29" s="1"/>
    </row>
    <row r="30" spans="2:15" hidden="1" x14ac:dyDescent="0.25">
      <c r="B30" s="34">
        <v>9</v>
      </c>
      <c r="C30" s="30" t="s">
        <v>43</v>
      </c>
      <c r="D30" s="35" t="str">
        <f t="shared" si="0"/>
        <v>0</v>
      </c>
      <c r="E30" s="1" t="s">
        <v>64</v>
      </c>
      <c r="F30" s="1">
        <f t="shared" si="1"/>
        <v>2982</v>
      </c>
      <c r="G30" s="1"/>
      <c r="H30" s="1"/>
      <c r="I30" s="1"/>
      <c r="J30" s="1"/>
      <c r="K30" s="1"/>
      <c r="L30" s="1"/>
      <c r="M30" s="1"/>
      <c r="N30" s="1"/>
      <c r="O30" s="1"/>
    </row>
    <row r="31" spans="2:15" hidden="1" x14ac:dyDescent="0.25">
      <c r="B31" s="34">
        <v>10</v>
      </c>
      <c r="C31" s="30" t="s">
        <v>44</v>
      </c>
      <c r="D31" s="35" t="str">
        <f t="shared" si="0"/>
        <v>0</v>
      </c>
      <c r="E31" s="1" t="s">
        <v>65</v>
      </c>
      <c r="F31" s="1">
        <f t="shared" si="1"/>
        <v>3347</v>
      </c>
      <c r="G31" s="1"/>
      <c r="H31" s="1"/>
      <c r="I31" s="1"/>
      <c r="J31" s="1"/>
      <c r="K31" s="1"/>
      <c r="L31" s="1"/>
      <c r="M31" s="1"/>
      <c r="N31" s="1"/>
      <c r="O31" s="1"/>
    </row>
    <row r="32" spans="2:15" hidden="1" x14ac:dyDescent="0.25">
      <c r="B32" s="34">
        <v>11</v>
      </c>
      <c r="C32" s="30" t="s">
        <v>45</v>
      </c>
      <c r="D32" s="35" t="str">
        <f t="shared" si="0"/>
        <v>0</v>
      </c>
      <c r="E32" s="1" t="s">
        <v>66</v>
      </c>
      <c r="F32" s="1">
        <f t="shared" si="1"/>
        <v>3712</v>
      </c>
      <c r="G32" s="1"/>
      <c r="H32" s="1"/>
      <c r="I32" s="1"/>
      <c r="J32" s="1"/>
      <c r="K32" s="1"/>
      <c r="L32" s="1"/>
      <c r="M32" s="1"/>
      <c r="N32" s="1"/>
      <c r="O32" s="1"/>
    </row>
    <row r="33" spans="2:15" hidden="1" x14ac:dyDescent="0.25">
      <c r="B33" s="34">
        <v>12</v>
      </c>
      <c r="C33" s="30" t="s">
        <v>46</v>
      </c>
      <c r="D33" s="35" t="str">
        <f t="shared" si="0"/>
        <v>0</v>
      </c>
      <c r="E33" s="1" t="s">
        <v>67</v>
      </c>
      <c r="F33" s="1">
        <f t="shared" si="1"/>
        <v>4077</v>
      </c>
      <c r="G33" s="1"/>
      <c r="H33" s="1"/>
      <c r="I33" s="1"/>
      <c r="J33" s="1"/>
      <c r="K33" s="1"/>
      <c r="L33" s="1"/>
      <c r="M33" s="1"/>
      <c r="N33" s="1"/>
      <c r="O33" s="1"/>
    </row>
    <row r="34" spans="2:15" hidden="1" x14ac:dyDescent="0.25">
      <c r="B34" s="34">
        <v>13</v>
      </c>
      <c r="C34" s="30" t="s">
        <v>47</v>
      </c>
      <c r="D34" s="35" t="str">
        <f t="shared" si="0"/>
        <v>0</v>
      </c>
      <c r="E34" s="1" t="s">
        <v>68</v>
      </c>
      <c r="F34" s="1">
        <f t="shared" si="1"/>
        <v>4442</v>
      </c>
      <c r="G34" s="1"/>
      <c r="H34" s="1"/>
      <c r="I34" s="1"/>
      <c r="J34" s="1"/>
      <c r="K34" s="1"/>
      <c r="L34" s="1"/>
      <c r="M34" s="1"/>
      <c r="N34" s="1"/>
      <c r="O34" s="1"/>
    </row>
    <row r="35" spans="2:15" hidden="1" x14ac:dyDescent="0.25">
      <c r="B35" s="34">
        <v>14</v>
      </c>
      <c r="C35" s="30" t="s">
        <v>48</v>
      </c>
      <c r="D35" s="35" t="str">
        <f t="shared" si="0"/>
        <v>0</v>
      </c>
      <c r="E35" s="1" t="s">
        <v>69</v>
      </c>
      <c r="F35" s="1">
        <f t="shared" si="1"/>
        <v>4807</v>
      </c>
      <c r="G35" s="1"/>
      <c r="H35" s="1"/>
      <c r="I35" s="1"/>
      <c r="J35" s="1"/>
      <c r="K35" s="1"/>
      <c r="L35" s="1"/>
      <c r="M35" s="1"/>
      <c r="N35" s="1"/>
      <c r="O35" s="1"/>
    </row>
    <row r="36" spans="2:15" hidden="1" x14ac:dyDescent="0.25">
      <c r="B36" s="34">
        <v>15</v>
      </c>
      <c r="C36" s="30" t="s">
        <v>49</v>
      </c>
      <c r="D36" s="35" t="str">
        <f t="shared" si="0"/>
        <v>0</v>
      </c>
      <c r="E36" s="1" t="s">
        <v>70</v>
      </c>
      <c r="F36" s="1">
        <f t="shared" si="1"/>
        <v>5172</v>
      </c>
      <c r="G36" s="1"/>
      <c r="H36" s="1"/>
      <c r="I36" s="1"/>
      <c r="J36" s="1"/>
      <c r="K36" s="1"/>
      <c r="L36" s="1"/>
      <c r="M36" s="1"/>
      <c r="N36" s="1"/>
      <c r="O36" s="1"/>
    </row>
    <row r="37" spans="2:15" hidden="1" x14ac:dyDescent="0.25">
      <c r="B37" s="39"/>
      <c r="C37" s="40" t="s">
        <v>50</v>
      </c>
      <c r="D37" s="41">
        <f>D8/((1+$D$7)^(F37/365))</f>
        <v>948853533.38163054</v>
      </c>
      <c r="E37" s="1" t="s">
        <v>51</v>
      </c>
      <c r="F37" s="8">
        <f>D16</f>
        <v>427</v>
      </c>
      <c r="G37" s="1"/>
      <c r="H37" s="1"/>
      <c r="I37" s="1"/>
      <c r="J37" s="1"/>
    </row>
    <row r="38" spans="2:15" ht="15.75" thickBot="1" x14ac:dyDescent="0.3">
      <c r="B38" s="81" t="s">
        <v>52</v>
      </c>
      <c r="C38" s="82"/>
      <c r="D38" s="44">
        <f>SUM(D22:D37)</f>
        <v>1045916505.5789044</v>
      </c>
      <c r="E38" s="1"/>
      <c r="F38" s="1"/>
      <c r="G38" s="1"/>
      <c r="H38" s="1"/>
      <c r="I38" s="1"/>
      <c r="J38" s="1"/>
    </row>
    <row r="39" spans="2:15" ht="15.75" thickBot="1" x14ac:dyDescent="0.3">
      <c r="B39" s="94"/>
      <c r="C39" s="95"/>
      <c r="D39" s="96"/>
      <c r="E39" s="1"/>
      <c r="F39" s="1"/>
      <c r="G39" s="1"/>
      <c r="H39" s="1"/>
      <c r="I39" s="1"/>
      <c r="J39" s="1"/>
    </row>
    <row r="40" spans="2:15" ht="15.75" thickBot="1" x14ac:dyDescent="0.3">
      <c r="B40" s="81" t="s">
        <v>53</v>
      </c>
      <c r="C40" s="82"/>
      <c r="D40" s="45">
        <f>(D38/D8)*100</f>
        <v>104.59165055789043</v>
      </c>
      <c r="E40" s="1"/>
      <c r="F40" s="1"/>
      <c r="G40" s="1"/>
      <c r="H40" s="1"/>
      <c r="I40" s="1"/>
      <c r="J40" s="1"/>
    </row>
    <row r="41" spans="2:15" ht="15.75" thickBot="1" x14ac:dyDescent="0.3">
      <c r="B41" s="94"/>
      <c r="C41" s="95"/>
      <c r="D41" s="96"/>
      <c r="E41" s="1"/>
      <c r="F41" s="1"/>
      <c r="G41" s="1"/>
      <c r="H41" s="1"/>
      <c r="I41" s="1"/>
      <c r="J41" s="1"/>
    </row>
    <row r="42" spans="2:15" ht="15.75" thickBot="1" x14ac:dyDescent="0.3">
      <c r="B42" s="81" t="s">
        <v>54</v>
      </c>
      <c r="C42" s="82"/>
      <c r="D42" s="45">
        <f>D6*((365-F22)/365)*100</f>
        <v>4.1506849315068495</v>
      </c>
      <c r="E42" s="1"/>
      <c r="F42" s="1"/>
      <c r="G42" s="1"/>
      <c r="H42" s="1"/>
      <c r="I42" s="1"/>
      <c r="J42" s="1"/>
    </row>
    <row r="43" spans="2:15" ht="15.75" thickBot="1" x14ac:dyDescent="0.3">
      <c r="B43" s="94"/>
      <c r="C43" s="95"/>
      <c r="D43" s="96"/>
      <c r="E43" s="1"/>
      <c r="F43" s="1"/>
      <c r="G43" s="1"/>
      <c r="H43" s="1"/>
      <c r="I43" s="1"/>
      <c r="J43" s="1"/>
    </row>
    <row r="44" spans="2:15" ht="15.75" thickBot="1" x14ac:dyDescent="0.3">
      <c r="B44" s="81" t="s">
        <v>55</v>
      </c>
      <c r="C44" s="82"/>
      <c r="D44" s="45">
        <f>D40-D42</f>
        <v>100.44096562638359</v>
      </c>
      <c r="E44" s="1"/>
      <c r="F44" s="1"/>
      <c r="G44" s="1"/>
      <c r="H44" s="1"/>
      <c r="I44" s="1"/>
      <c r="J44" s="1"/>
    </row>
    <row r="45" spans="2:15" x14ac:dyDescent="0.25">
      <c r="B45" s="1"/>
      <c r="E45" s="1"/>
      <c r="F45" s="1"/>
      <c r="G45" s="1"/>
      <c r="H45" s="1"/>
      <c r="I45" s="1"/>
      <c r="J45" s="1"/>
    </row>
  </sheetData>
  <mergeCells count="23">
    <mergeCell ref="B44:C44"/>
    <mergeCell ref="B42:C42"/>
    <mergeCell ref="B40:C40"/>
    <mergeCell ref="B19:D19"/>
    <mergeCell ref="B21:D21"/>
    <mergeCell ref="B39:D39"/>
    <mergeCell ref="B41:D41"/>
    <mergeCell ref="B43:D43"/>
    <mergeCell ref="D2:G2"/>
    <mergeCell ref="B16:C16"/>
    <mergeCell ref="B18:C18"/>
    <mergeCell ref="B20:C20"/>
    <mergeCell ref="B38:C38"/>
    <mergeCell ref="B10:B12"/>
    <mergeCell ref="B14:C14"/>
    <mergeCell ref="B5:C5"/>
    <mergeCell ref="B6:C6"/>
    <mergeCell ref="B7:C7"/>
    <mergeCell ref="B8:C8"/>
    <mergeCell ref="B9:D9"/>
    <mergeCell ref="B13:D13"/>
    <mergeCell ref="B17:D17"/>
    <mergeCell ref="B15:D15"/>
  </mergeCells>
  <conditionalFormatting sqref="I7">
    <cfRule type="containsText" dxfId="4" priority="1" operator="containsText" text="Bisiesto">
      <formula>NOT(ISERROR(SEARCH("Bisiesto",I7)))</formula>
    </cfRule>
  </conditionalFormatting>
  <dataValidations count="2">
    <dataValidation type="list" allowBlank="1" showInputMessage="1" showErrorMessage="1" sqref="D5" xr:uid="{5344E3A3-17BA-4AE2-8E23-358A43EB0827}">
      <formula1>$K$3:$K$14</formula1>
    </dataValidation>
    <dataValidation type="list" allowBlank="1" showInputMessage="1" showErrorMessage="1" sqref="D14" xr:uid="{F619FEB2-44C4-4BAC-9CBC-A6CE89D9F6FD}">
      <formula1>$Q$4:$Q$5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B45C-A6BA-4C74-9917-C96D2531FD73}">
  <dimension ref="A1:AD48"/>
  <sheetViews>
    <sheetView showGridLines="0" tabSelected="1" workbookViewId="0">
      <selection activeCell="O18" sqref="O18"/>
    </sheetView>
  </sheetViews>
  <sheetFormatPr baseColWidth="10" defaultRowHeight="15" zeroHeight="1" x14ac:dyDescent="0.25"/>
  <cols>
    <col min="2" max="2" width="8.42578125" customWidth="1"/>
    <col min="3" max="3" width="12.42578125" bestFit="1" customWidth="1"/>
    <col min="4" max="4" width="15.140625" bestFit="1" customWidth="1"/>
    <col min="5" max="5" width="12.85546875" bestFit="1" customWidth="1"/>
    <col min="6" max="8" width="12.5703125" customWidth="1"/>
    <col min="9" max="9" width="5" bestFit="1" customWidth="1"/>
    <col min="10" max="10" width="49.28515625" bestFit="1" customWidth="1"/>
    <col min="11" max="11" width="20" bestFit="1" customWidth="1"/>
    <col min="12" max="12" width="19.85546875" bestFit="1" customWidth="1"/>
    <col min="14" max="14" width="8.28515625" customWidth="1"/>
    <col min="15" max="15" width="14.28515625" customWidth="1"/>
    <col min="16" max="16" width="9" customWidth="1"/>
    <col min="18" max="18" width="13.5703125" hidden="1" customWidth="1"/>
    <col min="19" max="19" width="4.5703125" hidden="1" customWidth="1"/>
    <col min="20" max="20" width="5" hidden="1" customWidth="1"/>
    <col min="21" max="21" width="3.42578125" hidden="1" customWidth="1"/>
    <col min="22" max="22" width="10.7109375" hidden="1" customWidth="1"/>
    <col min="23" max="23" width="4.140625" hidden="1" customWidth="1"/>
    <col min="24" max="24" width="4.7109375" hidden="1" customWidth="1"/>
    <col min="25" max="25" width="6.5703125" hidden="1" customWidth="1"/>
    <col min="26" max="26" width="7.140625" hidden="1" customWidth="1"/>
    <col min="27" max="27" width="0" hidden="1" customWidth="1"/>
    <col min="28" max="28" width="5.5703125" hidden="1" customWidth="1"/>
    <col min="29" max="29" width="4.5703125" hidden="1" customWidth="1"/>
    <col min="30" max="30" width="7.5703125" hidden="1" customWidth="1"/>
    <col min="31" max="31" width="0" hidden="1" customWidth="1"/>
  </cols>
  <sheetData>
    <row r="1" spans="1:30" ht="15.75" thickBot="1" x14ac:dyDescent="0.3"/>
    <row r="2" spans="1:30" ht="19.5" thickBot="1" x14ac:dyDescent="0.3">
      <c r="B2" s="106" t="s">
        <v>102</v>
      </c>
      <c r="C2" s="106"/>
      <c r="D2" s="106"/>
      <c r="E2" s="106"/>
      <c r="F2" s="106"/>
      <c r="G2" s="106"/>
      <c r="H2" s="106"/>
      <c r="I2" s="1"/>
      <c r="J2" s="110" t="s">
        <v>84</v>
      </c>
      <c r="K2" s="111"/>
      <c r="L2" s="112"/>
    </row>
    <row r="3" spans="1:30" ht="15.75" thickBot="1" x14ac:dyDescent="0.3">
      <c r="B3" s="1"/>
      <c r="C3" s="1"/>
      <c r="D3" s="1"/>
      <c r="E3" s="1"/>
      <c r="F3" s="1"/>
      <c r="G3" s="107" t="s">
        <v>104</v>
      </c>
      <c r="H3" s="107"/>
      <c r="I3" s="1"/>
      <c r="V3" s="1"/>
      <c r="W3" s="1" t="s">
        <v>0</v>
      </c>
      <c r="X3" s="1" t="s">
        <v>1</v>
      </c>
      <c r="Y3" s="1" t="s">
        <v>2</v>
      </c>
      <c r="Z3" s="1" t="s">
        <v>3</v>
      </c>
      <c r="AB3" s="60">
        <f>VLOOKUP(D5,V3:Z15,2,FALSE)</f>
        <v>25</v>
      </c>
      <c r="AC3" s="60">
        <f>VLOOKUP(D5,V3:Z15,3,FALSE)</f>
        <v>1</v>
      </c>
      <c r="AD3" s="60">
        <f>VLOOKUP(D5,V3:Z15,4,FALSE)</f>
        <v>2012</v>
      </c>
    </row>
    <row r="4" spans="1:30" ht="15.75" thickBot="1" x14ac:dyDescent="0.3">
      <c r="B4" s="1"/>
      <c r="D4" t="s">
        <v>75</v>
      </c>
      <c r="E4" t="s">
        <v>101</v>
      </c>
      <c r="G4" s="50" t="s">
        <v>78</v>
      </c>
      <c r="H4" s="51" t="s">
        <v>79</v>
      </c>
      <c r="I4" s="1"/>
      <c r="J4" s="115" t="s">
        <v>73</v>
      </c>
      <c r="K4" s="54" t="s">
        <v>92</v>
      </c>
      <c r="L4" s="74" t="str">
        <f>CONCATENATE(F16,"-",G16,"-",H16)</f>
        <v>30-4-2011</v>
      </c>
      <c r="V4" s="2" t="s">
        <v>4</v>
      </c>
      <c r="W4" s="1">
        <v>24</v>
      </c>
      <c r="X4" s="1">
        <v>7</v>
      </c>
      <c r="Y4" s="1">
        <v>2024</v>
      </c>
      <c r="Z4" s="3">
        <v>0.1</v>
      </c>
    </row>
    <row r="5" spans="1:30" x14ac:dyDescent="0.25">
      <c r="B5" s="88" t="s">
        <v>5</v>
      </c>
      <c r="C5" s="89"/>
      <c r="D5" s="31" t="s">
        <v>103</v>
      </c>
      <c r="G5" s="48"/>
      <c r="H5" s="49" t="s">
        <v>76</v>
      </c>
      <c r="I5" s="1"/>
      <c r="J5" s="116"/>
      <c r="K5" s="55" t="s">
        <v>93</v>
      </c>
      <c r="L5" s="75" t="str">
        <f>CONCATENATE(F20,"-",G20,"-",H20)</f>
        <v>30-7-2011</v>
      </c>
      <c r="V5" s="2" t="s">
        <v>6</v>
      </c>
      <c r="W5" s="1">
        <v>26</v>
      </c>
      <c r="X5" s="1">
        <v>8</v>
      </c>
      <c r="Y5" s="1">
        <v>2026</v>
      </c>
      <c r="Z5" s="5">
        <v>7.4999999999999997E-2</v>
      </c>
      <c r="AB5" s="1" t="s">
        <v>71</v>
      </c>
    </row>
    <row r="6" spans="1:30" ht="15.75" thickBot="1" x14ac:dyDescent="0.3">
      <c r="B6" s="90" t="s">
        <v>10</v>
      </c>
      <c r="C6" s="91"/>
      <c r="D6" s="32">
        <f>VLOOKUP(D5,V3:Z15,5,FALSE)</f>
        <v>0.15</v>
      </c>
      <c r="G6" s="118"/>
      <c r="H6" s="47" t="s">
        <v>77</v>
      </c>
      <c r="I6" s="1"/>
      <c r="J6" s="117"/>
      <c r="K6" s="56" t="s">
        <v>91</v>
      </c>
      <c r="L6" s="76" t="str">
        <f>IF(K13="SI",CONCATENATE(R7,"-",S7,"-",T7),"NO")</f>
        <v>NO</v>
      </c>
      <c r="V6" s="2" t="s">
        <v>7</v>
      </c>
      <c r="W6" s="1">
        <v>4</v>
      </c>
      <c r="X6" s="1">
        <v>5</v>
      </c>
      <c r="Y6" s="1">
        <v>2022</v>
      </c>
      <c r="Z6" s="3">
        <v>7.0000000000000007E-2</v>
      </c>
      <c r="AB6" s="1" t="s">
        <v>11</v>
      </c>
    </row>
    <row r="7" spans="1:30" x14ac:dyDescent="0.25">
      <c r="B7" s="90" t="s">
        <v>8</v>
      </c>
      <c r="C7" s="91"/>
      <c r="D7" s="119">
        <v>4.9000000000000002E-2</v>
      </c>
      <c r="E7" s="1"/>
      <c r="I7" s="1" t="str">
        <f>IF(DAY(DATE(H11,3,0))=29,"Bisiesto","")</f>
        <v/>
      </c>
      <c r="R7" s="59">
        <f>AB3</f>
        <v>25</v>
      </c>
      <c r="S7" s="59">
        <f>AC3</f>
        <v>1</v>
      </c>
      <c r="T7">
        <f>IF(H16=H20,H16,IF(H20&gt;H16,IF(AND(AC3&lt;=G20,AB3&lt;=F20),H20,IF(AND(AC3&gt;G16,AB3&gt;F16),H16,"error"))))</f>
        <v>2011</v>
      </c>
      <c r="V7" s="2" t="s">
        <v>9</v>
      </c>
      <c r="W7" s="1">
        <v>28</v>
      </c>
      <c r="X7" s="1">
        <v>4</v>
      </c>
      <c r="Y7" s="1">
        <v>2028</v>
      </c>
      <c r="Z7" s="3">
        <v>0.06</v>
      </c>
    </row>
    <row r="8" spans="1:30" ht="15.75" thickBot="1" x14ac:dyDescent="0.3">
      <c r="B8" s="92" t="s">
        <v>15</v>
      </c>
      <c r="C8" s="93"/>
      <c r="D8" s="120">
        <v>1000000000</v>
      </c>
      <c r="E8" s="1"/>
      <c r="F8" s="109" t="s">
        <v>57</v>
      </c>
      <c r="G8" s="109"/>
      <c r="H8" s="109"/>
      <c r="I8" s="1"/>
      <c r="J8" s="113" t="s">
        <v>87</v>
      </c>
      <c r="K8" s="114"/>
      <c r="L8" s="127">
        <v>4.2500000000000003E-2</v>
      </c>
      <c r="V8" s="2" t="s">
        <v>12</v>
      </c>
      <c r="W8" s="1">
        <v>18</v>
      </c>
      <c r="X8" s="1">
        <v>9</v>
      </c>
      <c r="Y8" s="1">
        <v>2030</v>
      </c>
      <c r="Z8" s="5">
        <v>7.7499999999999999E-2</v>
      </c>
      <c r="AB8" t="s">
        <v>71</v>
      </c>
    </row>
    <row r="9" spans="1:30" ht="15.75" thickBot="1" x14ac:dyDescent="0.3">
      <c r="B9" s="94"/>
      <c r="C9" s="95"/>
      <c r="D9" s="96"/>
      <c r="E9" s="1"/>
      <c r="F9" s="78" t="s">
        <v>56</v>
      </c>
      <c r="G9" s="79"/>
      <c r="H9" s="80"/>
      <c r="I9" s="1"/>
      <c r="V9" s="2" t="s">
        <v>14</v>
      </c>
      <c r="W9" s="1">
        <v>30</v>
      </c>
      <c r="X9" s="1">
        <v>6</v>
      </c>
      <c r="Y9" s="1">
        <v>2032</v>
      </c>
      <c r="Z9" s="3">
        <v>7.0000000000000007E-2</v>
      </c>
      <c r="AB9" t="str">
        <f>IF(K13="SI","NO","")</f>
        <v/>
      </c>
    </row>
    <row r="10" spans="1:30" ht="15.75" thickBot="1" x14ac:dyDescent="0.3">
      <c r="B10" s="83" t="s">
        <v>73</v>
      </c>
      <c r="C10" s="54" t="s">
        <v>20</v>
      </c>
      <c r="D10" s="36" t="str">
        <f>CONCATENATE(F11,"-",G11,"-",H11)</f>
        <v>15-4-2011</v>
      </c>
      <c r="E10" s="1"/>
      <c r="F10" s="11" t="s">
        <v>16</v>
      </c>
      <c r="G10" s="1" t="s">
        <v>17</v>
      </c>
      <c r="H10" s="15" t="s">
        <v>18</v>
      </c>
      <c r="I10" s="1"/>
      <c r="J10" s="73" t="str">
        <f>IF(L4=D10,"","Bisiesto entre negociación y Simultánea")</f>
        <v>Bisiesto entre negociación y Simultánea</v>
      </c>
      <c r="K10" s="31" t="s">
        <v>11</v>
      </c>
      <c r="V10" s="2" t="s">
        <v>19</v>
      </c>
      <c r="W10" s="1">
        <v>26</v>
      </c>
      <c r="X10" s="1">
        <v>11</v>
      </c>
      <c r="Y10" s="1">
        <v>2025</v>
      </c>
      <c r="Z10" s="5">
        <v>6.25E-2</v>
      </c>
    </row>
    <row r="11" spans="1:30" ht="15.75" thickBot="1" x14ac:dyDescent="0.3">
      <c r="B11" s="84"/>
      <c r="C11" s="55" t="s">
        <v>22</v>
      </c>
      <c r="D11" s="33" t="str">
        <f>CONCATENATE(AB3,"-",AC3,"-",AD3)</f>
        <v>25-1-2012</v>
      </c>
      <c r="E11" s="1"/>
      <c r="F11" s="121">
        <v>15</v>
      </c>
      <c r="G11" s="122">
        <v>4</v>
      </c>
      <c r="H11" s="123">
        <v>2011</v>
      </c>
      <c r="I11" s="1"/>
      <c r="J11" s="62" t="s">
        <v>88</v>
      </c>
      <c r="K11" s="71">
        <f>D38*(1+D7)^((IF(K10="SI",_xlfn.DAYS(L4,D10)-1,IF(K10="NO",_xlfn.DAYS(L4,D10),"Falta selección")))/365)</f>
        <v>1110017104.5680997</v>
      </c>
      <c r="V11" s="2" t="s">
        <v>21</v>
      </c>
      <c r="W11" s="1">
        <v>18</v>
      </c>
      <c r="X11" s="1">
        <v>10</v>
      </c>
      <c r="Y11" s="1">
        <v>2034</v>
      </c>
      <c r="Z11" s="5">
        <v>7.2499999999999995E-2</v>
      </c>
    </row>
    <row r="12" spans="1:30" ht="15.75" thickBot="1" x14ac:dyDescent="0.3">
      <c r="B12" s="85"/>
      <c r="C12" s="56" t="s">
        <v>24</v>
      </c>
      <c r="D12" s="37" t="str">
        <f>IF(AC3&gt;G11,CONCATENATE(AB3,"-",AC3,"-",H11),IF(AC3=G11,IF(AB3&gt;F11,CONCATENATE(AB3,"-",AC3,"-",H11),CONCATENATE(AB3,"-",AC3,"-",H11+1)),CONCATENATE(AB3,"-",AC3,"-",H11+1)))</f>
        <v>25-1-2012</v>
      </c>
      <c r="E12" s="1"/>
      <c r="F12" s="1"/>
      <c r="G12" s="1"/>
      <c r="H12" s="1"/>
      <c r="I12" s="1"/>
      <c r="J12" s="34"/>
      <c r="K12" s="64"/>
      <c r="V12" s="2" t="s">
        <v>23</v>
      </c>
      <c r="W12" s="1">
        <v>3</v>
      </c>
      <c r="X12" s="1">
        <v>11</v>
      </c>
      <c r="Y12" s="1">
        <v>2027</v>
      </c>
      <c r="Z12" s="5">
        <v>5.7500000000000002E-2</v>
      </c>
    </row>
    <row r="13" spans="1:30" ht="15.75" thickBot="1" x14ac:dyDescent="0.3">
      <c r="B13" s="94"/>
      <c r="C13" s="95"/>
      <c r="D13" s="96"/>
      <c r="E13" s="1"/>
      <c r="F13" s="108" t="s">
        <v>97</v>
      </c>
      <c r="G13" s="108"/>
      <c r="H13" s="108"/>
      <c r="I13" s="1"/>
      <c r="J13" s="62" t="s">
        <v>91</v>
      </c>
      <c r="K13" s="63" t="str">
        <f>IF(H16=H20,IF(AND(AC3&gt;=G16,AC3&lt;=G20),IF(AND(AB3&gt;F16,AB3&lt;=F20),"SI","NO"),"NO"),IF(H20&gt;H16,IF(AND(AC3&lt;=G20,AB3&lt;=F20),"SI",IF(AND(AC3&gt;G16,AB3&gt;F16),"SI","NO"))))</f>
        <v>NO</v>
      </c>
      <c r="V13" s="2" t="s">
        <v>25</v>
      </c>
      <c r="W13" s="1">
        <v>26</v>
      </c>
      <c r="X13" s="1">
        <v>10</v>
      </c>
      <c r="Y13" s="1">
        <v>2050</v>
      </c>
      <c r="Z13" s="5">
        <v>7.2499999999999995E-2</v>
      </c>
    </row>
    <row r="14" spans="1:30" ht="31.5" customHeight="1" thickBot="1" x14ac:dyDescent="0.3">
      <c r="A14" s="29"/>
      <c r="B14" s="86" t="s">
        <v>28</v>
      </c>
      <c r="C14" s="87"/>
      <c r="D14" s="38" t="s">
        <v>11</v>
      </c>
      <c r="E14" s="1"/>
      <c r="F14" s="16"/>
      <c r="G14" s="61" t="s">
        <v>85</v>
      </c>
      <c r="H14" s="18"/>
      <c r="I14" s="29"/>
      <c r="J14" s="34" t="str">
        <f>IF(K13="SI","Bisiesto entre cupón y final Simultánea","")</f>
        <v/>
      </c>
      <c r="K14" s="64" t="s">
        <v>94</v>
      </c>
      <c r="V14" s="2" t="s">
        <v>29</v>
      </c>
      <c r="W14" s="1">
        <v>9</v>
      </c>
      <c r="X14" s="1">
        <v>7</v>
      </c>
      <c r="Y14" s="1">
        <v>2036</v>
      </c>
      <c r="Z14" s="5">
        <v>6.25E-2</v>
      </c>
    </row>
    <row r="15" spans="1:30" ht="15.75" thickBot="1" x14ac:dyDescent="0.3">
      <c r="A15" s="29"/>
      <c r="B15" s="100"/>
      <c r="C15" s="101"/>
      <c r="D15" s="102"/>
      <c r="E15" s="1"/>
      <c r="F15" s="11" t="s">
        <v>16</v>
      </c>
      <c r="G15" s="1" t="s">
        <v>17</v>
      </c>
      <c r="H15" s="15" t="s">
        <v>18</v>
      </c>
      <c r="I15" s="29"/>
      <c r="J15" s="62" t="s">
        <v>95</v>
      </c>
      <c r="K15" s="65" t="s">
        <v>11</v>
      </c>
      <c r="V15" s="1" t="s">
        <v>103</v>
      </c>
      <c r="W15" s="1">
        <v>25</v>
      </c>
      <c r="X15" s="1">
        <v>1</v>
      </c>
      <c r="Y15" s="1">
        <v>2012</v>
      </c>
      <c r="Z15" s="57">
        <v>0.15</v>
      </c>
    </row>
    <row r="16" spans="1:30" ht="15.75" thickBot="1" x14ac:dyDescent="0.3">
      <c r="B16" s="81" t="s">
        <v>74</v>
      </c>
      <c r="C16" s="82"/>
      <c r="D16" s="42">
        <f>(ROUNDDOWN((_xlfn.DAYS(D11,D10)/365),0)*365)+IF(D14="SI",_xlfn.DAYS(D12,D10)-1,IF(D14="NO",_xlfn.DAYS(D12,D10),"Falta selección"))</f>
        <v>285</v>
      </c>
      <c r="E16" s="1"/>
      <c r="F16" s="124">
        <v>30</v>
      </c>
      <c r="G16" s="125">
        <v>4</v>
      </c>
      <c r="H16" s="126">
        <v>2011</v>
      </c>
      <c r="I16" s="1"/>
      <c r="J16" s="62" t="s">
        <v>89</v>
      </c>
      <c r="K16" s="72">
        <f>K11*(1+$L$8)^((IF(K15="SI",_xlfn.DAYS(L5,L4)-1,IF(K15="NO",_xlfn.DAYS(L5,L4),"Falta selección"))/365))-IF(K13="SI",D20*(1+L8)^((IF(K14="SI",_xlfn.DAYS(L5,L6)-1,IF(K14="NO",_xlfn.DAYS(L5,L6),"Falta selección"))/365)),"0")</f>
        <v>1121595623.6425235</v>
      </c>
    </row>
    <row r="17" spans="2:19" ht="15.75" thickBot="1" x14ac:dyDescent="0.3">
      <c r="B17" s="97"/>
      <c r="C17" s="98"/>
      <c r="D17" s="99"/>
      <c r="E17" s="1"/>
      <c r="I17" s="1"/>
      <c r="J17" s="34"/>
      <c r="K17" s="64"/>
    </row>
    <row r="18" spans="2:19" ht="15.75" thickBot="1" x14ac:dyDescent="0.3">
      <c r="B18" s="81" t="s">
        <v>31</v>
      </c>
      <c r="C18" s="82"/>
      <c r="D18" s="43">
        <f>ROUNDUP(D16/365,0)</f>
        <v>1</v>
      </c>
      <c r="E18" s="1"/>
      <c r="F18" s="16"/>
      <c r="G18" s="61" t="s">
        <v>86</v>
      </c>
      <c r="H18" s="18"/>
      <c r="I18" s="1"/>
      <c r="J18" s="62" t="s">
        <v>96</v>
      </c>
      <c r="K18" s="65" t="s">
        <v>11</v>
      </c>
    </row>
    <row r="19" spans="2:19" ht="15.75" thickBot="1" x14ac:dyDescent="0.3">
      <c r="B19" s="94"/>
      <c r="C19" s="95"/>
      <c r="D19" s="96"/>
      <c r="E19" s="1"/>
      <c r="F19" s="11" t="s">
        <v>16</v>
      </c>
      <c r="G19" s="1" t="s">
        <v>17</v>
      </c>
      <c r="H19" s="15" t="s">
        <v>18</v>
      </c>
      <c r="I19" s="1"/>
      <c r="J19" s="69" t="s">
        <v>90</v>
      </c>
      <c r="K19" s="130">
        <f>(((D8+D20)/K16)^(365/(IF(K18="SI",_xlfn.DAYS(D11,L5)-1,IF(K18="NO",_xlfn.DAYS(D11,L5),"Falta selección")))))-1</f>
        <v>5.2319992314929564E-2</v>
      </c>
    </row>
    <row r="20" spans="2:19" ht="15.75" thickBot="1" x14ac:dyDescent="0.3">
      <c r="B20" s="81" t="s">
        <v>13</v>
      </c>
      <c r="C20" s="82"/>
      <c r="D20" s="44">
        <f>D8*D6</f>
        <v>150000000</v>
      </c>
      <c r="E20" s="1"/>
      <c r="F20" s="124">
        <v>30</v>
      </c>
      <c r="G20" s="125">
        <v>7</v>
      </c>
      <c r="H20" s="126">
        <v>2011</v>
      </c>
      <c r="I20" s="1"/>
      <c r="J20" s="55" t="s">
        <v>98</v>
      </c>
      <c r="K20" s="70" t="s">
        <v>11</v>
      </c>
      <c r="L20" s="56" t="s">
        <v>100</v>
      </c>
      <c r="M20" s="37" t="str">
        <f>IF(AC3&gt;G20,CONCATENATE(AB3,"-",AC3,"-",H20),IF(AC3=G20,IF(AB3&gt;F20,CONCATENATE(AB3,"-",AC3,"-",H20),CONCATENATE(AB3,"-",AC3,"-",H20+1)),CONCATENATE(AB3,"-",AC3,"-",H20+1)))</f>
        <v>25-1-2012</v>
      </c>
    </row>
    <row r="21" spans="2:19" ht="15.75" thickBot="1" x14ac:dyDescent="0.3">
      <c r="B21" s="103"/>
      <c r="C21" s="104"/>
      <c r="D21" s="105"/>
      <c r="E21" s="1"/>
      <c r="F21" s="1"/>
      <c r="G21" s="1"/>
      <c r="H21" s="1"/>
      <c r="I21" s="1"/>
      <c r="J21" s="55" t="s">
        <v>99</v>
      </c>
      <c r="K21" s="131">
        <f>SUM(L22:L37)</f>
        <v>1121595623.6425238</v>
      </c>
    </row>
    <row r="22" spans="2:19" ht="15.75" hidden="1" customHeight="1" x14ac:dyDescent="0.25">
      <c r="B22" s="34">
        <v>1</v>
      </c>
      <c r="C22" s="30" t="s">
        <v>32</v>
      </c>
      <c r="D22" s="35">
        <f t="shared" ref="D22:D36" si="0">IF(B22&lt;=$D$18,$D$20/((1+$D$7)^(F22/365)),"0")</f>
        <v>144500484.25611576</v>
      </c>
      <c r="E22" s="1" t="s">
        <v>33</v>
      </c>
      <c r="F22" s="1">
        <f>+IF(D14="SI",_xlfn.DAYS(D12,D10)-1,IF(D14="NO",_xlfn.DAYS(D12,D10),"Falta selección"))</f>
        <v>285</v>
      </c>
      <c r="G22" s="1"/>
      <c r="H22" s="1"/>
      <c r="I22" s="1"/>
      <c r="J22" s="34">
        <v>1</v>
      </c>
      <c r="K22" s="30" t="s">
        <v>32</v>
      </c>
      <c r="L22" s="66">
        <f>IF(J22&lt;=$R$26,$D$20/((1+$K$19)^(N22/365)),"0")</f>
        <v>146295081.344677</v>
      </c>
      <c r="M22" s="1" t="s">
        <v>33</v>
      </c>
      <c r="N22">
        <f>+IF(K20="SI",_xlfn.DAYS(M20,L5)-1,IF(K20="NO",_xlfn.DAYS(M20,L5),"Falta selección"))</f>
        <v>179</v>
      </c>
      <c r="Q22" s="68"/>
      <c r="R22" s="68"/>
      <c r="S22" s="68"/>
    </row>
    <row r="23" spans="2:19" ht="15.75" hidden="1" thickBot="1" x14ac:dyDescent="0.3">
      <c r="B23" s="34">
        <v>2</v>
      </c>
      <c r="C23" s="30" t="s">
        <v>34</v>
      </c>
      <c r="D23" s="35" t="str">
        <f t="shared" si="0"/>
        <v>0</v>
      </c>
      <c r="E23" s="1" t="s">
        <v>35</v>
      </c>
      <c r="F23" s="1">
        <f>F22+365</f>
        <v>650</v>
      </c>
      <c r="G23" s="1"/>
      <c r="H23" s="1"/>
      <c r="I23" s="1"/>
      <c r="J23" s="34">
        <v>2</v>
      </c>
      <c r="K23" s="30" t="s">
        <v>34</v>
      </c>
      <c r="L23" s="66" t="str">
        <f t="shared" ref="L23:L36" si="1">IF(J23&lt;=$R$26,$D$20/((1+$K$19)^(N23/365)),"0")</f>
        <v>0</v>
      </c>
      <c r="M23" s="1" t="s">
        <v>35</v>
      </c>
      <c r="N23">
        <f>N22+365</f>
        <v>544</v>
      </c>
      <c r="R23" s="68"/>
      <c r="S23" s="68"/>
    </row>
    <row r="24" spans="2:19" ht="15.75" hidden="1" thickBot="1" x14ac:dyDescent="0.3">
      <c r="B24" s="34">
        <v>3</v>
      </c>
      <c r="C24" s="30" t="s">
        <v>36</v>
      </c>
      <c r="D24" s="35" t="str">
        <f t="shared" si="0"/>
        <v>0</v>
      </c>
      <c r="E24" s="1" t="s">
        <v>37</v>
      </c>
      <c r="F24" s="1">
        <f t="shared" ref="F24:F36" si="2">F23+365</f>
        <v>1015</v>
      </c>
      <c r="G24" s="1"/>
      <c r="H24" s="1"/>
      <c r="I24" s="1"/>
      <c r="J24" s="34">
        <v>3</v>
      </c>
      <c r="K24" s="30" t="s">
        <v>36</v>
      </c>
      <c r="L24" s="66" t="str">
        <f t="shared" si="1"/>
        <v>0</v>
      </c>
      <c r="M24" s="1" t="s">
        <v>37</v>
      </c>
      <c r="N24">
        <f t="shared" ref="N24:N36" si="3">N23+365</f>
        <v>909</v>
      </c>
      <c r="P24" s="81" t="s">
        <v>74</v>
      </c>
      <c r="Q24" s="82"/>
      <c r="R24" s="42">
        <f>(ROUNDDOWN((_xlfn.DAYS(D11,L5)/365),0)*365)+IF(K20="SI",_xlfn.DAYS(M20,L5)-1,IF(K20="NO",_xlfn.DAYS(M20,L5),"Falta selección"))</f>
        <v>179</v>
      </c>
    </row>
    <row r="25" spans="2:19" ht="15.75" hidden="1" thickBot="1" x14ac:dyDescent="0.3">
      <c r="B25" s="34">
        <v>4</v>
      </c>
      <c r="C25" s="30" t="s">
        <v>38</v>
      </c>
      <c r="D25" s="35" t="str">
        <f t="shared" si="0"/>
        <v>0</v>
      </c>
      <c r="E25" s="1" t="s">
        <v>59</v>
      </c>
      <c r="F25" s="1">
        <f t="shared" si="2"/>
        <v>1380</v>
      </c>
      <c r="G25" s="1"/>
      <c r="H25" s="1"/>
      <c r="I25" s="1"/>
      <c r="J25" s="34">
        <v>4</v>
      </c>
      <c r="K25" s="30" t="s">
        <v>38</v>
      </c>
      <c r="L25" s="66" t="str">
        <f t="shared" si="1"/>
        <v>0</v>
      </c>
      <c r="M25" s="1" t="s">
        <v>59</v>
      </c>
      <c r="N25">
        <f t="shared" si="3"/>
        <v>1274</v>
      </c>
      <c r="P25" s="97"/>
      <c r="Q25" s="98"/>
      <c r="R25" s="99"/>
    </row>
    <row r="26" spans="2:19" ht="15.75" hidden="1" thickBot="1" x14ac:dyDescent="0.3">
      <c r="B26" s="34">
        <v>5</v>
      </c>
      <c r="C26" s="30" t="s">
        <v>39</v>
      </c>
      <c r="D26" s="35" t="str">
        <f t="shared" si="0"/>
        <v>0</v>
      </c>
      <c r="E26" s="1" t="s">
        <v>60</v>
      </c>
      <c r="F26" s="1">
        <f t="shared" si="2"/>
        <v>1745</v>
      </c>
      <c r="G26" s="1"/>
      <c r="H26" s="1"/>
      <c r="I26" s="1"/>
      <c r="J26" s="34">
        <v>5</v>
      </c>
      <c r="K26" s="30" t="s">
        <v>39</v>
      </c>
      <c r="L26" s="66" t="str">
        <f t="shared" si="1"/>
        <v>0</v>
      </c>
      <c r="M26" s="1" t="s">
        <v>60</v>
      </c>
      <c r="N26">
        <f t="shared" si="3"/>
        <v>1639</v>
      </c>
      <c r="P26" s="81" t="s">
        <v>31</v>
      </c>
      <c r="Q26" s="82"/>
      <c r="R26" s="43">
        <f>ROUNDUP(R24/365,0)</f>
        <v>1</v>
      </c>
    </row>
    <row r="27" spans="2:19" ht="15.75" hidden="1" thickBot="1" x14ac:dyDescent="0.3">
      <c r="B27" s="34">
        <v>6</v>
      </c>
      <c r="C27" s="30" t="s">
        <v>40</v>
      </c>
      <c r="D27" s="35" t="str">
        <f t="shared" si="0"/>
        <v>0</v>
      </c>
      <c r="E27" s="1" t="s">
        <v>61</v>
      </c>
      <c r="F27" s="1">
        <f t="shared" si="2"/>
        <v>2110</v>
      </c>
      <c r="G27" s="1"/>
      <c r="H27" s="1"/>
      <c r="I27" s="1"/>
      <c r="J27" s="34">
        <v>6</v>
      </c>
      <c r="K27" s="30" t="s">
        <v>40</v>
      </c>
      <c r="L27" s="66" t="str">
        <f t="shared" si="1"/>
        <v>0</v>
      </c>
      <c r="M27" s="1" t="s">
        <v>61</v>
      </c>
      <c r="N27">
        <f t="shared" si="3"/>
        <v>2004</v>
      </c>
      <c r="P27" s="94"/>
      <c r="Q27" s="95"/>
      <c r="R27" s="96"/>
    </row>
    <row r="28" spans="2:19" ht="15.75" hidden="1" thickBot="1" x14ac:dyDescent="0.3">
      <c r="B28" s="34">
        <v>7</v>
      </c>
      <c r="C28" s="30" t="s">
        <v>41</v>
      </c>
      <c r="D28" s="35" t="str">
        <f t="shared" si="0"/>
        <v>0</v>
      </c>
      <c r="E28" s="1" t="s">
        <v>62</v>
      </c>
      <c r="F28" s="1">
        <f t="shared" si="2"/>
        <v>2475</v>
      </c>
      <c r="G28" s="1"/>
      <c r="H28" s="1"/>
      <c r="I28" s="1"/>
      <c r="J28" s="34">
        <v>7</v>
      </c>
      <c r="K28" s="30" t="s">
        <v>41</v>
      </c>
      <c r="L28" s="66" t="str">
        <f t="shared" si="1"/>
        <v>0</v>
      </c>
      <c r="M28" s="1" t="s">
        <v>62</v>
      </c>
      <c r="N28">
        <f t="shared" si="3"/>
        <v>2369</v>
      </c>
      <c r="P28" s="81" t="s">
        <v>13</v>
      </c>
      <c r="Q28" s="82"/>
      <c r="R28" s="44">
        <f>D20</f>
        <v>150000000</v>
      </c>
    </row>
    <row r="29" spans="2:19" hidden="1" x14ac:dyDescent="0.25">
      <c r="B29" s="34">
        <v>8</v>
      </c>
      <c r="C29" s="30" t="s">
        <v>42</v>
      </c>
      <c r="D29" s="35" t="str">
        <f t="shared" si="0"/>
        <v>0</v>
      </c>
      <c r="E29" s="1" t="s">
        <v>63</v>
      </c>
      <c r="F29" s="1">
        <f t="shared" si="2"/>
        <v>2840</v>
      </c>
      <c r="G29" s="1"/>
      <c r="H29" s="1"/>
      <c r="I29" s="1"/>
      <c r="J29" s="34">
        <v>8</v>
      </c>
      <c r="K29" s="30" t="s">
        <v>42</v>
      </c>
      <c r="L29" s="66" t="str">
        <f t="shared" si="1"/>
        <v>0</v>
      </c>
      <c r="M29" s="1" t="s">
        <v>63</v>
      </c>
      <c r="N29">
        <f t="shared" si="3"/>
        <v>2734</v>
      </c>
    </row>
    <row r="30" spans="2:19" hidden="1" x14ac:dyDescent="0.25">
      <c r="B30" s="34">
        <v>9</v>
      </c>
      <c r="C30" s="30" t="s">
        <v>43</v>
      </c>
      <c r="D30" s="35" t="str">
        <f t="shared" si="0"/>
        <v>0</v>
      </c>
      <c r="E30" s="1" t="s">
        <v>64</v>
      </c>
      <c r="F30" s="1">
        <f t="shared" si="2"/>
        <v>3205</v>
      </c>
      <c r="G30" s="1"/>
      <c r="H30" s="1"/>
      <c r="I30" s="1"/>
      <c r="J30" s="34">
        <v>9</v>
      </c>
      <c r="K30" s="30" t="s">
        <v>43</v>
      </c>
      <c r="L30" s="66" t="str">
        <f t="shared" si="1"/>
        <v>0</v>
      </c>
      <c r="M30" s="1" t="s">
        <v>64</v>
      </c>
      <c r="N30">
        <f t="shared" si="3"/>
        <v>3099</v>
      </c>
    </row>
    <row r="31" spans="2:19" hidden="1" x14ac:dyDescent="0.25">
      <c r="B31" s="34">
        <v>10</v>
      </c>
      <c r="C31" s="30" t="s">
        <v>44</v>
      </c>
      <c r="D31" s="35" t="str">
        <f t="shared" si="0"/>
        <v>0</v>
      </c>
      <c r="E31" s="1" t="s">
        <v>65</v>
      </c>
      <c r="F31" s="1">
        <f t="shared" si="2"/>
        <v>3570</v>
      </c>
      <c r="G31" s="1"/>
      <c r="H31" s="1"/>
      <c r="I31" s="1"/>
      <c r="J31" s="34">
        <v>10</v>
      </c>
      <c r="K31" s="30" t="s">
        <v>44</v>
      </c>
      <c r="L31" s="66" t="str">
        <f t="shared" si="1"/>
        <v>0</v>
      </c>
      <c r="M31" s="1" t="s">
        <v>65</v>
      </c>
      <c r="N31">
        <f t="shared" si="3"/>
        <v>3464</v>
      </c>
    </row>
    <row r="32" spans="2:19" hidden="1" x14ac:dyDescent="0.25">
      <c r="B32" s="34">
        <v>11</v>
      </c>
      <c r="C32" s="30" t="s">
        <v>45</v>
      </c>
      <c r="D32" s="35" t="str">
        <f t="shared" si="0"/>
        <v>0</v>
      </c>
      <c r="E32" s="1" t="s">
        <v>66</v>
      </c>
      <c r="F32" s="1">
        <f t="shared" si="2"/>
        <v>3935</v>
      </c>
      <c r="G32" s="1"/>
      <c r="H32" s="1"/>
      <c r="I32" s="1"/>
      <c r="J32" s="34">
        <v>11</v>
      </c>
      <c r="K32" s="30" t="s">
        <v>45</v>
      </c>
      <c r="L32" s="66" t="str">
        <f t="shared" si="1"/>
        <v>0</v>
      </c>
      <c r="M32" s="1" t="s">
        <v>66</v>
      </c>
      <c r="N32">
        <f t="shared" si="3"/>
        <v>3829</v>
      </c>
    </row>
    <row r="33" spans="2:14" hidden="1" x14ac:dyDescent="0.25">
      <c r="B33" s="34">
        <v>12</v>
      </c>
      <c r="C33" s="30" t="s">
        <v>46</v>
      </c>
      <c r="D33" s="35" t="str">
        <f t="shared" si="0"/>
        <v>0</v>
      </c>
      <c r="E33" s="1" t="s">
        <v>67</v>
      </c>
      <c r="F33" s="1">
        <f t="shared" si="2"/>
        <v>4300</v>
      </c>
      <c r="G33" s="1"/>
      <c r="H33" s="1"/>
      <c r="I33" s="1"/>
      <c r="J33" s="34">
        <v>12</v>
      </c>
      <c r="K33" s="30" t="s">
        <v>46</v>
      </c>
      <c r="L33" s="66" t="str">
        <f t="shared" si="1"/>
        <v>0</v>
      </c>
      <c r="M33" s="1" t="s">
        <v>67</v>
      </c>
      <c r="N33">
        <f t="shared" si="3"/>
        <v>4194</v>
      </c>
    </row>
    <row r="34" spans="2:14" hidden="1" x14ac:dyDescent="0.25">
      <c r="B34" s="34">
        <v>13</v>
      </c>
      <c r="C34" s="30" t="s">
        <v>47</v>
      </c>
      <c r="D34" s="35" t="str">
        <f t="shared" si="0"/>
        <v>0</v>
      </c>
      <c r="E34" s="1" t="s">
        <v>68</v>
      </c>
      <c r="F34" s="1">
        <f t="shared" si="2"/>
        <v>4665</v>
      </c>
      <c r="G34" s="1"/>
      <c r="H34" s="1"/>
      <c r="I34" s="1"/>
      <c r="J34" s="34">
        <v>13</v>
      </c>
      <c r="K34" s="30" t="s">
        <v>47</v>
      </c>
      <c r="L34" s="66" t="str">
        <f t="shared" si="1"/>
        <v>0</v>
      </c>
      <c r="M34" s="1" t="s">
        <v>68</v>
      </c>
      <c r="N34">
        <f t="shared" si="3"/>
        <v>4559</v>
      </c>
    </row>
    <row r="35" spans="2:14" hidden="1" x14ac:dyDescent="0.25">
      <c r="B35" s="34">
        <v>14</v>
      </c>
      <c r="C35" s="30" t="s">
        <v>48</v>
      </c>
      <c r="D35" s="35" t="str">
        <f t="shared" si="0"/>
        <v>0</v>
      </c>
      <c r="E35" s="1" t="s">
        <v>69</v>
      </c>
      <c r="F35" s="1">
        <f t="shared" si="2"/>
        <v>5030</v>
      </c>
      <c r="G35" s="1"/>
      <c r="H35" s="1"/>
      <c r="I35" s="1"/>
      <c r="J35" s="34">
        <v>14</v>
      </c>
      <c r="K35" s="30" t="s">
        <v>48</v>
      </c>
      <c r="L35" s="66" t="str">
        <f t="shared" si="1"/>
        <v>0</v>
      </c>
      <c r="M35" s="1" t="s">
        <v>69</v>
      </c>
      <c r="N35">
        <f t="shared" si="3"/>
        <v>4924</v>
      </c>
    </row>
    <row r="36" spans="2:14" hidden="1" x14ac:dyDescent="0.25">
      <c r="B36" s="34">
        <v>15</v>
      </c>
      <c r="C36" s="30" t="s">
        <v>49</v>
      </c>
      <c r="D36" s="35" t="str">
        <f t="shared" si="0"/>
        <v>0</v>
      </c>
      <c r="E36" s="1" t="s">
        <v>70</v>
      </c>
      <c r="F36" s="1">
        <f t="shared" si="2"/>
        <v>5395</v>
      </c>
      <c r="G36" s="1"/>
      <c r="H36" s="1"/>
      <c r="I36" s="1"/>
      <c r="J36" s="34">
        <v>15</v>
      </c>
      <c r="K36" s="30" t="s">
        <v>49</v>
      </c>
      <c r="L36" s="66" t="str">
        <f t="shared" si="1"/>
        <v>0</v>
      </c>
      <c r="M36" s="1" t="s">
        <v>70</v>
      </c>
      <c r="N36">
        <f t="shared" si="3"/>
        <v>5289</v>
      </c>
    </row>
    <row r="37" spans="2:14" ht="15.75" hidden="1" thickBot="1" x14ac:dyDescent="0.3">
      <c r="B37" s="39"/>
      <c r="C37" s="40" t="s">
        <v>50</v>
      </c>
      <c r="D37" s="41">
        <f>D8/((1+$D$7)^(F37/365))</f>
        <v>963336561.70743847</v>
      </c>
      <c r="E37" s="1" t="s">
        <v>51</v>
      </c>
      <c r="F37" s="8">
        <f>D16</f>
        <v>285</v>
      </c>
      <c r="G37" s="1"/>
      <c r="H37" s="1"/>
      <c r="I37" s="1"/>
      <c r="J37" s="39"/>
      <c r="K37" s="40" t="s">
        <v>50</v>
      </c>
      <c r="L37" s="67">
        <f>D8/((1+$K$19)^(N37/365))</f>
        <v>975300542.29784667</v>
      </c>
      <c r="M37" s="1" t="s">
        <v>51</v>
      </c>
      <c r="N37" s="59">
        <f>R24</f>
        <v>179</v>
      </c>
    </row>
    <row r="38" spans="2:14" ht="15.75" thickBot="1" x14ac:dyDescent="0.3">
      <c r="B38" s="81" t="s">
        <v>52</v>
      </c>
      <c r="C38" s="82"/>
      <c r="D38" s="128">
        <f>SUM(D22:D37)</f>
        <v>1107837045.9635541</v>
      </c>
      <c r="E38" s="1"/>
      <c r="F38" s="1"/>
      <c r="G38" s="1"/>
      <c r="H38" s="1"/>
      <c r="I38" s="1"/>
    </row>
    <row r="39" spans="2:14" ht="15.75" thickBot="1" x14ac:dyDescent="0.3">
      <c r="B39" s="94"/>
      <c r="C39" s="95"/>
      <c r="D39" s="96"/>
      <c r="E39" s="1"/>
      <c r="H39" s="1"/>
      <c r="I39" s="1"/>
    </row>
    <row r="40" spans="2:14" ht="15.75" thickBot="1" x14ac:dyDescent="0.3">
      <c r="B40" s="81" t="s">
        <v>53</v>
      </c>
      <c r="C40" s="82"/>
      <c r="D40" s="129">
        <f>(D38/D8)*100</f>
        <v>110.78370459635541</v>
      </c>
      <c r="E40" s="1"/>
      <c r="H40" s="1"/>
      <c r="I40" s="1"/>
    </row>
    <row r="41" spans="2:14" ht="15.75" thickBot="1" x14ac:dyDescent="0.3">
      <c r="B41" s="94"/>
      <c r="C41" s="95"/>
      <c r="D41" s="96"/>
      <c r="E41" s="1"/>
      <c r="H41" s="1"/>
      <c r="I41" s="1"/>
    </row>
    <row r="42" spans="2:14" ht="15.75" thickBot="1" x14ac:dyDescent="0.3">
      <c r="B42" s="81" t="s">
        <v>54</v>
      </c>
      <c r="C42" s="82"/>
      <c r="D42" s="129">
        <f>D6*((365-F22)/365)*100</f>
        <v>3.2876712328767121</v>
      </c>
      <c r="E42" s="1"/>
      <c r="F42" s="1"/>
      <c r="G42" s="1"/>
      <c r="H42" s="1"/>
      <c r="I42" s="1"/>
    </row>
    <row r="43" spans="2:14" ht="15.75" thickBot="1" x14ac:dyDescent="0.3">
      <c r="B43" s="94"/>
      <c r="C43" s="95"/>
      <c r="D43" s="96"/>
      <c r="E43" s="1"/>
      <c r="F43" s="1"/>
      <c r="G43" s="1"/>
      <c r="H43" s="1"/>
      <c r="I43" s="1"/>
    </row>
    <row r="44" spans="2:14" ht="15.75" thickBot="1" x14ac:dyDescent="0.3">
      <c r="B44" s="81" t="s">
        <v>55</v>
      </c>
      <c r="C44" s="82"/>
      <c r="D44" s="129">
        <f>D40-D42</f>
        <v>107.49603336347869</v>
      </c>
      <c r="E44" s="1"/>
      <c r="F44" s="1"/>
      <c r="G44" s="1"/>
      <c r="H44" s="1"/>
      <c r="I44" s="1"/>
    </row>
    <row r="45" spans="2:14" x14ac:dyDescent="0.25">
      <c r="B45" s="1"/>
      <c r="E45" s="1"/>
      <c r="F45" s="1"/>
      <c r="G45" s="1"/>
      <c r="H45" s="1"/>
      <c r="I45" s="1"/>
    </row>
    <row r="46" spans="2:14" x14ac:dyDescent="0.25"/>
    <row r="47" spans="2:14" x14ac:dyDescent="0.25"/>
    <row r="48" spans="2:14" x14ac:dyDescent="0.25"/>
  </sheetData>
  <mergeCells count="35">
    <mergeCell ref="P27:R27"/>
    <mergeCell ref="P28:Q28"/>
    <mergeCell ref="J2:L2"/>
    <mergeCell ref="P24:Q24"/>
    <mergeCell ref="P25:R25"/>
    <mergeCell ref="P26:Q26"/>
    <mergeCell ref="J8:K8"/>
    <mergeCell ref="J4:J6"/>
    <mergeCell ref="B40:C40"/>
    <mergeCell ref="B41:D41"/>
    <mergeCell ref="B42:C42"/>
    <mergeCell ref="B43:D43"/>
    <mergeCell ref="B44:C44"/>
    <mergeCell ref="B7:C7"/>
    <mergeCell ref="B8:C8"/>
    <mergeCell ref="B9:D9"/>
    <mergeCell ref="F13:H13"/>
    <mergeCell ref="F8:H8"/>
    <mergeCell ref="F9:H9"/>
    <mergeCell ref="B2:H2"/>
    <mergeCell ref="G3:H3"/>
    <mergeCell ref="B21:D21"/>
    <mergeCell ref="B38:C38"/>
    <mergeCell ref="B39:D39"/>
    <mergeCell ref="B10:B12"/>
    <mergeCell ref="B13:D13"/>
    <mergeCell ref="B14:C14"/>
    <mergeCell ref="B15:D15"/>
    <mergeCell ref="B16:C16"/>
    <mergeCell ref="B17:D17"/>
    <mergeCell ref="B18:C18"/>
    <mergeCell ref="B19:D19"/>
    <mergeCell ref="B20:C20"/>
    <mergeCell ref="B5:C5"/>
    <mergeCell ref="B6:C6"/>
  </mergeCells>
  <conditionalFormatting sqref="I7">
    <cfRule type="containsText" dxfId="3" priority="5" operator="containsText" text="Bisiesto">
      <formula>NOT(ISERROR(SEARCH("Bisiesto",I7)))</formula>
    </cfRule>
  </conditionalFormatting>
  <conditionalFormatting sqref="J14:J15">
    <cfRule type="containsText" dxfId="2" priority="4" operator="containsText" text="&quot;Bisiesto entre cupón y final Simultánea&quot;">
      <formula>NOT(ISERROR(SEARCH("""Bisiesto entre cupón y final Simultánea""",J14)))</formula>
    </cfRule>
  </conditionalFormatting>
  <conditionalFormatting sqref="J10:K10">
    <cfRule type="expression" dxfId="1" priority="1">
      <formula>$J$10=""</formula>
    </cfRule>
  </conditionalFormatting>
  <conditionalFormatting sqref="K14">
    <cfRule type="expression" dxfId="0" priority="3">
      <formula>$J$14="Bisiesto entre cupón y final Simultánea"</formula>
    </cfRule>
  </conditionalFormatting>
  <dataValidations count="3">
    <dataValidation type="list" allowBlank="1" showInputMessage="1" showErrorMessage="1" sqref="D14 K10 K15 K18 K20" xr:uid="{9A3BF45B-2E03-439E-9471-AFDFFCE38A70}">
      <formula1>$AB$5:$AB$6</formula1>
    </dataValidation>
    <dataValidation type="list" allowBlank="1" showInputMessage="1" showErrorMessage="1" sqref="D5" xr:uid="{78ACB0F4-7605-414F-A8E2-44867BF6EA98}">
      <formula1>$V$4:$V$15</formula1>
    </dataValidation>
    <dataValidation type="list" allowBlank="1" showInputMessage="1" showErrorMessage="1" sqref="K14" xr:uid="{557DBD81-539E-494D-A6C7-51DD097AA0D0}">
      <formula1>$AB$8:$AB$9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MODELO SIMULTÁNEAS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Usuario</cp:lastModifiedBy>
  <dcterms:created xsi:type="dcterms:W3CDTF">2021-04-08T22:02:59Z</dcterms:created>
  <dcterms:modified xsi:type="dcterms:W3CDTF">2023-08-22T04:12:03Z</dcterms:modified>
</cp:coreProperties>
</file>