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bastian\Portafolio\"/>
    </mc:Choice>
  </mc:AlternateContent>
  <xr:revisionPtr revIDLastSave="0" documentId="8_{BF1ECBB9-0B8A-4921-B7C8-998911907DB5}" xr6:coauthVersionLast="47" xr6:coauthVersionMax="47" xr10:uidLastSave="{00000000-0000-0000-0000-000000000000}"/>
  <bookViews>
    <workbookView xWindow="-120" yWindow="-120" windowWidth="29040" windowHeight="15840" firstSheet="1" activeTab="1" xr2:uid="{DB340214-A301-4506-B0EA-FE37736B9633}"/>
  </bookViews>
  <sheets>
    <sheet name="Hoja1" sheetId="1" state="hidden" r:id="rId1"/>
    <sheet name="MODELO TES TASA FIJ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T3" i="2"/>
  <c r="Q2" i="2"/>
  <c r="D10" i="2"/>
  <c r="S2" i="2"/>
  <c r="R2" i="2"/>
  <c r="D11" i="2" l="1"/>
  <c r="T2" i="2"/>
  <c r="F22" i="2" s="1"/>
  <c r="F23" i="2" s="1"/>
  <c r="I7" i="2" l="1"/>
  <c r="D6" i="2"/>
  <c r="H11" i="1"/>
  <c r="G11" i="1"/>
  <c r="F11" i="1"/>
  <c r="D7" i="1"/>
  <c r="D17" i="1" s="1"/>
  <c r="I7" i="1"/>
  <c r="D10" i="1"/>
  <c r="F24" i="2" l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D16" i="2"/>
  <c r="D20" i="2"/>
  <c r="D12" i="1"/>
  <c r="D11" i="1"/>
  <c r="F37" i="2" l="1"/>
  <c r="D37" i="2" s="1"/>
  <c r="D18" i="2"/>
  <c r="D42" i="2"/>
  <c r="F19" i="1"/>
  <c r="D14" i="1"/>
  <c r="D35" i="2" l="1"/>
  <c r="D31" i="2"/>
  <c r="D27" i="2"/>
  <c r="D23" i="2"/>
  <c r="D34" i="2"/>
  <c r="D30" i="2"/>
  <c r="D22" i="2"/>
  <c r="D33" i="2"/>
  <c r="D29" i="2"/>
  <c r="D25" i="2"/>
  <c r="D26" i="2"/>
  <c r="D36" i="2"/>
  <c r="D32" i="2"/>
  <c r="D28" i="2"/>
  <c r="D24" i="2"/>
  <c r="F34" i="1"/>
  <c r="D34" i="1" s="1"/>
  <c r="D15" i="1"/>
  <c r="D29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D39" i="1"/>
  <c r="D38" i="2" l="1"/>
  <c r="D40" i="2" s="1"/>
  <c r="D44" i="2" s="1"/>
  <c r="D25" i="1"/>
  <c r="D26" i="1"/>
  <c r="D23" i="1"/>
  <c r="D32" i="1"/>
  <c r="D20" i="1"/>
  <c r="D22" i="1"/>
  <c r="D19" i="1"/>
  <c r="D31" i="1"/>
  <c r="D30" i="1"/>
  <c r="D27" i="1"/>
  <c r="D21" i="1"/>
  <c r="D28" i="1"/>
  <c r="D24" i="1"/>
  <c r="D33" i="1"/>
  <c r="D35" i="1" l="1"/>
  <c r="D37" i="1" s="1"/>
  <c r="D41" i="1" s="1"/>
</calcChain>
</file>

<file path=xl/sharedStrings.xml><?xml version="1.0" encoding="utf-8"?>
<sst xmlns="http://schemas.openxmlformats.org/spreadsheetml/2006/main" count="170" uniqueCount="98">
  <si>
    <t xml:space="preserve">dia </t>
  </si>
  <si>
    <t>mes</t>
  </si>
  <si>
    <t>año</t>
  </si>
  <si>
    <t>cupón</t>
  </si>
  <si>
    <t>TFIT16240724</t>
  </si>
  <si>
    <t>TES</t>
  </si>
  <si>
    <t>TFIT15260826</t>
  </si>
  <si>
    <t>TFIT10040522</t>
  </si>
  <si>
    <t>TIR</t>
  </si>
  <si>
    <t>TFIT16280428</t>
  </si>
  <si>
    <t>Tasa cupón</t>
  </si>
  <si>
    <t>NO</t>
  </si>
  <si>
    <t>TFIT16180930</t>
  </si>
  <si>
    <t>Cupón</t>
  </si>
  <si>
    <t>TFIT16300632</t>
  </si>
  <si>
    <t>VN</t>
  </si>
  <si>
    <t>Día</t>
  </si>
  <si>
    <t>Mes</t>
  </si>
  <si>
    <t>Año</t>
  </si>
  <si>
    <t>TFIT08261125</t>
  </si>
  <si>
    <t>Negociación</t>
  </si>
  <si>
    <t>TFIT16181034</t>
  </si>
  <si>
    <t>Vencimiento</t>
  </si>
  <si>
    <t>TFIT08031127</t>
  </si>
  <si>
    <t>Cupon 1</t>
  </si>
  <si>
    <t>TFIT31261050</t>
  </si>
  <si>
    <t>Bisiesto entre negociación y cupon 1?</t>
  </si>
  <si>
    <t xml:space="preserve"> -&gt; </t>
  </si>
  <si>
    <t>29 de febrero entre negociación y c1?</t>
  </si>
  <si>
    <t>TFIT16090736</t>
  </si>
  <si>
    <t>Días</t>
  </si>
  <si>
    <t>Cupones</t>
  </si>
  <si>
    <t>c1</t>
  </si>
  <si>
    <t>Días cupon 1</t>
  </si>
  <si>
    <t>c2</t>
  </si>
  <si>
    <t>Días cupon 2</t>
  </si>
  <si>
    <t>c3</t>
  </si>
  <si>
    <t>Días cupon 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</si>
  <si>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</si>
  <si>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</si>
  <si>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</si>
  <si>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</si>
  <si>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</si>
  <si>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</si>
  <si>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</si>
  <si>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</si>
  <si>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</si>
  <si>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</si>
  <si>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</si>
  <si>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</si>
  <si>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principal</t>
  </si>
  <si>
    <t>Días Principal</t>
  </si>
  <si>
    <t>VG</t>
  </si>
  <si>
    <t>PS</t>
  </si>
  <si>
    <t>CC</t>
  </si>
  <si>
    <t>PL</t>
  </si>
  <si>
    <t>Fecha de Negociación</t>
  </si>
  <si>
    <t>Digitar fecha de negociación</t>
  </si>
  <si>
    <t>Seleccionar TES</t>
  </si>
  <si>
    <t>Días cupon 4</t>
  </si>
  <si>
    <t>Días cupon 5</t>
  </si>
  <si>
    <t>Días cupon 6</t>
  </si>
  <si>
    <t>Días cupon 7</t>
  </si>
  <si>
    <t>Días cupon 8</t>
  </si>
  <si>
    <t>Días cupon 9</t>
  </si>
  <si>
    <t>Días cupon 10</t>
  </si>
  <si>
    <t>Días cupon 11</t>
  </si>
  <si>
    <t>Días cupon 12</t>
  </si>
  <si>
    <t>Días cupon 13</t>
  </si>
  <si>
    <t>Días cupon 14</t>
  </si>
  <si>
    <t>Días cupon 15</t>
  </si>
  <si>
    <t>SI</t>
  </si>
  <si>
    <t>20</t>
  </si>
  <si>
    <t>Tes ses</t>
  </si>
  <si>
    <t>Fechas</t>
  </si>
  <si>
    <t>Días al vencimiento</t>
  </si>
  <si>
    <t>Seleccionar Tes</t>
  </si>
  <si>
    <t>Seleccionar</t>
  </si>
  <si>
    <t>Ingresar dato</t>
  </si>
  <si>
    <t>Color</t>
  </si>
  <si>
    <t>Instrucción</t>
  </si>
  <si>
    <t>3</t>
  </si>
  <si>
    <t>MODELO TES TASA FIJA</t>
  </si>
  <si>
    <t># Cupones</t>
  </si>
  <si>
    <t>Joan Sebastián Cruz Castellanos</t>
  </si>
  <si>
    <t xml:space="preserve">Por </t>
  </si>
  <si>
    <t>Título</t>
  </si>
  <si>
    <t>24/7/2024</t>
  </si>
  <si>
    <t>26/8/2026</t>
  </si>
  <si>
    <t>4/5/2022</t>
  </si>
  <si>
    <t>28/4/2028</t>
  </si>
  <si>
    <t>18/9/2030</t>
  </si>
  <si>
    <t>30/6/2032</t>
  </si>
  <si>
    <t>26/11/2025</t>
  </si>
  <si>
    <t>18/10/2034</t>
  </si>
  <si>
    <t>3/11/2027</t>
  </si>
  <si>
    <t>26/10/2050</t>
  </si>
  <si>
    <t>9/7/2036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</si>
</sst>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"/>
    <numFmt numFmtId="166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1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</fills>
  <borders count="3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32" xfId="1" applyNumberFormat="1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4" fillId="4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/>
    <xf numFmtId="0" fontId="5" fillId="0" borderId="10" xfId="0" applyFont="1" applyBorder="1" applyAlignment="1">
      <alignment horizontal="center" vertical="center"/>
    </xf>
    <xf numFmtId="0" fontId="7" fillId="0" borderId="0" xfId="0" applyFont="1"/>
    <xf numFmtId="166" fontId="0" fillId="0" borderId="0" xfId="0" applyNumberFormat="1" applyAlignment="1">
      <alignment horizont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8" fillId="6" borderId="9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10" fontId="8" fillId="6" borderId="17" xfId="0" applyNumberFormat="1" applyFont="1" applyFill="1" applyBorder="1" applyAlignment="1">
      <alignment horizontal="center" vertical="center"/>
    </xf>
    <xf numFmtId="164" fontId="8" fillId="6" borderId="20" xfId="0" applyNumberFormat="1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669A-192C-4F49-BD63-CB6DA35A968F}">
  <dimension ref="A2:O42"/>
  <sheetViews>
    <sheetView workbookViewId="0">
      <selection activeCell="I20" sqref="I20"/>
    </sheetView>
  </sheetViews>
  <sheetFormatPr baseColWidth="10" defaultRowHeight="15" x14ac:dyDescent="0.25"/>
  <cols>
    <col min="3" max="3" width="13.5703125" bestFit="1" customWidth="1"/>
    <col min="4" max="4" width="15.140625" bestFit="1" customWidth="1"/>
    <col min="9" max="9" width="11.85546875" bestFit="1" customWidth="1"/>
  </cols>
  <sheetData>
    <row r="2" spans="1: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0</v>
      </c>
      <c r="M2" s="1" t="s">
        <v>1</v>
      </c>
      <c r="N2" s="1" t="s">
        <v>2</v>
      </c>
      <c r="O2" s="1" t="s">
        <v>3</v>
      </c>
    </row>
    <row r="3" spans="1:15" x14ac:dyDescent="0.25">
      <c r="B3" s="1"/>
      <c r="C3" s="1"/>
      <c r="D3" s="1"/>
      <c r="E3" s="1"/>
      <c r="F3" s="1"/>
      <c r="G3" s="1"/>
      <c r="H3" s="1"/>
      <c r="I3" s="1"/>
      <c r="J3" s="1"/>
      <c r="K3" s="2" t="s">
        <v>4</v>
      </c>
      <c r="L3" s="1">
        <v>24</v>
      </c>
      <c r="M3" s="1">
        <v>7</v>
      </c>
      <c r="N3" s="1">
        <v>2024</v>
      </c>
      <c r="O3" s="3">
        <v>0.1</v>
      </c>
    </row>
    <row r="4" spans="1:15" ht="15.75" thickBot="1" x14ac:dyDescent="0.3">
      <c r="B4" s="1"/>
      <c r="F4" t="s">
        <v>57</v>
      </c>
      <c r="I4" s="1"/>
      <c r="J4" s="1"/>
      <c r="K4" s="2" t="s">
        <v>6</v>
      </c>
      <c r="L4" s="1">
        <v>26</v>
      </c>
      <c r="M4" s="1">
        <v>8</v>
      </c>
      <c r="N4" s="1">
        <v>2026</v>
      </c>
      <c r="O4" s="5">
        <v>7.4999999999999997E-2</v>
      </c>
    </row>
    <row r="5" spans="1:15" ht="15.75" thickBot="1" x14ac:dyDescent="0.3">
      <c r="A5" t="s">
        <v>58</v>
      </c>
      <c r="B5" s="6"/>
      <c r="C5" s="22" t="s">
        <v>5</v>
      </c>
      <c r="D5" s="10" t="s">
        <v>73</v>
      </c>
      <c r="F5" s="16"/>
      <c r="G5" s="17" t="s">
        <v>56</v>
      </c>
      <c r="H5" s="18"/>
      <c r="I5" s="1"/>
      <c r="J5" s="1"/>
      <c r="K5" s="2" t="s">
        <v>7</v>
      </c>
      <c r="L5" s="1">
        <v>4</v>
      </c>
      <c r="M5" s="1">
        <v>5</v>
      </c>
      <c r="N5" s="1">
        <v>2022</v>
      </c>
      <c r="O5" s="3">
        <v>7.0000000000000007E-2</v>
      </c>
    </row>
    <row r="6" spans="1:15" ht="15.75" thickBot="1" x14ac:dyDescent="0.3">
      <c r="B6" s="6"/>
      <c r="C6" s="23" t="s">
        <v>8</v>
      </c>
      <c r="D6" s="12">
        <v>4.65E-2</v>
      </c>
      <c r="F6" s="11" t="s">
        <v>16</v>
      </c>
      <c r="G6" s="1" t="s">
        <v>17</v>
      </c>
      <c r="H6" s="15" t="s">
        <v>18</v>
      </c>
      <c r="I6" s="1"/>
      <c r="J6" s="1"/>
      <c r="K6" s="2" t="s">
        <v>9</v>
      </c>
      <c r="L6" s="1">
        <v>28</v>
      </c>
      <c r="M6" s="1">
        <v>4</v>
      </c>
      <c r="N6" s="1">
        <v>2028</v>
      </c>
      <c r="O6" s="3">
        <v>0.06</v>
      </c>
    </row>
    <row r="7" spans="1:15" ht="15.75" thickBot="1" x14ac:dyDescent="0.3">
      <c r="B7" s="1"/>
      <c r="C7" s="23" t="s">
        <v>10</v>
      </c>
      <c r="D7" s="13">
        <f>VLOOKUP(D5,K2:O14,5,FALSE)</f>
        <v>0.05</v>
      </c>
      <c r="E7" s="1"/>
      <c r="F7" s="19" t="s">
        <v>72</v>
      </c>
      <c r="G7" s="21">
        <v>3</v>
      </c>
      <c r="H7" s="20">
        <v>2013</v>
      </c>
      <c r="I7" s="1" t="str">
        <f>IF(DAY(DATE(H7,3,0))=29,"Bisiesto","")</f>
        <v/>
      </c>
      <c r="J7" s="1"/>
      <c r="K7" s="2" t="s">
        <v>12</v>
      </c>
      <c r="L7" s="1">
        <v>18</v>
      </c>
      <c r="M7" s="1">
        <v>9</v>
      </c>
      <c r="N7" s="1">
        <v>2030</v>
      </c>
      <c r="O7" s="5">
        <v>7.7499999999999999E-2</v>
      </c>
    </row>
    <row r="8" spans="1:15" ht="15.75" thickBot="1" x14ac:dyDescent="0.3">
      <c r="B8" s="1"/>
      <c r="C8" s="24" t="s">
        <v>15</v>
      </c>
      <c r="D8" s="14">
        <v>3000000000</v>
      </c>
      <c r="E8" s="1"/>
      <c r="F8" s="1"/>
      <c r="G8" s="1"/>
      <c r="H8" s="1"/>
      <c r="I8" s="1"/>
      <c r="J8" s="1"/>
      <c r="K8" s="2" t="s">
        <v>14</v>
      </c>
      <c r="L8" s="1">
        <v>30</v>
      </c>
      <c r="M8" s="1">
        <v>6</v>
      </c>
      <c r="N8" s="1">
        <v>2032</v>
      </c>
      <c r="O8" s="3">
        <v>7.0000000000000007E-2</v>
      </c>
    </row>
    <row r="9" spans="1:15" x14ac:dyDescent="0.25">
      <c r="B9" s="1"/>
      <c r="E9" s="1"/>
      <c r="I9" s="1"/>
      <c r="J9" s="1"/>
      <c r="K9" s="2" t="s">
        <v>19</v>
      </c>
      <c r="L9" s="1">
        <v>26</v>
      </c>
      <c r="M9" s="1">
        <v>11</v>
      </c>
      <c r="N9" s="1">
        <v>2025</v>
      </c>
      <c r="O9" s="5">
        <v>6.25E-2</v>
      </c>
    </row>
    <row r="10" spans="1:15" x14ac:dyDescent="0.25">
      <c r="B10" s="1"/>
      <c r="C10" s="1" t="s">
        <v>20</v>
      </c>
      <c r="D10" s="6" t="str">
        <f>CONCATENATE(F7,"-",G7,"-",H7)</f>
        <v>20-3-2013</v>
      </c>
      <c r="E10" s="1"/>
      <c r="I10" s="1"/>
      <c r="J10" s="1"/>
      <c r="K10" s="2" t="s">
        <v>21</v>
      </c>
      <c r="L10" s="1">
        <v>18</v>
      </c>
      <c r="M10" s="1">
        <v>10</v>
      </c>
      <c r="N10" s="1">
        <v>2034</v>
      </c>
      <c r="O10" s="5">
        <v>7.2499999999999995E-2</v>
      </c>
    </row>
    <row r="11" spans="1:15" x14ac:dyDescent="0.25">
      <c r="B11" s="1"/>
      <c r="C11" s="1" t="s">
        <v>22</v>
      </c>
      <c r="D11" s="6" t="str">
        <f>CONCATENATE(F11,"-",G11,"-",H11)</f>
        <v>21-11-2018</v>
      </c>
      <c r="E11" s="1"/>
      <c r="F11" s="4">
        <f>VLOOKUP(D5,K2:O14,2,FALSE)</f>
        <v>21</v>
      </c>
      <c r="G11" s="4">
        <f>VLOOKUP(D5,K2:O14,3,FALSE)</f>
        <v>11</v>
      </c>
      <c r="H11" s="4">
        <f>VLOOKUP(D5,K2:O14,4,FALSE)</f>
        <v>2018</v>
      </c>
      <c r="I11" s="1"/>
      <c r="J11" s="1"/>
      <c r="K11" s="2" t="s">
        <v>23</v>
      </c>
      <c r="L11" s="1">
        <v>3</v>
      </c>
      <c r="M11" s="1">
        <v>11</v>
      </c>
      <c r="N11" s="1">
        <v>2027</v>
      </c>
      <c r="O11" s="5">
        <v>5.7500000000000002E-2</v>
      </c>
    </row>
    <row r="12" spans="1:15" x14ac:dyDescent="0.25">
      <c r="B12" s="1"/>
      <c r="C12" s="1" t="s">
        <v>24</v>
      </c>
      <c r="D12" s="6" t="str">
        <f>CONCATENATE(F11,"-",G11,"-",H7)</f>
        <v>21-11-2013</v>
      </c>
      <c r="E12" s="1"/>
      <c r="F12" s="1"/>
      <c r="G12" s="1"/>
      <c r="H12" s="1"/>
      <c r="I12" s="1"/>
      <c r="J12" s="1"/>
      <c r="K12" s="2" t="s">
        <v>25</v>
      </c>
      <c r="L12" s="1">
        <v>26</v>
      </c>
      <c r="M12" s="1">
        <v>10</v>
      </c>
      <c r="N12" s="1">
        <v>2050</v>
      </c>
      <c r="O12" s="5">
        <v>7.2499999999999995E-2</v>
      </c>
    </row>
    <row r="13" spans="1:15" x14ac:dyDescent="0.25">
      <c r="A13" s="62" t="s">
        <v>26</v>
      </c>
      <c r="B13" s="62"/>
      <c r="C13" s="62"/>
      <c r="D13" s="7" t="s">
        <v>11</v>
      </c>
      <c r="E13" s="1" t="s">
        <v>27</v>
      </c>
      <c r="F13" s="62" t="s">
        <v>28</v>
      </c>
      <c r="G13" s="62"/>
      <c r="H13" s="62"/>
      <c r="I13" s="62"/>
      <c r="J13" s="1"/>
      <c r="K13" s="2" t="s">
        <v>29</v>
      </c>
      <c r="L13" s="1">
        <v>9</v>
      </c>
      <c r="M13" s="1">
        <v>7</v>
      </c>
      <c r="N13" s="1">
        <v>2036</v>
      </c>
      <c r="O13" s="5">
        <v>6.25E-2</v>
      </c>
    </row>
    <row r="14" spans="1:15" x14ac:dyDescent="0.25">
      <c r="B14" s="1"/>
      <c r="C14" s="1" t="s">
        <v>30</v>
      </c>
      <c r="D14" s="8">
        <f>(ROUNDDOWN((_xlfn.DAYS(D11,D10)/365),0)*365)+IF(D13="SI",_xlfn.DAYS(D12,D10)-1,IF(D13="NO",_xlfn.DAYS(D12,D10),"Falta selección"))</f>
        <v>2071</v>
      </c>
      <c r="E14" s="1"/>
      <c r="F14" s="1"/>
      <c r="G14" s="1"/>
      <c r="H14" s="1"/>
      <c r="I14" s="1"/>
      <c r="J14" s="1"/>
      <c r="K14" s="1" t="s">
        <v>73</v>
      </c>
      <c r="L14" s="1">
        <v>21</v>
      </c>
      <c r="M14" s="1">
        <v>11</v>
      </c>
      <c r="N14" s="1">
        <v>2018</v>
      </c>
      <c r="O14" s="28">
        <v>0.05</v>
      </c>
    </row>
    <row r="15" spans="1:15" x14ac:dyDescent="0.25">
      <c r="B15" s="1"/>
      <c r="C15" s="1" t="s">
        <v>31</v>
      </c>
      <c r="D15" s="1">
        <f>ROUNDUP(D14/365,0)</f>
        <v>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thickBot="1" x14ac:dyDescent="0.3">
      <c r="B16" s="1"/>
      <c r="C16" s="1"/>
      <c r="D16" s="8"/>
      <c r="E16" s="1"/>
      <c r="F16" s="1"/>
      <c r="G16" s="1"/>
      <c r="H16" s="1"/>
      <c r="I16" s="1"/>
      <c r="J16" s="1"/>
      <c r="K16" s="1" t="s">
        <v>71</v>
      </c>
      <c r="L16" s="1"/>
      <c r="M16" s="1"/>
      <c r="N16" s="1"/>
      <c r="O16" s="1"/>
    </row>
    <row r="17" spans="2:15" ht="15.75" thickBot="1" x14ac:dyDescent="0.3">
      <c r="C17" s="16" t="s">
        <v>13</v>
      </c>
      <c r="D17" s="25">
        <f>D8*D7</f>
        <v>150000000</v>
      </c>
      <c r="E17" s="1"/>
      <c r="F17" s="1"/>
      <c r="G17" s="1"/>
      <c r="H17" s="1"/>
      <c r="I17" s="1"/>
      <c r="J17" s="1"/>
      <c r="K17" s="1" t="s">
        <v>11</v>
      </c>
      <c r="L17" s="1"/>
      <c r="M17" s="1"/>
      <c r="N17" s="1"/>
      <c r="O17" s="1"/>
    </row>
    <row r="18" spans="2:1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5">
      <c r="B19" s="1">
        <v>1</v>
      </c>
      <c r="C19" s="1" t="s">
        <v>32</v>
      </c>
      <c r="D19" s="9">
        <f t="shared" ref="D19:D33" si="0">IF(B19&lt;=$D$15,$D$17/((1+$D$6)^(F19/365)),"0")</f>
        <v>145474729.06708297</v>
      </c>
      <c r="E19" s="1" t="s">
        <v>33</v>
      </c>
      <c r="F19" s="1">
        <f>+IF(D13="SI",_xlfn.DAYS(D12,D10)-1,IF(D13="NO",_xlfn.DAYS(D12,D10),"Falta selección"))</f>
        <v>246</v>
      </c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5">
      <c r="B20" s="1">
        <v>2</v>
      </c>
      <c r="C20" s="1" t="s">
        <v>34</v>
      </c>
      <c r="D20" s="9">
        <f t="shared" si="0"/>
        <v>139010730.11665836</v>
      </c>
      <c r="E20" s="1" t="s">
        <v>35</v>
      </c>
      <c r="F20" s="1">
        <f>F19+365</f>
        <v>611</v>
      </c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5">
      <c r="B21" s="1">
        <v>3</v>
      </c>
      <c r="C21" s="1" t="s">
        <v>36</v>
      </c>
      <c r="D21" s="9">
        <f t="shared" si="0"/>
        <v>132833951.37759995</v>
      </c>
      <c r="E21" s="1" t="s">
        <v>37</v>
      </c>
      <c r="F21" s="1">
        <f t="shared" ref="F21:F33" si="1">F20+365</f>
        <v>976</v>
      </c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5">
      <c r="B22" s="1">
        <v>4</v>
      </c>
      <c r="C22" s="1" t="s">
        <v>38</v>
      </c>
      <c r="D22" s="9">
        <f t="shared" si="0"/>
        <v>126931630.55671282</v>
      </c>
      <c r="E22" s="1" t="s">
        <v>59</v>
      </c>
      <c r="F22" s="1">
        <f t="shared" si="1"/>
        <v>1341</v>
      </c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5">
      <c r="B23" s="1">
        <v>5</v>
      </c>
      <c r="C23" s="1" t="s">
        <v>39</v>
      </c>
      <c r="D23" s="9">
        <f t="shared" si="0"/>
        <v>121291572.43833044</v>
      </c>
      <c r="E23" s="1" t="s">
        <v>60</v>
      </c>
      <c r="F23" s="1">
        <f t="shared" si="1"/>
        <v>1706</v>
      </c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5">
      <c r="B24" s="1">
        <v>6</v>
      </c>
      <c r="C24" s="1" t="s">
        <v>40</v>
      </c>
      <c r="D24" s="9">
        <f t="shared" si="0"/>
        <v>115902123.68689007</v>
      </c>
      <c r="E24" s="1" t="s">
        <v>61</v>
      </c>
      <c r="F24" s="1">
        <f t="shared" si="1"/>
        <v>2071</v>
      </c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5">
      <c r="B25" s="1">
        <v>7</v>
      </c>
      <c r="C25" s="1" t="s">
        <v>41</v>
      </c>
      <c r="D25" s="9" t="str">
        <f t="shared" si="0"/>
        <v>0</v>
      </c>
      <c r="E25" s="1" t="s">
        <v>62</v>
      </c>
      <c r="F25" s="1">
        <f t="shared" si="1"/>
        <v>2436</v>
      </c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>
        <v>8</v>
      </c>
      <c r="C26" s="1" t="s">
        <v>42</v>
      </c>
      <c r="D26" s="9" t="str">
        <f t="shared" si="0"/>
        <v>0</v>
      </c>
      <c r="E26" s="1" t="s">
        <v>63</v>
      </c>
      <c r="F26" s="1">
        <f t="shared" si="1"/>
        <v>2801</v>
      </c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>
        <v>9</v>
      </c>
      <c r="C27" s="1" t="s">
        <v>43</v>
      </c>
      <c r="D27" s="9" t="str">
        <f t="shared" si="0"/>
        <v>0</v>
      </c>
      <c r="E27" s="1" t="s">
        <v>64</v>
      </c>
      <c r="F27" s="1">
        <f t="shared" si="1"/>
        <v>3166</v>
      </c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5">
      <c r="B28" s="1">
        <v>10</v>
      </c>
      <c r="C28" s="1" t="s">
        <v>44</v>
      </c>
      <c r="D28" s="9" t="str">
        <f t="shared" si="0"/>
        <v>0</v>
      </c>
      <c r="E28" s="1" t="s">
        <v>65</v>
      </c>
      <c r="F28" s="1">
        <f t="shared" si="1"/>
        <v>3531</v>
      </c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5">
      <c r="B29" s="1">
        <v>11</v>
      </c>
      <c r="C29" s="1" t="s">
        <v>45</v>
      </c>
      <c r="D29" s="9" t="str">
        <f t="shared" si="0"/>
        <v>0</v>
      </c>
      <c r="E29" s="1" t="s">
        <v>66</v>
      </c>
      <c r="F29" s="1">
        <f t="shared" si="1"/>
        <v>3896</v>
      </c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5">
      <c r="B30" s="1">
        <v>12</v>
      </c>
      <c r="C30" s="1" t="s">
        <v>46</v>
      </c>
      <c r="D30" s="9" t="str">
        <f t="shared" si="0"/>
        <v>0</v>
      </c>
      <c r="E30" s="1" t="s">
        <v>67</v>
      </c>
      <c r="F30" s="1">
        <f t="shared" si="1"/>
        <v>4261</v>
      </c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5">
      <c r="B31" s="1">
        <v>13</v>
      </c>
      <c r="C31" s="1" t="s">
        <v>47</v>
      </c>
      <c r="D31" s="9" t="str">
        <f t="shared" si="0"/>
        <v>0</v>
      </c>
      <c r="E31" s="1" t="s">
        <v>68</v>
      </c>
      <c r="F31" s="1">
        <f t="shared" si="1"/>
        <v>4626</v>
      </c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5">
      <c r="B32" s="1">
        <v>14</v>
      </c>
      <c r="C32" s="1" t="s">
        <v>48</v>
      </c>
      <c r="D32" s="9" t="str">
        <f t="shared" si="0"/>
        <v>0</v>
      </c>
      <c r="E32" s="1" t="s">
        <v>69</v>
      </c>
      <c r="F32" s="1">
        <f t="shared" si="1"/>
        <v>4991</v>
      </c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>
        <v>15</v>
      </c>
      <c r="C33" s="1" t="s">
        <v>49</v>
      </c>
      <c r="D33" s="9" t="str">
        <f t="shared" si="0"/>
        <v>0</v>
      </c>
      <c r="E33" s="1" t="s">
        <v>70</v>
      </c>
      <c r="F33" s="1">
        <f t="shared" si="1"/>
        <v>5356</v>
      </c>
      <c r="G33" s="1"/>
      <c r="H33" s="1"/>
      <c r="I33" s="1"/>
      <c r="J33" s="1"/>
      <c r="K33" s="1"/>
      <c r="L33" s="1"/>
      <c r="M33" s="1"/>
      <c r="N33" s="1"/>
      <c r="O33" s="1"/>
    </row>
    <row r="34" spans="2:15" ht="15.75" thickBot="1" x14ac:dyDescent="0.3">
      <c r="B34" s="1"/>
      <c r="C34" s="1" t="s">
        <v>50</v>
      </c>
      <c r="D34" s="9">
        <f>D8/((1+$D$6)^(F34/365))</f>
        <v>2318042473.7378011</v>
      </c>
      <c r="E34" s="1" t="s">
        <v>51</v>
      </c>
      <c r="F34" s="8">
        <f>D14</f>
        <v>2071</v>
      </c>
      <c r="G34" s="1"/>
      <c r="H34" s="1"/>
      <c r="I34" s="1"/>
      <c r="J34" s="1"/>
      <c r="K34" s="1"/>
      <c r="L34" s="1"/>
      <c r="M34" s="1"/>
      <c r="N34" s="1"/>
      <c r="O34" s="1"/>
    </row>
    <row r="35" spans="2:15" ht="15.75" thickBot="1" x14ac:dyDescent="0.3">
      <c r="B35" s="1"/>
      <c r="C35" s="27" t="s">
        <v>52</v>
      </c>
      <c r="D35" s="25">
        <f>SUM(D19:D34)</f>
        <v>3099487210.9810758</v>
      </c>
      <c r="E35" s="1"/>
      <c r="F35" s="1"/>
      <c r="G35" s="1"/>
      <c r="H35" s="1"/>
      <c r="I35" s="1"/>
      <c r="J35" s="1"/>
    </row>
    <row r="36" spans="2:15" ht="15.75" thickBot="1" x14ac:dyDescent="0.3">
      <c r="B36" s="1"/>
      <c r="C36" s="1"/>
      <c r="D36" s="1"/>
      <c r="E36" s="1"/>
      <c r="F36" s="1"/>
      <c r="G36" s="1"/>
      <c r="H36" s="1"/>
      <c r="I36" s="1"/>
      <c r="J36" s="1"/>
    </row>
    <row r="37" spans="2:15" ht="15.75" thickBot="1" x14ac:dyDescent="0.3">
      <c r="B37" s="1"/>
      <c r="C37" s="27" t="s">
        <v>53</v>
      </c>
      <c r="D37" s="26">
        <f>(D35/D8)*100</f>
        <v>103.31624036603586</v>
      </c>
      <c r="E37" s="1"/>
      <c r="F37" s="1"/>
      <c r="G37" s="1"/>
      <c r="H37" s="1"/>
      <c r="I37" s="1"/>
      <c r="J37" s="1"/>
    </row>
    <row r="38" spans="2:15" ht="15.75" thickBot="1" x14ac:dyDescent="0.3">
      <c r="B38" s="1"/>
      <c r="C38" s="1"/>
      <c r="D38" s="1"/>
      <c r="E38" s="1"/>
      <c r="F38" s="1"/>
      <c r="G38" s="1"/>
      <c r="H38" s="1"/>
      <c r="I38" s="1"/>
      <c r="J38" s="1"/>
    </row>
    <row r="39" spans="2:15" ht="15.75" thickBot="1" x14ac:dyDescent="0.3">
      <c r="B39" s="1"/>
      <c r="C39" s="27" t="s">
        <v>54</v>
      </c>
      <c r="D39" s="26">
        <f>D7*((365-F19)/365)*100</f>
        <v>1.6301369863013697</v>
      </c>
      <c r="E39" s="1"/>
      <c r="F39" s="1"/>
      <c r="G39" s="1"/>
      <c r="H39" s="1"/>
      <c r="I39" s="1"/>
      <c r="J39" s="1"/>
    </row>
    <row r="40" spans="2:15" ht="15.75" thickBot="1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2:15" ht="15.75" thickBot="1" x14ac:dyDescent="0.3">
      <c r="B41" s="1"/>
      <c r="C41" s="27" t="s">
        <v>55</v>
      </c>
      <c r="D41" s="26">
        <f>D37-D39</f>
        <v>101.68610337973449</v>
      </c>
      <c r="E41" s="1"/>
      <c r="F41" s="1"/>
      <c r="G41" s="1"/>
      <c r="H41" s="1"/>
      <c r="I41" s="1"/>
      <c r="J41" s="1"/>
    </row>
    <row r="42" spans="2:15" x14ac:dyDescent="0.25">
      <c r="B42" s="1"/>
      <c r="E42" s="1"/>
      <c r="F42" s="1"/>
      <c r="G42" s="1"/>
      <c r="H42" s="1"/>
      <c r="I42" s="1"/>
      <c r="J42" s="1"/>
    </row>
  </sheetData>
  <mergeCells count="2">
    <mergeCell ref="F13:I13"/>
    <mergeCell ref="A13:C13"/>
  </mergeCells>
  <phoneticPr fontId="3" type="noConversion"/>
  <dataValidations count="2">
    <dataValidation type="list" allowBlank="1" showInputMessage="1" showErrorMessage="1" sqref="D5" xr:uid="{F0D6036E-86DD-40F1-810E-033EFBC46A1A}">
      <formula1>$K$3:$K$14</formula1>
    </dataValidation>
    <dataValidation type="list" allowBlank="1" showInputMessage="1" showErrorMessage="1" sqref="D13" xr:uid="{F4538277-BCF0-4C91-87F1-79DADCDB6882}">
      <formula1>$K$16:$K$17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2761-48CC-4A9F-959A-6376F5438268}">
  <dimension ref="A1:V55"/>
  <sheetViews>
    <sheetView showGridLines="0" tabSelected="1" workbookViewId="0">
      <selection activeCell="I12" sqref="I12"/>
    </sheetView>
  </sheetViews>
  <sheetFormatPr baseColWidth="10" defaultColWidth="0" defaultRowHeight="15" zeroHeight="1" x14ac:dyDescent="0.25"/>
  <cols>
    <col min="1" max="2" width="11.42578125" customWidth="1"/>
    <col min="3" max="3" width="13.5703125" bestFit="1" customWidth="1"/>
    <col min="4" max="4" width="15.140625" bestFit="1" customWidth="1"/>
    <col min="5" max="6" width="11.42578125" customWidth="1"/>
    <col min="7" max="7" width="12.5703125" customWidth="1"/>
    <col min="8" max="8" width="11.42578125" customWidth="1"/>
    <col min="9" max="9" width="11.85546875" bestFit="1" customWidth="1"/>
    <col min="10" max="10" width="11.42578125" hidden="1" customWidth="1"/>
    <col min="11" max="11" width="10.7109375" hidden="1" customWidth="1"/>
    <col min="12" max="12" width="4.140625" hidden="1" customWidth="1"/>
    <col min="13" max="13" width="4.7109375" hidden="1" customWidth="1"/>
    <col min="14" max="14" width="5" hidden="1" customWidth="1"/>
    <col min="15" max="15" width="8" hidden="1" customWidth="1"/>
    <col min="16" max="16" width="12.140625" hidden="1" customWidth="1"/>
    <col min="17" max="17" width="3.85546875" hidden="1" customWidth="1"/>
    <col min="18" max="18" width="2" hidden="1" customWidth="1"/>
    <col min="19" max="19" width="9.85546875" hidden="1" customWidth="1"/>
    <col min="20" max="20" width="16.42578125" hidden="1" customWidth="1"/>
    <col min="21" max="21" width="2.85546875" hidden="1" customWidth="1"/>
    <col min="22" max="22" width="0" hidden="1" customWidth="1"/>
    <col min="23" max="28" width="11.42578125" customWidth="1"/>
    <col min="29" max="16384" width="11.42578125" hidden="1"/>
  </cols>
  <sheetData>
    <row r="1" spans="1:20" x14ac:dyDescent="0.25">
      <c r="A1" s="57" t="s">
        <v>85</v>
      </c>
      <c r="B1" t="s">
        <v>84</v>
      </c>
    </row>
    <row r="2" spans="1:20" ht="18.75" x14ac:dyDescent="0.25">
      <c r="B2" s="74" t="s">
        <v>82</v>
      </c>
      <c r="C2" s="74"/>
      <c r="D2" s="74"/>
      <c r="E2" s="74"/>
      <c r="F2" s="74"/>
      <c r="G2" s="74"/>
      <c r="H2" s="74"/>
      <c r="I2" s="1"/>
      <c r="J2" s="1"/>
      <c r="K2" s="1" t="s">
        <v>86</v>
      </c>
      <c r="L2" s="1" t="s">
        <v>16</v>
      </c>
      <c r="M2" s="1" t="s">
        <v>17</v>
      </c>
      <c r="N2" s="1" t="s">
        <v>18</v>
      </c>
      <c r="O2" s="1" t="s">
        <v>13</v>
      </c>
      <c r="P2" s="1" t="s">
        <v>22</v>
      </c>
      <c r="Q2" s="1">
        <f>VLOOKUP(D5,K2:O14,2,FALSE)</f>
        <v>9</v>
      </c>
      <c r="R2" s="1">
        <f>VLOOKUP(D5,K2:O14,3,FALSE)</f>
        <v>7</v>
      </c>
      <c r="S2" s="1">
        <f>VLOOKUP(D5,K2:O14,4,FALSE)</f>
        <v>2036</v>
      </c>
      <c r="T2" t="str">
        <f>CONCATENATE(Q2,"-",R2,"-",H7)</f>
        <v>9-7-23</v>
      </c>
    </row>
    <row r="3" spans="1:20" x14ac:dyDescent="0.25">
      <c r="B3" s="1"/>
      <c r="C3" s="1"/>
      <c r="D3" s="1"/>
      <c r="E3" s="1"/>
      <c r="F3" s="1"/>
      <c r="G3" s="1"/>
      <c r="H3" s="1"/>
      <c r="I3" s="1"/>
      <c r="J3" s="1"/>
      <c r="K3" s="2" t="s">
        <v>4</v>
      </c>
      <c r="L3" s="1">
        <v>24</v>
      </c>
      <c r="M3" s="1">
        <v>7</v>
      </c>
      <c r="N3" s="1">
        <v>2024</v>
      </c>
      <c r="O3" s="3">
        <v>0.1</v>
      </c>
      <c r="P3" s="60" t="s">
        <v>87</v>
      </c>
      <c r="T3" s="61">
        <f>T2-D10</f>
        <v>-25</v>
      </c>
    </row>
    <row r="4" spans="1:20" ht="15.75" thickBot="1" x14ac:dyDescent="0.3">
      <c r="B4" s="1"/>
      <c r="D4" s="59" t="s">
        <v>76</v>
      </c>
      <c r="F4" s="59" t="s">
        <v>57</v>
      </c>
      <c r="I4" s="1"/>
      <c r="J4" s="1"/>
      <c r="K4" s="2" t="s">
        <v>6</v>
      </c>
      <c r="L4" s="1">
        <v>26</v>
      </c>
      <c r="M4" s="1">
        <v>8</v>
      </c>
      <c r="N4" s="1">
        <v>2026</v>
      </c>
      <c r="O4" s="5">
        <v>7.4999999999999997E-2</v>
      </c>
      <c r="P4" s="60" t="s">
        <v>88</v>
      </c>
      <c r="Q4" s="1" t="s">
        <v>71</v>
      </c>
    </row>
    <row r="5" spans="1:20" ht="16.5" thickBot="1" x14ac:dyDescent="0.3">
      <c r="B5" s="65" t="s">
        <v>5</v>
      </c>
      <c r="C5" s="66"/>
      <c r="D5" s="31" t="s">
        <v>29</v>
      </c>
      <c r="F5" s="16"/>
      <c r="G5" s="58" t="s">
        <v>56</v>
      </c>
      <c r="H5" s="18"/>
      <c r="I5" s="1"/>
      <c r="J5" s="1"/>
      <c r="K5" s="2" t="s">
        <v>7</v>
      </c>
      <c r="L5" s="1">
        <v>4</v>
      </c>
      <c r="M5" s="1">
        <v>5</v>
      </c>
      <c r="N5" s="1">
        <v>2022</v>
      </c>
      <c r="O5" s="3">
        <v>7.0000000000000007E-2</v>
      </c>
      <c r="P5" s="60" t="s">
        <v>89</v>
      </c>
      <c r="Q5" s="1" t="s">
        <v>11</v>
      </c>
    </row>
    <row r="6" spans="1:20" ht="15.75" thickBot="1" x14ac:dyDescent="0.3">
      <c r="B6" s="67" t="s">
        <v>10</v>
      </c>
      <c r="C6" s="68"/>
      <c r="D6" s="32">
        <f>VLOOKUP(D5,K2:O14,5,FALSE)</f>
        <v>6.25E-2</v>
      </c>
      <c r="F6" s="54" t="s">
        <v>16</v>
      </c>
      <c r="G6" s="55" t="s">
        <v>17</v>
      </c>
      <c r="H6" s="56" t="s">
        <v>18</v>
      </c>
      <c r="I6" s="1"/>
      <c r="J6" s="1"/>
      <c r="K6" s="2" t="s">
        <v>9</v>
      </c>
      <c r="L6" s="1">
        <v>28</v>
      </c>
      <c r="M6" s="1">
        <v>4</v>
      </c>
      <c r="N6" s="1">
        <v>2028</v>
      </c>
      <c r="O6" s="3">
        <v>0.06</v>
      </c>
      <c r="P6" s="60" t="s">
        <v>90</v>
      </c>
    </row>
    <row r="7" spans="1:20" ht="15.75" thickBot="1" x14ac:dyDescent="0.3">
      <c r="B7" s="67" t="s">
        <v>8</v>
      </c>
      <c r="C7" s="68"/>
      <c r="D7" s="92">
        <v>0.10657999999999999</v>
      </c>
      <c r="E7" s="1"/>
      <c r="F7" s="89" t="s">
        <v>81</v>
      </c>
      <c r="G7" s="90">
        <v>8</v>
      </c>
      <c r="H7" s="91">
        <v>23</v>
      </c>
      <c r="I7" s="1" t="str">
        <f>IF(DAY(DATE(H7,3,0))=29,"Bisiesto","")</f>
        <v/>
      </c>
      <c r="J7" s="1"/>
      <c r="K7" s="2" t="s">
        <v>12</v>
      </c>
      <c r="L7" s="1">
        <v>18</v>
      </c>
      <c r="M7" s="1">
        <v>9</v>
      </c>
      <c r="N7" s="1">
        <v>2030</v>
      </c>
      <c r="O7" s="5">
        <v>7.7499999999999999E-2</v>
      </c>
      <c r="P7" s="60" t="s">
        <v>91</v>
      </c>
    </row>
    <row r="8" spans="1:20" ht="15.75" thickBot="1" x14ac:dyDescent="0.3">
      <c r="B8" s="69" t="s">
        <v>15</v>
      </c>
      <c r="C8" s="70"/>
      <c r="D8" s="93">
        <v>1000000000</v>
      </c>
      <c r="E8" s="1"/>
      <c r="F8" s="1"/>
      <c r="G8" s="1"/>
      <c r="H8" s="1"/>
      <c r="I8" s="1"/>
      <c r="J8" s="1"/>
      <c r="K8" s="2" t="s">
        <v>14</v>
      </c>
      <c r="L8" s="1">
        <v>30</v>
      </c>
      <c r="M8" s="1">
        <v>6</v>
      </c>
      <c r="N8" s="1">
        <v>2032</v>
      </c>
      <c r="O8" s="3">
        <v>7.0000000000000007E-2</v>
      </c>
      <c r="P8" s="60" t="s">
        <v>92</v>
      </c>
    </row>
    <row r="9" spans="1:20" ht="15.75" thickBot="1" x14ac:dyDescent="0.3">
      <c r="B9" s="71"/>
      <c r="C9" s="72"/>
      <c r="D9" s="73"/>
      <c r="E9" s="1"/>
      <c r="F9" s="49" t="s">
        <v>79</v>
      </c>
      <c r="G9" s="50" t="s">
        <v>80</v>
      </c>
      <c r="I9" s="1"/>
      <c r="J9" s="1"/>
      <c r="K9" s="2" t="s">
        <v>19</v>
      </c>
      <c r="L9" s="1">
        <v>26</v>
      </c>
      <c r="M9" s="1">
        <v>11</v>
      </c>
      <c r="N9" s="1">
        <v>2025</v>
      </c>
      <c r="O9" s="5">
        <v>6.25E-2</v>
      </c>
      <c r="P9" s="60" t="s">
        <v>93</v>
      </c>
    </row>
    <row r="10" spans="1:20" x14ac:dyDescent="0.25">
      <c r="B10" s="86" t="s">
        <v>74</v>
      </c>
      <c r="C10" s="51" t="s">
        <v>20</v>
      </c>
      <c r="D10" s="36" t="str">
        <f>CONCATENATE(F7,"-",G7,"-",H7)</f>
        <v>3-8-23</v>
      </c>
      <c r="E10" s="1"/>
      <c r="F10" s="47"/>
      <c r="G10" s="48" t="s">
        <v>77</v>
      </c>
      <c r="I10" s="1"/>
      <c r="J10" s="1"/>
      <c r="K10" s="2" t="s">
        <v>21</v>
      </c>
      <c r="L10" s="1">
        <v>18</v>
      </c>
      <c r="M10" s="1">
        <v>10</v>
      </c>
      <c r="N10" s="1">
        <v>2034</v>
      </c>
      <c r="O10" s="5">
        <v>7.2499999999999995E-2</v>
      </c>
      <c r="P10" s="60" t="s">
        <v>94</v>
      </c>
    </row>
    <row r="11" spans="1:20" ht="15.75" thickBot="1" x14ac:dyDescent="0.3">
      <c r="B11" s="87"/>
      <c r="C11" s="52" t="s">
        <v>22</v>
      </c>
      <c r="D11" s="34" t="str">
        <f>CONCATENATE(Q2,"-",R2,"-",S2)</f>
        <v>9-7-2036</v>
      </c>
      <c r="E11" s="1"/>
      <c r="F11" s="94"/>
      <c r="G11" s="46" t="s">
        <v>78</v>
      </c>
      <c r="I11" s="1"/>
      <c r="J11" s="1"/>
      <c r="K11" s="2" t="s">
        <v>23</v>
      </c>
      <c r="L11" s="1">
        <v>3</v>
      </c>
      <c r="M11" s="1">
        <v>11</v>
      </c>
      <c r="N11" s="1">
        <v>2027</v>
      </c>
      <c r="O11" s="5">
        <v>5.7500000000000002E-2</v>
      </c>
      <c r="P11" s="60" t="s">
        <v>95</v>
      </c>
    </row>
    <row r="12" spans="1:20" ht="15.75" thickBot="1" x14ac:dyDescent="0.3">
      <c r="B12" s="88"/>
      <c r="C12" s="53" t="s">
        <v>24</v>
      </c>
      <c r="D12" s="37" t="str">
        <f>IF(T3&lt;0,CONCATENATE(Q2,"-",R2,"-",H7+1),CONCATENATE(Q2,"-",R2,"-",H7))</f>
        <v>9-7-24</v>
      </c>
      <c r="E12" s="1"/>
      <c r="F12" s="1"/>
      <c r="G12" s="1"/>
      <c r="H12" s="1"/>
      <c r="I12" s="1"/>
      <c r="J12" s="1"/>
      <c r="K12" s="2" t="s">
        <v>25</v>
      </c>
      <c r="L12" s="1">
        <v>26</v>
      </c>
      <c r="M12" s="1">
        <v>10</v>
      </c>
      <c r="N12" s="1">
        <v>2050</v>
      </c>
      <c r="O12" s="5">
        <v>7.2499999999999995E-2</v>
      </c>
      <c r="P12" s="60" t="s">
        <v>96</v>
      </c>
    </row>
    <row r="13" spans="1:20" ht="15.75" thickBot="1" x14ac:dyDescent="0.3">
      <c r="B13" s="71"/>
      <c r="C13" s="72"/>
      <c r="D13" s="73"/>
      <c r="E13" s="1"/>
      <c r="F13" s="1"/>
      <c r="G13" s="1"/>
      <c r="H13" s="1"/>
      <c r="I13" s="1"/>
      <c r="J13" s="1"/>
      <c r="K13" s="2" t="s">
        <v>29</v>
      </c>
      <c r="L13" s="1">
        <v>9</v>
      </c>
      <c r="M13" s="1">
        <v>7</v>
      </c>
      <c r="N13" s="1">
        <v>2036</v>
      </c>
      <c r="O13" s="5">
        <v>6.25E-2</v>
      </c>
      <c r="P13" s="60" t="s">
        <v>97</v>
      </c>
    </row>
    <row r="14" spans="1:20" ht="29.25" customHeight="1" thickBot="1" x14ac:dyDescent="0.3">
      <c r="A14" s="29"/>
      <c r="B14" s="63" t="s">
        <v>28</v>
      </c>
      <c r="C14" s="64"/>
      <c r="D14" s="38" t="s">
        <v>71</v>
      </c>
      <c r="E14" s="1"/>
      <c r="F14" s="29"/>
      <c r="G14" s="29"/>
      <c r="H14" s="29"/>
      <c r="I14" s="29"/>
      <c r="J14" s="1"/>
      <c r="K14" s="1"/>
      <c r="L14" s="1"/>
      <c r="M14" s="1"/>
      <c r="N14" s="1"/>
      <c r="O14" s="28"/>
    </row>
    <row r="15" spans="1:20" ht="15" customHeight="1" thickBot="1" x14ac:dyDescent="0.3">
      <c r="A15" s="29"/>
      <c r="B15" s="83"/>
      <c r="C15" s="84"/>
      <c r="D15" s="85"/>
      <c r="E15" s="1"/>
      <c r="F15" s="29"/>
      <c r="G15" s="29"/>
      <c r="H15" s="29"/>
      <c r="I15" s="29"/>
      <c r="J15" s="1"/>
      <c r="K15" s="1"/>
      <c r="L15" s="1"/>
      <c r="M15" s="1"/>
      <c r="N15" s="1"/>
      <c r="O15" s="28"/>
    </row>
    <row r="16" spans="1:20" ht="15.75" thickBot="1" x14ac:dyDescent="0.3">
      <c r="B16" s="75" t="s">
        <v>75</v>
      </c>
      <c r="C16" s="76"/>
      <c r="D16" s="42">
        <f>(ROUNDDOWN((_xlfn.DAYS(D11,D10)/365),0)*365)+IF(D14="SI",_xlfn.DAYS(D12,D10)-1,IF(D14="NO",_xlfn.DAYS(D12,D10),"Falta selección"))</f>
        <v>4720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ht="15.75" thickBot="1" x14ac:dyDescent="0.3">
      <c r="B17" s="80"/>
      <c r="C17" s="81"/>
      <c r="D17" s="8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5.75" thickBot="1" x14ac:dyDescent="0.3">
      <c r="B18" s="75" t="s">
        <v>83</v>
      </c>
      <c r="C18" s="76"/>
      <c r="D18" s="43">
        <f>ROUNDUP(D16/365,0)</f>
        <v>13</v>
      </c>
      <c r="E18" s="1"/>
      <c r="F18" s="1"/>
      <c r="G18" s="1"/>
      <c r="H18" s="1"/>
      <c r="I18" s="1"/>
      <c r="J18" s="1"/>
      <c r="L18" s="1"/>
      <c r="M18" s="1"/>
      <c r="N18" s="1"/>
      <c r="O18" s="1"/>
    </row>
    <row r="19" spans="2:15" ht="15.75" thickBot="1" x14ac:dyDescent="0.3">
      <c r="B19" s="71"/>
      <c r="C19" s="72"/>
      <c r="D19" s="73"/>
      <c r="E19" s="1"/>
      <c r="F19" s="1"/>
      <c r="G19" s="1"/>
      <c r="H19" s="1"/>
      <c r="I19" s="1"/>
      <c r="J19" s="1"/>
      <c r="L19" s="1"/>
      <c r="M19" s="1"/>
      <c r="N19" s="1"/>
      <c r="O19" s="1"/>
    </row>
    <row r="20" spans="2:15" ht="15.75" thickBot="1" x14ac:dyDescent="0.3">
      <c r="B20" s="75" t="s">
        <v>13</v>
      </c>
      <c r="C20" s="76"/>
      <c r="D20" s="44">
        <f>D8*D6</f>
        <v>62500000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5.75" thickBot="1" x14ac:dyDescent="0.3">
      <c r="B21" s="77"/>
      <c r="C21" s="78"/>
      <c r="D21" s="7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idden="1" x14ac:dyDescent="0.25">
      <c r="B22" s="33">
        <v>1</v>
      </c>
      <c r="C22" s="30" t="s">
        <v>32</v>
      </c>
      <c r="D22" s="35">
        <f t="shared" ref="D22:D36" si="0">IF(B22&lt;=$D$18,$D$20/((1+$D$7)^(F22/365)),"0")</f>
        <v>56873469.460926607</v>
      </c>
      <c r="E22" s="1" t="s">
        <v>33</v>
      </c>
      <c r="F22" s="1">
        <f>+IF(D14="SI",_xlfn.DAYS(D12,D10)-1,IF(D14="NO",_xlfn.DAYS(D12,D10),"Falta selección"))</f>
        <v>340</v>
      </c>
      <c r="G22" s="1"/>
      <c r="H22" s="1"/>
      <c r="I22" s="1"/>
      <c r="J22" s="1"/>
      <c r="K22" s="1"/>
      <c r="L22" s="1"/>
      <c r="M22" s="1"/>
      <c r="N22" s="1"/>
      <c r="O22" s="1"/>
    </row>
    <row r="23" spans="2:15" hidden="1" x14ac:dyDescent="0.25">
      <c r="B23" s="33">
        <v>2</v>
      </c>
      <c r="C23" s="30" t="s">
        <v>34</v>
      </c>
      <c r="D23" s="35">
        <f t="shared" si="0"/>
        <v>51395714.237494446</v>
      </c>
      <c r="E23" s="1" t="s">
        <v>35</v>
      </c>
      <c r="F23" s="1">
        <f>F22+365</f>
        <v>705</v>
      </c>
      <c r="G23" s="1"/>
      <c r="H23" s="1"/>
      <c r="I23" s="1"/>
      <c r="J23" s="1"/>
      <c r="K23" s="1"/>
      <c r="L23" s="1"/>
      <c r="M23" s="1"/>
      <c r="N23" s="1"/>
      <c r="O23" s="1"/>
    </row>
    <row r="24" spans="2:15" hidden="1" x14ac:dyDescent="0.25">
      <c r="B24" s="33">
        <v>3</v>
      </c>
      <c r="C24" s="30" t="s">
        <v>36</v>
      </c>
      <c r="D24" s="35">
        <f t="shared" si="0"/>
        <v>46445547.75750009</v>
      </c>
      <c r="E24" s="1" t="s">
        <v>37</v>
      </c>
      <c r="F24" s="1">
        <f t="shared" ref="F24:F36" si="1">F23+365</f>
        <v>1070</v>
      </c>
      <c r="G24" s="1"/>
      <c r="H24" s="1"/>
      <c r="I24" s="1"/>
      <c r="J24" s="1"/>
      <c r="K24" s="1"/>
      <c r="L24" s="1"/>
      <c r="M24" s="1"/>
      <c r="N24" s="1"/>
      <c r="O24" s="1"/>
    </row>
    <row r="25" spans="2:15" hidden="1" x14ac:dyDescent="0.25">
      <c r="B25" s="33">
        <v>4</v>
      </c>
      <c r="C25" s="30" t="s">
        <v>38</v>
      </c>
      <c r="D25" s="35">
        <f t="shared" si="0"/>
        <v>41972155.431600146</v>
      </c>
      <c r="E25" s="1" t="s">
        <v>59</v>
      </c>
      <c r="F25" s="1">
        <f t="shared" si="1"/>
        <v>1435</v>
      </c>
      <c r="G25" s="1"/>
      <c r="H25" s="1"/>
      <c r="I25" s="1"/>
      <c r="J25" s="1"/>
      <c r="K25" s="1"/>
      <c r="L25" s="1"/>
      <c r="M25" s="1"/>
      <c r="N25" s="1"/>
      <c r="O25" s="1"/>
    </row>
    <row r="26" spans="2:15" hidden="1" x14ac:dyDescent="0.25">
      <c r="B26" s="33">
        <v>5</v>
      </c>
      <c r="C26" s="30" t="s">
        <v>39</v>
      </c>
      <c r="D26" s="35">
        <f t="shared" si="0"/>
        <v>37929616.866019763</v>
      </c>
      <c r="E26" s="1" t="s">
        <v>60</v>
      </c>
      <c r="F26" s="1">
        <f t="shared" si="1"/>
        <v>1800</v>
      </c>
      <c r="G26" s="1"/>
      <c r="H26" s="1"/>
      <c r="I26" s="1"/>
      <c r="J26" s="1"/>
      <c r="K26" s="1"/>
      <c r="L26" s="1"/>
      <c r="M26" s="1"/>
      <c r="N26" s="1"/>
      <c r="O26" s="1"/>
    </row>
    <row r="27" spans="2:15" hidden="1" x14ac:dyDescent="0.25">
      <c r="B27" s="33">
        <v>6</v>
      </c>
      <c r="C27" s="30" t="s">
        <v>40</v>
      </c>
      <c r="D27" s="35">
        <f t="shared" si="0"/>
        <v>34276434.479224071</v>
      </c>
      <c r="E27" s="1" t="s">
        <v>61</v>
      </c>
      <c r="F27" s="1">
        <f t="shared" si="1"/>
        <v>2165</v>
      </c>
      <c r="G27" s="1"/>
      <c r="H27" s="1"/>
      <c r="I27" s="1"/>
      <c r="J27" s="1"/>
      <c r="K27" s="1"/>
      <c r="L27" s="1"/>
      <c r="M27" s="1"/>
      <c r="N27" s="1"/>
      <c r="O27" s="1"/>
    </row>
    <row r="28" spans="2:15" hidden="1" x14ac:dyDescent="0.25">
      <c r="B28" s="33">
        <v>7</v>
      </c>
      <c r="C28" s="30" t="s">
        <v>41</v>
      </c>
      <c r="D28" s="35">
        <f t="shared" si="0"/>
        <v>30975107.519767281</v>
      </c>
      <c r="E28" s="1" t="s">
        <v>62</v>
      </c>
      <c r="F28" s="1">
        <f t="shared" si="1"/>
        <v>2530</v>
      </c>
      <c r="G28" s="1"/>
      <c r="H28" s="1"/>
      <c r="I28" s="1"/>
      <c r="J28" s="1"/>
      <c r="K28" s="1"/>
      <c r="L28" s="1"/>
      <c r="M28" s="1"/>
      <c r="N28" s="1"/>
      <c r="O28" s="1"/>
    </row>
    <row r="29" spans="2:15" hidden="1" x14ac:dyDescent="0.25">
      <c r="B29" s="33">
        <v>8</v>
      </c>
      <c r="C29" s="30" t="s">
        <v>42</v>
      </c>
      <c r="D29" s="35">
        <f t="shared" si="0"/>
        <v>27991747.11251539</v>
      </c>
      <c r="E29" s="1" t="s">
        <v>63</v>
      </c>
      <c r="F29" s="1">
        <f t="shared" si="1"/>
        <v>2895</v>
      </c>
      <c r="G29" s="1"/>
      <c r="H29" s="1"/>
      <c r="I29" s="1"/>
      <c r="J29" s="1"/>
      <c r="K29" s="1"/>
      <c r="L29" s="1"/>
      <c r="M29" s="1"/>
      <c r="N29" s="1"/>
      <c r="O29" s="1"/>
    </row>
    <row r="30" spans="2:15" hidden="1" x14ac:dyDescent="0.25">
      <c r="B30" s="33">
        <v>9</v>
      </c>
      <c r="C30" s="30" t="s">
        <v>43</v>
      </c>
      <c r="D30" s="35">
        <f t="shared" si="0"/>
        <v>25295728.381604031</v>
      </c>
      <c r="E30" s="1" t="s">
        <v>64</v>
      </c>
      <c r="F30" s="1">
        <f t="shared" si="1"/>
        <v>3260</v>
      </c>
      <c r="G30" s="1"/>
      <c r="H30" s="1"/>
      <c r="I30" s="1"/>
      <c r="J30" s="1"/>
      <c r="K30" s="1"/>
      <c r="L30" s="1"/>
      <c r="M30" s="1"/>
      <c r="N30" s="1"/>
      <c r="O30" s="1"/>
    </row>
    <row r="31" spans="2:15" hidden="1" x14ac:dyDescent="0.25">
      <c r="B31" s="33">
        <v>10</v>
      </c>
      <c r="C31" s="30" t="s">
        <v>44</v>
      </c>
      <c r="D31" s="35">
        <f t="shared" si="0"/>
        <v>22859376.079094179</v>
      </c>
      <c r="E31" s="1" t="s">
        <v>65</v>
      </c>
      <c r="F31" s="1">
        <f t="shared" si="1"/>
        <v>3625</v>
      </c>
      <c r="G31" s="1"/>
      <c r="H31" s="1"/>
      <c r="I31" s="1"/>
      <c r="J31" s="1"/>
      <c r="K31" s="1"/>
      <c r="L31" s="1"/>
      <c r="M31" s="1"/>
      <c r="N31" s="1"/>
      <c r="O31" s="1"/>
    </row>
    <row r="32" spans="2:15" hidden="1" x14ac:dyDescent="0.25">
      <c r="B32" s="33">
        <v>11</v>
      </c>
      <c r="C32" s="30" t="s">
        <v>45</v>
      </c>
      <c r="D32" s="35">
        <f t="shared" si="0"/>
        <v>20657680.492232084</v>
      </c>
      <c r="E32" s="1" t="s">
        <v>66</v>
      </c>
      <c r="F32" s="1">
        <f t="shared" si="1"/>
        <v>3990</v>
      </c>
      <c r="G32" s="1"/>
      <c r="H32" s="1"/>
      <c r="I32" s="1"/>
      <c r="J32" s="1"/>
      <c r="K32" s="1"/>
      <c r="L32" s="1"/>
      <c r="M32" s="1"/>
      <c r="N32" s="1"/>
      <c r="O32" s="1"/>
    </row>
    <row r="33" spans="2:15" hidden="1" x14ac:dyDescent="0.25">
      <c r="B33" s="33">
        <v>12</v>
      </c>
      <c r="C33" s="30" t="s">
        <v>46</v>
      </c>
      <c r="D33" s="35">
        <f t="shared" si="0"/>
        <v>18668040.713036641</v>
      </c>
      <c r="E33" s="1" t="s">
        <v>67</v>
      </c>
      <c r="F33" s="1">
        <f t="shared" si="1"/>
        <v>4355</v>
      </c>
      <c r="G33" s="1"/>
      <c r="H33" s="1"/>
      <c r="I33" s="1"/>
      <c r="J33" s="1"/>
      <c r="K33" s="1"/>
      <c r="L33" s="1"/>
      <c r="M33" s="1"/>
      <c r="N33" s="1"/>
      <c r="O33" s="1"/>
    </row>
    <row r="34" spans="2:15" hidden="1" x14ac:dyDescent="0.25">
      <c r="B34" s="33">
        <v>13</v>
      </c>
      <c r="C34" s="30" t="s">
        <v>47</v>
      </c>
      <c r="D34" s="35">
        <f t="shared" si="0"/>
        <v>16870032.634817764</v>
      </c>
      <c r="E34" s="1" t="s">
        <v>68</v>
      </c>
      <c r="F34" s="1">
        <f t="shared" si="1"/>
        <v>4720</v>
      </c>
      <c r="G34" s="1"/>
      <c r="H34" s="1"/>
      <c r="I34" s="1"/>
      <c r="J34" s="1"/>
      <c r="K34" s="1"/>
      <c r="L34" s="1"/>
      <c r="M34" s="1"/>
      <c r="N34" s="1"/>
      <c r="O34" s="1"/>
    </row>
    <row r="35" spans="2:15" hidden="1" x14ac:dyDescent="0.25">
      <c r="B35" s="33">
        <v>14</v>
      </c>
      <c r="C35" s="30" t="s">
        <v>48</v>
      </c>
      <c r="D35" s="35" t="str">
        <f t="shared" si="0"/>
        <v>0</v>
      </c>
      <c r="E35" s="1" t="s">
        <v>69</v>
      </c>
      <c r="F35" s="1">
        <f t="shared" si="1"/>
        <v>5085</v>
      </c>
      <c r="G35" s="1"/>
      <c r="H35" s="1"/>
      <c r="I35" s="1"/>
      <c r="J35" s="1"/>
      <c r="K35" s="1"/>
      <c r="L35" s="1"/>
      <c r="M35" s="1"/>
      <c r="N35" s="1"/>
      <c r="O35" s="1"/>
    </row>
    <row r="36" spans="2:15" hidden="1" x14ac:dyDescent="0.25">
      <c r="B36" s="33">
        <v>15</v>
      </c>
      <c r="C36" s="30" t="s">
        <v>49</v>
      </c>
      <c r="D36" s="35" t="str">
        <f t="shared" si="0"/>
        <v>0</v>
      </c>
      <c r="E36" s="1" t="s">
        <v>70</v>
      </c>
      <c r="F36" s="1">
        <f t="shared" si="1"/>
        <v>5450</v>
      </c>
      <c r="G36" s="1"/>
      <c r="H36" s="1"/>
      <c r="I36" s="1"/>
      <c r="J36" s="1"/>
      <c r="K36" s="1"/>
      <c r="L36" s="1"/>
      <c r="M36" s="1"/>
      <c r="N36" s="1"/>
      <c r="O36" s="1"/>
    </row>
    <row r="37" spans="2:15" ht="15.75" hidden="1" thickBot="1" x14ac:dyDescent="0.3">
      <c r="B37" s="39"/>
      <c r="C37" s="40" t="s">
        <v>50</v>
      </c>
      <c r="D37" s="41">
        <f>D8/((1+$D$7)^(F37/365))</f>
        <v>269920522.15708423</v>
      </c>
      <c r="E37" s="1" t="s">
        <v>51</v>
      </c>
      <c r="F37" s="8">
        <f>D16</f>
        <v>4720</v>
      </c>
      <c r="G37" s="1"/>
      <c r="H37" s="1"/>
      <c r="I37" s="1"/>
      <c r="J37" s="1"/>
    </row>
    <row r="38" spans="2:15" ht="15.75" thickBot="1" x14ac:dyDescent="0.3">
      <c r="B38" s="75" t="s">
        <v>52</v>
      </c>
      <c r="C38" s="76"/>
      <c r="D38" s="44">
        <f>SUM(D22:D37)</f>
        <v>702131173.32291675</v>
      </c>
      <c r="E38" s="1"/>
      <c r="F38" s="1"/>
      <c r="G38" s="1"/>
      <c r="H38" s="1"/>
      <c r="I38" s="1"/>
      <c r="J38" s="1"/>
    </row>
    <row r="39" spans="2:15" ht="15.75" thickBot="1" x14ac:dyDescent="0.3">
      <c r="B39" s="71"/>
      <c r="C39" s="72"/>
      <c r="D39" s="73"/>
      <c r="E39" s="1"/>
      <c r="F39" s="1"/>
      <c r="G39" s="1"/>
      <c r="H39" s="1"/>
      <c r="I39" s="1"/>
      <c r="J39" s="1"/>
    </row>
    <row r="40" spans="2:15" ht="15.75" thickBot="1" x14ac:dyDescent="0.3">
      <c r="B40" s="75" t="s">
        <v>53</v>
      </c>
      <c r="C40" s="76"/>
      <c r="D40" s="45">
        <f>(D38/D8)*100</f>
        <v>70.213117332291674</v>
      </c>
      <c r="E40" s="1"/>
      <c r="F40" s="1"/>
      <c r="G40" s="1"/>
      <c r="H40" s="1"/>
      <c r="I40" s="1"/>
      <c r="J40" s="1"/>
    </row>
    <row r="41" spans="2:15" ht="15.75" thickBot="1" x14ac:dyDescent="0.3">
      <c r="B41" s="71"/>
      <c r="C41" s="72"/>
      <c r="D41" s="73"/>
      <c r="E41" s="1"/>
      <c r="F41" s="1"/>
      <c r="G41" s="1"/>
      <c r="H41" s="1"/>
      <c r="I41" s="1"/>
      <c r="J41" s="1"/>
    </row>
    <row r="42" spans="2:15" ht="15.75" thickBot="1" x14ac:dyDescent="0.3">
      <c r="B42" s="75" t="s">
        <v>54</v>
      </c>
      <c r="C42" s="76"/>
      <c r="D42" s="45">
        <f>D6*((365-F22)/365)*100</f>
        <v>0.42808219178082191</v>
      </c>
      <c r="E42" s="1"/>
      <c r="F42" s="1"/>
      <c r="G42" s="1"/>
      <c r="H42" s="1"/>
      <c r="I42" s="1"/>
      <c r="J42" s="1"/>
    </row>
    <row r="43" spans="2:15" ht="15.75" thickBot="1" x14ac:dyDescent="0.3">
      <c r="B43" s="71"/>
      <c r="C43" s="72"/>
      <c r="D43" s="73"/>
      <c r="E43" s="1"/>
      <c r="F43" s="1"/>
      <c r="G43" s="1"/>
      <c r="H43" s="1"/>
      <c r="I43" s="1"/>
      <c r="J43" s="1"/>
    </row>
    <row r="44" spans="2:15" ht="15.75" thickBot="1" x14ac:dyDescent="0.3">
      <c r="B44" s="75" t="s">
        <v>55</v>
      </c>
      <c r="C44" s="76"/>
      <c r="D44" s="45">
        <f>D40-D42</f>
        <v>69.785035140510857</v>
      </c>
      <c r="E44" s="1"/>
      <c r="F44" s="1"/>
      <c r="G44" s="1"/>
      <c r="H44" s="1"/>
      <c r="I44" s="1"/>
      <c r="J44" s="1"/>
    </row>
    <row r="45" spans="2:15" x14ac:dyDescent="0.25">
      <c r="B45" s="1"/>
      <c r="E45" s="1"/>
      <c r="F45" s="1"/>
      <c r="G45" s="1"/>
      <c r="H45" s="1"/>
      <c r="I45" s="1"/>
      <c r="J45" s="1"/>
    </row>
    <row r="46" spans="2:15" x14ac:dyDescent="0.25"/>
    <row r="47" spans="2:15" x14ac:dyDescent="0.25"/>
    <row r="48" spans="2:15" x14ac:dyDescent="0.25"/>
    <row r="49" customFormat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</sheetData>
  <mergeCells count="23">
    <mergeCell ref="B2:H2"/>
    <mergeCell ref="B44:C44"/>
    <mergeCell ref="B42:C42"/>
    <mergeCell ref="B40:C40"/>
    <mergeCell ref="B19:D19"/>
    <mergeCell ref="B21:D21"/>
    <mergeCell ref="B39:D39"/>
    <mergeCell ref="B41:D41"/>
    <mergeCell ref="B43:D43"/>
    <mergeCell ref="B17:D17"/>
    <mergeCell ref="B15:D15"/>
    <mergeCell ref="B16:C16"/>
    <mergeCell ref="B18:C18"/>
    <mergeCell ref="B20:C20"/>
    <mergeCell ref="B38:C38"/>
    <mergeCell ref="B10:B12"/>
    <mergeCell ref="B14:C14"/>
    <mergeCell ref="B5:C5"/>
    <mergeCell ref="B6:C6"/>
    <mergeCell ref="B7:C7"/>
    <mergeCell ref="B8:C8"/>
    <mergeCell ref="B9:D9"/>
    <mergeCell ref="B13:D13"/>
  </mergeCells>
  <conditionalFormatting sqref="I7">
    <cfRule type="containsText" dxfId="0" priority="1" operator="containsText" text="Bisiesto">
      <formula>NOT(ISERROR(SEARCH("Bisiesto",I7)))</formula>
    </cfRule>
  </conditionalFormatting>
  <dataValidations count="2">
    <dataValidation type="list" allowBlank="1" showInputMessage="1" showErrorMessage="1" sqref="D5" xr:uid="{5344E3A3-17BA-4AE2-8E23-358A43EB0827}">
      <formula1>$K$3:$K$14</formula1>
    </dataValidation>
    <dataValidation type="list" allowBlank="1" showInputMessage="1" showErrorMessage="1" sqref="D14" xr:uid="{F619FEB2-44C4-4BAC-9CBC-A6CE89D9F6FD}">
      <formula1>$Q$4:$Q$5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MODELO TES TASA FIJA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Usuario</cp:lastModifiedBy>
  <dcterms:created xsi:type="dcterms:W3CDTF">2021-04-08T22:02:59Z</dcterms:created>
  <dcterms:modified xsi:type="dcterms:W3CDTF">2023-08-22T04:14:41Z</dcterms:modified>
</cp:coreProperties>
</file>