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R.opt" sheetId="1" state="visible" r:id="rId2"/>
    <sheet name="Rendimentos" sheetId="2" state="visible" r:id="rId3"/>
    <sheet name="Bomba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<sst xmlns="http://schemas.openxmlformats.org/spreadsheetml/2006/main" count="229" uniqueCount="75">
  <si>
    <t>Condiçoes Iniciais</t>
  </si>
  <si>
    <t>R2</t>
  </si>
  <si>
    <t>ohms</t>
  </si>
  <si>
    <t>ta</t>
  </si>
  <si>
    <t>mantem-se</t>
  </si>
  <si>
    <t>tb</t>
  </si>
  <si>
    <t>T</t>
  </si>
  <si>
    <t>eT</t>
  </si>
  <si>
    <t>tc</t>
  </si>
  <si>
    <t>a</t>
  </si>
  <si>
    <t>V</t>
  </si>
  <si>
    <t>td</t>
  </si>
  <si>
    <t>b</t>
  </si>
  <si>
    <t>eV</t>
  </si>
  <si>
    <t>c</t>
  </si>
  <si>
    <t>I</t>
  </si>
  <si>
    <t>d</t>
  </si>
  <si>
    <t>eI</t>
  </si>
  <si>
    <t>Caudais</t>
  </si>
  <si>
    <t>V (dm^3)</t>
  </si>
  <si>
    <t>m (kg)</t>
  </si>
  <si>
    <t>e.m</t>
  </si>
  <si>
    <t>t</t>
  </si>
  <si>
    <t>e.t</t>
  </si>
  <si>
    <t>dm/dt</t>
  </si>
  <si>
    <t>e.caudal</t>
  </si>
  <si>
    <t>R_amp</t>
  </si>
  <si>
    <t>Iamp</t>
  </si>
  <si>
    <t>e_Ramp</t>
  </si>
  <si>
    <t>e_i.amp</t>
  </si>
  <si>
    <t>Vamp</t>
  </si>
  <si>
    <t>e_V.amp</t>
  </si>
  <si>
    <t>R_optima</t>
  </si>
  <si>
    <t>e.R_opt</t>
  </si>
  <si>
    <t>R.opt</t>
  </si>
  <si>
    <t>Sem R2 nem I2</t>
  </si>
  <si>
    <t>V1</t>
  </si>
  <si>
    <t>volts</t>
  </si>
  <si>
    <t>V2</t>
  </si>
  <si>
    <t>ta-tb</t>
  </si>
  <si>
    <t>7.5ºC</t>
  </si>
  <si>
    <t>V3</t>
  </si>
  <si>
    <t>V4</t>
  </si>
  <si>
    <t>P_cond</t>
  </si>
  <si>
    <t>R_term</t>
  </si>
  <si>
    <t>e.R_term</t>
  </si>
  <si>
    <t>utilizar</t>
  </si>
  <si>
    <t>.-&gt;</t>
  </si>
  <si>
    <t>P1</t>
  </si>
  <si>
    <t>e.P1</t>
  </si>
  <si>
    <t>P2</t>
  </si>
  <si>
    <t>e.P2</t>
  </si>
  <si>
    <t>P3</t>
  </si>
  <si>
    <t>e.P3</t>
  </si>
  <si>
    <t>P.diss</t>
  </si>
  <si>
    <t>e_P.diss</t>
  </si>
  <si>
    <t>rendimentos</t>
  </si>
  <si>
    <t>n1</t>
  </si>
  <si>
    <t>e.1</t>
  </si>
  <si>
    <t>n2</t>
  </si>
  <si>
    <t>e.2</t>
  </si>
  <si>
    <t>R.term</t>
  </si>
  <si>
    <t>e.r_t</t>
  </si>
  <si>
    <t>Pcond</t>
  </si>
  <si>
    <t>e.p_c</t>
  </si>
  <si>
    <t>n3</t>
  </si>
  <si>
    <t>e.3</t>
  </si>
  <si>
    <t>nc</t>
  </si>
  <si>
    <t>e.c</t>
  </si>
  <si>
    <t>I2</t>
  </si>
  <si>
    <t>amperes</t>
  </si>
  <si>
    <t>efi</t>
  </si>
  <si>
    <t>e.efi</t>
  </si>
  <si>
    <t>efi.carnot</t>
  </si>
  <si>
    <t>e_e.c</t>
  </si>
</sst>
</file>

<file path=xl/styles.xml><?xml version="1.0" encoding="utf-8"?>
<styleSheet xmlns="http://schemas.openxmlformats.org/spreadsheetml/2006/main">
  <numFmts count="8">
    <numFmt formatCode="GENERAL" numFmtId="164"/>
    <numFmt formatCode="GENERAL" numFmtId="165"/>
    <numFmt formatCode="0.0000" numFmtId="166"/>
    <numFmt formatCode="0.000" numFmtId="167"/>
    <numFmt formatCode="0.00E+00" numFmtId="168"/>
    <numFmt formatCode="0%" numFmtId="169"/>
    <numFmt formatCode="0.00%" numFmtId="170"/>
    <numFmt formatCode="0.00%" numFmtId="171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9">
      <alignment horizontal="general" indent="0" shrinkToFit="false" textRotation="0" vertical="bottom" wrapText="false"/>
      <protection hidden="false" locked="true"/>
    </xf>
  </cellStyleXfs>
  <cellXfs count="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6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7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7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3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6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8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0" numFmtId="170" xfId="19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21" activeCellId="0" pane="topLeft" sqref="K21"/>
    </sheetView>
  </sheetViews>
  <sheetFormatPr defaultRowHeight="15"/>
  <cols>
    <col collapsed="false" hidden="false" max="6" min="1" style="0" width="8.72959183673469"/>
    <col collapsed="false" hidden="false" max="8" min="7" style="0" width="9.70918367346939"/>
    <col collapsed="false" hidden="false" max="15" min="9" style="0" width="8.72959183673469"/>
    <col collapsed="false" hidden="false" max="16" min="16" style="0" width="10"/>
    <col collapsed="false" hidden="false" max="17" min="17" style="0" width="9.4234693877551"/>
    <col collapsed="false" hidden="false" max="1025" min="18" style="0" width="8.72959183673469"/>
  </cols>
  <sheetData>
    <row collapsed="false" customFormat="false" customHeight="false" hidden="false" ht="15" outlineLevel="0"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collapsed="false" customFormat="false" customHeight="false" hidden="false" ht="15" outlineLevel="0"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0" t="s">
        <v>0</v>
      </c>
    </row>
    <row collapsed="false" customFormat="false" customHeight="false" hidden="false" ht="15" outlineLevel="0" r="3">
      <c r="A3" s="1"/>
      <c r="B3" s="1" t="s">
        <v>1</v>
      </c>
      <c r="C3" s="1" t="n">
        <v>5</v>
      </c>
      <c r="D3" s="1" t="s">
        <v>2</v>
      </c>
      <c r="E3" s="1"/>
      <c r="F3" s="1"/>
      <c r="G3" s="1"/>
      <c r="H3" s="1"/>
      <c r="I3" s="1"/>
      <c r="J3" s="1"/>
      <c r="K3" s="1" t="s">
        <v>1</v>
      </c>
      <c r="L3" s="1" t="n">
        <v>2</v>
      </c>
      <c r="M3" s="1" t="s">
        <v>2</v>
      </c>
      <c r="N3" s="1"/>
      <c r="O3" s="1"/>
      <c r="P3" s="1"/>
      <c r="Q3" s="1"/>
      <c r="R3" s="1"/>
      <c r="T3" s="0" t="s">
        <v>3</v>
      </c>
      <c r="U3" s="0" t="s">
        <v>4</v>
      </c>
    </row>
    <row collapsed="false" customFormat="false" customHeight="false" hidden="false" ht="15" outlineLevel="0"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s="0" t="s">
        <v>5</v>
      </c>
      <c r="U4" s="2" t="n">
        <f aca="false">20.019-19.941</f>
        <v>0.0779999999999994</v>
      </c>
    </row>
    <row collapsed="false" customFormat="false" customHeight="false" hidden="false" ht="15" outlineLevel="0" r="5">
      <c r="A5" s="1"/>
      <c r="B5" s="3"/>
      <c r="C5" s="4" t="s">
        <v>6</v>
      </c>
      <c r="D5" s="4" t="s">
        <v>7</v>
      </c>
      <c r="E5" s="1"/>
      <c r="F5" s="3"/>
      <c r="G5" s="4" t="n">
        <v>1</v>
      </c>
      <c r="H5" s="4" t="n">
        <v>2</v>
      </c>
      <c r="I5" s="1"/>
      <c r="J5" s="1"/>
      <c r="K5" s="3"/>
      <c r="L5" s="4" t="s">
        <v>6</v>
      </c>
      <c r="M5" s="4" t="s">
        <v>7</v>
      </c>
      <c r="N5" s="1"/>
      <c r="O5" s="3"/>
      <c r="P5" s="4" t="n">
        <v>1</v>
      </c>
      <c r="Q5" s="4" t="n">
        <v>2</v>
      </c>
      <c r="R5" s="1"/>
      <c r="T5" s="0" t="s">
        <v>8</v>
      </c>
      <c r="U5" s="2" t="n">
        <f aca="false">20.019-20.046</f>
        <v>-0.027000000000001</v>
      </c>
    </row>
    <row collapsed="false" customFormat="false" customHeight="false" hidden="false" ht="15" outlineLevel="0" r="6">
      <c r="A6" s="1"/>
      <c r="B6" s="4" t="s">
        <v>9</v>
      </c>
      <c r="C6" s="4" t="n">
        <v>44.834</v>
      </c>
      <c r="D6" s="4" t="n">
        <v>0.005</v>
      </c>
      <c r="E6" s="1"/>
      <c r="F6" s="4" t="s">
        <v>10</v>
      </c>
      <c r="G6" s="5" t="n">
        <v>10.54</v>
      </c>
      <c r="H6" s="5" t="n">
        <v>0.35</v>
      </c>
      <c r="I6" s="1"/>
      <c r="J6" s="1"/>
      <c r="K6" s="4" t="s">
        <v>9</v>
      </c>
      <c r="L6" s="6" t="n">
        <v>44.068</v>
      </c>
      <c r="M6" s="4" t="n">
        <f aca="false">D6</f>
        <v>0.005</v>
      </c>
      <c r="N6" s="1"/>
      <c r="O6" s="4" t="s">
        <v>10</v>
      </c>
      <c r="P6" s="5" t="n">
        <v>10.53</v>
      </c>
      <c r="Q6" s="5" t="n">
        <v>0.221</v>
      </c>
      <c r="R6" s="1"/>
      <c r="T6" s="0" t="s">
        <v>11</v>
      </c>
      <c r="U6" s="2" t="n">
        <f aca="false">20.019-20.19</f>
        <v>-0.171000000000003</v>
      </c>
    </row>
    <row collapsed="false" customFormat="false" customHeight="false" hidden="false" ht="15" outlineLevel="0" r="7">
      <c r="A7" s="1"/>
      <c r="B7" s="4" t="s">
        <v>12</v>
      </c>
      <c r="C7" s="4" t="n">
        <f aca="false">29.324+U4</f>
        <v>29.402</v>
      </c>
      <c r="D7" s="4" t="n">
        <v>0.005</v>
      </c>
      <c r="E7" s="1"/>
      <c r="F7" s="4" t="s">
        <v>13</v>
      </c>
      <c r="G7" s="5" t="n">
        <v>0.01</v>
      </c>
      <c r="H7" s="5" t="n">
        <v>0.001</v>
      </c>
      <c r="I7" s="1"/>
      <c r="J7" s="1"/>
      <c r="K7" s="4" t="s">
        <v>12</v>
      </c>
      <c r="L7" s="6" t="n">
        <f aca="false">U4+29.345</f>
        <v>29.423</v>
      </c>
      <c r="M7" s="4" t="n">
        <f aca="false">D7</f>
        <v>0.005</v>
      </c>
      <c r="N7" s="1"/>
      <c r="O7" s="4" t="s">
        <v>13</v>
      </c>
      <c r="P7" s="5" t="n">
        <v>0.01</v>
      </c>
      <c r="Q7" s="5" t="n">
        <v>0.001</v>
      </c>
      <c r="R7" s="1"/>
    </row>
    <row collapsed="false" customFormat="false" customHeight="false" hidden="false" ht="15" outlineLevel="0" r="8">
      <c r="A8" s="1"/>
      <c r="B8" s="4" t="s">
        <v>14</v>
      </c>
      <c r="C8" s="4" t="n">
        <f aca="false">U5+21.391</f>
        <v>21.364</v>
      </c>
      <c r="D8" s="4" t="n">
        <v>0.005</v>
      </c>
      <c r="E8" s="1"/>
      <c r="F8" s="4" t="s">
        <v>15</v>
      </c>
      <c r="G8" s="5" t="n">
        <v>0.525</v>
      </c>
      <c r="H8" s="5" t="n">
        <v>0.0661</v>
      </c>
      <c r="I8" s="1"/>
      <c r="J8" s="1"/>
      <c r="K8" s="4" t="s">
        <v>14</v>
      </c>
      <c r="L8" s="6" t="n">
        <f aca="false">21.35+U5</f>
        <v>21.323</v>
      </c>
      <c r="M8" s="4" t="n">
        <f aca="false">D8</f>
        <v>0.005</v>
      </c>
      <c r="N8" s="1"/>
      <c r="O8" s="4" t="s">
        <v>15</v>
      </c>
      <c r="P8" s="5" t="n">
        <v>0.525</v>
      </c>
      <c r="Q8" s="5" t="n">
        <f aca="false">87.4*0.001</f>
        <v>0.0874</v>
      </c>
      <c r="R8" s="1"/>
    </row>
    <row collapsed="false" customFormat="false" customHeight="false" hidden="false" ht="15" outlineLevel="0" r="9">
      <c r="A9" s="1"/>
      <c r="B9" s="4" t="s">
        <v>16</v>
      </c>
      <c r="C9" s="4" t="n">
        <f aca="false">19.961+U6</f>
        <v>19.79</v>
      </c>
      <c r="D9" s="4" t="n">
        <v>0.005</v>
      </c>
      <c r="E9" s="1"/>
      <c r="F9" s="4" t="s">
        <v>17</v>
      </c>
      <c r="G9" s="5" t="n">
        <v>0.001</v>
      </c>
      <c r="H9" s="5" t="n">
        <v>0.0001</v>
      </c>
      <c r="I9" s="1"/>
      <c r="J9" s="1"/>
      <c r="K9" s="4" t="s">
        <v>16</v>
      </c>
      <c r="L9" s="4" t="n">
        <f aca="false">19.733+U6</f>
        <v>19.562</v>
      </c>
      <c r="M9" s="4" t="n">
        <f aca="false">D9</f>
        <v>0.005</v>
      </c>
      <c r="N9" s="1"/>
      <c r="O9" s="4" t="s">
        <v>17</v>
      </c>
      <c r="P9" s="5" t="n">
        <v>0.001</v>
      </c>
      <c r="Q9" s="5" t="n">
        <v>0.0001</v>
      </c>
      <c r="R9" s="1"/>
    </row>
    <row collapsed="false" customFormat="false" customHeight="false" hidden="false" ht="15" outlineLevel="0"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collapsed="false" customFormat="false" customHeight="false" hidden="false" ht="15" outlineLevel="0"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7"/>
      <c r="Q11" s="7"/>
      <c r="R11" s="7"/>
      <c r="S11" s="8"/>
      <c r="T11" s="8"/>
    </row>
    <row collapsed="false" customFormat="false" customHeight="false" hidden="false" ht="15.75" outlineLevel="0" r="12">
      <c r="A12" s="1"/>
      <c r="B12" s="1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9"/>
      <c r="Q12" s="7" t="n">
        <v>1</v>
      </c>
      <c r="R12" s="7"/>
      <c r="S12" s="7"/>
      <c r="T12" s="8"/>
    </row>
    <row collapsed="false" customFormat="false" customHeight="false" hidden="false" ht="15.75" outlineLevel="0" r="13">
      <c r="A13" s="1"/>
      <c r="B13" s="1" t="s">
        <v>19</v>
      </c>
      <c r="C13" s="1" t="s">
        <v>13</v>
      </c>
      <c r="D13" s="1" t="s">
        <v>20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25</v>
      </c>
      <c r="J13" s="1"/>
      <c r="K13" s="1"/>
      <c r="L13" s="1"/>
      <c r="M13" s="1" t="s">
        <v>26</v>
      </c>
      <c r="N13" s="10" t="n">
        <f aca="false">Q15/Q13</f>
        <v>0.211800302571861</v>
      </c>
      <c r="O13" s="1"/>
      <c r="P13" s="9" t="s">
        <v>27</v>
      </c>
      <c r="Q13" s="7" t="n">
        <f aca="false">H8</f>
        <v>0.0661</v>
      </c>
      <c r="R13" s="7"/>
      <c r="S13" s="7"/>
      <c r="T13" s="8"/>
    </row>
    <row collapsed="false" customFormat="false" customHeight="false" hidden="false" ht="15.75" outlineLevel="0" r="14">
      <c r="A14" s="1" t="n">
        <v>1</v>
      </c>
      <c r="B14" s="1" t="n">
        <v>0.06</v>
      </c>
      <c r="C14" s="1" t="n">
        <v>0.003</v>
      </c>
      <c r="D14" s="1" t="n">
        <f aca="false">B14</f>
        <v>0.06</v>
      </c>
      <c r="E14" s="1" t="n">
        <f aca="false">C14</f>
        <v>0.003</v>
      </c>
      <c r="F14" s="1" t="n">
        <v>85.92</v>
      </c>
      <c r="G14" s="1" t="n">
        <v>0.3</v>
      </c>
      <c r="H14" s="1" t="n">
        <f aca="false">D14/F14</f>
        <v>0.000698324022346369</v>
      </c>
      <c r="I14" s="1" t="n">
        <f aca="false">E14*H14/D14+G14*H14/F14</f>
        <v>3.73544833182485E-005</v>
      </c>
      <c r="J14" s="1"/>
      <c r="K14" s="1"/>
      <c r="L14" s="1"/>
      <c r="M14" s="1" t="s">
        <v>28</v>
      </c>
      <c r="N14" s="10" t="n">
        <f aca="false">Q16/Q13+Q14*Q15/(Q13*Q13)</f>
        <v>0.015449017099201</v>
      </c>
      <c r="O14" s="1"/>
      <c r="P14" s="9" t="s">
        <v>29</v>
      </c>
      <c r="Q14" s="7" t="n">
        <f aca="false">H9</f>
        <v>0.0001</v>
      </c>
      <c r="R14" s="7"/>
      <c r="S14" s="7"/>
      <c r="T14" s="8"/>
    </row>
    <row collapsed="false" customFormat="false" customHeight="false" hidden="false" ht="15" outlineLevel="0" r="15">
      <c r="A15" s="1" t="n">
        <v>2</v>
      </c>
      <c r="B15" s="1" t="n">
        <v>0.06</v>
      </c>
      <c r="C15" s="1" t="n">
        <v>0.003</v>
      </c>
      <c r="D15" s="1" t="n">
        <f aca="false">B15</f>
        <v>0.06</v>
      </c>
      <c r="E15" s="1" t="n">
        <f aca="false">C15</f>
        <v>0.003</v>
      </c>
      <c r="F15" s="1" t="n">
        <v>87.42</v>
      </c>
      <c r="G15" s="1" t="n">
        <v>0.3</v>
      </c>
      <c r="H15" s="1" t="n">
        <f aca="false">D15/F15</f>
        <v>0.000686341798215511</v>
      </c>
      <c r="I15" s="1" t="n">
        <f aca="false">E15*H15/D15+G15*H15/F15</f>
        <v>3.66724152306641E-005</v>
      </c>
      <c r="J15" s="1"/>
      <c r="K15" s="1"/>
      <c r="L15" s="1"/>
      <c r="M15" s="1"/>
      <c r="N15" s="1"/>
      <c r="O15" s="1"/>
      <c r="P15" s="9" t="s">
        <v>30</v>
      </c>
      <c r="Q15" s="7" t="n">
        <v>0.014</v>
      </c>
      <c r="R15" s="7"/>
      <c r="S15" s="7"/>
      <c r="T15" s="8"/>
    </row>
    <row collapsed="false" customFormat="false" customHeight="false" hidden="false" ht="15" outlineLevel="0"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7" t="s">
        <v>31</v>
      </c>
      <c r="Q16" s="7" t="n">
        <v>0.001</v>
      </c>
      <c r="R16" s="7"/>
      <c r="S16" s="8"/>
      <c r="T16" s="8"/>
    </row>
    <row collapsed="false" customFormat="false" customHeight="false" hidden="false" ht="15.75" outlineLevel="0"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7"/>
      <c r="Q17" s="7"/>
      <c r="R17" s="7"/>
      <c r="S17" s="8"/>
      <c r="T17" s="8"/>
    </row>
    <row collapsed="false" customFormat="false" customHeight="false" hidden="false" ht="15.75" outlineLevel="0" r="18">
      <c r="A18" s="11"/>
      <c r="B18" s="12"/>
      <c r="C18" s="12"/>
      <c r="D18" s="1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7"/>
      <c r="Q18" s="7"/>
      <c r="R18" s="7"/>
      <c r="S18" s="8"/>
      <c r="T18" s="8"/>
    </row>
    <row collapsed="false" customFormat="false" customHeight="false" hidden="false" ht="15.75" outlineLevel="0" r="19">
      <c r="A19" s="14"/>
      <c r="B19" s="15" t="s">
        <v>32</v>
      </c>
      <c r="C19" s="10" t="n">
        <f aca="false">(5*H8-2*Q8)/(Q8-H8)-2*N13</f>
        <v>6.88625854978586</v>
      </c>
      <c r="D19" s="1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7"/>
      <c r="Q19" s="7"/>
      <c r="R19" s="7"/>
      <c r="S19" s="8"/>
      <c r="T19" s="8"/>
    </row>
    <row collapsed="false" customFormat="false" customHeight="false" hidden="false" ht="15.75" outlineLevel="0" r="20">
      <c r="A20" s="14"/>
      <c r="B20" s="17" t="s">
        <v>33</v>
      </c>
      <c r="C20" s="18" t="n">
        <f aca="false">((H9*(5*H8*H8-10*H8*Q8+Q8*Q8))+(Q9*4*Q8))/((H8-Q8)^2)+2*N14</f>
        <v>0.101720271849662</v>
      </c>
      <c r="D20" s="1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collapsed="false" customFormat="false" customHeight="false" hidden="false" ht="15.75" outlineLevel="0" r="21">
      <c r="A21" s="17"/>
      <c r="B21" s="19"/>
      <c r="C21" s="19"/>
      <c r="D21" s="2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2"/>
  <sheetViews>
    <sheetView colorId="64" defaultGridColor="true" rightToLeft="false" showFormulas="false" showGridLines="true" showOutlineSymbols="true" showRowColHeaders="true" showZeros="true" tabSelected="true" topLeftCell="A20" view="normal" windowProtection="false" workbookViewId="0" zoomScale="100" zoomScaleNormal="100" zoomScalePageLayoutView="100">
      <selection activeCell="F43" activeCellId="0" pane="topLeft" sqref="F43"/>
    </sheetView>
  </sheetViews>
  <sheetFormatPr defaultRowHeight="15"/>
  <cols>
    <col collapsed="false" hidden="false" max="1025" min="1" style="0" width="8.72959183673469"/>
  </cols>
  <sheetData>
    <row collapsed="false" customFormat="false" customHeight="false" hidden="false" ht="15" outlineLevel="0" r="1">
      <c r="A1" s="1"/>
      <c r="B1" s="1"/>
      <c r="C1" s="1"/>
      <c r="D1" s="1"/>
      <c r="E1" s="1"/>
      <c r="F1" s="1" t="s">
        <v>3</v>
      </c>
      <c r="G1" s="1" t="s">
        <v>5</v>
      </c>
      <c r="H1" s="1" t="s">
        <v>8</v>
      </c>
      <c r="I1" s="1" t="s">
        <v>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collapsed="false" customFormat="false" customHeight="false" hidden="false" ht="15" outlineLevel="0" r="2">
      <c r="A2" s="1"/>
      <c r="B2" s="1" t="s">
        <v>34</v>
      </c>
      <c r="C2" s="1" t="n">
        <f aca="false">'R.opt'!C19</f>
        <v>6.88625854978586</v>
      </c>
      <c r="D2" s="1"/>
      <c r="E2" s="1"/>
      <c r="F2" s="1" t="n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35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collapsed="false" customFormat="false" customHeight="false" hidden="false" ht="15" outlineLevel="0" r="3">
      <c r="A3" s="1"/>
      <c r="B3" s="1" t="s">
        <v>33</v>
      </c>
      <c r="C3" s="1" t="n">
        <f aca="false">'R.opt'!C20</f>
        <v>0.101720271849662</v>
      </c>
      <c r="D3" s="1"/>
      <c r="E3" s="1"/>
      <c r="F3" s="1" t="n">
        <f aca="false">'R.opt'!U4</f>
        <v>0.0779999999999994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collapsed="false" customFormat="false" customHeight="false" hidden="false" ht="15" outlineLevel="0" r="4">
      <c r="A4" s="1"/>
      <c r="B4" s="1"/>
      <c r="C4" s="1"/>
      <c r="D4" s="1"/>
      <c r="E4" s="1"/>
      <c r="F4" s="1" t="n">
        <f aca="false">'R.opt'!U5</f>
        <v>-0.027000000000001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collapsed="false" customFormat="false" customHeight="false" hidden="false" ht="15" outlineLevel="0" r="5">
      <c r="A5" s="1"/>
      <c r="B5" s="1" t="s">
        <v>36</v>
      </c>
      <c r="C5" s="1" t="n">
        <v>7</v>
      </c>
      <c r="D5" s="1" t="s">
        <v>37</v>
      </c>
      <c r="E5" s="1"/>
      <c r="F5" s="1" t="n">
        <f aca="false">'R.opt'!U6</f>
        <v>-0.171000000000003</v>
      </c>
      <c r="G5" s="1"/>
      <c r="H5" s="1"/>
      <c r="I5" s="1"/>
      <c r="J5" s="1" t="s">
        <v>38</v>
      </c>
      <c r="K5" s="1" t="n">
        <v>10</v>
      </c>
      <c r="L5" s="1" t="s">
        <v>37</v>
      </c>
      <c r="M5" s="1"/>
      <c r="N5" s="1"/>
      <c r="O5" s="1"/>
      <c r="P5" s="1"/>
      <c r="Q5" s="1"/>
      <c r="R5" s="1"/>
      <c r="S5" s="1"/>
      <c r="T5" s="1" t="s">
        <v>36</v>
      </c>
      <c r="U5" s="1" t="n">
        <v>7</v>
      </c>
      <c r="V5" s="1" t="s">
        <v>37</v>
      </c>
      <c r="W5" s="1"/>
      <c r="X5" s="1"/>
      <c r="Y5" s="1"/>
      <c r="Z5" s="1"/>
      <c r="AA5" s="1"/>
      <c r="AB5" s="1" t="s">
        <v>39</v>
      </c>
      <c r="AC5" s="1" t="s">
        <v>40</v>
      </c>
      <c r="AD5" s="1"/>
      <c r="AE5" s="1"/>
      <c r="AF5" s="1"/>
      <c r="AG5" s="1"/>
      <c r="AH5" s="1"/>
      <c r="AI5" s="1"/>
      <c r="AJ5" s="1"/>
    </row>
    <row collapsed="false" customFormat="false" customHeight="false" hidden="false" ht="15" outlineLevel="0"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collapsed="false" customFormat="false" customHeight="false" hidden="false" ht="15" outlineLevel="0" r="7">
      <c r="A7" s="1"/>
      <c r="B7" s="4"/>
      <c r="C7" s="4" t="s">
        <v>6</v>
      </c>
      <c r="D7" s="4" t="s">
        <v>7</v>
      </c>
      <c r="E7" s="1"/>
      <c r="F7" s="4"/>
      <c r="G7" s="4" t="n">
        <v>1</v>
      </c>
      <c r="H7" s="4" t="n">
        <v>2</v>
      </c>
      <c r="I7" s="1"/>
      <c r="J7" s="4"/>
      <c r="K7" s="4" t="s">
        <v>6</v>
      </c>
      <c r="L7" s="4" t="s">
        <v>7</v>
      </c>
      <c r="M7" s="1"/>
      <c r="N7" s="4"/>
      <c r="O7" s="4" t="n">
        <v>1</v>
      </c>
      <c r="P7" s="4" t="n">
        <v>2</v>
      </c>
      <c r="Q7" s="1"/>
      <c r="R7" s="1"/>
      <c r="S7" s="1"/>
      <c r="T7" s="4"/>
      <c r="U7" s="4" t="s">
        <v>6</v>
      </c>
      <c r="V7" s="4" t="s">
        <v>7</v>
      </c>
      <c r="W7" s="1"/>
      <c r="X7" s="4"/>
      <c r="Y7" s="4" t="n">
        <v>1</v>
      </c>
      <c r="Z7" s="4" t="n">
        <v>2</v>
      </c>
      <c r="AA7" s="1"/>
      <c r="AB7" s="4"/>
      <c r="AC7" s="4" t="s">
        <v>6</v>
      </c>
      <c r="AD7" s="4" t="s">
        <v>7</v>
      </c>
      <c r="AE7" s="1"/>
      <c r="AF7" s="4"/>
      <c r="AG7" s="4" t="n">
        <v>1</v>
      </c>
      <c r="AH7" s="4" t="n">
        <v>2</v>
      </c>
      <c r="AI7" s="1"/>
      <c r="AJ7" s="1"/>
    </row>
    <row collapsed="false" customFormat="false" customHeight="false" hidden="false" ht="15" outlineLevel="0" r="8">
      <c r="A8" s="1"/>
      <c r="B8" s="4" t="s">
        <v>9</v>
      </c>
      <c r="C8" s="2" t="n">
        <f aca="false">E8+F2</f>
        <v>32.957</v>
      </c>
      <c r="D8" s="4" t="n">
        <f aca="false">L8</f>
        <v>0.001</v>
      </c>
      <c r="E8" s="4" t="n">
        <f aca="false">32.957+F2</f>
        <v>32.957</v>
      </c>
      <c r="F8" s="4" t="s">
        <v>10</v>
      </c>
      <c r="G8" s="5" t="n">
        <v>7.17</v>
      </c>
      <c r="H8" s="5" t="n">
        <v>0.194</v>
      </c>
      <c r="I8" s="1"/>
      <c r="J8" s="4" t="s">
        <v>9</v>
      </c>
      <c r="K8" s="4" t="n">
        <f aca="false">M8+F2</f>
        <v>45.813</v>
      </c>
      <c r="L8" s="4" t="n">
        <v>0.001</v>
      </c>
      <c r="M8" s="4" t="n">
        <v>45.813</v>
      </c>
      <c r="N8" s="4" t="s">
        <v>10</v>
      </c>
      <c r="O8" s="5" t="n">
        <v>10.55</v>
      </c>
      <c r="P8" s="5" t="n">
        <v>0.41</v>
      </c>
      <c r="Q8" s="1"/>
      <c r="R8" s="1"/>
      <c r="S8" s="1"/>
      <c r="T8" s="4" t="s">
        <v>9</v>
      </c>
      <c r="U8" s="4" t="n">
        <f aca="false">W8+F2</f>
        <v>33.285</v>
      </c>
      <c r="V8" s="4" t="n">
        <v>0.001</v>
      </c>
      <c r="W8" s="1" t="n">
        <v>33.285</v>
      </c>
      <c r="X8" s="4" t="s">
        <v>10</v>
      </c>
      <c r="Y8" s="4" t="n">
        <v>6.81</v>
      </c>
      <c r="Z8" s="4" t="n">
        <v>0</v>
      </c>
      <c r="AA8" s="1"/>
      <c r="AB8" s="4" t="s">
        <v>9</v>
      </c>
      <c r="AC8" s="4" t="n">
        <v>33.285</v>
      </c>
      <c r="AD8" s="4"/>
      <c r="AE8" s="1"/>
      <c r="AF8" s="4" t="s">
        <v>10</v>
      </c>
      <c r="AG8" s="4" t="n">
        <v>6.81</v>
      </c>
      <c r="AH8" s="4"/>
      <c r="AI8" s="1"/>
      <c r="AJ8" s="1"/>
    </row>
    <row collapsed="false" customFormat="false" customHeight="false" hidden="false" ht="15" outlineLevel="0" r="9">
      <c r="A9" s="1"/>
      <c r="B9" s="4" t="s">
        <v>12</v>
      </c>
      <c r="C9" s="2" t="n">
        <f aca="false">E9+F3</f>
        <v>25.43</v>
      </c>
      <c r="D9" s="4" t="n">
        <f aca="false">L9</f>
        <v>0.001</v>
      </c>
      <c r="E9" s="4" t="n">
        <v>25.352</v>
      </c>
      <c r="F9" s="4" t="s">
        <v>13</v>
      </c>
      <c r="G9" s="5" t="n">
        <f aca="false">O9</f>
        <v>0.01</v>
      </c>
      <c r="H9" s="5" t="n">
        <f aca="false">P9</f>
        <v>0.001</v>
      </c>
      <c r="I9" s="1"/>
      <c r="J9" s="4" t="s">
        <v>12</v>
      </c>
      <c r="K9" s="4" t="n">
        <f aca="false">M9+F3</f>
        <v>30.076</v>
      </c>
      <c r="L9" s="4" t="n">
        <v>0.001</v>
      </c>
      <c r="M9" s="4" t="n">
        <v>29.998</v>
      </c>
      <c r="N9" s="4" t="s">
        <v>13</v>
      </c>
      <c r="O9" s="5" t="n">
        <v>0.01</v>
      </c>
      <c r="P9" s="5" t="n">
        <v>0.001</v>
      </c>
      <c r="Q9" s="1"/>
      <c r="R9" s="1"/>
      <c r="S9" s="1"/>
      <c r="T9" s="4" t="s">
        <v>12</v>
      </c>
      <c r="U9" s="4" t="n">
        <f aca="false">W9+F3</f>
        <v>25.766</v>
      </c>
      <c r="V9" s="4" t="n">
        <v>0.001</v>
      </c>
      <c r="W9" s="1" t="n">
        <v>25.688</v>
      </c>
      <c r="X9" s="4" t="s">
        <v>13</v>
      </c>
      <c r="Y9" s="4" t="n">
        <v>0.01</v>
      </c>
      <c r="Z9" s="4" t="n">
        <v>0</v>
      </c>
      <c r="AA9" s="1"/>
      <c r="AB9" s="4" t="s">
        <v>12</v>
      </c>
      <c r="AC9" s="4" t="n">
        <v>25.688</v>
      </c>
      <c r="AD9" s="4"/>
      <c r="AE9" s="1"/>
      <c r="AF9" s="4" t="s">
        <v>13</v>
      </c>
      <c r="AG9" s="4"/>
      <c r="AH9" s="4"/>
      <c r="AI9" s="1"/>
      <c r="AJ9" s="1"/>
    </row>
    <row collapsed="false" customFormat="false" customHeight="false" hidden="false" ht="15" outlineLevel="0" r="10">
      <c r="A10" s="1"/>
      <c r="B10" s="4" t="s">
        <v>14</v>
      </c>
      <c r="C10" s="2" t="n">
        <f aca="false">E10+F4</f>
        <v>21.336</v>
      </c>
      <c r="D10" s="4" t="n">
        <f aca="false">L10</f>
        <v>0.001</v>
      </c>
      <c r="E10" s="4" t="n">
        <v>21.363</v>
      </c>
      <c r="F10" s="4" t="s">
        <v>15</v>
      </c>
      <c r="G10" s="5" t="n">
        <v>0.358</v>
      </c>
      <c r="H10" s="5" t="n">
        <f aca="false">26.5*0.001</f>
        <v>0.0265</v>
      </c>
      <c r="I10" s="1"/>
      <c r="J10" s="4" t="s">
        <v>14</v>
      </c>
      <c r="K10" s="4" t="n">
        <f aca="false">M10+F4</f>
        <v>21.874</v>
      </c>
      <c r="L10" s="4" t="n">
        <v>0.001</v>
      </c>
      <c r="M10" s="4" t="n">
        <v>21.901</v>
      </c>
      <c r="N10" s="4" t="s">
        <v>15</v>
      </c>
      <c r="O10" s="5" t="n">
        <v>0.526</v>
      </c>
      <c r="P10" s="5" t="n">
        <f aca="false">56*0.001</f>
        <v>0.056</v>
      </c>
      <c r="Q10" s="1"/>
      <c r="R10" s="1"/>
      <c r="S10" s="1"/>
      <c r="T10" s="4" t="s">
        <v>14</v>
      </c>
      <c r="U10" s="4" t="n">
        <f aca="false">W10+F4</f>
        <v>22.204</v>
      </c>
      <c r="V10" s="4" t="n">
        <v>0.001</v>
      </c>
      <c r="W10" s="1" t="n">
        <v>22.231</v>
      </c>
      <c r="X10" s="4" t="s">
        <v>15</v>
      </c>
      <c r="Y10" s="4" t="n">
        <v>0.339</v>
      </c>
      <c r="Z10" s="4" t="n">
        <v>0</v>
      </c>
      <c r="AA10" s="1"/>
      <c r="AB10" s="4" t="s">
        <v>14</v>
      </c>
      <c r="AC10" s="4" t="n">
        <v>22.231</v>
      </c>
      <c r="AD10" s="4"/>
      <c r="AE10" s="1"/>
      <c r="AF10" s="4" t="s">
        <v>15</v>
      </c>
      <c r="AG10" s="4"/>
      <c r="AH10" s="4"/>
      <c r="AI10" s="1"/>
      <c r="AJ10" s="1"/>
    </row>
    <row collapsed="false" customFormat="false" customHeight="false" hidden="false" ht="15" outlineLevel="0" r="11">
      <c r="A11" s="1"/>
      <c r="B11" s="4" t="s">
        <v>16</v>
      </c>
      <c r="C11" s="2" t="n">
        <f aca="false">E11+F5</f>
        <v>20.567</v>
      </c>
      <c r="D11" s="4" t="n">
        <f aca="false">L11</f>
        <v>0.001</v>
      </c>
      <c r="E11" s="4" t="n">
        <v>20.738</v>
      </c>
      <c r="F11" s="4" t="s">
        <v>17</v>
      </c>
      <c r="G11" s="5" t="n">
        <f aca="false">O11</f>
        <v>0.001</v>
      </c>
      <c r="H11" s="5" t="n">
        <f aca="false">P11</f>
        <v>0.0001</v>
      </c>
      <c r="I11" s="1"/>
      <c r="J11" s="4" t="s">
        <v>16</v>
      </c>
      <c r="K11" s="4" t="n">
        <f aca="false">M11+F5</f>
        <v>20.387</v>
      </c>
      <c r="L11" s="4" t="n">
        <v>0.001</v>
      </c>
      <c r="M11" s="4" t="n">
        <v>20.558</v>
      </c>
      <c r="N11" s="4" t="s">
        <v>17</v>
      </c>
      <c r="O11" s="5" t="n">
        <v>0.001</v>
      </c>
      <c r="P11" s="5" t="n">
        <v>0.0001</v>
      </c>
      <c r="Q11" s="1"/>
      <c r="R11" s="1"/>
      <c r="S11" s="1"/>
      <c r="T11" s="4" t="s">
        <v>16</v>
      </c>
      <c r="U11" s="4" t="n">
        <f aca="false">W11+F5</f>
        <v>21.579</v>
      </c>
      <c r="V11" s="4" t="n">
        <v>0.001</v>
      </c>
      <c r="W11" s="1" t="n">
        <v>21.75</v>
      </c>
      <c r="X11" s="4" t="s">
        <v>17</v>
      </c>
      <c r="Y11" s="4" t="n">
        <v>0.001</v>
      </c>
      <c r="Z11" s="4" t="n">
        <v>0</v>
      </c>
      <c r="AA11" s="1"/>
      <c r="AB11" s="4" t="s">
        <v>16</v>
      </c>
      <c r="AC11" s="4" t="n">
        <v>21.75</v>
      </c>
      <c r="AD11" s="4"/>
      <c r="AE11" s="1"/>
      <c r="AF11" s="4" t="s">
        <v>17</v>
      </c>
      <c r="AG11" s="4"/>
      <c r="AH11" s="4"/>
      <c r="AI11" s="1"/>
      <c r="AJ11" s="1"/>
    </row>
    <row collapsed="false" customFormat="false" customHeight="false" hidden="false" ht="15" outlineLevel="0"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collapsed="false" customFormat="false" customHeight="false" hidden="false" ht="15" outlineLevel="0"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collapsed="false" customFormat="false" customHeight="false" hidden="false" ht="15" outlineLevel="0" r="14">
      <c r="A14" s="1"/>
      <c r="B14" s="1" t="s">
        <v>41</v>
      </c>
      <c r="C14" s="1" t="n">
        <v>13</v>
      </c>
      <c r="D14" s="1" t="s">
        <v>37</v>
      </c>
      <c r="E14" s="1"/>
      <c r="F14" s="1"/>
      <c r="G14" s="1"/>
      <c r="H14" s="1"/>
      <c r="I14" s="1"/>
      <c r="J14" s="1" t="s">
        <v>42</v>
      </c>
      <c r="K14" s="1" t="n">
        <v>16</v>
      </c>
      <c r="L14" s="1" t="s">
        <v>37</v>
      </c>
      <c r="M14" s="1"/>
      <c r="N14" s="1"/>
      <c r="O14" s="1"/>
      <c r="P14" s="1"/>
      <c r="Q14" s="1"/>
      <c r="R14" s="1"/>
      <c r="S14" s="1"/>
      <c r="T14" s="1" t="s">
        <v>41</v>
      </c>
      <c r="U14" s="1" t="n">
        <v>16</v>
      </c>
      <c r="V14" s="1" t="s">
        <v>37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collapsed="false" customFormat="false" customHeight="false" hidden="false" ht="15" outlineLevel="0"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collapsed="false" customFormat="false" customHeight="false" hidden="false" ht="15" outlineLevel="0" r="16">
      <c r="A16" s="1"/>
      <c r="B16" s="4"/>
      <c r="C16" s="4" t="s">
        <v>6</v>
      </c>
      <c r="D16" s="4" t="s">
        <v>7</v>
      </c>
      <c r="E16" s="1"/>
      <c r="F16" s="4"/>
      <c r="G16" s="4" t="n">
        <v>1</v>
      </c>
      <c r="H16" s="4" t="n">
        <v>2</v>
      </c>
      <c r="I16" s="1"/>
      <c r="J16" s="4"/>
      <c r="K16" s="4" t="s">
        <v>6</v>
      </c>
      <c r="L16" s="4" t="s">
        <v>7</v>
      </c>
      <c r="M16" s="1"/>
      <c r="N16" s="4"/>
      <c r="O16" s="4" t="n">
        <v>1</v>
      </c>
      <c r="P16" s="4" t="n">
        <v>2</v>
      </c>
      <c r="Q16" s="1"/>
      <c r="R16" s="1"/>
      <c r="S16" s="1"/>
      <c r="T16" s="4"/>
      <c r="U16" s="4" t="s">
        <v>6</v>
      </c>
      <c r="V16" s="4" t="s">
        <v>7</v>
      </c>
      <c r="W16" s="1"/>
      <c r="X16" s="4"/>
      <c r="Y16" s="4" t="n">
        <v>1</v>
      </c>
      <c r="Z16" s="4" t="n">
        <v>2</v>
      </c>
      <c r="AA16" s="1"/>
      <c r="AB16" s="1"/>
      <c r="AC16" s="1" t="s">
        <v>43</v>
      </c>
      <c r="AD16" s="1" t="n">
        <f aca="false">AJ22*4186*(AC10-AC11)</f>
        <v>1.3647532760958</v>
      </c>
      <c r="AE16" s="1"/>
      <c r="AF16" s="1"/>
      <c r="AG16" s="1"/>
      <c r="AH16" s="1"/>
      <c r="AI16" s="1"/>
      <c r="AJ16" s="1"/>
    </row>
    <row collapsed="false" customFormat="false" customHeight="false" hidden="false" ht="15" outlineLevel="0" r="17">
      <c r="A17" s="1"/>
      <c r="B17" s="4" t="s">
        <v>9</v>
      </c>
      <c r="C17" s="4" t="n">
        <f aca="false">E17+F2</f>
        <v>59.094</v>
      </c>
      <c r="D17" s="4" t="n">
        <f aca="false">D8</f>
        <v>0.001</v>
      </c>
      <c r="E17" s="4" t="n">
        <v>59.094</v>
      </c>
      <c r="F17" s="4" t="s">
        <v>10</v>
      </c>
      <c r="G17" s="4" t="n">
        <v>13.18</v>
      </c>
      <c r="H17" s="4" t="n">
        <v>0.626</v>
      </c>
      <c r="I17" s="1"/>
      <c r="J17" s="4" t="s">
        <v>9</v>
      </c>
      <c r="K17" s="4" t="n">
        <f aca="false">M17+F2</f>
        <v>76.744</v>
      </c>
      <c r="L17" s="4" t="n">
        <f aca="false">L8</f>
        <v>0.001</v>
      </c>
      <c r="M17" s="1" t="n">
        <v>76.744</v>
      </c>
      <c r="N17" s="4" t="s">
        <v>10</v>
      </c>
      <c r="O17" s="4" t="n">
        <v>16.05</v>
      </c>
      <c r="P17" s="4" t="n">
        <v>0.9</v>
      </c>
      <c r="Q17" s="1"/>
      <c r="R17" s="1"/>
      <c r="S17" s="1"/>
      <c r="T17" s="4" t="s">
        <v>9</v>
      </c>
      <c r="U17" s="4" t="n">
        <f aca="false">W17+F2</f>
        <v>74.124</v>
      </c>
      <c r="V17" s="4" t="n">
        <v>0.001</v>
      </c>
      <c r="W17" s="1" t="n">
        <v>74.124</v>
      </c>
      <c r="X17" s="4" t="s">
        <v>10</v>
      </c>
      <c r="Y17" s="4"/>
      <c r="Z17" s="4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collapsed="false" customFormat="false" customHeight="false" hidden="false" ht="15" outlineLevel="0" r="18">
      <c r="A18" s="1"/>
      <c r="B18" s="4" t="s">
        <v>12</v>
      </c>
      <c r="C18" s="4" t="n">
        <f aca="false">E18+F3</f>
        <v>35.166</v>
      </c>
      <c r="D18" s="4" t="n">
        <f aca="false">D9</f>
        <v>0.001</v>
      </c>
      <c r="E18" s="4" t="n">
        <v>35.088</v>
      </c>
      <c r="F18" s="4" t="s">
        <v>13</v>
      </c>
      <c r="G18" s="5" t="n">
        <f aca="false">G9</f>
        <v>0.01</v>
      </c>
      <c r="H18" s="5" t="n">
        <f aca="false">H9</f>
        <v>0.001</v>
      </c>
      <c r="I18" s="1"/>
      <c r="J18" s="4" t="s">
        <v>12</v>
      </c>
      <c r="K18" s="4" t="n">
        <f aca="false">M18+F3</f>
        <v>41.203</v>
      </c>
      <c r="L18" s="4" t="n">
        <f aca="false">L9</f>
        <v>0.001</v>
      </c>
      <c r="M18" s="1" t="n">
        <v>41.125</v>
      </c>
      <c r="N18" s="4" t="s">
        <v>13</v>
      </c>
      <c r="O18" s="5" t="n">
        <f aca="false">O9</f>
        <v>0.01</v>
      </c>
      <c r="P18" s="5" t="n">
        <f aca="false">P9</f>
        <v>0.001</v>
      </c>
      <c r="Q18" s="1"/>
      <c r="R18" s="1"/>
      <c r="S18" s="1"/>
      <c r="T18" s="4" t="s">
        <v>12</v>
      </c>
      <c r="U18" s="4" t="n">
        <f aca="false">W18+F3</f>
        <v>40.226</v>
      </c>
      <c r="V18" s="4" t="n">
        <v>0.001</v>
      </c>
      <c r="W18" s="1" t="n">
        <v>40.148</v>
      </c>
      <c r="X18" s="4" t="s">
        <v>13</v>
      </c>
      <c r="Y18" s="4"/>
      <c r="Z18" s="4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collapsed="false" customFormat="false" customHeight="false" hidden="false" ht="15" outlineLevel="0" r="19">
      <c r="A19" s="1"/>
      <c r="B19" s="4" t="s">
        <v>14</v>
      </c>
      <c r="C19" s="4" t="n">
        <f aca="false">E19+F4</f>
        <v>23.147</v>
      </c>
      <c r="D19" s="4" t="n">
        <f aca="false">D10</f>
        <v>0.001</v>
      </c>
      <c r="E19" s="4" t="n">
        <v>23.174</v>
      </c>
      <c r="F19" s="4" t="s">
        <v>15</v>
      </c>
      <c r="G19" s="4" t="n">
        <v>0.656</v>
      </c>
      <c r="H19" s="4" t="n">
        <f aca="false">85.4*0.001</f>
        <v>0.0854</v>
      </c>
      <c r="I19" s="1"/>
      <c r="J19" s="4" t="s">
        <v>14</v>
      </c>
      <c r="K19" s="4" t="n">
        <f aca="false">M19+F4</f>
        <v>24.743</v>
      </c>
      <c r="L19" s="4" t="n">
        <f aca="false">L10</f>
        <v>0.001</v>
      </c>
      <c r="M19" s="1" t="n">
        <v>24.77</v>
      </c>
      <c r="N19" s="4" t="s">
        <v>15</v>
      </c>
      <c r="O19" s="4" t="n">
        <v>0.717</v>
      </c>
      <c r="P19" s="4" t="n">
        <v>0.1229</v>
      </c>
      <c r="Q19" s="1"/>
      <c r="R19" s="1"/>
      <c r="S19" s="1"/>
      <c r="T19" s="4" t="s">
        <v>14</v>
      </c>
      <c r="U19" s="4" t="n">
        <f aca="false">W19+F4</f>
        <v>24.647</v>
      </c>
      <c r="V19" s="4" t="n">
        <v>0.001</v>
      </c>
      <c r="W19" s="1" t="n">
        <v>24.674</v>
      </c>
      <c r="X19" s="4" t="s">
        <v>15</v>
      </c>
      <c r="Y19" s="4"/>
      <c r="Z19" s="4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collapsed="false" customFormat="false" customHeight="false" hidden="false" ht="15" outlineLevel="0" r="20">
      <c r="A20" s="1"/>
      <c r="B20" s="4" t="s">
        <v>16</v>
      </c>
      <c r="C20" s="4" t="n">
        <f aca="false">E20+F5</f>
        <v>20.855</v>
      </c>
      <c r="D20" s="4" t="n">
        <f aca="false">D11</f>
        <v>0.001</v>
      </c>
      <c r="E20" s="4" t="n">
        <v>21.026</v>
      </c>
      <c r="F20" s="4" t="s">
        <v>17</v>
      </c>
      <c r="G20" s="5" t="n">
        <f aca="false">G11</f>
        <v>0.001</v>
      </c>
      <c r="H20" s="5" t="n">
        <f aca="false">H11</f>
        <v>0.0001</v>
      </c>
      <c r="I20" s="1"/>
      <c r="J20" s="4" t="s">
        <v>16</v>
      </c>
      <c r="K20" s="4" t="n">
        <f aca="false">M20+F5</f>
        <v>21.169</v>
      </c>
      <c r="L20" s="4" t="n">
        <f aca="false">L11</f>
        <v>0.001</v>
      </c>
      <c r="M20" s="1" t="n">
        <v>21.34</v>
      </c>
      <c r="N20" s="4" t="s">
        <v>17</v>
      </c>
      <c r="O20" s="5" t="n">
        <f aca="false">O11</f>
        <v>0.001</v>
      </c>
      <c r="P20" s="5" t="n">
        <f aca="false">P11</f>
        <v>0.0001</v>
      </c>
      <c r="Q20" s="1"/>
      <c r="R20" s="1"/>
      <c r="S20" s="1"/>
      <c r="T20" s="4" t="s">
        <v>16</v>
      </c>
      <c r="U20" s="4" t="n">
        <f aca="false">W20+F5</f>
        <v>21.858</v>
      </c>
      <c r="V20" s="4" t="n">
        <v>0.001</v>
      </c>
      <c r="W20" s="1" t="n">
        <v>22.029</v>
      </c>
      <c r="X20" s="4" t="s">
        <v>17</v>
      </c>
      <c r="Y20" s="4"/>
      <c r="Z20" s="4"/>
      <c r="AA20" s="1"/>
      <c r="AB20" s="1"/>
      <c r="AC20" s="1"/>
      <c r="AD20" s="1" t="s">
        <v>18</v>
      </c>
      <c r="AE20" s="1"/>
      <c r="AF20" s="1"/>
      <c r="AG20" s="1"/>
      <c r="AH20" s="1"/>
      <c r="AI20" s="1"/>
      <c r="AJ20" s="1"/>
      <c r="AK20" s="1"/>
      <c r="AL20" s="1"/>
      <c r="AM20" s="1"/>
    </row>
    <row collapsed="false" customFormat="false" customHeight="false" hidden="false" ht="15" outlineLevel="0"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 t="s">
        <v>19</v>
      </c>
      <c r="AE21" s="1" t="s">
        <v>13</v>
      </c>
      <c r="AF21" s="1" t="s">
        <v>20</v>
      </c>
      <c r="AG21" s="1" t="s">
        <v>21</v>
      </c>
      <c r="AH21" s="1" t="s">
        <v>22</v>
      </c>
      <c r="AI21" s="1" t="s">
        <v>23</v>
      </c>
      <c r="AJ21" s="1" t="s">
        <v>24</v>
      </c>
      <c r="AK21" s="1" t="s">
        <v>25</v>
      </c>
      <c r="AL21" s="1"/>
      <c r="AM21" s="1"/>
    </row>
    <row collapsed="false" customFormat="false" customHeight="false" hidden="false" ht="15" outlineLevel="0"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 t="n">
        <v>1</v>
      </c>
      <c r="AD22" s="1" t="n">
        <v>0.06</v>
      </c>
      <c r="AE22" s="1" t="n">
        <f aca="false">'R.opt'!AD10</f>
        <v>0</v>
      </c>
      <c r="AF22" s="1" t="n">
        <f aca="false">AD22</f>
        <v>0.06</v>
      </c>
      <c r="AG22" s="1" t="n">
        <f aca="false">AE22</f>
        <v>0</v>
      </c>
      <c r="AH22" s="1" t="n">
        <v>88.52</v>
      </c>
      <c r="AI22" s="1" t="n">
        <v>0.3</v>
      </c>
      <c r="AJ22" s="21" t="n">
        <f aca="false">AF22/AH22</f>
        <v>0.000677812923633077</v>
      </c>
      <c r="AK22" s="21" t="n">
        <f aca="false">AG22*AJ22/AF22+AI22*AJ22/AH22</f>
        <v>2.2971517972201E-006</v>
      </c>
      <c r="AL22" s="1"/>
      <c r="AM22" s="1"/>
    </row>
    <row collapsed="false" customFormat="false" customHeight="false" hidden="false" ht="15" outlineLevel="0"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44</v>
      </c>
      <c r="W23" s="1" t="s">
        <v>45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collapsed="false" customFormat="false" customHeight="false" hidden="false" ht="15" outlineLevel="0" r="24">
      <c r="A24" s="1"/>
      <c r="B24" s="1"/>
      <c r="C24" s="1" t="s">
        <v>18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 t="n">
        <v>7</v>
      </c>
      <c r="U24" s="1" t="n">
        <v>1</v>
      </c>
      <c r="V24" s="1" t="n">
        <f aca="false">(U8-U9)/Y33</f>
        <v>4.24005019907626</v>
      </c>
      <c r="W24" s="1" t="n">
        <f aca="false">(V8+V9)/Y33+(U8-U9)*Z33/(Y33*Y33)</f>
        <v>0.0290657876477143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collapsed="false" customFormat="false" customHeight="false" hidden="false" ht="15" outlineLevel="0" r="25">
      <c r="A25" s="1"/>
      <c r="B25" s="1"/>
      <c r="C25" s="1" t="s">
        <v>19</v>
      </c>
      <c r="D25" s="1" t="s">
        <v>13</v>
      </c>
      <c r="E25" s="1" t="s">
        <v>20</v>
      </c>
      <c r="F25" s="1" t="s">
        <v>21</v>
      </c>
      <c r="G25" s="1" t="s">
        <v>22</v>
      </c>
      <c r="H25" s="1" t="s">
        <v>23</v>
      </c>
      <c r="I25" s="1" t="s">
        <v>24</v>
      </c>
      <c r="J25" s="1" t="s">
        <v>25</v>
      </c>
      <c r="K25" s="1"/>
      <c r="L25" s="1"/>
      <c r="M25" s="1"/>
      <c r="N25" s="1"/>
      <c r="O25" s="1"/>
      <c r="P25" s="1"/>
      <c r="Q25" s="1"/>
      <c r="R25" s="1"/>
      <c r="S25" s="1"/>
      <c r="T25" s="1" t="n">
        <v>16</v>
      </c>
      <c r="U25" s="1" t="n">
        <v>2</v>
      </c>
      <c r="V25" s="1" t="n">
        <f aca="false">(U17-U18)/Y34</f>
        <v>4.28367478521032</v>
      </c>
      <c r="W25" s="1" t="n">
        <f aca="false">(V17+V18)/Y34+(U17-U18)*Z34/(Y34*Y34)</f>
        <v>0.0178422253666713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collapsed="false" customFormat="false" customHeight="false" hidden="false" ht="15.75" outlineLevel="0" r="26">
      <c r="A26" s="1"/>
      <c r="B26" s="1" t="n">
        <v>1</v>
      </c>
      <c r="C26" s="1" t="n">
        <v>0.06</v>
      </c>
      <c r="D26" s="1" t="n">
        <f aca="false">'R.opt'!C14</f>
        <v>0.003</v>
      </c>
      <c r="E26" s="1" t="n">
        <f aca="false">C26</f>
        <v>0.06</v>
      </c>
      <c r="F26" s="1" t="n">
        <f aca="false">D26</f>
        <v>0.003</v>
      </c>
      <c r="G26" s="1" t="n">
        <v>88.52</v>
      </c>
      <c r="H26" s="1" t="n">
        <f aca="false">'R.opt'!G14</f>
        <v>0.3</v>
      </c>
      <c r="I26" s="21" t="n">
        <f aca="false">E26/G26</f>
        <v>0.000677812923633077</v>
      </c>
      <c r="J26" s="21" t="n">
        <f aca="false">F26*I26/E26+H26*I26/G26</f>
        <v>3.6187797978874E-005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 t="n">
        <f aca="false">V24+V25</f>
        <v>8.52372498428658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collapsed="false" customFormat="false" customHeight="false" hidden="false" ht="15.75" outlineLevel="0" r="27">
      <c r="A27" s="1"/>
      <c r="B27" s="1" t="n">
        <v>2</v>
      </c>
      <c r="C27" s="1" t="n">
        <v>0.06</v>
      </c>
      <c r="D27" s="1" t="n">
        <f aca="false">D26</f>
        <v>0.003</v>
      </c>
      <c r="E27" s="1" t="n">
        <f aca="false">C27</f>
        <v>0.06</v>
      </c>
      <c r="F27" s="1" t="n">
        <f aca="false">D27</f>
        <v>0.003</v>
      </c>
      <c r="G27" s="1" t="n">
        <v>88.19</v>
      </c>
      <c r="H27" s="1" t="n">
        <f aca="false">H26</f>
        <v>0.3</v>
      </c>
      <c r="I27" s="21" t="n">
        <f aca="false">E27/G27</f>
        <v>0.000680349245946252</v>
      </c>
      <c r="J27" s="21" t="n">
        <f aca="false">F27*I27/E27+H27*I27/G27</f>
        <v>3.63318377796108E-005</v>
      </c>
      <c r="K27" s="1"/>
      <c r="L27" s="1"/>
      <c r="M27" s="1"/>
      <c r="N27" s="1"/>
      <c r="O27" s="1"/>
      <c r="P27" s="1"/>
      <c r="Q27" s="1"/>
      <c r="R27" s="1"/>
      <c r="S27" s="1"/>
      <c r="T27" s="1" t="s">
        <v>46</v>
      </c>
      <c r="U27" s="1" t="s">
        <v>47</v>
      </c>
      <c r="V27" s="10" t="n">
        <f aca="false">V26/2</f>
        <v>4.26186249214329</v>
      </c>
      <c r="W27" s="10" t="n">
        <f aca="false">(W24+W25)/2</f>
        <v>0.0234540065071928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collapsed="false" customFormat="false" customHeight="false" hidden="false" ht="15" outlineLevel="0" r="28">
      <c r="A28" s="1"/>
      <c r="B28" s="1" t="n">
        <v>3</v>
      </c>
      <c r="C28" s="1" t="n">
        <v>0.06</v>
      </c>
      <c r="D28" s="1" t="n">
        <f aca="false">D27</f>
        <v>0.003</v>
      </c>
      <c r="E28" s="1" t="n">
        <f aca="false">C28</f>
        <v>0.06</v>
      </c>
      <c r="F28" s="1" t="n">
        <f aca="false">D28</f>
        <v>0.003</v>
      </c>
      <c r="G28" s="1" t="n">
        <v>85.49</v>
      </c>
      <c r="H28" s="1" t="n">
        <f aca="false">H27</f>
        <v>0.3</v>
      </c>
      <c r="I28" s="21" t="n">
        <f aca="false">E28/G28</f>
        <v>0.000701836472102</v>
      </c>
      <c r="J28" s="21" t="n">
        <f aca="false">F28*I28/E28+H28*I28/G28</f>
        <v>3.75546957729629E-005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collapsed="false" customFormat="false" customHeight="false" hidden="false" ht="15" outlineLevel="0" r="29">
      <c r="A29" s="1"/>
      <c r="B29" s="1" t="n">
        <v>4</v>
      </c>
      <c r="C29" s="1" t="n">
        <v>0.06</v>
      </c>
      <c r="D29" s="1" t="n">
        <f aca="false">D28</f>
        <v>0.003</v>
      </c>
      <c r="E29" s="1" t="n">
        <f aca="false">C29</f>
        <v>0.06</v>
      </c>
      <c r="F29" s="1" t="n">
        <f aca="false">D29</f>
        <v>0.003</v>
      </c>
      <c r="G29" s="1" t="n">
        <v>87.02</v>
      </c>
      <c r="H29" s="1" t="n">
        <f aca="false">H28</f>
        <v>0.3</v>
      </c>
      <c r="I29" s="21" t="n">
        <f aca="false">E29/G29</f>
        <v>0.000689496667432774</v>
      </c>
      <c r="J29" s="21" t="n">
        <f aca="false">F29*I29/E29+H29*I29/G29</f>
        <v>3.68518616436432E-005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collapsed="false" customFormat="false" customHeight="false" hidden="false" ht="15" outlineLevel="0" r="30">
      <c r="A30" s="1"/>
      <c r="B30" s="1"/>
      <c r="C30" s="1"/>
      <c r="D30" s="1"/>
      <c r="E30" s="1"/>
      <c r="F30" s="1"/>
      <c r="G30" s="1" t="n">
        <v>88.52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collapsed="false" customFormat="false" customHeight="false" hidden="false" ht="15" outlineLevel="0"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collapsed="false" customFormat="false" customHeight="false" hidden="false" ht="15" outlineLevel="0" r="32">
      <c r="A32" s="1"/>
      <c r="B32" s="1"/>
      <c r="C32" s="1" t="s">
        <v>48</v>
      </c>
      <c r="D32" s="1" t="s">
        <v>49</v>
      </c>
      <c r="E32" s="1" t="s">
        <v>50</v>
      </c>
      <c r="F32" s="1" t="s">
        <v>51</v>
      </c>
      <c r="G32" s="1" t="s">
        <v>52</v>
      </c>
      <c r="H32" s="1" t="s">
        <v>53</v>
      </c>
      <c r="I32" s="1"/>
      <c r="J32" s="1" t="s">
        <v>54</v>
      </c>
      <c r="K32" s="1" t="s">
        <v>55</v>
      </c>
      <c r="L32" s="1"/>
      <c r="M32" s="1" t="s">
        <v>56</v>
      </c>
      <c r="N32" s="1"/>
      <c r="O32" s="1"/>
      <c r="P32" s="1"/>
      <c r="Q32" s="1"/>
      <c r="R32" s="1"/>
      <c r="S32" s="1"/>
      <c r="T32" s="1"/>
      <c r="U32" s="1" t="s">
        <v>48</v>
      </c>
      <c r="V32" s="1" t="s">
        <v>49</v>
      </c>
      <c r="W32" s="1" t="s">
        <v>50</v>
      </c>
      <c r="X32" s="1" t="s">
        <v>51</v>
      </c>
      <c r="Y32" s="1" t="s">
        <v>52</v>
      </c>
      <c r="Z32" s="1" t="s">
        <v>53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collapsed="false" customFormat="false" customHeight="false" hidden="false" ht="15" outlineLevel="0" r="33">
      <c r="A33" s="1"/>
      <c r="B33" s="1" t="n">
        <v>1</v>
      </c>
      <c r="C33" s="21" t="n">
        <f aca="false">G8*G10</f>
        <v>2.56686</v>
      </c>
      <c r="D33" s="21" t="n">
        <f aca="false">G9*G10+G11*G8</f>
        <v>0.01075</v>
      </c>
      <c r="E33" s="21" t="n">
        <f aca="false">H8*H10</f>
        <v>0.005141</v>
      </c>
      <c r="F33" s="21" t="n">
        <f aca="false">H9*2*H8/C2+H8*H8*C3/(C2*C2)</f>
        <v>0.00013707583599405</v>
      </c>
      <c r="G33" s="21" t="n">
        <f aca="false">I26*4186*(E10-E11)</f>
        <v>1.77332806145504</v>
      </c>
      <c r="H33" s="21" t="n">
        <f aca="false">(D10+D11)*G33/(E10-E11)+J26*G33/I26</f>
        <v>0.100350976258885</v>
      </c>
      <c r="I33" s="1"/>
      <c r="J33" s="1"/>
      <c r="K33" s="1"/>
      <c r="L33" s="1"/>
      <c r="M33" s="1" t="n">
        <v>1</v>
      </c>
      <c r="N33" s="1" t="n">
        <v>2</v>
      </c>
      <c r="O33" s="1" t="n">
        <v>3</v>
      </c>
      <c r="P33" s="1" t="n">
        <v>4</v>
      </c>
      <c r="Q33" s="1"/>
      <c r="R33" s="1"/>
      <c r="S33" s="1"/>
      <c r="T33" s="1" t="n">
        <v>1</v>
      </c>
      <c r="U33" s="1" t="n">
        <f aca="false">Y8*Y10</f>
        <v>2.30859</v>
      </c>
      <c r="V33" s="1" t="n">
        <f aca="false">Y9*Y10+Y11*Y8</f>
        <v>0.0102</v>
      </c>
      <c r="W33" s="1" t="e">
        <f aca="false">Z8*Z8/U2</f>
        <v>#DIV/0!</v>
      </c>
      <c r="X33" s="1" t="e">
        <f aca="false">Z9*2*Z8/U2+Z8*Z8*U3/U2</f>
        <v>#DIV/0!</v>
      </c>
      <c r="Y33" s="1" t="n">
        <f aca="false">AJ22*4186*(U10-U11)</f>
        <v>1.77332806145505</v>
      </c>
      <c r="Z33" s="21" t="n">
        <f aca="false">(V10+V11)*Y33/(U10-U11)+AK22*Y33/AJ22</f>
        <v>0.0116845731861332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collapsed="false" customFormat="false" customHeight="false" hidden="false" ht="15" outlineLevel="0" r="34">
      <c r="A34" s="1"/>
      <c r="B34" s="1" t="n">
        <v>2</v>
      </c>
      <c r="C34" s="21" t="n">
        <f aca="false">O8*O10</f>
        <v>5.5493</v>
      </c>
      <c r="D34" s="21" t="n">
        <f aca="false">O11*O8+O9*O10</f>
        <v>0.01581</v>
      </c>
      <c r="E34" s="21" t="n">
        <f aca="false">P8*P8/C2</f>
        <v>0.0244109335693223</v>
      </c>
      <c r="F34" s="21" t="n">
        <f aca="false">P9*2*P8/C2+P8*P8*C3/(C2*C2)</f>
        <v>0.000479663488510493</v>
      </c>
      <c r="G34" s="21" t="n">
        <f aca="false">I27*4186*(K10-K11)</f>
        <v>4.23488967003062</v>
      </c>
      <c r="H34" s="21" t="n">
        <f aca="false">(L10+L11)*G34/(K10-K11)+J27*G34/I27</f>
        <v>0.231846387356948</v>
      </c>
      <c r="I34" s="1"/>
      <c r="J34" s="1"/>
      <c r="K34" s="1"/>
      <c r="L34" s="1" t="s">
        <v>57</v>
      </c>
      <c r="M34" s="22" t="n">
        <f aca="false">E33/C33</f>
        <v>0.00200283615000429</v>
      </c>
      <c r="N34" s="22" t="n">
        <f aca="false">E34/C34</f>
        <v>0.00439892122778049</v>
      </c>
      <c r="O34" s="22" t="n">
        <f aca="false">E35/C35</f>
        <v>0.00618319515896221</v>
      </c>
      <c r="P34" s="22" t="n">
        <f aca="false">E36/C36</f>
        <v>0.00961169983967466</v>
      </c>
      <c r="Q34" s="1"/>
      <c r="R34" s="1"/>
      <c r="S34" s="1"/>
      <c r="T34" s="1" t="n">
        <v>2</v>
      </c>
      <c r="U34" s="1" t="n">
        <f aca="false">Y17*Y19</f>
        <v>0</v>
      </c>
      <c r="V34" s="1" t="n">
        <f aca="false">Z17*Z20+Z19*Z18</f>
        <v>0</v>
      </c>
      <c r="W34" s="1" t="e">
        <f aca="false">Z17*Z17/U2</f>
        <v>#DIV/0!</v>
      </c>
      <c r="X34" s="1" t="e">
        <f aca="false">Z18*2*Z17/U2+Z17*Z17*U3/U2</f>
        <v>#DIV/0!</v>
      </c>
      <c r="Y34" s="1" t="n">
        <f aca="false">AJ22*4186*(U19-U20)</f>
        <v>7.91329914143697</v>
      </c>
      <c r="Z34" s="23" t="n">
        <f aca="false">(V19+V20)*Y34/(U19-U20)+AK22*Y34/AJ22</f>
        <v>0.0324933319298587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collapsed="false" customFormat="false" customHeight="false" hidden="false" ht="15" outlineLevel="0" r="35">
      <c r="A35" s="1"/>
      <c r="B35" s="1" t="n">
        <v>3</v>
      </c>
      <c r="C35" s="21" t="n">
        <f aca="false">G17*G19</f>
        <v>8.64608</v>
      </c>
      <c r="D35" s="21" t="n">
        <f aca="false">H17*H20+H19*H18</f>
        <v>0.000148</v>
      </c>
      <c r="E35" s="21" t="n">
        <f aca="false">H17*H19</f>
        <v>0.0534604</v>
      </c>
      <c r="F35" s="21" t="n">
        <f aca="false">H18*2*H17/C2+H17*H17*C3/(C2*C2)</f>
        <v>0.0010224116335316</v>
      </c>
      <c r="G35" s="21" t="n">
        <f aca="false">I28*4180*(C19-C20)</f>
        <v>6.72398643116154</v>
      </c>
      <c r="H35" s="21" t="n">
        <f aca="false">(D19+D20)*G35/(C19-C20)+J28*G35/I28</f>
        <v>0.365662369041391</v>
      </c>
      <c r="I35" s="1"/>
      <c r="J35" s="1"/>
      <c r="K35" s="1"/>
      <c r="L35" s="1" t="s">
        <v>58</v>
      </c>
      <c r="M35" s="22" t="n">
        <f aca="false">F33*M34/E33+D33*M34/C33</f>
        <v>6.1790017611633E-005</v>
      </c>
      <c r="N35" s="22" t="n">
        <f aca="false">F34*N34/E34+D34*N34/C34</f>
        <v>9.89693174133138E-005</v>
      </c>
      <c r="O35" s="22" t="n">
        <f aca="false">F35*O34/E35+D35*O34/C35</f>
        <v>0.00011835730717448</v>
      </c>
      <c r="P35" s="22" t="n">
        <f aca="false">F36*P34/E36+D36*P34/C36</f>
        <v>0.000173876157019998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collapsed="false" customFormat="false" customHeight="false" hidden="false" ht="15" outlineLevel="0" r="36">
      <c r="A36" s="1"/>
      <c r="B36" s="1" t="n">
        <v>4</v>
      </c>
      <c r="C36" s="21" t="n">
        <f aca="false">O17*O19</f>
        <v>11.50785</v>
      </c>
      <c r="D36" s="21" t="n">
        <f aca="false">P17*P20+P19*P18</f>
        <v>0.0002129</v>
      </c>
      <c r="E36" s="21" t="n">
        <f aca="false">P17*P19</f>
        <v>0.11061</v>
      </c>
      <c r="F36" s="21" t="n">
        <f aca="false">P18*2*P17/C2+P17*P17*C3/(C2*C2)</f>
        <v>0.00199889440266671</v>
      </c>
      <c r="G36" s="21" t="n">
        <f aca="false">I29*4186*(K19-K20)</f>
        <v>10.3153969202482</v>
      </c>
      <c r="H36" s="21" t="n">
        <f aca="false">(L19+L20)*G36/(K19-K20)+J29*G36/I29</f>
        <v>0.557104471110945</v>
      </c>
      <c r="I36" s="1"/>
      <c r="J36" s="1"/>
      <c r="K36" s="1"/>
      <c r="L36" s="1" t="s">
        <v>59</v>
      </c>
      <c r="M36" s="22" t="n">
        <f aca="false">E33/(E33+G33)</f>
        <v>0.00289068846426484</v>
      </c>
      <c r="N36" s="22" t="n">
        <f aca="false">E34/(E34+G34)</f>
        <v>0.00573120703166389</v>
      </c>
      <c r="O36" s="22" t="n">
        <f aca="false">E35/(E35+G35)</f>
        <v>0.00788798515603224</v>
      </c>
      <c r="P36" s="22" t="n">
        <f aca="false">E36/(E36+G36)</f>
        <v>0.0106090472456129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collapsed="false" customFormat="false" customHeight="false" hidden="false" ht="15" outlineLevel="0"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 t="s">
        <v>60</v>
      </c>
      <c r="M37" s="22" t="n">
        <f aca="false">F33*G33/((E33+G33)^2)+H33*E33/((E33+G33)^2)</f>
        <v>0.000239960880486914</v>
      </c>
      <c r="N37" s="22" t="n">
        <f aca="false">F34*G34/((E34+G34)^2)+H34*E34/((E34+G34)^2)</f>
        <v>0.000423936756591486</v>
      </c>
      <c r="O37" s="22" t="n">
        <f aca="false">((G35*F35+E35*H35)/((G35+E35)^2))</f>
        <v>0.000575244085565604</v>
      </c>
      <c r="P37" s="22" t="n">
        <f aca="false">(H36*E36+F36*G36)/((G36+E36)^2)</f>
        <v>0.000756573034394285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22"/>
      <c r="AF37" s="22"/>
      <c r="AG37" s="1"/>
      <c r="AH37" s="1"/>
      <c r="AI37" s="1"/>
      <c r="AJ37" s="1"/>
    </row>
    <row collapsed="false" customFormat="false" customHeight="false" hidden="false" ht="15" outlineLevel="0" r="38">
      <c r="A38" s="1"/>
      <c r="B38" s="1"/>
      <c r="C38" s="1" t="s">
        <v>61</v>
      </c>
      <c r="D38" s="1" t="s">
        <v>62</v>
      </c>
      <c r="E38" s="1" t="s">
        <v>63</v>
      </c>
      <c r="F38" s="1" t="s">
        <v>64</v>
      </c>
      <c r="G38" s="21"/>
      <c r="H38" s="1"/>
      <c r="I38" s="1"/>
      <c r="J38" s="1"/>
      <c r="K38" s="1"/>
      <c r="L38" s="1" t="s">
        <v>65</v>
      </c>
      <c r="M38" s="22" t="n">
        <f aca="false">E33/(E33+G33-E39)</f>
        <v>0.416618953125682</v>
      </c>
      <c r="N38" s="22" t="n">
        <f aca="false">E34/(E34+G34-E40)</f>
        <v>0.0430692356069718</v>
      </c>
      <c r="O38" s="22" t="n">
        <f aca="false">E35/(E35+G35-E41)</f>
        <v>0.0459676664449454</v>
      </c>
      <c r="P38" s="22" t="n">
        <f aca="false">E36/(E36+G36-E42)</f>
        <v>0.0530072634011089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collapsed="false" customFormat="false" customHeight="false" hidden="false" ht="13.3" outlineLevel="0" r="39">
      <c r="A39" s="1"/>
      <c r="B39" s="1" t="n">
        <v>1</v>
      </c>
      <c r="C39" s="1" t="n">
        <f aca="false">C40</f>
        <v>4.26186249214329</v>
      </c>
      <c r="D39" s="1" t="n">
        <f aca="false">W27</f>
        <v>0.0234540065071928</v>
      </c>
      <c r="E39" s="1" t="n">
        <f aca="false">(C8-C9)/(C39)</f>
        <v>1.76612924839222</v>
      </c>
      <c r="F39" s="1" t="n">
        <f aca="false">D39*E39/C39+D8*E39/C8+D9*E39/C9</f>
        <v>0.00984245372939224</v>
      </c>
      <c r="G39" s="1"/>
      <c r="H39" s="1"/>
      <c r="I39" s="1"/>
      <c r="J39" s="1"/>
      <c r="K39" s="1"/>
      <c r="L39" s="1" t="s">
        <v>66</v>
      </c>
      <c r="M39" s="24" t="inlineStr">
        <f aca="false">R39</f>
        <is>
          <t/>
        </is>
      </c>
      <c r="N39" s="22" t="n">
        <f aca="false">R40</f>
        <v>0.0140020009436763</v>
      </c>
      <c r="O39" s="22" t="n">
        <f aca="false">R41</f>
        <v>0.0117096547855474</v>
      </c>
      <c r="P39" s="22" t="n">
        <f aca="false">R42</f>
        <v>0.0117467977063132</v>
      </c>
      <c r="Q39" s="1"/>
      <c r="R39" s="22" t="n">
        <f aca="false">F33*((H33-E39)/((E33+G33-E39)^2))+(H33+F39)*(E33/((E33+G33-E39)^2))</f>
        <v>2.22082014620664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collapsed="false" customFormat="false" customHeight="false" hidden="false" ht="13.3" outlineLevel="0" r="40">
      <c r="A40" s="1"/>
      <c r="B40" s="1" t="n">
        <v>2</v>
      </c>
      <c r="C40" s="1" t="n">
        <f aca="false">V27</f>
        <v>4.26186249214329</v>
      </c>
      <c r="D40" s="1" t="n">
        <f aca="false">D39</f>
        <v>0.0234540065071928</v>
      </c>
      <c r="E40" s="1" t="n">
        <f aca="false">(K8-K9)/C40</f>
        <v>3.69251706947632</v>
      </c>
      <c r="F40" s="1" t="n">
        <f aca="false">D40*E40/C40+L8*E39/K8+L9*E39/K9</f>
        <v>0.0204180411432608</v>
      </c>
      <c r="G40" s="1"/>
      <c r="H40" s="1"/>
      <c r="I40" s="1"/>
      <c r="J40" s="1"/>
      <c r="K40" s="1"/>
      <c r="L40" s="1" t="s">
        <v>67</v>
      </c>
      <c r="M40" s="22" t="n">
        <f aca="false">1-E9/E8</f>
        <v>0.230755226507267</v>
      </c>
      <c r="N40" s="22" t="n">
        <f aca="false">1-K9/K8</f>
        <v>0.343505118634449</v>
      </c>
      <c r="O40" s="22" t="n">
        <f aca="false">1-C18/C17</f>
        <v>0.404914204487765</v>
      </c>
      <c r="P40" s="22" t="n">
        <f aca="false">1-K18/K17</f>
        <v>0.463111122693631</v>
      </c>
      <c r="Q40" s="1"/>
      <c r="R40" s="22" t="n">
        <f aca="false">F34*((H34-E40)/((E34+G34-E40)^2))+(H34+F40)*(E34/((E34+G34-E40)^2))</f>
        <v>0.0140020009436763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collapsed="false" customFormat="false" customHeight="false" hidden="false" ht="13.3" outlineLevel="0" r="41">
      <c r="A41" s="1"/>
      <c r="B41" s="1" t="n">
        <v>3</v>
      </c>
      <c r="C41" s="1" t="n">
        <f aca="false">C40</f>
        <v>4.26186249214329</v>
      </c>
      <c r="D41" s="1" t="n">
        <f aca="false">D40</f>
        <v>0.0234540065071928</v>
      </c>
      <c r="E41" s="1" t="n">
        <f aca="false">(C17-C18)/C41</f>
        <v>5.6144467457857</v>
      </c>
      <c r="F41" s="1" t="n">
        <f aca="false">D41*E41/C41+D17*E39/C17+D18*E39/C18</f>
        <v>0.0309776972070503</v>
      </c>
      <c r="G41" s="1"/>
      <c r="H41" s="1"/>
      <c r="I41" s="1"/>
      <c r="J41" s="1"/>
      <c r="K41" s="1"/>
      <c r="L41" s="1" t="s">
        <v>68</v>
      </c>
      <c r="M41" s="22" t="n">
        <f aca="false">D9/E8+D8*E9/(E8*E8)</f>
        <v>5.36834291195416E-005</v>
      </c>
      <c r="N41" s="22" t="n">
        <f aca="false">L9/K8+L8*K9/(K8*K8)</f>
        <v>3.61577473940923E-005</v>
      </c>
      <c r="O41" s="22" t="n">
        <f aca="false">D18/C17+D17*C18/(C17*C17)</f>
        <v>2.69923477089423E-005</v>
      </c>
      <c r="P41" s="22" t="n">
        <f aca="false">L18/K17+L17*K18/(K17*K17)</f>
        <v>2.00261763435105E-005</v>
      </c>
      <c r="Q41" s="1"/>
      <c r="R41" s="22" t="n">
        <f aca="false">F35*((H35-E41)/((E35+G35-E41)^2))+(H35+F41)*(E35/((E35+G35-E41)^2))</f>
        <v>0.0117096547855474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collapsed="false" customFormat="false" customHeight="false" hidden="false" ht="13.3" outlineLevel="0" r="42">
      <c r="A42" s="1"/>
      <c r="B42" s="1" t="n">
        <v>4</v>
      </c>
      <c r="C42" s="1" t="n">
        <f aca="false">C41</f>
        <v>4.26186249214329</v>
      </c>
      <c r="D42" s="1" t="n">
        <f aca="false">D41</f>
        <v>0.0234540065071928</v>
      </c>
      <c r="E42" s="1" t="n">
        <f aca="false">(K17-K18)/C42</f>
        <v>8.33931175994523</v>
      </c>
      <c r="F42" s="1" t="n">
        <f aca="false">D42*E42/C42+L17*E39/K17+L18*E39/K18</f>
        <v>0.0459590221049555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2" t="n">
        <f aca="false">F36*((H36-E42)/((E36+G36-E42)^2))+(H36+F42)*(E36/((E36+G36-E42)^2))</f>
        <v>0.0117467977063132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L27" activeCellId="0" pane="topLeft" sqref="L27"/>
    </sheetView>
  </sheetViews>
  <sheetFormatPr defaultRowHeight="15"/>
  <cols>
    <col collapsed="false" hidden="false" max="1025" min="1" style="0" width="8.72959183673469"/>
  </cols>
  <sheetData>
    <row collapsed="false" customFormat="false" customHeight="false" hidden="false" ht="15" outlineLevel="0"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collapsed="false" customFormat="false" customHeight="false" hidden="false" ht="15" outlineLevel="0"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collapsed="false" customFormat="false" customHeight="false" hidden="false" ht="15" outlineLevel="0"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collapsed="false" customFormat="false" customHeight="false" hidden="false" ht="15" outlineLevel="0" r="4">
      <c r="A4" s="1"/>
      <c r="B4" s="1"/>
      <c r="C4" s="1" t="s">
        <v>69</v>
      </c>
      <c r="D4" s="1" t="n">
        <v>0.5</v>
      </c>
      <c r="E4" s="1" t="s">
        <v>70</v>
      </c>
      <c r="F4" s="1"/>
      <c r="G4" s="1"/>
      <c r="H4" s="1"/>
      <c r="I4" s="1"/>
      <c r="J4" s="1"/>
      <c r="K4" s="1" t="s">
        <v>69</v>
      </c>
      <c r="L4" s="1" t="n">
        <v>0.3</v>
      </c>
      <c r="M4" s="1" t="s">
        <v>70</v>
      </c>
      <c r="N4" s="1"/>
      <c r="O4" s="1"/>
      <c r="P4" s="1"/>
      <c r="Q4" s="1"/>
      <c r="R4" s="1"/>
      <c r="S4" s="1"/>
      <c r="T4" s="1"/>
    </row>
    <row collapsed="false" customFormat="false" customHeight="false" hidden="false" ht="15" outlineLevel="0"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collapsed="false" customFormat="false" customHeight="false" hidden="false" ht="15" outlineLevel="0" r="6">
      <c r="A6" s="1"/>
      <c r="B6" s="1"/>
      <c r="C6" s="4"/>
      <c r="D6" s="4" t="s">
        <v>6</v>
      </c>
      <c r="E6" s="4" t="s">
        <v>7</v>
      </c>
      <c r="F6" s="1"/>
      <c r="G6" s="4"/>
      <c r="H6" s="4" t="n">
        <v>1</v>
      </c>
      <c r="I6" s="4" t="n">
        <v>2</v>
      </c>
      <c r="J6" s="1"/>
      <c r="K6" s="4"/>
      <c r="L6" s="4" t="s">
        <v>6</v>
      </c>
      <c r="M6" s="4" t="s">
        <v>7</v>
      </c>
      <c r="N6" s="1"/>
      <c r="O6" s="4"/>
      <c r="P6" s="4" t="n">
        <v>1</v>
      </c>
      <c r="Q6" s="4" t="n">
        <v>2</v>
      </c>
      <c r="R6" s="1"/>
      <c r="S6" s="1"/>
      <c r="T6" s="1"/>
    </row>
    <row collapsed="false" customFormat="false" customHeight="false" hidden="false" ht="15" outlineLevel="0" r="7">
      <c r="A7" s="1"/>
      <c r="B7" s="1"/>
      <c r="C7" s="4" t="s">
        <v>9</v>
      </c>
      <c r="D7" s="4" t="n">
        <v>22.699</v>
      </c>
      <c r="E7" s="4" t="n">
        <v>0.001</v>
      </c>
      <c r="F7" s="1"/>
      <c r="G7" s="4" t="s">
        <v>10</v>
      </c>
      <c r="H7" s="4" t="n">
        <v>7.26</v>
      </c>
      <c r="I7" s="4" t="n">
        <v>2.341</v>
      </c>
      <c r="J7" s="1"/>
      <c r="K7" s="4" t="s">
        <v>9</v>
      </c>
      <c r="L7" s="4" t="n">
        <v>23.514</v>
      </c>
      <c r="M7" s="4" t="n">
        <v>0.001</v>
      </c>
      <c r="N7" s="1"/>
      <c r="O7" s="4" t="s">
        <v>10</v>
      </c>
      <c r="P7" s="4" t="n">
        <v>6.2</v>
      </c>
      <c r="Q7" s="4" t="n">
        <v>1.377</v>
      </c>
      <c r="R7" s="1"/>
      <c r="S7" s="1"/>
      <c r="T7" s="1"/>
    </row>
    <row collapsed="false" customFormat="false" customHeight="false" hidden="false" ht="15" outlineLevel="0" r="8">
      <c r="A8" s="1"/>
      <c r="B8" s="1"/>
      <c r="C8" s="4" t="s">
        <v>12</v>
      </c>
      <c r="D8" s="4" t="n">
        <v>29.999</v>
      </c>
      <c r="E8" s="4" t="n">
        <v>0.001</v>
      </c>
      <c r="F8" s="1"/>
      <c r="G8" s="4" t="s">
        <v>13</v>
      </c>
      <c r="H8" s="4" t="n">
        <v>0.01</v>
      </c>
      <c r="I8" s="4" t="n">
        <v>0.001</v>
      </c>
      <c r="J8" s="1"/>
      <c r="K8" s="4" t="s">
        <v>12</v>
      </c>
      <c r="L8" s="4" t="n">
        <v>27.254</v>
      </c>
      <c r="M8" s="4" t="n">
        <v>0.001</v>
      </c>
      <c r="N8" s="1"/>
      <c r="O8" s="4" t="s">
        <v>13</v>
      </c>
      <c r="P8" s="4" t="n">
        <v>0.01</v>
      </c>
      <c r="Q8" s="4" t="n">
        <v>0.001</v>
      </c>
      <c r="R8" s="1"/>
      <c r="S8" s="1"/>
      <c r="T8" s="1"/>
    </row>
    <row collapsed="false" customFormat="false" customHeight="false" hidden="false" ht="15" outlineLevel="0" r="9">
      <c r="A9" s="1"/>
      <c r="B9" s="1"/>
      <c r="C9" s="4" t="s">
        <v>14</v>
      </c>
      <c r="D9" s="4" t="n">
        <v>23.582</v>
      </c>
      <c r="E9" s="4" t="n">
        <v>0.001</v>
      </c>
      <c r="F9" s="1"/>
      <c r="G9" s="4" t="s">
        <v>15</v>
      </c>
      <c r="H9" s="4" t="n">
        <v>0.362</v>
      </c>
      <c r="I9" s="4" t="n">
        <v>0.498</v>
      </c>
      <c r="J9" s="1"/>
      <c r="K9" s="4" t="s">
        <v>14</v>
      </c>
      <c r="L9" s="4" t="n">
        <v>23.254</v>
      </c>
      <c r="M9" s="4" t="n">
        <v>0.001</v>
      </c>
      <c r="N9" s="1"/>
      <c r="O9" s="4" t="s">
        <v>15</v>
      </c>
      <c r="P9" s="4" t="n">
        <v>0.309</v>
      </c>
      <c r="Q9" s="4" t="n">
        <v>0.301</v>
      </c>
      <c r="R9" s="1"/>
      <c r="S9" s="1"/>
      <c r="T9" s="1"/>
    </row>
    <row collapsed="false" customFormat="false" customHeight="false" hidden="false" ht="15" outlineLevel="0" r="10">
      <c r="A10" s="1"/>
      <c r="B10" s="1"/>
      <c r="C10" s="4" t="s">
        <v>16</v>
      </c>
      <c r="D10" s="4" t="n">
        <v>22.62</v>
      </c>
      <c r="E10" s="4" t="n">
        <v>0.001</v>
      </c>
      <c r="F10" s="1"/>
      <c r="G10" s="4" t="s">
        <v>17</v>
      </c>
      <c r="H10" s="4" t="n">
        <v>0.001</v>
      </c>
      <c r="I10" s="4" t="n">
        <v>0.001</v>
      </c>
      <c r="J10" s="1"/>
      <c r="K10" s="4" t="s">
        <v>16</v>
      </c>
      <c r="L10" s="4" t="n">
        <v>22.729</v>
      </c>
      <c r="M10" s="4" t="n">
        <v>0.001</v>
      </c>
      <c r="N10" s="1"/>
      <c r="O10" s="4" t="s">
        <v>17</v>
      </c>
      <c r="P10" s="4" t="n">
        <v>0.001</v>
      </c>
      <c r="Q10" s="4" t="n">
        <v>0.001</v>
      </c>
      <c r="R10" s="1"/>
      <c r="S10" s="1"/>
      <c r="T10" s="1"/>
    </row>
    <row collapsed="false" customFormat="false" customHeight="false" hidden="false" ht="15" outlineLevel="0"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collapsed="false" customFormat="false" customHeight="false" hidden="false" ht="15" outlineLevel="0"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collapsed="false" customFormat="false" customHeight="false" hidden="false" ht="15" outlineLevel="0"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collapsed="false" customFormat="false" customHeight="false" hidden="false" ht="15" outlineLevel="0" r="14">
      <c r="A14" s="1"/>
      <c r="B14" s="1"/>
      <c r="C14" s="1"/>
      <c r="D14" s="1" t="s">
        <v>18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collapsed="false" customFormat="false" customHeight="false" hidden="false" ht="15" outlineLevel="0" r="15">
      <c r="A15" s="1"/>
      <c r="B15" s="1"/>
      <c r="C15" s="1"/>
      <c r="D15" s="1" t="s">
        <v>19</v>
      </c>
      <c r="E15" s="1" t="s">
        <v>13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25</v>
      </c>
      <c r="L15" s="1"/>
      <c r="M15" s="1"/>
      <c r="N15" s="1"/>
      <c r="O15" s="1"/>
      <c r="P15" s="1"/>
      <c r="Q15" s="1"/>
      <c r="R15" s="1"/>
      <c r="S15" s="1"/>
      <c r="T15" s="1"/>
    </row>
    <row collapsed="false" customFormat="false" customHeight="false" hidden="false" ht="15" outlineLevel="0" r="16">
      <c r="A16" s="1"/>
      <c r="B16" s="1"/>
      <c r="C16" s="1" t="n">
        <v>1</v>
      </c>
      <c r="D16" s="1" t="n">
        <v>0.06</v>
      </c>
      <c r="E16" s="1" t="n">
        <v>0.003</v>
      </c>
      <c r="F16" s="1" t="n">
        <f aca="false">D16</f>
        <v>0.06</v>
      </c>
      <c r="G16" s="1" t="n">
        <f aca="false">E16</f>
        <v>0.003</v>
      </c>
      <c r="H16" s="1" t="n">
        <v>90.13</v>
      </c>
      <c r="I16" s="1" t="n">
        <v>0.3</v>
      </c>
      <c r="J16" s="21" t="n">
        <f aca="false">F16/H16</f>
        <v>0.000665705092643959</v>
      </c>
      <c r="K16" s="1" t="n">
        <f aca="false">G16*J16/F16+I16*J16/H16</f>
        <v>3.55010709840584E-005</v>
      </c>
      <c r="L16" s="1"/>
      <c r="M16" s="1"/>
      <c r="N16" s="1"/>
      <c r="O16" s="1"/>
      <c r="P16" s="1"/>
      <c r="Q16" s="1"/>
      <c r="R16" s="1"/>
      <c r="S16" s="1"/>
      <c r="T16" s="1"/>
    </row>
    <row collapsed="false" customFormat="false" customHeight="false" hidden="false" ht="15" outlineLevel="0" r="17">
      <c r="A17" s="1"/>
      <c r="B17" s="1"/>
      <c r="C17" s="1" t="n">
        <v>2</v>
      </c>
      <c r="D17" s="1" t="n">
        <v>0.06</v>
      </c>
      <c r="E17" s="1" t="n">
        <v>0.003</v>
      </c>
      <c r="F17" s="1" t="n">
        <f aca="false">D17</f>
        <v>0.06</v>
      </c>
      <c r="G17" s="1" t="n">
        <f aca="false">E17</f>
        <v>0.003</v>
      </c>
      <c r="H17" s="1" t="n">
        <v>91.81</v>
      </c>
      <c r="I17" s="1" t="n">
        <v>0.3</v>
      </c>
      <c r="J17" s="21" t="n">
        <f aca="false">F17/H17</f>
        <v>0.000653523581309226</v>
      </c>
      <c r="K17" s="1" t="n">
        <f aca="false">G17*J17/F17+I17*J17/H17</f>
        <v>3.48116444220975E-005</v>
      </c>
      <c r="L17" s="1"/>
      <c r="M17" s="1"/>
      <c r="N17" s="1"/>
      <c r="O17" s="1"/>
      <c r="P17" s="1"/>
      <c r="Q17" s="1"/>
      <c r="R17" s="1"/>
      <c r="S17" s="1"/>
      <c r="T17" s="1"/>
    </row>
    <row collapsed="false" customFormat="false" customHeight="false" hidden="false" ht="15" outlineLevel="0"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collapsed="false" customFormat="false" customHeight="false" hidden="false" ht="15" outlineLevel="0"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collapsed="false" customFormat="false" customHeight="false" hidden="false" ht="15" outlineLevel="0"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collapsed="false" customFormat="false" customHeight="false" hidden="false" ht="15" outlineLevel="0"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collapsed="false" customFormat="false" customHeight="false" hidden="false" ht="15" outlineLevel="0" r="22">
      <c r="A22" s="1"/>
      <c r="B22" s="1"/>
      <c r="C22" s="1"/>
      <c r="D22" s="1" t="s">
        <v>48</v>
      </c>
      <c r="E22" s="1" t="s">
        <v>49</v>
      </c>
      <c r="F22" s="1" t="s">
        <v>52</v>
      </c>
      <c r="G22" s="1" t="s">
        <v>53</v>
      </c>
      <c r="H22" s="1" t="s">
        <v>71</v>
      </c>
      <c r="I22" s="1" t="s">
        <v>72</v>
      </c>
      <c r="J22" s="1" t="s">
        <v>73</v>
      </c>
      <c r="K22" s="1" t="s">
        <v>74</v>
      </c>
      <c r="L22" s="1"/>
      <c r="M22" s="1"/>
      <c r="N22" s="1"/>
      <c r="O22" s="1"/>
      <c r="P22" s="1"/>
      <c r="Q22" s="1"/>
      <c r="R22" s="1"/>
      <c r="S22" s="1"/>
      <c r="T22" s="1"/>
    </row>
    <row collapsed="false" customFormat="false" customHeight="false" hidden="false" ht="15" outlineLevel="0" r="23">
      <c r="A23" s="1"/>
      <c r="B23" s="1"/>
      <c r="C23" s="1" t="n">
        <v>1</v>
      </c>
      <c r="D23" s="1" t="n">
        <f aca="false">H7*H9</f>
        <v>2.62812</v>
      </c>
      <c r="E23" s="1" t="n">
        <f aca="false">H8*H9+H7*H10</f>
        <v>0.01088</v>
      </c>
      <c r="F23" s="1" t="n">
        <f aca="false">J16*(D9-D10)*4186</f>
        <v>2.68074914013092</v>
      </c>
      <c r="G23" s="1" t="n">
        <f aca="false">K16*F23/J16+(E10+E9)*4186*J16</f>
        <v>0.148533681815592</v>
      </c>
      <c r="H23" s="1" t="n">
        <f aca="false">F23/(I7*I9)</f>
        <v>2.2994576684619</v>
      </c>
      <c r="I23" s="1" t="n">
        <f aca="false">G23*H23/F23+I8*H23/I7+I10*H23/I9</f>
        <v>0.133006903424338</v>
      </c>
      <c r="J23" s="1" t="n">
        <f aca="false">D8/(D8-D7)</f>
        <v>4.10945205479452</v>
      </c>
      <c r="K23" s="1" t="n">
        <f aca="false">(E7*D7+E8*D8)/((D8-D7)^2)</f>
        <v>0.000988890973916308</v>
      </c>
      <c r="L23" s="1"/>
      <c r="M23" s="1"/>
      <c r="N23" s="1"/>
      <c r="O23" s="1"/>
      <c r="P23" s="1"/>
      <c r="Q23" s="1"/>
      <c r="R23" s="1"/>
      <c r="S23" s="1"/>
      <c r="T23" s="1"/>
    </row>
    <row collapsed="false" customFormat="false" customHeight="false" hidden="false" ht="15" outlineLevel="0" r="24">
      <c r="A24" s="1"/>
      <c r="B24" s="1"/>
      <c r="C24" s="1" t="n">
        <v>2</v>
      </c>
      <c r="D24" s="1" t="n">
        <f aca="false">P7*P9</f>
        <v>1.9158</v>
      </c>
      <c r="E24" s="1" t="n">
        <f aca="false">P7*P10+P9*P8</f>
        <v>0.00929</v>
      </c>
      <c r="F24" s="1" t="n">
        <f aca="false">J17*(L9-L10)*4186</f>
        <v>1.43621609846423</v>
      </c>
      <c r="G24" s="1" t="n">
        <f aca="false">K17*F24/J17+(M9+M10)*4186*J17</f>
        <v>0.0819751097869436</v>
      </c>
      <c r="H24" s="1" t="n">
        <f aca="false">F24/(Q7*Q9)</f>
        <v>3.4651285800279</v>
      </c>
      <c r="I24" s="1" t="n">
        <f aca="false">G24*H24/F24+Q8*H24/Q7+Q10*H24/Q9</f>
        <v>0.211808123356014</v>
      </c>
      <c r="J24" s="1" t="n">
        <f aca="false">L8/(L8-L7)</f>
        <v>7.28716577540107</v>
      </c>
      <c r="K24" s="1" t="n">
        <f aca="false">(M7*L7+M8*L8)/((L8-L7)^2)</f>
        <v>0.00362950041465297</v>
      </c>
      <c r="L24" s="1"/>
      <c r="M24" s="1"/>
      <c r="N24" s="1"/>
      <c r="O24" s="1"/>
      <c r="P24" s="1"/>
      <c r="Q24" s="1"/>
      <c r="R24" s="1"/>
      <c r="S24" s="1"/>
      <c r="T2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2014-03-20T16:13:36Z</dcterms:created>
  <dc:creator>MPL</dc:creator>
  <cp:lastModifiedBy>Miguel</cp:lastModifiedBy>
  <dcterms:modified xsi:type="dcterms:W3CDTF">2014-03-21T12:25:39Z</dcterms:modified>
  <cp:revision>0</cp:revision>
</cp:coreProperties>
</file>