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15480" windowHeight="8190" activeTab="1"/>
  </bookViews>
  <sheets>
    <sheet name="Conversor Termoelectrico STD" sheetId="1" r:id="rId1"/>
    <sheet name="Bomba de Calor" sheetId="2" r:id="rId2"/>
    <sheet name="nORMALIZADA" sheetId="3" r:id="rId3"/>
  </sheets>
  <calcPr calcId="125725"/>
</workbook>
</file>

<file path=xl/calcChain.xml><?xml version="1.0" encoding="utf-8"?>
<calcChain xmlns="http://schemas.openxmlformats.org/spreadsheetml/2006/main">
  <c r="J7" i="2"/>
  <c r="I7"/>
  <c r="J6"/>
  <c r="I6"/>
  <c r="N29" i="1"/>
  <c r="N30"/>
  <c r="K30"/>
  <c r="K29"/>
  <c r="M23"/>
  <c r="L23"/>
  <c r="N3" i="2"/>
  <c r="N2"/>
  <c r="O21" i="1" l="1"/>
  <c r="K16" s="1"/>
  <c r="D30"/>
  <c r="D29"/>
  <c r="S10" i="2" l="1"/>
  <c r="J3" i="1"/>
  <c r="E29"/>
  <c r="G29" s="1"/>
  <c r="G30"/>
  <c r="F29"/>
  <c r="P19"/>
  <c r="P20"/>
  <c r="P21"/>
  <c r="P18"/>
  <c r="O18"/>
  <c r="O8" s="1"/>
  <c r="H13"/>
  <c r="E30"/>
  <c r="G13"/>
  <c r="I13"/>
  <c r="A29"/>
  <c r="T13" i="3"/>
  <c r="N8" i="1"/>
  <c r="H8"/>
  <c r="L26"/>
  <c r="L27"/>
  <c r="O19"/>
  <c r="O20"/>
  <c r="O10" s="1"/>
  <c r="M8"/>
  <c r="Q18"/>
  <c r="K13"/>
  <c r="J27"/>
  <c r="S11" i="2"/>
  <c r="K11"/>
  <c r="N17" s="1"/>
  <c r="I10"/>
  <c r="N16" s="1"/>
  <c r="M2"/>
  <c r="J26" i="1"/>
  <c r="D18" i="3"/>
  <c r="I30" i="1"/>
  <c r="I29"/>
  <c r="R19"/>
  <c r="R20"/>
  <c r="R21"/>
  <c r="R18"/>
  <c r="L14"/>
  <c r="H16"/>
  <c r="H15"/>
  <c r="H14"/>
  <c r="H11"/>
  <c r="H10"/>
  <c r="H9"/>
  <c r="L3"/>
  <c r="T4"/>
  <c r="D3"/>
  <c r="K3" s="1"/>
  <c r="C3"/>
  <c r="A30" l="1"/>
  <c r="B29"/>
  <c r="B30"/>
  <c r="P8"/>
  <c r="L13"/>
  <c r="L16"/>
  <c r="L15"/>
  <c r="T3"/>
  <c r="T11" i="2"/>
  <c r="T10"/>
  <c r="H30" i="1"/>
  <c r="H29"/>
  <c r="T12"/>
  <c r="U11"/>
  <c r="T11"/>
  <c r="L4"/>
  <c r="G11"/>
  <c r="M3" i="2" l="1"/>
  <c r="T8" i="3"/>
  <c r="T9"/>
  <c r="G26" s="1"/>
  <c r="T10"/>
  <c r="I26" s="1"/>
  <c r="T7"/>
  <c r="I27"/>
  <c r="G27"/>
  <c r="I19"/>
  <c r="A2"/>
  <c r="B2"/>
  <c r="C2"/>
  <c r="D2"/>
  <c r="E2"/>
  <c r="F2"/>
  <c r="G2"/>
  <c r="H2"/>
  <c r="I2"/>
  <c r="K2"/>
  <c r="L2"/>
  <c r="M2"/>
  <c r="N2"/>
  <c r="O2"/>
  <c r="P2"/>
  <c r="Q2"/>
  <c r="R2"/>
  <c r="S2"/>
  <c r="T2"/>
  <c r="U2"/>
  <c r="A3"/>
  <c r="B3"/>
  <c r="C3"/>
  <c r="D3"/>
  <c r="E3"/>
  <c r="F3"/>
  <c r="G3"/>
  <c r="K3"/>
  <c r="L3"/>
  <c r="M3"/>
  <c r="N3"/>
  <c r="O3"/>
  <c r="P3"/>
  <c r="Q3"/>
  <c r="R3"/>
  <c r="S3"/>
  <c r="T3"/>
  <c r="U3"/>
  <c r="C4"/>
  <c r="D4"/>
  <c r="E4"/>
  <c r="F4"/>
  <c r="G4"/>
  <c r="K4"/>
  <c r="L4"/>
  <c r="M4"/>
  <c r="N4"/>
  <c r="O4"/>
  <c r="P4"/>
  <c r="Q4"/>
  <c r="R4"/>
  <c r="S4"/>
  <c r="T4"/>
  <c r="U4"/>
  <c r="A6"/>
  <c r="A7"/>
  <c r="B7"/>
  <c r="C7"/>
  <c r="D7"/>
  <c r="E7"/>
  <c r="F7"/>
  <c r="G7"/>
  <c r="H7"/>
  <c r="K7"/>
  <c r="M7"/>
  <c r="N7"/>
  <c r="O7"/>
  <c r="P7"/>
  <c r="A8"/>
  <c r="B8"/>
  <c r="C8"/>
  <c r="D8"/>
  <c r="E8"/>
  <c r="F8"/>
  <c r="K8"/>
  <c r="B9"/>
  <c r="C9"/>
  <c r="D9"/>
  <c r="E9"/>
  <c r="F9"/>
  <c r="B10"/>
  <c r="C10"/>
  <c r="D10"/>
  <c r="E10"/>
  <c r="F10"/>
  <c r="B11"/>
  <c r="C11"/>
  <c r="D11"/>
  <c r="E11"/>
  <c r="F11"/>
  <c r="G11"/>
  <c r="C12"/>
  <c r="D12"/>
  <c r="E12"/>
  <c r="F12"/>
  <c r="G12"/>
  <c r="H12"/>
  <c r="I12"/>
  <c r="K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C17"/>
  <c r="D17"/>
  <c r="E17"/>
  <c r="F17"/>
  <c r="G17"/>
  <c r="H17"/>
  <c r="I17"/>
  <c r="J17"/>
  <c r="K17"/>
  <c r="L17"/>
  <c r="M17"/>
  <c r="N17"/>
  <c r="O17"/>
  <c r="P17"/>
  <c r="Q17"/>
  <c r="R17"/>
  <c r="B18"/>
  <c r="F18"/>
  <c r="H18"/>
  <c r="J18"/>
  <c r="K18"/>
  <c r="L18"/>
  <c r="M18"/>
  <c r="N18"/>
  <c r="R18"/>
  <c r="B19"/>
  <c r="D19"/>
  <c r="F19"/>
  <c r="H19"/>
  <c r="J19"/>
  <c r="K19"/>
  <c r="L19"/>
  <c r="M19"/>
  <c r="N19"/>
  <c r="B20"/>
  <c r="D20"/>
  <c r="F20"/>
  <c r="H20"/>
  <c r="J20"/>
  <c r="K20"/>
  <c r="L20"/>
  <c r="M20"/>
  <c r="N20"/>
  <c r="B21"/>
  <c r="D21"/>
  <c r="F21"/>
  <c r="H21"/>
  <c r="J21"/>
  <c r="K21"/>
  <c r="L21"/>
  <c r="M21"/>
  <c r="N21"/>
  <c r="A22"/>
  <c r="B22"/>
  <c r="A24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B26"/>
  <c r="C26"/>
  <c r="D26"/>
  <c r="F26"/>
  <c r="H26"/>
  <c r="J26"/>
  <c r="K26"/>
  <c r="L26"/>
  <c r="M26"/>
  <c r="N26"/>
  <c r="Q26"/>
  <c r="R26"/>
  <c r="B27"/>
  <c r="C27"/>
  <c r="D27"/>
  <c r="F27"/>
  <c r="H27"/>
  <c r="J27"/>
  <c r="K27"/>
  <c r="L27"/>
  <c r="M27"/>
  <c r="N27"/>
  <c r="Q27"/>
  <c r="R27"/>
  <c r="A28"/>
  <c r="B28"/>
  <c r="D28"/>
  <c r="E28"/>
  <c r="F28"/>
  <c r="G28"/>
  <c r="B1"/>
  <c r="I3"/>
  <c r="H3"/>
  <c r="O27"/>
  <c r="P27"/>
  <c r="P26"/>
  <c r="O26"/>
  <c r="I14" i="1"/>
  <c r="I14" i="3" s="1"/>
  <c r="I15" i="1"/>
  <c r="I15" i="3" s="1"/>
  <c r="I16" i="1"/>
  <c r="I16" i="3" s="1"/>
  <c r="I13"/>
  <c r="R19"/>
  <c r="R20"/>
  <c r="R21"/>
  <c r="Q19" i="1"/>
  <c r="Q19" i="3" s="1"/>
  <c r="Q20" i="1"/>
  <c r="Q20" i="3" s="1"/>
  <c r="Q21" i="1"/>
  <c r="Q21" i="3" s="1"/>
  <c r="Q18"/>
  <c r="S2" i="2"/>
  <c r="R2"/>
  <c r="G14" i="1"/>
  <c r="G14" i="3" s="1"/>
  <c r="G15" i="1"/>
  <c r="G15" i="3" s="1"/>
  <c r="G16" i="1"/>
  <c r="G16" i="3" s="1"/>
  <c r="H15"/>
  <c r="H16"/>
  <c r="H13"/>
  <c r="H8"/>
  <c r="H9"/>
  <c r="H10"/>
  <c r="H11"/>
  <c r="G9" i="1"/>
  <c r="G9" i="3" s="1"/>
  <c r="G10" i="1"/>
  <c r="G8"/>
  <c r="N11" i="2" l="1"/>
  <c r="N10"/>
  <c r="M11"/>
  <c r="O11" s="1"/>
  <c r="P11" s="1"/>
  <c r="M10"/>
  <c r="O10" s="1"/>
  <c r="F30" i="1"/>
  <c r="A27" i="3"/>
  <c r="C18"/>
  <c r="E26"/>
  <c r="E18"/>
  <c r="G13"/>
  <c r="G8"/>
  <c r="E19"/>
  <c r="C21"/>
  <c r="I21"/>
  <c r="J4"/>
  <c r="J3"/>
  <c r="K15" i="1"/>
  <c r="K15" i="3" s="1"/>
  <c r="O11" i="1"/>
  <c r="O11" i="3" s="1"/>
  <c r="G10"/>
  <c r="P10" i="1"/>
  <c r="P10" i="3" s="1"/>
  <c r="K16"/>
  <c r="P11" i="1"/>
  <c r="P11" i="3" s="1"/>
  <c r="O10"/>
  <c r="P8"/>
  <c r="O8"/>
  <c r="P9" i="1"/>
  <c r="P9" i="3" s="1"/>
  <c r="O9" i="1"/>
  <c r="O9" i="3" s="1"/>
  <c r="H14"/>
  <c r="C19"/>
  <c r="G19"/>
  <c r="O19" s="1"/>
  <c r="C20"/>
  <c r="A26"/>
  <c r="E30"/>
  <c r="G21"/>
  <c r="O21" s="1"/>
  <c r="G18"/>
  <c r="P18" s="1"/>
  <c r="G20"/>
  <c r="D29"/>
  <c r="E21"/>
  <c r="E27"/>
  <c r="D30"/>
  <c r="E20"/>
  <c r="I18"/>
  <c r="I20"/>
  <c r="E29"/>
  <c r="L16"/>
  <c r="L14"/>
  <c r="L15"/>
  <c r="L13"/>
  <c r="K14" i="1"/>
  <c r="K14" i="3" s="1"/>
  <c r="K13"/>
  <c r="M11" i="1"/>
  <c r="M9"/>
  <c r="M10"/>
  <c r="O18" i="3" l="1"/>
  <c r="P10" i="2"/>
  <c r="B30" i="3"/>
  <c r="P19"/>
  <c r="H30"/>
  <c r="A30"/>
  <c r="A29"/>
  <c r="G29"/>
  <c r="P20"/>
  <c r="I30"/>
  <c r="H29"/>
  <c r="I29"/>
  <c r="G30"/>
  <c r="P21"/>
  <c r="B29" s="1"/>
  <c r="N11" i="1"/>
  <c r="N11" i="3" s="1"/>
  <c r="M11"/>
  <c r="N10" i="1"/>
  <c r="N10" i="3" s="1"/>
  <c r="M10"/>
  <c r="N8"/>
  <c r="M8"/>
  <c r="F29"/>
  <c r="N9" i="1"/>
  <c r="N9" i="3" s="1"/>
  <c r="M9"/>
  <c r="F30"/>
  <c r="O20"/>
</calcChain>
</file>

<file path=xl/sharedStrings.xml><?xml version="1.0" encoding="utf-8"?>
<sst xmlns="http://schemas.openxmlformats.org/spreadsheetml/2006/main" count="134" uniqueCount="81">
  <si>
    <t>RESISTENCIA DE CARGA OPTIMA</t>
  </si>
  <si>
    <t>E1 (V)</t>
  </si>
  <si>
    <r>
      <t>R2 (</t>
    </r>
    <r>
      <rPr>
        <sz val="11"/>
        <color theme="1"/>
        <rFont val="Calibri"/>
        <family val="2"/>
      </rPr>
      <t>Ω)</t>
    </r>
  </si>
  <si>
    <t>I1 (A)</t>
  </si>
  <si>
    <t>I2 (A)</t>
  </si>
  <si>
    <t>Ta (ºC)</t>
  </si>
  <si>
    <t>Tb (ºC)</t>
  </si>
  <si>
    <r>
      <t xml:space="preserve">R2 </t>
    </r>
    <r>
      <rPr>
        <vertAlign val="subscript"/>
        <sz val="11"/>
        <color theme="1"/>
        <rFont val="Calibri"/>
        <family val="2"/>
        <scheme val="minor"/>
      </rPr>
      <t xml:space="preserve">optima </t>
    </r>
    <r>
      <rPr>
        <sz val="11"/>
        <color theme="1"/>
        <rFont val="Calibri"/>
        <family val="2"/>
        <scheme val="minor"/>
      </rPr>
      <t>(Ω)</t>
    </r>
  </si>
  <si>
    <t>e R2 (Ω)</t>
  </si>
  <si>
    <t>e I2 (A)</t>
  </si>
  <si>
    <t>e R2 optima (Ω)</t>
  </si>
  <si>
    <t>RENDIMENTO</t>
  </si>
  <si>
    <t>P1 (W)</t>
  </si>
  <si>
    <t>V1 (V)</t>
  </si>
  <si>
    <t>V2 (V)</t>
  </si>
  <si>
    <t>e V1 (V)</t>
  </si>
  <si>
    <t>e I1 (A)</t>
  </si>
  <si>
    <t>e P1 (W)</t>
  </si>
  <si>
    <t>e V2 (V)</t>
  </si>
  <si>
    <t>P2 (W)</t>
  </si>
  <si>
    <t>e P2 (W)</t>
  </si>
  <si>
    <t>e Ta (ºC)</t>
  </si>
  <si>
    <t>e Tb (ºC)</t>
  </si>
  <si>
    <t>P3 (W)</t>
  </si>
  <si>
    <t>e P3 (W)</t>
  </si>
  <si>
    <t>c do fluido</t>
  </si>
  <si>
    <t>e Rendimento</t>
  </si>
  <si>
    <t>POTENCIA TRANSMITIDA A FONTE FRIA</t>
  </si>
  <si>
    <t>Rendimento Carnot</t>
  </si>
  <si>
    <t>dt</t>
  </si>
  <si>
    <t>e dt</t>
  </si>
  <si>
    <t>dv</t>
  </si>
  <si>
    <t>e dv</t>
  </si>
  <si>
    <t>ró H2O</t>
  </si>
  <si>
    <t>Potencia Dissipada</t>
  </si>
  <si>
    <t>RendCorr</t>
  </si>
  <si>
    <t>eRendCorr</t>
  </si>
  <si>
    <t>Rend Real</t>
  </si>
  <si>
    <t>eRend real</t>
  </si>
  <si>
    <t>Pcond</t>
  </si>
  <si>
    <t>ePcond</t>
  </si>
  <si>
    <t>edt</t>
  </si>
  <si>
    <t>edv</t>
  </si>
  <si>
    <t>E2(V)</t>
  </si>
  <si>
    <t>eE2(V)</t>
  </si>
  <si>
    <t>R2</t>
  </si>
  <si>
    <t>rt</t>
  </si>
  <si>
    <t>ert</t>
  </si>
  <si>
    <t>I2</t>
  </si>
  <si>
    <t>eI2</t>
  </si>
  <si>
    <t>P1</t>
  </si>
  <si>
    <t>eP1</t>
  </si>
  <si>
    <t>P3</t>
  </si>
  <si>
    <t>eP3</t>
  </si>
  <si>
    <t>ro</t>
  </si>
  <si>
    <t>c</t>
  </si>
  <si>
    <t>dV</t>
  </si>
  <si>
    <t>e dV</t>
  </si>
  <si>
    <t>e Ra (Ω)</t>
  </si>
  <si>
    <t>Ra (Ω)</t>
  </si>
  <si>
    <t>eficiencia</t>
  </si>
  <si>
    <t>eefi</t>
  </si>
  <si>
    <t>nao esquecer de normalizar a temperatura!!</t>
  </si>
  <si>
    <t>util na diferença de temperaturas no calculo da potencia</t>
  </si>
  <si>
    <t>Ta</t>
  </si>
  <si>
    <t>Tb</t>
  </si>
  <si>
    <t>eR2</t>
  </si>
  <si>
    <t>Tfq (ºC)</t>
  </si>
  <si>
    <t>e Tfq (ºC)</t>
  </si>
  <si>
    <t>Tff (ºC)</t>
  </si>
  <si>
    <t>e Tff (ºC)</t>
  </si>
  <si>
    <t>Tfq</t>
  </si>
  <si>
    <t>Tff</t>
  </si>
  <si>
    <t>P2</t>
  </si>
  <si>
    <t>RendCorrF</t>
  </si>
  <si>
    <t>eRendCorrF</t>
  </si>
  <si>
    <t>eficiencia carnot</t>
  </si>
  <si>
    <t>Vamp (V)</t>
  </si>
  <si>
    <t>e Vamp (V)</t>
  </si>
  <si>
    <t>Valor</t>
  </si>
  <si>
    <t>Erro</t>
  </si>
</sst>
</file>

<file path=xl/styles.xml><?xml version="1.0" encoding="utf-8"?>
<styleSheet xmlns="http://schemas.openxmlformats.org/spreadsheetml/2006/main">
  <numFmts count="3">
    <numFmt numFmtId="164" formatCode="0.000E+00"/>
    <numFmt numFmtId="165" formatCode="0.0000E+00"/>
    <numFmt numFmtId="166" formatCode="0.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0" borderId="1" xfId="0" applyFill="1" applyBorder="1"/>
    <xf numFmtId="1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7" xfId="0" applyNumberFormat="1" applyFill="1" applyBorder="1"/>
    <xf numFmtId="164" fontId="0" fillId="0" borderId="0" xfId="0" applyNumberFormat="1" applyBorder="1"/>
    <xf numFmtId="164" fontId="0" fillId="0" borderId="4" xfId="0" applyNumberFormat="1" applyBorder="1" applyAlignment="1">
      <alignment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6" xfId="0" applyNumberFormat="1" applyFill="1" applyBorder="1"/>
    <xf numFmtId="164" fontId="3" fillId="0" borderId="1" xfId="0" applyNumberFormat="1" applyFont="1" applyBorder="1" applyAlignment="1">
      <alignment horizontal="center" vertical="center"/>
    </xf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2" xfId="0" applyNumberFormat="1" applyBorder="1"/>
    <xf numFmtId="164" fontId="0" fillId="0" borderId="8" xfId="0" applyNumberFormat="1" applyBorder="1"/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4" fontId="0" fillId="3" borderId="0" xfId="0" applyNumberFormat="1" applyFill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6" borderId="1" xfId="0" applyNumberFormat="1" applyFill="1" applyBorder="1"/>
    <xf numFmtId="164" fontId="0" fillId="6" borderId="1" xfId="0" applyNumberFormat="1" applyFill="1" applyBorder="1" applyAlignment="1">
      <alignment horizontal="center" vertical="center"/>
    </xf>
    <xf numFmtId="164" fontId="0" fillId="6" borderId="8" xfId="0" applyNumberFormat="1" applyFill="1" applyBorder="1"/>
    <xf numFmtId="164" fontId="0" fillId="3" borderId="1" xfId="0" applyNumberFormat="1" applyFill="1" applyBorder="1" applyAlignment="1">
      <alignment horizontal="center" vertical="center"/>
    </xf>
    <xf numFmtId="164" fontId="0" fillId="5" borderId="8" xfId="0" applyNumberFormat="1" applyFill="1" applyBorder="1"/>
    <xf numFmtId="164" fontId="0" fillId="5" borderId="2" xfId="0" applyNumberFormat="1" applyFill="1" applyBorder="1"/>
    <xf numFmtId="164" fontId="0" fillId="5" borderId="1" xfId="0" applyNumberFormat="1" applyFill="1" applyBorder="1" applyAlignment="1">
      <alignment horizontal="center" vertical="center"/>
    </xf>
    <xf numFmtId="164" fontId="0" fillId="4" borderId="8" xfId="0" applyNumberFormat="1" applyFill="1" applyBorder="1"/>
    <xf numFmtId="164" fontId="0" fillId="4" borderId="2" xfId="0" applyNumberFormat="1" applyFill="1" applyBorder="1"/>
    <xf numFmtId="164" fontId="0" fillId="4" borderId="1" xfId="0" applyNumberFormat="1" applyFill="1" applyBorder="1" applyAlignment="1">
      <alignment horizontal="center" vertical="center"/>
    </xf>
    <xf numFmtId="164" fontId="0" fillId="2" borderId="8" xfId="0" applyNumberFormat="1" applyFill="1" applyBorder="1"/>
    <xf numFmtId="164" fontId="0" fillId="2" borderId="2" xfId="0" applyNumberFormat="1" applyFill="1" applyBorder="1"/>
    <xf numFmtId="164" fontId="0" fillId="2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/>
    <xf numFmtId="164" fontId="0" fillId="7" borderId="4" xfId="0" applyNumberFormat="1" applyFill="1" applyBorder="1"/>
    <xf numFmtId="164" fontId="0" fillId="7" borderId="8" xfId="0" applyNumberFormat="1" applyFill="1" applyBorder="1"/>
    <xf numFmtId="164" fontId="0" fillId="7" borderId="2" xfId="0" applyNumberFormat="1" applyFill="1" applyBorder="1"/>
    <xf numFmtId="164" fontId="0" fillId="7" borderId="1" xfId="0" applyNumberFormat="1" applyFill="1" applyBorder="1" applyAlignment="1">
      <alignment horizontal="center" vertical="center"/>
    </xf>
    <xf numFmtId="166" fontId="0" fillId="4" borderId="1" xfId="1" applyNumberFormat="1" applyFont="1" applyFill="1" applyBorder="1"/>
    <xf numFmtId="166" fontId="0" fillId="5" borderId="1" xfId="1" applyNumberFormat="1" applyFont="1" applyFill="1" applyBorder="1"/>
    <xf numFmtId="166" fontId="0" fillId="2" borderId="1" xfId="1" applyNumberFormat="1" applyFont="1" applyFill="1" applyBorder="1"/>
    <xf numFmtId="166" fontId="0" fillId="7" borderId="1" xfId="1" applyNumberFormat="1" applyFont="1" applyFill="1" applyBorder="1"/>
    <xf numFmtId="164" fontId="0" fillId="8" borderId="1" xfId="0" applyNumberFormat="1" applyFill="1" applyBorder="1"/>
    <xf numFmtId="166" fontId="0" fillId="3" borderId="1" xfId="1" applyNumberFormat="1" applyFont="1" applyFill="1" applyBorder="1" applyAlignment="1">
      <alignment horizontal="center" vertical="center"/>
    </xf>
    <xf numFmtId="166" fontId="0" fillId="8" borderId="1" xfId="1" applyNumberFormat="1" applyFon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1" fontId="0" fillId="0" borderId="4" xfId="0" applyNumberFormat="1" applyFill="1" applyBorder="1" applyAlignment="1">
      <alignment vertical="center"/>
    </xf>
    <xf numFmtId="11" fontId="0" fillId="0" borderId="1" xfId="0" applyNumberFormat="1" applyFill="1" applyBorder="1"/>
    <xf numFmtId="0" fontId="0" fillId="0" borderId="0" xfId="0" applyFill="1"/>
    <xf numFmtId="11" fontId="0" fillId="0" borderId="3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3" borderId="1" xfId="1" applyNumberFormat="1" applyFont="1" applyFill="1" applyBorder="1"/>
    <xf numFmtId="164" fontId="0" fillId="8" borderId="1" xfId="1" applyNumberFormat="1" applyFont="1" applyFill="1" applyBorder="1"/>
    <xf numFmtId="0" fontId="0" fillId="0" borderId="1" xfId="0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5" fillId="0" borderId="1" xfId="0" applyNumberFormat="1" applyFont="1" applyBorder="1"/>
    <xf numFmtId="164" fontId="0" fillId="0" borderId="1" xfId="0" applyNumberFormat="1" applyFont="1" applyBorder="1"/>
    <xf numFmtId="166" fontId="0" fillId="0" borderId="1" xfId="1" applyNumberFormat="1" applyFont="1" applyBorder="1"/>
    <xf numFmtId="166" fontId="0" fillId="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0" fontId="0" fillId="0" borderId="1" xfId="0" applyNumberFormat="1" applyBorder="1"/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164" fontId="0" fillId="0" borderId="0" xfId="0" applyNumberFormat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9" borderId="4" xfId="0" applyNumberFormat="1" applyFill="1" applyBorder="1" applyAlignment="1">
      <alignment horizontal="center" vertical="center"/>
    </xf>
    <xf numFmtId="164" fontId="0" fillId="9" borderId="3" xfId="0" applyNumberForma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1" fontId="0" fillId="9" borderId="1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/>
    <xf numFmtId="11" fontId="0" fillId="0" borderId="0" xfId="0" applyNumberFormat="1"/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7"/>
  <sheetViews>
    <sheetView topLeftCell="A7" zoomScale="85" zoomScaleNormal="85" workbookViewId="0">
      <selection activeCell="L23" sqref="L23:M23"/>
    </sheetView>
  </sheetViews>
  <sheetFormatPr defaultRowHeight="15"/>
  <cols>
    <col min="1" max="1" width="10.42578125" style="6" bestFit="1" customWidth="1"/>
    <col min="2" max="2" width="11.5703125" style="6" bestFit="1" customWidth="1"/>
    <col min="3" max="3" width="9.5703125" style="6" bestFit="1" customWidth="1"/>
    <col min="4" max="4" width="10.28515625" style="6" bestFit="1" customWidth="1"/>
    <col min="5" max="5" width="9.5703125" style="6" bestFit="1" customWidth="1"/>
    <col min="6" max="6" width="12.85546875" style="6" bestFit="1" customWidth="1"/>
    <col min="7" max="7" width="10.85546875" style="6" bestFit="1" customWidth="1"/>
    <col min="8" max="8" width="19.5703125" style="6" customWidth="1"/>
    <col min="9" max="9" width="18.28515625" style="6" customWidth="1"/>
    <col min="10" max="10" width="12.42578125" style="6" customWidth="1"/>
    <col min="11" max="11" width="15.140625" style="6" customWidth="1"/>
    <col min="12" max="12" width="13.5703125" style="6" customWidth="1"/>
    <col min="13" max="13" width="12.42578125" style="6" bestFit="1" customWidth="1"/>
    <col min="14" max="14" width="13.85546875" style="6" bestFit="1" customWidth="1"/>
    <col min="15" max="15" width="12.140625" style="6" bestFit="1" customWidth="1"/>
    <col min="16" max="16" width="9.5703125" style="6" bestFit="1" customWidth="1"/>
    <col min="17" max="17" width="18.7109375" style="6" bestFit="1" customWidth="1"/>
    <col min="18" max="18" width="13.85546875" style="6" bestFit="1" customWidth="1"/>
    <col min="19" max="19" width="9.28515625" style="6" bestFit="1" customWidth="1"/>
    <col min="20" max="21" width="9.5703125" style="6" bestFit="1" customWidth="1"/>
    <col min="22" max="22" width="10.7109375" style="6" customWidth="1"/>
    <col min="23" max="16384" width="9.140625" style="6"/>
  </cols>
  <sheetData>
    <row r="1" spans="1:23">
      <c r="A1" s="64"/>
      <c r="B1" s="91" t="s">
        <v>0</v>
      </c>
      <c r="C1" s="91"/>
      <c r="D1" s="91"/>
      <c r="E1" s="91"/>
      <c r="F1" s="91"/>
      <c r="G1" s="64"/>
      <c r="H1" s="64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3" ht="18">
      <c r="A2" s="90" t="s">
        <v>77</v>
      </c>
      <c r="B2" s="90" t="s">
        <v>78</v>
      </c>
      <c r="C2" s="90" t="s">
        <v>59</v>
      </c>
      <c r="D2" s="90" t="s">
        <v>58</v>
      </c>
      <c r="E2" s="90" t="s">
        <v>2</v>
      </c>
      <c r="F2" s="90" t="s">
        <v>8</v>
      </c>
      <c r="G2" s="90" t="s">
        <v>1</v>
      </c>
      <c r="H2" s="90" t="s">
        <v>4</v>
      </c>
      <c r="I2" s="90" t="s">
        <v>9</v>
      </c>
      <c r="J2" s="90" t="s">
        <v>7</v>
      </c>
      <c r="K2" s="90" t="s">
        <v>10</v>
      </c>
      <c r="L2" s="63" t="s">
        <v>73</v>
      </c>
      <c r="M2" s="90" t="s">
        <v>67</v>
      </c>
      <c r="N2" s="90" t="s">
        <v>69</v>
      </c>
      <c r="O2" s="90" t="s">
        <v>6</v>
      </c>
      <c r="P2" s="90" t="s">
        <v>5</v>
      </c>
      <c r="Q2" s="63" t="s">
        <v>13</v>
      </c>
      <c r="R2" s="63" t="s">
        <v>14</v>
      </c>
      <c r="S2" s="63" t="s">
        <v>3</v>
      </c>
      <c r="T2" s="63" t="s">
        <v>56</v>
      </c>
      <c r="U2" s="7" t="s">
        <v>57</v>
      </c>
      <c r="V2" s="7" t="s">
        <v>29</v>
      </c>
      <c r="W2" s="7" t="s">
        <v>30</v>
      </c>
    </row>
    <row r="3" spans="1:23">
      <c r="A3" s="94">
        <v>1.54E-2</v>
      </c>
      <c r="B3" s="94">
        <v>1E-4</v>
      </c>
      <c r="C3" s="94">
        <f>A3/H3</f>
        <v>0.24483306836248014</v>
      </c>
      <c r="D3" s="94">
        <f>(B3/H3)+((A3*I3)/H3^2)</f>
        <v>9.3746603612871286E-3</v>
      </c>
      <c r="E3" s="90">
        <v>5</v>
      </c>
      <c r="F3" s="90">
        <v>0.01</v>
      </c>
      <c r="G3" s="90">
        <v>10</v>
      </c>
      <c r="H3" s="96">
        <v>6.2899999999999998E-2</v>
      </c>
      <c r="I3" s="96">
        <v>2E-3</v>
      </c>
      <c r="J3" s="94">
        <f>(5*H3-2*H4)/(H4-H3)-2*C3</f>
        <v>6.1662971660273342</v>
      </c>
      <c r="K3" s="94">
        <f>((E3-E4)*H4*I3/(H4-H3)^2)+((E3-E4)*H3*I4/(H4-H3)^2) + (2*D3)+(H3*F3/(H4-H3))+(H4*F4/(H4-H3))</f>
        <v>1.9499352478330869</v>
      </c>
      <c r="L3" s="63">
        <f>H3*R3</f>
        <v>2.2203699999999996E-2</v>
      </c>
      <c r="M3" s="90">
        <v>47.491</v>
      </c>
      <c r="N3" s="90">
        <v>31.442</v>
      </c>
      <c r="O3" s="90">
        <v>21.16</v>
      </c>
      <c r="P3" s="90">
        <v>20.010999999999999</v>
      </c>
      <c r="Q3" s="97">
        <v>10.63</v>
      </c>
      <c r="R3" s="97">
        <v>0.35299999999999998</v>
      </c>
      <c r="S3" s="97">
        <v>0.51</v>
      </c>
      <c r="T3" s="66">
        <f>80*10^-6</f>
        <v>7.9999999999999993E-5</v>
      </c>
      <c r="U3" s="66">
        <v>4.9999999999999998E-7</v>
      </c>
      <c r="V3" s="66">
        <v>139</v>
      </c>
      <c r="W3" s="66">
        <v>0.01</v>
      </c>
    </row>
    <row r="4" spans="1:23">
      <c r="A4" s="95"/>
      <c r="B4" s="95"/>
      <c r="C4" s="95"/>
      <c r="D4" s="95"/>
      <c r="E4" s="90">
        <v>2</v>
      </c>
      <c r="F4" s="90">
        <v>0.01</v>
      </c>
      <c r="G4" s="90">
        <v>10</v>
      </c>
      <c r="H4" s="98">
        <v>8.4699999999999998E-2</v>
      </c>
      <c r="I4" s="90">
        <v>2E-3</v>
      </c>
      <c r="J4" s="95"/>
      <c r="K4" s="95"/>
      <c r="L4" s="63">
        <f>H4*R4</f>
        <v>1.8557769999999998E-2</v>
      </c>
      <c r="M4" s="90">
        <v>46.960999999999999</v>
      </c>
      <c r="N4" s="90">
        <v>32.210999999999999</v>
      </c>
      <c r="O4" s="90">
        <v>21.754000000000001</v>
      </c>
      <c r="P4" s="90">
        <v>20.536000000000001</v>
      </c>
      <c r="Q4" s="97">
        <v>10.65</v>
      </c>
      <c r="R4" s="97">
        <v>0.21909999999999999</v>
      </c>
      <c r="S4" s="97">
        <v>0.51</v>
      </c>
      <c r="T4" s="66">
        <f>80*10^-6</f>
        <v>7.9999999999999993E-5</v>
      </c>
      <c r="U4" s="66">
        <v>4.9999999999999998E-7</v>
      </c>
      <c r="V4" s="66">
        <v>141</v>
      </c>
      <c r="W4" s="66">
        <v>0.01</v>
      </c>
    </row>
    <row r="5" spans="1:23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23">
      <c r="A6" s="92" t="s">
        <v>11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</row>
    <row r="7" spans="1:23">
      <c r="A7" s="8" t="s">
        <v>2</v>
      </c>
      <c r="B7" s="8" t="s">
        <v>1</v>
      </c>
      <c r="C7" s="8" t="s">
        <v>13</v>
      </c>
      <c r="D7" s="8" t="s">
        <v>15</v>
      </c>
      <c r="E7" s="8" t="s">
        <v>3</v>
      </c>
      <c r="F7" s="8" t="s">
        <v>16</v>
      </c>
      <c r="G7" s="8" t="s">
        <v>12</v>
      </c>
      <c r="H7" s="8" t="s">
        <v>17</v>
      </c>
      <c r="I7" s="8"/>
      <c r="J7" s="5"/>
      <c r="K7" s="4" t="s">
        <v>33</v>
      </c>
      <c r="L7" s="5"/>
      <c r="M7" s="4" t="s">
        <v>37</v>
      </c>
      <c r="N7" s="4" t="s">
        <v>38</v>
      </c>
      <c r="O7" s="9" t="s">
        <v>35</v>
      </c>
      <c r="P7" s="9" t="s">
        <v>36</v>
      </c>
      <c r="Q7" s="5"/>
      <c r="R7" s="5"/>
    </row>
    <row r="8" spans="1:23">
      <c r="A8" s="92">
        <v>6</v>
      </c>
      <c r="B8" s="4">
        <v>7</v>
      </c>
      <c r="C8" s="4">
        <v>7.23</v>
      </c>
      <c r="D8" s="4">
        <v>0.01</v>
      </c>
      <c r="E8" s="4">
        <v>0.35</v>
      </c>
      <c r="F8" s="4">
        <v>0.01</v>
      </c>
      <c r="G8" s="4">
        <f>C8*E8</f>
        <v>2.5305</v>
      </c>
      <c r="H8" s="4">
        <f>(E8*D8)+(C8*F8)</f>
        <v>7.5800000000000006E-2</v>
      </c>
      <c r="I8" s="4"/>
      <c r="J8" s="5"/>
      <c r="K8" s="4">
        <v>1000</v>
      </c>
      <c r="L8" s="5"/>
      <c r="M8" s="31">
        <f>G13/G8</f>
        <v>1.9512507409602845E-3</v>
      </c>
      <c r="N8" s="84">
        <f>M8*(H8/G8+H13/G13)</f>
        <v>7.4769731738703649E-5</v>
      </c>
      <c r="O8" s="31">
        <f>G13/(G13+O18)</f>
        <v>3.4187136108593222E-3</v>
      </c>
      <c r="P8" s="84">
        <f>O18*H13/(G13+O18)^2+G13*P18/(G13+O18)^2</f>
        <v>2.7234352419656192E-3</v>
      </c>
      <c r="Q8" s="5"/>
      <c r="R8" s="5"/>
    </row>
    <row r="9" spans="1:23">
      <c r="A9" s="92"/>
      <c r="B9" s="4">
        <v>10</v>
      </c>
      <c r="C9" s="4">
        <v>10.65</v>
      </c>
      <c r="D9" s="4">
        <v>0.01</v>
      </c>
      <c r="E9" s="4">
        <v>0.51</v>
      </c>
      <c r="F9" s="4">
        <v>0.01</v>
      </c>
      <c r="G9" s="4">
        <f>C9*E9</f>
        <v>5.4315000000000007</v>
      </c>
      <c r="H9" s="4">
        <f>(E9*D9)+(C9*F9)</f>
        <v>0.1116</v>
      </c>
      <c r="I9" s="4"/>
      <c r="J9" s="5"/>
      <c r="K9" s="5"/>
      <c r="L9" s="5"/>
      <c r="M9" s="31">
        <f>G14/G9</f>
        <v>4.1143330571665289E-3</v>
      </c>
      <c r="N9" s="84">
        <f>M9*(H9/G9+H14/G14)</f>
        <v>1.0075661772618697E-4</v>
      </c>
      <c r="O9" s="31">
        <f>G14/(G14+O19)</f>
        <v>7.0370355208593536E-3</v>
      </c>
      <c r="P9" s="84">
        <f>O19*H14/(G14+O19)^2+G14*P19/(G14+O19)^2</f>
        <v>2.5744376076991243E-3</v>
      </c>
      <c r="Q9" s="5"/>
      <c r="R9" s="5"/>
    </row>
    <row r="10" spans="1:23">
      <c r="A10" s="92"/>
      <c r="B10" s="4">
        <v>13</v>
      </c>
      <c r="C10" s="65">
        <v>13.15</v>
      </c>
      <c r="D10" s="4">
        <v>0.01</v>
      </c>
      <c r="E10" s="4">
        <v>0.63</v>
      </c>
      <c r="F10" s="4">
        <v>0.01</v>
      </c>
      <c r="G10" s="4">
        <f>C10*E10</f>
        <v>8.2844999999999995</v>
      </c>
      <c r="H10" s="4">
        <f>(E10*D10)+(C10*F10)</f>
        <v>0.13780000000000001</v>
      </c>
      <c r="I10" s="4"/>
      <c r="J10" s="5"/>
      <c r="K10" s="5"/>
      <c r="L10" s="5"/>
      <c r="M10" s="31">
        <f>G15/G10</f>
        <v>5.7454644215100496E-3</v>
      </c>
      <c r="N10" s="84">
        <f>M10*(H10/G10+H15/G15)</f>
        <v>1.1091375427413663E-4</v>
      </c>
      <c r="O10" s="31">
        <f>G15/(G15+O20)</f>
        <v>8.9674138352883077E-3</v>
      </c>
      <c r="P10" s="84">
        <f>O20*H15/(G15+O20)^2+G15*P20/(G15+O20)^2</f>
        <v>1.9879558686006472E-3</v>
      </c>
      <c r="Q10" s="5"/>
      <c r="R10" s="5"/>
    </row>
    <row r="11" spans="1:23">
      <c r="A11" s="92"/>
      <c r="B11" s="4">
        <v>16</v>
      </c>
      <c r="C11" s="4">
        <v>16</v>
      </c>
      <c r="D11" s="4">
        <v>0.01</v>
      </c>
      <c r="E11" s="4">
        <v>0.76</v>
      </c>
      <c r="F11" s="4">
        <v>0.01</v>
      </c>
      <c r="G11" s="4">
        <f>C11*E11</f>
        <v>12.16</v>
      </c>
      <c r="H11" s="4">
        <f>(E11*D11)+(C11*F11)</f>
        <v>0.1676</v>
      </c>
      <c r="I11" s="4"/>
      <c r="J11" s="5"/>
      <c r="K11" s="92" t="s">
        <v>34</v>
      </c>
      <c r="L11" s="92"/>
      <c r="M11" s="31">
        <f>G16/G11</f>
        <v>7.4651644736842097E-3</v>
      </c>
      <c r="N11" s="84">
        <f>M11*(H11/G11+H16/G16)</f>
        <v>1.173422340287396E-4</v>
      </c>
      <c r="O11" s="31">
        <f>G16/(G16+O21)</f>
        <v>1.3686858906258696E-2</v>
      </c>
      <c r="P11" s="84">
        <f>O21*H16/(G16+O21)^2+G16*P21/(G16+O21)^2</f>
        <v>2.442103438205564E-3</v>
      </c>
      <c r="Q11" s="5"/>
      <c r="R11" s="5"/>
      <c r="T11" s="6">
        <f>81.654-46.306</f>
        <v>35.347999999999999</v>
      </c>
      <c r="U11" s="6">
        <f>77.99-42.858</f>
        <v>35.131999999999998</v>
      </c>
    </row>
    <row r="12" spans="1:23">
      <c r="A12" s="5"/>
      <c r="B12" s="5"/>
      <c r="C12" s="4" t="s">
        <v>14</v>
      </c>
      <c r="D12" s="4" t="s">
        <v>18</v>
      </c>
      <c r="E12" s="4" t="s">
        <v>4</v>
      </c>
      <c r="F12" s="4" t="s">
        <v>9</v>
      </c>
      <c r="G12" s="4" t="s">
        <v>19</v>
      </c>
      <c r="H12" s="4" t="s">
        <v>20</v>
      </c>
      <c r="I12" s="4" t="s">
        <v>19</v>
      </c>
      <c r="K12" s="75" t="s">
        <v>79</v>
      </c>
      <c r="L12" s="75" t="s">
        <v>80</v>
      </c>
      <c r="M12" s="5"/>
      <c r="N12" s="5"/>
      <c r="O12" s="5"/>
      <c r="P12" s="5"/>
      <c r="Q12" s="5"/>
      <c r="R12" s="5"/>
      <c r="T12" s="6">
        <f>C18-E18</f>
        <v>7.6449999999999996</v>
      </c>
    </row>
    <row r="13" spans="1:23">
      <c r="A13" s="93"/>
      <c r="B13" s="10">
        <v>7</v>
      </c>
      <c r="C13" s="4">
        <v>0.1789</v>
      </c>
      <c r="D13" s="63">
        <v>2.0000000000000001E-4</v>
      </c>
      <c r="E13" s="4">
        <v>2.76E-2</v>
      </c>
      <c r="F13" s="63">
        <v>2.0000000000000001E-4</v>
      </c>
      <c r="G13" s="4">
        <f>C13*E13</f>
        <v>4.9376400000000001E-3</v>
      </c>
      <c r="H13" s="4">
        <f>(E13*D13)+(C13*F13)</f>
        <v>4.1300000000000001E-5</v>
      </c>
      <c r="I13" s="4">
        <f>E13*E13*A$8</f>
        <v>4.5705599999999996E-3</v>
      </c>
      <c r="J13" s="5"/>
      <c r="K13" s="73">
        <f>G8-G13-O18</f>
        <v>1.0862023599999993</v>
      </c>
      <c r="L13" s="73">
        <f>(H8+H13+P18)</f>
        <v>1.2143667012422359</v>
      </c>
      <c r="M13" s="5"/>
      <c r="N13" s="5"/>
      <c r="O13" s="5"/>
      <c r="P13" s="5"/>
      <c r="Q13" s="5"/>
      <c r="R13" s="5"/>
    </row>
    <row r="14" spans="1:23">
      <c r="A14" s="93"/>
      <c r="B14" s="10">
        <v>10</v>
      </c>
      <c r="C14" s="4">
        <v>0.38200000000000001</v>
      </c>
      <c r="D14" s="4">
        <v>2.0000000000000001E-4</v>
      </c>
      <c r="E14" s="4">
        <v>5.8500000000000003E-2</v>
      </c>
      <c r="F14" s="4">
        <v>2.0000000000000001E-4</v>
      </c>
      <c r="G14" s="4">
        <f>C14*E14</f>
        <v>2.2347000000000002E-2</v>
      </c>
      <c r="H14" s="4">
        <f>(E14*D14)+(C14*F14)</f>
        <v>8.81E-5</v>
      </c>
      <c r="I14" s="4">
        <f>E14*E14*A$8</f>
        <v>2.0533500000000003E-2</v>
      </c>
      <c r="J14" s="89"/>
      <c r="K14" s="73">
        <f>G9-G14-O19</f>
        <v>2.2558730000000042</v>
      </c>
      <c r="L14" s="73">
        <f>(H9+H14+P19)</f>
        <v>1.2610319559006211</v>
      </c>
      <c r="M14" s="5"/>
      <c r="N14" s="5"/>
      <c r="O14" s="5"/>
      <c r="P14" s="5"/>
      <c r="Q14" s="5"/>
      <c r="R14" s="5"/>
    </row>
    <row r="15" spans="1:23">
      <c r="A15" s="93"/>
      <c r="B15" s="10">
        <v>13</v>
      </c>
      <c r="C15" s="4">
        <v>0.54900000000000004</v>
      </c>
      <c r="D15" s="63">
        <v>2.0000000000000001E-4</v>
      </c>
      <c r="E15" s="4">
        <v>8.6699999999999999E-2</v>
      </c>
      <c r="F15" s="63">
        <v>2.0000000000000001E-4</v>
      </c>
      <c r="G15" s="4">
        <f>C15*E15</f>
        <v>4.7598300000000003E-2</v>
      </c>
      <c r="H15" s="4">
        <f>(E15*D15)+(C15*F15)</f>
        <v>1.2714000000000001E-4</v>
      </c>
      <c r="I15" s="4">
        <f>E15*E15*A$8</f>
        <v>4.5101340000000004E-2</v>
      </c>
      <c r="J15" s="89"/>
      <c r="K15" s="4">
        <f>G10-G15-O20</f>
        <v>2.9765816999999979</v>
      </c>
      <c r="L15" s="63">
        <f t="shared" ref="L15:L16" si="0">(H10+H15+P20)</f>
        <v>1.3005708679503105</v>
      </c>
      <c r="M15" s="5"/>
      <c r="N15" s="5"/>
      <c r="O15" s="5"/>
      <c r="P15" s="68"/>
      <c r="Q15" s="5"/>
      <c r="R15" s="5"/>
    </row>
    <row r="16" spans="1:23">
      <c r="A16" s="93"/>
      <c r="B16" s="10">
        <v>16</v>
      </c>
      <c r="C16" s="4">
        <v>0.75900000000000001</v>
      </c>
      <c r="D16" s="63">
        <v>2.0000000000000001E-4</v>
      </c>
      <c r="E16" s="4">
        <v>0.1196</v>
      </c>
      <c r="F16" s="63">
        <v>2.0000000000000001E-4</v>
      </c>
      <c r="G16" s="24">
        <f>C16*E16</f>
        <v>9.0776399999999993E-2</v>
      </c>
      <c r="H16" s="4">
        <f>(E16*D16)+(C16*F16)</f>
        <v>1.7572E-4</v>
      </c>
      <c r="I16" s="4">
        <f>E16*E16*A$8</f>
        <v>8.5824960000000006E-2</v>
      </c>
      <c r="J16" s="89"/>
      <c r="K16" s="4">
        <f>G11-G16-O21</f>
        <v>5.527623600000001</v>
      </c>
      <c r="L16" s="63">
        <f t="shared" si="0"/>
        <v>1.3385070305590063</v>
      </c>
      <c r="M16" s="5"/>
      <c r="N16" s="5"/>
      <c r="O16" s="5"/>
      <c r="P16" s="5"/>
      <c r="Q16" s="5"/>
      <c r="R16" s="5"/>
    </row>
    <row r="17" spans="1:20">
      <c r="A17" s="5"/>
      <c r="B17" s="5"/>
      <c r="C17" s="25" t="s">
        <v>67</v>
      </c>
      <c r="D17" s="25" t="s">
        <v>68</v>
      </c>
      <c r="E17" s="25" t="s">
        <v>69</v>
      </c>
      <c r="F17" s="25" t="s">
        <v>70</v>
      </c>
      <c r="G17" s="25" t="s">
        <v>6</v>
      </c>
      <c r="H17" s="25" t="s">
        <v>22</v>
      </c>
      <c r="I17" s="25" t="s">
        <v>5</v>
      </c>
      <c r="J17" s="25" t="s">
        <v>21</v>
      </c>
      <c r="K17" s="4" t="s">
        <v>29</v>
      </c>
      <c r="L17" s="4" t="s">
        <v>30</v>
      </c>
      <c r="M17" s="4" t="s">
        <v>31</v>
      </c>
      <c r="N17" s="4" t="s">
        <v>32</v>
      </c>
      <c r="O17" s="4" t="s">
        <v>23</v>
      </c>
      <c r="P17" s="19" t="s">
        <v>24</v>
      </c>
      <c r="Q17" s="9" t="s">
        <v>28</v>
      </c>
      <c r="R17" s="9" t="s">
        <v>26</v>
      </c>
      <c r="S17" s="11"/>
      <c r="T17" s="12"/>
    </row>
    <row r="18" spans="1:20">
      <c r="A18" s="5"/>
      <c r="B18" s="4">
        <v>7</v>
      </c>
      <c r="C18" s="4">
        <v>34.719000000000001</v>
      </c>
      <c r="D18" s="73">
        <v>0.27150000000000002</v>
      </c>
      <c r="E18" s="4">
        <v>27.074000000000002</v>
      </c>
      <c r="F18" s="73">
        <v>0.27150000000000002</v>
      </c>
      <c r="G18" s="4">
        <v>22.132999999999999</v>
      </c>
      <c r="H18" s="73">
        <v>0.27150000000000002</v>
      </c>
      <c r="I18" s="4">
        <v>21.440999999999999</v>
      </c>
      <c r="J18" s="73">
        <v>0.27150000000000002</v>
      </c>
      <c r="K18" s="13">
        <v>161</v>
      </c>
      <c r="L18" s="13">
        <v>0.01</v>
      </c>
      <c r="M18" s="13">
        <v>8.0000000000000007E-5</v>
      </c>
      <c r="N18" s="13">
        <v>4.9999999999999998E-7</v>
      </c>
      <c r="O18" s="67">
        <f>(G18-I18)*B$22*K$8*M18/K18</f>
        <v>1.4393600000000006</v>
      </c>
      <c r="P18" s="4">
        <f>K$8*B$22*(((G18-I18)*N18)/K18+(M18*(H18+J18))/K18+((G18-I18)*M18*L18)/K18^2)</f>
        <v>1.1385254012422359</v>
      </c>
      <c r="Q18" s="31">
        <f>1-(E18+273.15)/(C18+273.15)</f>
        <v>2.4831990229610579E-2</v>
      </c>
      <c r="R18" s="83">
        <f>((F18/C18)+(D18*E18/(C18*C18)))</f>
        <v>1.3917931625530698E-2</v>
      </c>
    </row>
    <row r="19" spans="1:20">
      <c r="A19" s="5"/>
      <c r="B19" s="4">
        <v>10</v>
      </c>
      <c r="C19" s="3">
        <v>49.61</v>
      </c>
      <c r="D19" s="73">
        <v>0.27150000000000002</v>
      </c>
      <c r="E19" s="4">
        <v>33.264000000000003</v>
      </c>
      <c r="F19" s="73">
        <v>0.27150000000000002</v>
      </c>
      <c r="G19" s="14">
        <v>22.613</v>
      </c>
      <c r="H19" s="73">
        <v>0.27150000000000002</v>
      </c>
      <c r="I19" s="4">
        <v>21.097000000000001</v>
      </c>
      <c r="J19" s="73">
        <v>0.27150000000000002</v>
      </c>
      <c r="K19" s="13">
        <v>161</v>
      </c>
      <c r="L19" s="13">
        <v>0.01</v>
      </c>
      <c r="M19" s="13">
        <v>8.0000000000000007E-5</v>
      </c>
      <c r="N19" s="13">
        <v>4.9999999999999998E-7</v>
      </c>
      <c r="O19" s="67">
        <f t="shared" ref="O19:O20" si="1">(G19-I19)*B$22*K$8*M19/K19</f>
        <v>3.1532799999999965</v>
      </c>
      <c r="P19" s="73">
        <f t="shared" ref="P19:P21" si="2">K$8*B$22*(((G19-I19)*N19)/K19+(M19*(H19+J19))/K19+((G19-I19)*M19*L19)/K19^2)</f>
        <v>1.149343855900621</v>
      </c>
      <c r="Q19" s="31">
        <f>1-(E19+273.15)/(C19+273.15)</f>
        <v>5.064444169042015E-2</v>
      </c>
      <c r="R19" s="83">
        <f t="shared" ref="R19:R21" si="3">((F19/C19)+(D19*E19/(C19*C19)))</f>
        <v>9.1421781693215975E-3</v>
      </c>
    </row>
    <row r="20" spans="1:20">
      <c r="A20" s="5"/>
      <c r="B20" s="4">
        <v>13</v>
      </c>
      <c r="C20" s="4">
        <v>64.744</v>
      </c>
      <c r="D20" s="73">
        <v>0.27150000000000002</v>
      </c>
      <c r="E20" s="4">
        <v>40.1</v>
      </c>
      <c r="F20" s="73">
        <v>0.27150000000000002</v>
      </c>
      <c r="G20" s="4">
        <v>24.486999999999998</v>
      </c>
      <c r="H20" s="73">
        <v>0.27150000000000002</v>
      </c>
      <c r="I20" s="4">
        <v>21.957999999999998</v>
      </c>
      <c r="J20" s="73">
        <v>0.27150000000000002</v>
      </c>
      <c r="K20" s="13">
        <v>161</v>
      </c>
      <c r="L20" s="13">
        <v>0.01</v>
      </c>
      <c r="M20" s="13">
        <v>8.0000000000000007E-5</v>
      </c>
      <c r="N20" s="13">
        <v>4.9999999999999998E-7</v>
      </c>
      <c r="O20" s="67">
        <f t="shared" si="1"/>
        <v>5.260320000000001</v>
      </c>
      <c r="P20" s="73">
        <f t="shared" si="2"/>
        <v>1.1626437279503106</v>
      </c>
      <c r="Q20" s="31">
        <f>1-(E20+273.15)/(C20+273.15)</f>
        <v>7.2934115432650493E-2</v>
      </c>
      <c r="R20" s="83">
        <f t="shared" si="3"/>
        <v>6.7906971278790165E-3</v>
      </c>
    </row>
    <row r="21" spans="1:20">
      <c r="A21" s="5"/>
      <c r="B21" s="4">
        <v>16</v>
      </c>
      <c r="C21" s="15">
        <v>86.489000000000004</v>
      </c>
      <c r="D21" s="73">
        <v>0.27150000000000002</v>
      </c>
      <c r="E21" s="15">
        <v>51.116999999999997</v>
      </c>
      <c r="F21" s="73">
        <v>0.27150000000000002</v>
      </c>
      <c r="G21" s="15">
        <v>25.899000000000001</v>
      </c>
      <c r="H21" s="73">
        <v>0.27150000000000002</v>
      </c>
      <c r="I21" s="15">
        <v>22.754000000000001</v>
      </c>
      <c r="J21" s="73">
        <v>0.27150000000000002</v>
      </c>
      <c r="K21" s="13">
        <v>161</v>
      </c>
      <c r="L21" s="13">
        <v>0.01</v>
      </c>
      <c r="M21" s="13">
        <v>8.0000000000000007E-5</v>
      </c>
      <c r="N21" s="13">
        <v>4.9999999999999998E-7</v>
      </c>
      <c r="O21" s="67">
        <f>(G21-I21)*B$22*K$8*M21/K21</f>
        <v>6.5415999999999999</v>
      </c>
      <c r="P21" s="73">
        <f t="shared" si="2"/>
        <v>1.1707313105590063</v>
      </c>
      <c r="Q21" s="31">
        <f>1-(E21+273.15)/(C21+273.15)</f>
        <v>9.8354182944563884E-2</v>
      </c>
      <c r="R21" s="83">
        <f t="shared" si="3"/>
        <v>4.9944245094077364E-3</v>
      </c>
    </row>
    <row r="22" spans="1:20">
      <c r="A22" s="4" t="s">
        <v>25</v>
      </c>
      <c r="B22" s="4">
        <v>4186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/>
    </row>
    <row r="23" spans="1:20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99">
        <f>M18/K18</f>
        <v>4.9689440993788825E-7</v>
      </c>
      <c r="M23" s="99">
        <f>L18*M18/(K18*K18)+N18/K18</f>
        <v>3.1364530689402415E-9</v>
      </c>
      <c r="N23" s="5"/>
      <c r="O23" s="5"/>
      <c r="P23" s="5"/>
      <c r="Q23" s="5"/>
      <c r="R23" s="5"/>
    </row>
    <row r="24" spans="1:20">
      <c r="A24" s="6" t="s">
        <v>27</v>
      </c>
    </row>
    <row r="25" spans="1:20">
      <c r="A25" s="25" t="s">
        <v>67</v>
      </c>
      <c r="B25" s="25" t="s">
        <v>68</v>
      </c>
      <c r="C25" s="7" t="s">
        <v>1</v>
      </c>
      <c r="D25" s="25" t="s">
        <v>69</v>
      </c>
      <c r="E25" s="25" t="s">
        <v>70</v>
      </c>
      <c r="F25" s="25" t="s">
        <v>6</v>
      </c>
      <c r="G25" s="25" t="s">
        <v>22</v>
      </c>
      <c r="H25" s="25" t="s">
        <v>5</v>
      </c>
      <c r="I25" s="25" t="s">
        <v>21</v>
      </c>
      <c r="J25" s="7" t="s">
        <v>29</v>
      </c>
      <c r="K25" s="7" t="s">
        <v>41</v>
      </c>
      <c r="L25" s="7" t="s">
        <v>31</v>
      </c>
      <c r="M25" s="7" t="s">
        <v>42</v>
      </c>
      <c r="N25" s="7" t="s">
        <v>13</v>
      </c>
      <c r="O25" s="7" t="s">
        <v>15</v>
      </c>
      <c r="P25" s="7" t="s">
        <v>3</v>
      </c>
      <c r="Q25" s="7" t="s">
        <v>16</v>
      </c>
    </row>
    <row r="26" spans="1:20">
      <c r="A26" s="7">
        <v>84.947000000000003</v>
      </c>
      <c r="B26" s="73">
        <v>0.27150000000000002</v>
      </c>
      <c r="C26" s="7">
        <v>16</v>
      </c>
      <c r="D26" s="7">
        <v>50.363999999999997</v>
      </c>
      <c r="E26" s="73">
        <v>0.27150000000000002</v>
      </c>
      <c r="F26" s="80">
        <v>26.3</v>
      </c>
      <c r="G26" s="73">
        <v>0.27150000000000002</v>
      </c>
      <c r="H26" s="81">
        <v>23.213999999999999</v>
      </c>
      <c r="I26" s="73">
        <v>0.27150000000000002</v>
      </c>
      <c r="J26" s="66">
        <f>60*3+12</f>
        <v>192</v>
      </c>
      <c r="K26" s="7">
        <v>0.1</v>
      </c>
      <c r="L26" s="66">
        <f>80*10^-6</f>
        <v>7.9999999999999993E-5</v>
      </c>
      <c r="M26" s="7">
        <v>4.9999999999999998E-7</v>
      </c>
      <c r="N26" s="7">
        <v>14.62</v>
      </c>
      <c r="O26" s="73">
        <v>0.01</v>
      </c>
      <c r="P26" s="7">
        <v>0.71</v>
      </c>
      <c r="Q26" s="67">
        <v>0.01</v>
      </c>
    </row>
    <row r="27" spans="1:20">
      <c r="A27" s="7">
        <v>37.558</v>
      </c>
      <c r="B27" s="73">
        <v>0.27150000000000002</v>
      </c>
      <c r="C27" s="7">
        <v>7</v>
      </c>
      <c r="D27" s="7">
        <v>29.852</v>
      </c>
      <c r="E27" s="73">
        <v>0.27150000000000002</v>
      </c>
      <c r="F27" s="80">
        <v>23.221</v>
      </c>
      <c r="G27" s="73">
        <v>0.27150000000000002</v>
      </c>
      <c r="H27" s="80">
        <v>22.582999999999998</v>
      </c>
      <c r="I27" s="73">
        <v>0.27150000000000002</v>
      </c>
      <c r="J27" s="66">
        <f>60*3+12</f>
        <v>192</v>
      </c>
      <c r="K27" s="7">
        <v>0.1</v>
      </c>
      <c r="L27" s="66">
        <f>80*10^-6</f>
        <v>7.9999999999999993E-5</v>
      </c>
      <c r="M27" s="7">
        <v>4.9999999999999998E-7</v>
      </c>
      <c r="N27" s="7">
        <v>6.58</v>
      </c>
      <c r="O27" s="73">
        <v>0.01</v>
      </c>
      <c r="P27" s="7">
        <v>0.32</v>
      </c>
      <c r="Q27" s="67">
        <v>0.01</v>
      </c>
    </row>
    <row r="28" spans="1:20">
      <c r="A28" s="7" t="s">
        <v>74</v>
      </c>
      <c r="B28" s="7" t="s">
        <v>75</v>
      </c>
      <c r="D28" s="7" t="s">
        <v>39</v>
      </c>
      <c r="E28" s="7" t="s">
        <v>40</v>
      </c>
      <c r="F28" s="18" t="s">
        <v>46</v>
      </c>
      <c r="G28" s="18" t="s">
        <v>47</v>
      </c>
      <c r="H28" s="74" t="s">
        <v>28</v>
      </c>
      <c r="I28" s="74" t="s">
        <v>26</v>
      </c>
    </row>
    <row r="29" spans="1:20">
      <c r="A29" s="82">
        <f>G16/(G16+O21-D29)</f>
        <v>7.262820463926864E-2</v>
      </c>
      <c r="B29" s="85">
        <f>(((O21-D29)*H16)+(G16*P21)+(G16*E29))/(G16+O21-D29)^2</f>
        <v>0.12531049147662832</v>
      </c>
      <c r="D29" s="7">
        <f>(F26-H26)*B$22*K$8*L26/J26</f>
        <v>5.3824983333333352</v>
      </c>
      <c r="E29" s="7">
        <f>K$8*B$22*((L26*G26/J26)+(L26*I26/J26)+((F26-H26)*M26/J26)+((F26-H26)*L26*K26/(J26^2)))</f>
        <v>0.98352649913194434</v>
      </c>
      <c r="F29" s="7">
        <f>(A26-D26)/D29</f>
        <v>6.4250832714300259</v>
      </c>
      <c r="G29" s="7">
        <f>(E26+B26)/D29+((A26-D26)*E29)/D29^2</f>
        <v>1.2749171911644728</v>
      </c>
      <c r="H29" s="31">
        <f>1-(D26+273.15)/(A26+273.15)</f>
        <v>9.6574391854721053E-2</v>
      </c>
      <c r="I29" s="83">
        <f>((E26/A26)+(B26*D26/(A26*A26)))</f>
        <v>5.0910439453571241E-3</v>
      </c>
      <c r="K29" s="100">
        <f>A26-D26</f>
        <v>34.583000000000006</v>
      </c>
      <c r="N29" s="100">
        <f>C21-E21</f>
        <v>35.372000000000007</v>
      </c>
    </row>
    <row r="30" spans="1:20">
      <c r="A30" s="82">
        <f>G13/(G13+O18-D30)</f>
        <v>1.4893974199109582E-2</v>
      </c>
      <c r="B30" s="85">
        <f>(ABS((O18-D30)*H13)+G13*E30+G13*P18)/(G13+O18-D30)^2</f>
        <v>9.4160105389018631E-2</v>
      </c>
      <c r="D30" s="7">
        <f>(F27-H27)*B$22*K$8*L27/J27</f>
        <v>1.1127783333333361</v>
      </c>
      <c r="E30" s="7">
        <f>K$8*B$22*((L27*G27/J27)+(L27*I27/J27)+((F27-H27)*M27/J27)+((F27-H27)*L27*K27/(J27^2)))</f>
        <v>0.95461693663194447</v>
      </c>
      <c r="F30" s="7">
        <f>(A27-D27)/ABS(D30)</f>
        <v>6.9250090239595314</v>
      </c>
      <c r="G30" s="7">
        <f>(E27+B27)/D30+((A27-D27)*E30)/D30^2</f>
        <v>6.4287115288916201</v>
      </c>
      <c r="H30" s="31">
        <f>1-(D27+273.15)/(A27+273.15)</f>
        <v>2.4801421270131518E-2</v>
      </c>
      <c r="I30" s="83">
        <f>((E27/A27)+(B27*D27/(A27*A27)))</f>
        <v>1.2974458637403336E-2</v>
      </c>
      <c r="K30" s="100">
        <f>A27-D27</f>
        <v>7.7059999999999995</v>
      </c>
      <c r="N30" s="100">
        <f>C18-E18</f>
        <v>7.6449999999999996</v>
      </c>
    </row>
    <row r="32" spans="1:20">
      <c r="A32" s="86"/>
      <c r="B32" s="86"/>
      <c r="L32" s="101">
        <v>4.1666666666666672E-7</v>
      </c>
      <c r="M32" s="101">
        <v>2.6258680555555555E-9</v>
      </c>
    </row>
    <row r="33" spans="1:2">
      <c r="A33" s="87"/>
      <c r="B33" s="87"/>
    </row>
    <row r="34" spans="1:2">
      <c r="A34" s="87"/>
      <c r="B34" s="87"/>
    </row>
    <row r="35" spans="1:2">
      <c r="A35" s="87"/>
      <c r="B35" s="87"/>
    </row>
    <row r="36" spans="1:2">
      <c r="A36" s="87"/>
      <c r="B36" s="87"/>
    </row>
    <row r="37" spans="1:2">
      <c r="A37" s="87"/>
      <c r="B37" s="87"/>
    </row>
  </sheetData>
  <mergeCells count="11">
    <mergeCell ref="B1:F1"/>
    <mergeCell ref="A8:A11"/>
    <mergeCell ref="A13:A16"/>
    <mergeCell ref="A6:R6"/>
    <mergeCell ref="K11:L11"/>
    <mergeCell ref="J3:J4"/>
    <mergeCell ref="K3:K4"/>
    <mergeCell ref="A3:A4"/>
    <mergeCell ref="B3:B4"/>
    <mergeCell ref="C3:C4"/>
    <mergeCell ref="D3: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4"/>
  <sheetViews>
    <sheetView tabSelected="1" workbookViewId="0">
      <selection activeCell="L1" sqref="G1:L1"/>
    </sheetView>
  </sheetViews>
  <sheetFormatPr defaultRowHeight="15"/>
  <cols>
    <col min="19" max="19" width="15.42578125" customWidth="1"/>
  </cols>
  <sheetData>
    <row r="1" spans="1:21">
      <c r="A1" s="1" t="s">
        <v>43</v>
      </c>
      <c r="B1" s="1" t="s">
        <v>44</v>
      </c>
      <c r="C1" s="1" t="s">
        <v>45</v>
      </c>
      <c r="D1" s="1" t="s">
        <v>66</v>
      </c>
      <c r="E1" s="1" t="s">
        <v>48</v>
      </c>
      <c r="F1" s="1" t="s">
        <v>49</v>
      </c>
      <c r="G1" s="1" t="s">
        <v>14</v>
      </c>
      <c r="H1" s="1" t="s">
        <v>18</v>
      </c>
      <c r="I1" s="1" t="s">
        <v>13</v>
      </c>
      <c r="J1" s="1" t="s">
        <v>15</v>
      </c>
      <c r="K1" s="1" t="s">
        <v>3</v>
      </c>
      <c r="L1" s="1" t="s">
        <v>16</v>
      </c>
      <c r="M1" s="2" t="s">
        <v>50</v>
      </c>
      <c r="N1" s="2" t="s">
        <v>51</v>
      </c>
      <c r="R1" s="1" t="s">
        <v>54</v>
      </c>
      <c r="S1" s="1" t="s">
        <v>55</v>
      </c>
    </row>
    <row r="2" spans="1:21">
      <c r="A2" s="88">
        <v>5</v>
      </c>
      <c r="B2" s="2">
        <v>1E-3</v>
      </c>
      <c r="C2" s="2">
        <v>10</v>
      </c>
      <c r="D2" s="2">
        <v>0.01</v>
      </c>
      <c r="E2" s="2">
        <v>0.5</v>
      </c>
      <c r="F2" s="2">
        <v>1E-3</v>
      </c>
      <c r="G2" s="2">
        <v>2.5379999999999998</v>
      </c>
      <c r="H2" s="2">
        <v>1E-3</v>
      </c>
      <c r="I2" s="2">
        <v>6.07</v>
      </c>
      <c r="J2" s="2">
        <v>0.01</v>
      </c>
      <c r="K2" s="2">
        <v>0.28999999999999998</v>
      </c>
      <c r="L2" s="2">
        <v>0.01</v>
      </c>
      <c r="M2" s="2">
        <f>I2*K2</f>
        <v>1.7603</v>
      </c>
      <c r="N2" s="2">
        <f>((I2*L2)+(J2*K2))</f>
        <v>6.3600000000000004E-2</v>
      </c>
      <c r="R2" s="1">
        <f>'Conversor Termoelectrico STD'!K8</f>
        <v>1000</v>
      </c>
      <c r="S2" s="1">
        <f>'Conversor Termoelectrico STD'!B22</f>
        <v>4186</v>
      </c>
    </row>
    <row r="3" spans="1:21">
      <c r="A3" s="88">
        <v>3</v>
      </c>
      <c r="B3" s="2">
        <v>1E-3</v>
      </c>
      <c r="C3" s="2">
        <v>10</v>
      </c>
      <c r="D3" s="2">
        <v>0.01</v>
      </c>
      <c r="E3" s="2">
        <v>0.3</v>
      </c>
      <c r="F3" s="2">
        <v>1E-3</v>
      </c>
      <c r="G3" s="2">
        <v>1.4890000000000001</v>
      </c>
      <c r="H3" s="2">
        <v>1E-3</v>
      </c>
      <c r="I3" s="2">
        <v>4.1399999999999997</v>
      </c>
      <c r="J3" s="2">
        <v>0.01</v>
      </c>
      <c r="K3" s="2">
        <v>0.2</v>
      </c>
      <c r="L3" s="2">
        <v>0.01</v>
      </c>
      <c r="M3" s="2">
        <f>I3*K3</f>
        <v>0.82799999999999996</v>
      </c>
      <c r="N3" s="2">
        <f>((I3*L3)+(J3*K3))</f>
        <v>4.3400000000000001E-2</v>
      </c>
    </row>
    <row r="6" spans="1:21">
      <c r="I6" s="99">
        <f>K10/I10</f>
        <v>2.3178807947019866E-7</v>
      </c>
      <c r="J6" s="99">
        <f>J10*K10/(I10*I10)+L10/I10</f>
        <v>1.6633042410420595E-9</v>
      </c>
    </row>
    <row r="7" spans="1:21">
      <c r="I7" s="99">
        <f>K11/I11</f>
        <v>9.5238095238095235E-7</v>
      </c>
      <c r="J7" s="99">
        <f>J11*K11/(I11*I11)+L11/I11</f>
        <v>6.0657596371882088E-9</v>
      </c>
    </row>
    <row r="9" spans="1:21">
      <c r="A9" s="1" t="s">
        <v>69</v>
      </c>
      <c r="B9" s="1" t="s">
        <v>70</v>
      </c>
      <c r="C9" s="1" t="s">
        <v>67</v>
      </c>
      <c r="D9" s="1" t="s">
        <v>68</v>
      </c>
      <c r="E9" s="1" t="s">
        <v>5</v>
      </c>
      <c r="F9" s="1" t="s">
        <v>21</v>
      </c>
      <c r="G9" s="1" t="s">
        <v>6</v>
      </c>
      <c r="H9" s="1" t="s">
        <v>22</v>
      </c>
      <c r="I9" s="1" t="s">
        <v>29</v>
      </c>
      <c r="J9" s="1" t="s">
        <v>41</v>
      </c>
      <c r="K9" s="1" t="s">
        <v>31</v>
      </c>
      <c r="L9" s="1" t="s">
        <v>42</v>
      </c>
      <c r="M9" s="2" t="s">
        <v>52</v>
      </c>
      <c r="N9" s="2" t="s">
        <v>53</v>
      </c>
      <c r="O9" s="2" t="s">
        <v>60</v>
      </c>
      <c r="P9" s="2" t="s">
        <v>61</v>
      </c>
      <c r="S9" t="s">
        <v>76</v>
      </c>
      <c r="T9" t="s">
        <v>61</v>
      </c>
    </row>
    <row r="10" spans="1:21">
      <c r="A10" s="2">
        <v>24.039000000000001</v>
      </c>
      <c r="B10" s="79">
        <v>0.27150000000000002</v>
      </c>
      <c r="C10" s="2">
        <v>35.902000000000001</v>
      </c>
      <c r="D10" s="79">
        <v>0.27150000000000002</v>
      </c>
      <c r="E10" s="2">
        <v>23.585000000000001</v>
      </c>
      <c r="F10" s="79">
        <v>0.27150000000000002</v>
      </c>
      <c r="G10" s="2">
        <v>26.715</v>
      </c>
      <c r="H10" s="79">
        <v>0.27150000000000002</v>
      </c>
      <c r="I10" s="78">
        <f>5*60+2</f>
        <v>302</v>
      </c>
      <c r="J10" s="2">
        <v>0.01</v>
      </c>
      <c r="K10" s="69">
        <v>6.9999999999999994E-5</v>
      </c>
      <c r="L10" s="20">
        <v>4.9999999999999998E-7</v>
      </c>
      <c r="M10" s="2">
        <f>R$2*S$2*K10*(G10-E10)/I10</f>
        <v>3.0369291390728468</v>
      </c>
      <c r="N10" s="70">
        <f>R$2*S$2*((K10*F10/I$10)+(K10*H10/I$10)+((E10-G10)*L10/I$10)+((E10-G10)*J10*K10/(I$10^2)))</f>
        <v>0.50506092949870618</v>
      </c>
      <c r="O10" s="2">
        <f>ABS(M10/(G2*E2))</f>
        <v>2.3931671702701709</v>
      </c>
      <c r="P10" s="2">
        <f>O10*((N10/M10)^2+(H2/G2)+(F2/E2))</f>
        <v>7.1919098754182537E-2</v>
      </c>
      <c r="Q10">
        <v>0.5</v>
      </c>
      <c r="R10" s="71"/>
      <c r="S10" s="71">
        <f>C10/(C10-A10)</f>
        <v>3.0263845570260477</v>
      </c>
      <c r="T10" s="71">
        <f>C10*B10/(A10-C10)^2+A10*D10/(A10-C10)^2</f>
        <v>0.11563911442848723</v>
      </c>
      <c r="U10" s="71"/>
    </row>
    <row r="11" spans="1:21">
      <c r="A11" s="2">
        <v>19.155000000000001</v>
      </c>
      <c r="B11" s="79">
        <v>0.27150000000000002</v>
      </c>
      <c r="C11" s="2">
        <v>26.923999999999999</v>
      </c>
      <c r="D11" s="79">
        <v>0.27150000000000002</v>
      </c>
      <c r="E11" s="2">
        <v>23.994</v>
      </c>
      <c r="F11" s="79">
        <v>0.27150000000000002</v>
      </c>
      <c r="G11" s="2">
        <v>24.183</v>
      </c>
      <c r="H11" s="79">
        <v>0.27150000000000002</v>
      </c>
      <c r="I11" s="78">
        <v>84</v>
      </c>
      <c r="J11" s="2">
        <v>0.01</v>
      </c>
      <c r="K11" s="72">
        <f>80*10^-6</f>
        <v>7.9999999999999993E-5</v>
      </c>
      <c r="L11" s="20">
        <v>4.9999999999999998E-7</v>
      </c>
      <c r="M11" s="2">
        <f>R$2*S$2*K11*(G11-E11)/I11</f>
        <v>0.75348000000000026</v>
      </c>
      <c r="N11" s="70">
        <f>R$2*S$2*((K11*F11/I$10)+(K11*H11/I$10)+((E11-G11)*L11/I$10)+((E11-G11)*J11*K11/(I$10^2)))</f>
        <v>0.60080187823779641</v>
      </c>
      <c r="O11" s="2">
        <f>ABS(M11/(G3*E3))</f>
        <v>1.6867696440564142</v>
      </c>
      <c r="P11" s="2">
        <f>O11*((N11/M11)^2+(H3/G3)+(F3/E3))</f>
        <v>1.0792000230325507</v>
      </c>
      <c r="Q11">
        <v>0.3</v>
      </c>
      <c r="R11" s="71"/>
      <c r="S11" s="71">
        <f>C11/(C11-A11)</f>
        <v>3.4655682842064621</v>
      </c>
      <c r="T11" s="71">
        <f>C11*B11/(A11-C11)^2+A11*D11/(A11-C11)^2</f>
        <v>0.20727295383242494</v>
      </c>
      <c r="U11" s="71"/>
    </row>
    <row r="14" spans="1:21" ht="15.75" thickBot="1"/>
    <row r="15" spans="1:21">
      <c r="B15" s="26"/>
    </row>
    <row r="16" spans="1:21">
      <c r="B16" s="27"/>
      <c r="N16" s="101">
        <f>K10/I10</f>
        <v>2.3178807947019866E-7</v>
      </c>
    </row>
    <row r="17" spans="2:14">
      <c r="B17" s="27"/>
      <c r="N17" s="101">
        <f>K11/I11</f>
        <v>9.5238095238095235E-7</v>
      </c>
    </row>
    <row r="18" spans="2:14">
      <c r="B18" s="27"/>
    </row>
    <row r="19" spans="2:14" ht="15.75" thickBot="1">
      <c r="B19" s="28"/>
    </row>
    <row r="23" spans="2:14">
      <c r="F23" t="s">
        <v>62</v>
      </c>
    </row>
    <row r="24" spans="2:14">
      <c r="F24" t="s">
        <v>63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0"/>
  <sheetViews>
    <sheetView topLeftCell="A4" workbookViewId="0">
      <selection activeCell="A28" sqref="A28"/>
    </sheetView>
  </sheetViews>
  <sheetFormatPr defaultRowHeight="15"/>
  <cols>
    <col min="1" max="1" width="13.7109375" style="6" customWidth="1"/>
    <col min="2" max="2" width="11.42578125" style="6" customWidth="1"/>
    <col min="3" max="3" width="9.5703125" style="6" bestFit="1" customWidth="1"/>
    <col min="4" max="5" width="12.28515625" style="6" bestFit="1" customWidth="1"/>
    <col min="6" max="6" width="13" style="6" bestFit="1" customWidth="1"/>
    <col min="7" max="7" width="12.28515625" style="6" bestFit="1" customWidth="1"/>
    <col min="8" max="8" width="18" style="6" customWidth="1"/>
    <col min="9" max="9" width="16.5703125" style="6" customWidth="1"/>
    <col min="10" max="10" width="9.28515625" style="6" bestFit="1" customWidth="1"/>
    <col min="11" max="11" width="12.7109375" style="6" customWidth="1"/>
    <col min="12" max="14" width="9.5703125" style="6" bestFit="1" customWidth="1"/>
    <col min="15" max="15" width="10.28515625" style="6" bestFit="1" customWidth="1"/>
    <col min="16" max="16" width="9.5703125" style="6" bestFit="1" customWidth="1"/>
    <col min="17" max="17" width="19.28515625" style="6" customWidth="1"/>
    <col min="18" max="18" width="14.85546875" style="6" customWidth="1"/>
    <col min="19" max="19" width="9.5703125" style="6" bestFit="1" customWidth="1"/>
    <col min="20" max="20" width="10" style="6" bestFit="1" customWidth="1"/>
    <col min="21" max="21" width="9.42578125" style="6" bestFit="1" customWidth="1"/>
    <col min="22" max="16384" width="9.140625" style="6"/>
  </cols>
  <sheetData>
    <row r="1" spans="1:21">
      <c r="B1" s="7" t="str">
        <f>'Conversor Termoelectrico STD'!B1</f>
        <v>RESISTENCIA DE CARGA OPTIMA</v>
      </c>
    </row>
    <row r="2" spans="1:21">
      <c r="A2" s="7" t="str">
        <f>'Conversor Termoelectrico STD'!C2</f>
        <v>Ra (Ω)</v>
      </c>
      <c r="B2" s="7" t="str">
        <f>'Conversor Termoelectrico STD'!D2</f>
        <v>e Ra (Ω)</v>
      </c>
      <c r="C2" s="7" t="str">
        <f>'Conversor Termoelectrico STD'!E2</f>
        <v>R2 (Ω)</v>
      </c>
      <c r="D2" s="7" t="str">
        <f>'Conversor Termoelectrico STD'!F2</f>
        <v>e R2 (Ω)</v>
      </c>
      <c r="E2" s="7" t="str">
        <f>'Conversor Termoelectrico STD'!G2</f>
        <v>E1 (V)</v>
      </c>
      <c r="F2" s="7" t="str">
        <f>'Conversor Termoelectrico STD'!H2</f>
        <v>I2 (A)</v>
      </c>
      <c r="G2" s="7" t="str">
        <f>'Conversor Termoelectrico STD'!I2</f>
        <v>e I2 (A)</v>
      </c>
      <c r="H2" s="7" t="e">
        <f>'Conversor Termoelectrico STD'!#REF!</f>
        <v>#REF!</v>
      </c>
      <c r="I2" s="22" t="str">
        <f>'Conversor Termoelectrico STD'!K2</f>
        <v>e R2 optima (Ω)</v>
      </c>
      <c r="J2" s="29" t="s">
        <v>19</v>
      </c>
      <c r="K2" s="23" t="str">
        <f>'Conversor Termoelectrico STD'!M2</f>
        <v>Tfq (ºC)</v>
      </c>
      <c r="L2" s="7" t="str">
        <f>'Conversor Termoelectrico STD'!N2</f>
        <v>Tff (ºC)</v>
      </c>
      <c r="M2" s="7" t="str">
        <f>'Conversor Termoelectrico STD'!O2</f>
        <v>Tb (ºC)</v>
      </c>
      <c r="N2" s="7" t="str">
        <f>'Conversor Termoelectrico STD'!P2</f>
        <v>Ta (ºC)</v>
      </c>
      <c r="O2" s="7" t="str">
        <f>'Conversor Termoelectrico STD'!Q2</f>
        <v>V1 (V)</v>
      </c>
      <c r="P2" s="7" t="str">
        <f>'Conversor Termoelectrico STD'!R2</f>
        <v>V2 (V)</v>
      </c>
      <c r="Q2" s="7" t="str">
        <f>'Conversor Termoelectrico STD'!S2</f>
        <v>I1 (A)</v>
      </c>
      <c r="R2" s="7" t="str">
        <f>'Conversor Termoelectrico STD'!T2</f>
        <v>dV</v>
      </c>
      <c r="S2" s="7" t="str">
        <f>'Conversor Termoelectrico STD'!U2</f>
        <v>e dV</v>
      </c>
      <c r="T2" s="7" t="str">
        <f>'Conversor Termoelectrico STD'!V2</f>
        <v>dt</v>
      </c>
      <c r="U2" s="7" t="str">
        <f>'Conversor Termoelectrico STD'!W2</f>
        <v>e dt</v>
      </c>
    </row>
    <row r="3" spans="1:21">
      <c r="A3" s="7">
        <f>'Conversor Termoelectrico STD'!C3</f>
        <v>0.24483306836248014</v>
      </c>
      <c r="B3" s="7">
        <f>'Conversor Termoelectrico STD'!D3</f>
        <v>9.3746603612871286E-3</v>
      </c>
      <c r="C3" s="37">
        <f>'Conversor Termoelectrico STD'!E3</f>
        <v>5</v>
      </c>
      <c r="D3" s="37">
        <f>'Conversor Termoelectrico STD'!F3</f>
        <v>0.01</v>
      </c>
      <c r="E3" s="37">
        <f>'Conversor Termoelectrico STD'!G3</f>
        <v>10</v>
      </c>
      <c r="F3" s="37">
        <f>'Conversor Termoelectrico STD'!H3</f>
        <v>6.2899999999999998E-2</v>
      </c>
      <c r="G3" s="37">
        <f>'Conversor Termoelectrico STD'!I3</f>
        <v>2E-3</v>
      </c>
      <c r="H3" s="7" t="e">
        <f>'Conversor Termoelectrico STD'!#REF!</f>
        <v>#REF!</v>
      </c>
      <c r="I3" s="22">
        <f>'Conversor Termoelectrico STD'!K3</f>
        <v>1.9499352478330869</v>
      </c>
      <c r="J3" s="38">
        <f>F3*P3</f>
        <v>2.2203699999999996E-2</v>
      </c>
      <c r="K3" s="39">
        <f>'Conversor Termoelectrico STD'!M3</f>
        <v>47.491</v>
      </c>
      <c r="L3" s="37">
        <f>'Conversor Termoelectrico STD'!N3</f>
        <v>31.442</v>
      </c>
      <c r="M3" s="37">
        <f>'Conversor Termoelectrico STD'!O3</f>
        <v>21.16</v>
      </c>
      <c r="N3" s="37">
        <f>'Conversor Termoelectrico STD'!P3</f>
        <v>20.010999999999999</v>
      </c>
      <c r="O3" s="37">
        <f>'Conversor Termoelectrico STD'!Q3</f>
        <v>10.63</v>
      </c>
      <c r="P3" s="37">
        <f>'Conversor Termoelectrico STD'!R3</f>
        <v>0.35299999999999998</v>
      </c>
      <c r="Q3" s="37">
        <f>'Conversor Termoelectrico STD'!S3</f>
        <v>0.51</v>
      </c>
      <c r="R3" s="37">
        <f>'Conversor Termoelectrico STD'!T3</f>
        <v>7.9999999999999993E-5</v>
      </c>
      <c r="S3" s="37">
        <f>'Conversor Termoelectrico STD'!U3</f>
        <v>4.9999999999999998E-7</v>
      </c>
      <c r="T3" s="37">
        <f>'Conversor Termoelectrico STD'!V3</f>
        <v>139</v>
      </c>
      <c r="U3" s="37">
        <f>'Conversor Termoelectrico STD'!W3</f>
        <v>0.01</v>
      </c>
    </row>
    <row r="4" spans="1:21">
      <c r="B4" s="7"/>
      <c r="C4" s="34">
        <f>'Conversor Termoelectrico STD'!E4</f>
        <v>2</v>
      </c>
      <c r="D4" s="34">
        <f>'Conversor Termoelectrico STD'!F4</f>
        <v>0.01</v>
      </c>
      <c r="E4" s="34">
        <f>'Conversor Termoelectrico STD'!G4</f>
        <v>10</v>
      </c>
      <c r="F4" s="34">
        <f>'Conversor Termoelectrico STD'!H4</f>
        <v>8.4699999999999998E-2</v>
      </c>
      <c r="G4" s="34">
        <f>'Conversor Termoelectrico STD'!I4</f>
        <v>2E-3</v>
      </c>
      <c r="J4" s="40">
        <f>F4*P4</f>
        <v>1.8557769999999998E-2</v>
      </c>
      <c r="K4" s="32">
        <f>'Conversor Termoelectrico STD'!M4</f>
        <v>46.960999999999999</v>
      </c>
      <c r="L4" s="32">
        <f>'Conversor Termoelectrico STD'!N4</f>
        <v>32.210999999999999</v>
      </c>
      <c r="M4" s="32">
        <f>'Conversor Termoelectrico STD'!O4</f>
        <v>21.754000000000001</v>
      </c>
      <c r="N4" s="32">
        <f>'Conversor Termoelectrico STD'!P4</f>
        <v>20.536000000000001</v>
      </c>
      <c r="O4" s="32">
        <f>'Conversor Termoelectrico STD'!Q4</f>
        <v>10.65</v>
      </c>
      <c r="P4" s="32">
        <f>'Conversor Termoelectrico STD'!R4</f>
        <v>0.21909999999999999</v>
      </c>
      <c r="Q4" s="32">
        <f>'Conversor Termoelectrico STD'!S4</f>
        <v>0.51</v>
      </c>
      <c r="R4" s="32">
        <f>'Conversor Termoelectrico STD'!T4</f>
        <v>7.9999999999999993E-5</v>
      </c>
      <c r="S4" s="32">
        <f>'Conversor Termoelectrico STD'!U4</f>
        <v>4.9999999999999998E-7</v>
      </c>
      <c r="T4" s="32">
        <f>'Conversor Termoelectrico STD'!V4</f>
        <v>141</v>
      </c>
      <c r="U4" s="32">
        <f>'Conversor Termoelectrico STD'!W4</f>
        <v>0.01</v>
      </c>
    </row>
    <row r="5" spans="1:21">
      <c r="J5" s="30"/>
    </row>
    <row r="6" spans="1:21">
      <c r="A6" s="6" t="str">
        <f>'Conversor Termoelectrico STD'!A6</f>
        <v>RENDIMENTO</v>
      </c>
    </row>
    <row r="7" spans="1:21">
      <c r="A7" s="20" t="str">
        <f>'Conversor Termoelectrico STD'!A7</f>
        <v>R2 (Ω)</v>
      </c>
      <c r="B7" s="20" t="str">
        <f>'Conversor Termoelectrico STD'!B7</f>
        <v>E1 (V)</v>
      </c>
      <c r="C7" s="20" t="str">
        <f>'Conversor Termoelectrico STD'!C7</f>
        <v>V1 (V)</v>
      </c>
      <c r="D7" s="20" t="str">
        <f>'Conversor Termoelectrico STD'!D7</f>
        <v>e V1 (V)</v>
      </c>
      <c r="E7" s="20" t="str">
        <f>'Conversor Termoelectrico STD'!E7</f>
        <v>I1 (A)</v>
      </c>
      <c r="F7" s="20" t="str">
        <f>'Conversor Termoelectrico STD'!F7</f>
        <v>e I1 (A)</v>
      </c>
      <c r="G7" s="20" t="str">
        <f>'Conversor Termoelectrico STD'!G7</f>
        <v>P1 (W)</v>
      </c>
      <c r="H7" s="20" t="str">
        <f>'Conversor Termoelectrico STD'!H7</f>
        <v>e P1 (W)</v>
      </c>
      <c r="K7" s="7" t="str">
        <f>'Conversor Termoelectrico STD'!K7</f>
        <v>ró H2O</v>
      </c>
      <c r="M7" s="7" t="str">
        <f>'Conversor Termoelectrico STD'!M7</f>
        <v>Rend Real</v>
      </c>
      <c r="N7" s="7" t="str">
        <f>'Conversor Termoelectrico STD'!N7</f>
        <v>eRend real</v>
      </c>
      <c r="O7" s="7" t="str">
        <f>'Conversor Termoelectrico STD'!O7</f>
        <v>RendCorr</v>
      </c>
      <c r="P7" s="7" t="str">
        <f>'Conversor Termoelectrico STD'!P7</f>
        <v>eRendCorr</v>
      </c>
      <c r="R7" s="6" t="s">
        <v>71</v>
      </c>
      <c r="S7" s="6">
        <v>19.965</v>
      </c>
      <c r="T7" s="6">
        <f>S$7-S7</f>
        <v>0</v>
      </c>
    </row>
    <row r="8" spans="1:21">
      <c r="A8" s="21">
        <f>'Conversor Termoelectrico STD'!A8</f>
        <v>6</v>
      </c>
      <c r="B8" s="35">
        <f>'Conversor Termoelectrico STD'!B8</f>
        <v>7</v>
      </c>
      <c r="C8" s="35">
        <f>'Conversor Termoelectrico STD'!C8</f>
        <v>7.23</v>
      </c>
      <c r="D8" s="35">
        <f>'Conversor Termoelectrico STD'!D8</f>
        <v>0.01</v>
      </c>
      <c r="E8" s="35">
        <f>'Conversor Termoelectrico STD'!E8</f>
        <v>0.35</v>
      </c>
      <c r="F8" s="35">
        <f>'Conversor Termoelectrico STD'!F8</f>
        <v>0.01</v>
      </c>
      <c r="G8" s="35">
        <f>'Conversor Termoelectrico STD'!G8</f>
        <v>2.5305</v>
      </c>
      <c r="H8" s="35">
        <f>'Conversor Termoelectrico STD'!H8</f>
        <v>7.5800000000000006E-2</v>
      </c>
      <c r="K8" s="7">
        <f>'Conversor Termoelectrico STD'!K8</f>
        <v>1000</v>
      </c>
      <c r="M8" s="55">
        <f>'Conversor Termoelectrico STD'!M8</f>
        <v>1.9512507409602845E-3</v>
      </c>
      <c r="N8" s="35">
        <f>'Conversor Termoelectrico STD'!N8</f>
        <v>7.4769731738703649E-5</v>
      </c>
      <c r="O8" s="55">
        <f>'Conversor Termoelectrico STD'!O8</f>
        <v>3.4187136108593222E-3</v>
      </c>
      <c r="P8" s="35">
        <f>'Conversor Termoelectrico STD'!P8</f>
        <v>2.7234352419656192E-3</v>
      </c>
      <c r="R8" s="6" t="s">
        <v>72</v>
      </c>
      <c r="S8" s="6">
        <v>20.238</v>
      </c>
      <c r="T8" s="6">
        <f>S$7-S8</f>
        <v>-0.27299999999999969</v>
      </c>
    </row>
    <row r="9" spans="1:21">
      <c r="B9" s="36">
        <f>'Conversor Termoelectrico STD'!B9</f>
        <v>10</v>
      </c>
      <c r="C9" s="36">
        <f>'Conversor Termoelectrico STD'!C9</f>
        <v>10.65</v>
      </c>
      <c r="D9" s="36">
        <f>'Conversor Termoelectrico STD'!D9</f>
        <v>0.01</v>
      </c>
      <c r="E9" s="36">
        <f>'Conversor Termoelectrico STD'!E9</f>
        <v>0.51</v>
      </c>
      <c r="F9" s="36">
        <f>'Conversor Termoelectrico STD'!F9</f>
        <v>0.01</v>
      </c>
      <c r="G9" s="36">
        <f>'Conversor Termoelectrico STD'!G9</f>
        <v>5.4315000000000007</v>
      </c>
      <c r="H9" s="36">
        <f>'Conversor Termoelectrico STD'!H9</f>
        <v>0.1116</v>
      </c>
      <c r="M9" s="56">
        <f>'Conversor Termoelectrico STD'!M9</f>
        <v>4.1143330571665289E-3</v>
      </c>
      <c r="N9" s="36">
        <f>'Conversor Termoelectrico STD'!N9</f>
        <v>1.0075661772618697E-4</v>
      </c>
      <c r="O9" s="56">
        <f>'Conversor Termoelectrico STD'!O9</f>
        <v>7.0370355208593536E-3</v>
      </c>
      <c r="P9" s="36">
        <f>'Conversor Termoelectrico STD'!P9</f>
        <v>2.5744376076991243E-3</v>
      </c>
      <c r="R9" s="6" t="s">
        <v>64</v>
      </c>
      <c r="S9" s="6">
        <v>20.507999999999999</v>
      </c>
      <c r="T9" s="6">
        <f>S$7-S9</f>
        <v>-0.54299999999999926</v>
      </c>
    </row>
    <row r="10" spans="1:21">
      <c r="B10" s="33">
        <f>'Conversor Termoelectrico STD'!B10</f>
        <v>13</v>
      </c>
      <c r="C10" s="33">
        <f>'Conversor Termoelectrico STD'!C10</f>
        <v>13.15</v>
      </c>
      <c r="D10" s="33">
        <f>'Conversor Termoelectrico STD'!D10</f>
        <v>0.01</v>
      </c>
      <c r="E10" s="33">
        <f>'Conversor Termoelectrico STD'!E10</f>
        <v>0.63</v>
      </c>
      <c r="F10" s="33">
        <f>'Conversor Termoelectrico STD'!F10</f>
        <v>0.01</v>
      </c>
      <c r="G10" s="33">
        <f>'Conversor Termoelectrico STD'!G10</f>
        <v>8.2844999999999995</v>
      </c>
      <c r="H10" s="33">
        <f>'Conversor Termoelectrico STD'!H10</f>
        <v>0.13780000000000001</v>
      </c>
      <c r="M10" s="57">
        <f>'Conversor Termoelectrico STD'!M10</f>
        <v>5.7454644215100496E-3</v>
      </c>
      <c r="N10" s="33">
        <f>'Conversor Termoelectrico STD'!N10</f>
        <v>1.1091375427413663E-4</v>
      </c>
      <c r="O10" s="57">
        <f>'Conversor Termoelectrico STD'!O10</f>
        <v>8.9674138352883077E-3</v>
      </c>
      <c r="P10" s="33">
        <f>'Conversor Termoelectrico STD'!P10</f>
        <v>1.9879558686006472E-3</v>
      </c>
      <c r="R10" s="6" t="s">
        <v>65</v>
      </c>
      <c r="S10" s="6">
        <v>20.36</v>
      </c>
      <c r="T10" s="6">
        <f>S$7-S10</f>
        <v>-0.39499999999999957</v>
      </c>
    </row>
    <row r="11" spans="1:21">
      <c r="B11" s="50">
        <f>'Conversor Termoelectrico STD'!B11</f>
        <v>16</v>
      </c>
      <c r="C11" s="51">
        <f>'Conversor Termoelectrico STD'!C11</f>
        <v>16</v>
      </c>
      <c r="D11" s="51">
        <f>'Conversor Termoelectrico STD'!D11</f>
        <v>0.01</v>
      </c>
      <c r="E11" s="51">
        <f>'Conversor Termoelectrico STD'!E11</f>
        <v>0.76</v>
      </c>
      <c r="F11" s="51">
        <f>'Conversor Termoelectrico STD'!F11</f>
        <v>0.01</v>
      </c>
      <c r="G11" s="51">
        <f>'Conversor Termoelectrico STD'!G11</f>
        <v>12.16</v>
      </c>
      <c r="H11" s="51">
        <f>'Conversor Termoelectrico STD'!H11</f>
        <v>0.1676</v>
      </c>
      <c r="M11" s="58">
        <f>'Conversor Termoelectrico STD'!M11</f>
        <v>7.4651644736842097E-3</v>
      </c>
      <c r="N11" s="50">
        <f>'Conversor Termoelectrico STD'!N11</f>
        <v>1.173422340287396E-4</v>
      </c>
      <c r="O11" s="58">
        <f>'Conversor Termoelectrico STD'!O11</f>
        <v>1.3686858906258696E-2</v>
      </c>
      <c r="P11" s="50">
        <f>'Conversor Termoelectrico STD'!P11</f>
        <v>2.442103438205564E-3</v>
      </c>
    </row>
    <row r="12" spans="1:21">
      <c r="C12" s="7" t="str">
        <f>'Conversor Termoelectrico STD'!C12</f>
        <v>V2 (V)</v>
      </c>
      <c r="D12" s="7" t="str">
        <f>'Conversor Termoelectrico STD'!D12</f>
        <v>e V2 (V)</v>
      </c>
      <c r="E12" s="7" t="str">
        <f>'Conversor Termoelectrico STD'!E12</f>
        <v>I2 (A)</v>
      </c>
      <c r="F12" s="7" t="str">
        <f>'Conversor Termoelectrico STD'!F12</f>
        <v>e I2 (A)</v>
      </c>
      <c r="G12" s="7" t="str">
        <f>'Conversor Termoelectrico STD'!G12</f>
        <v>P2 (W)</v>
      </c>
      <c r="H12" s="7" t="str">
        <f>'Conversor Termoelectrico STD'!H12</f>
        <v>e P2 (W)</v>
      </c>
      <c r="I12" s="7" t="str">
        <f>'Conversor Termoelectrico STD'!I12</f>
        <v>P2 (W)</v>
      </c>
      <c r="K12" s="7" t="str">
        <f>'Conversor Termoelectrico STD'!K11</f>
        <v>Potencia Dissipada</v>
      </c>
      <c r="L12" s="7"/>
    </row>
    <row r="13" spans="1:21">
      <c r="B13" s="35">
        <f>'Conversor Termoelectrico STD'!B13</f>
        <v>7</v>
      </c>
      <c r="C13" s="35">
        <f>'Conversor Termoelectrico STD'!C13</f>
        <v>0.1789</v>
      </c>
      <c r="D13" s="35">
        <f>'Conversor Termoelectrico STD'!D13</f>
        <v>2.0000000000000001E-4</v>
      </c>
      <c r="E13" s="35">
        <f>'Conversor Termoelectrico STD'!E13</f>
        <v>2.76E-2</v>
      </c>
      <c r="F13" s="35">
        <f>'Conversor Termoelectrico STD'!F13</f>
        <v>2.0000000000000001E-4</v>
      </c>
      <c r="G13" s="35">
        <f>'Conversor Termoelectrico STD'!G13</f>
        <v>4.9376400000000001E-3</v>
      </c>
      <c r="H13" s="35">
        <f>'Conversor Termoelectrico STD'!H13</f>
        <v>4.1300000000000001E-5</v>
      </c>
      <c r="I13" s="35">
        <f>'Conversor Termoelectrico STD'!I13</f>
        <v>4.5705599999999996E-3</v>
      </c>
      <c r="K13" s="35">
        <f>'Conversor Termoelectrico STD'!K13</f>
        <v>1.0862023599999993</v>
      </c>
      <c r="L13" s="35">
        <f>'Conversor Termoelectrico STD'!L13</f>
        <v>1.2143667012422359</v>
      </c>
      <c r="T13" s="6">
        <f>20.508-19.965</f>
        <v>0.54299999999999926</v>
      </c>
    </row>
    <row r="14" spans="1:21">
      <c r="B14" s="36">
        <f>'Conversor Termoelectrico STD'!B14</f>
        <v>10</v>
      </c>
      <c r="C14" s="36">
        <f>'Conversor Termoelectrico STD'!C14</f>
        <v>0.38200000000000001</v>
      </c>
      <c r="D14" s="36">
        <f>'Conversor Termoelectrico STD'!D14</f>
        <v>2.0000000000000001E-4</v>
      </c>
      <c r="E14" s="36">
        <f>'Conversor Termoelectrico STD'!E14</f>
        <v>5.8500000000000003E-2</v>
      </c>
      <c r="F14" s="36">
        <f>'Conversor Termoelectrico STD'!F14</f>
        <v>2.0000000000000001E-4</v>
      </c>
      <c r="G14" s="36">
        <f>'Conversor Termoelectrico STD'!G14</f>
        <v>2.2347000000000002E-2</v>
      </c>
      <c r="H14" s="36">
        <f>'Conversor Termoelectrico STD'!H14</f>
        <v>8.81E-5</v>
      </c>
      <c r="I14" s="36">
        <f>'Conversor Termoelectrico STD'!I14</f>
        <v>2.0533500000000003E-2</v>
      </c>
      <c r="K14" s="36">
        <f>'Conversor Termoelectrico STD'!K14</f>
        <v>2.2558730000000042</v>
      </c>
      <c r="L14" s="36">
        <f>'Conversor Termoelectrico STD'!L14</f>
        <v>1.2610319559006211</v>
      </c>
    </row>
    <row r="15" spans="1:21">
      <c r="B15" s="33">
        <f>'Conversor Termoelectrico STD'!B15</f>
        <v>13</v>
      </c>
      <c r="C15" s="33">
        <f>'Conversor Termoelectrico STD'!C15</f>
        <v>0.54900000000000004</v>
      </c>
      <c r="D15" s="33">
        <f>'Conversor Termoelectrico STD'!D15</f>
        <v>2.0000000000000001E-4</v>
      </c>
      <c r="E15" s="33">
        <f>'Conversor Termoelectrico STD'!E15</f>
        <v>8.6699999999999999E-2</v>
      </c>
      <c r="F15" s="33">
        <f>'Conversor Termoelectrico STD'!F15</f>
        <v>2.0000000000000001E-4</v>
      </c>
      <c r="G15" s="33">
        <f>'Conversor Termoelectrico STD'!G15</f>
        <v>4.7598300000000003E-2</v>
      </c>
      <c r="H15" s="33">
        <f>'Conversor Termoelectrico STD'!H15</f>
        <v>1.2714000000000001E-4</v>
      </c>
      <c r="I15" s="33">
        <f>'Conversor Termoelectrico STD'!I15</f>
        <v>4.5101340000000004E-2</v>
      </c>
      <c r="K15" s="33">
        <f>'Conversor Termoelectrico STD'!K15</f>
        <v>2.9765816999999979</v>
      </c>
      <c r="L15" s="33">
        <f>'Conversor Termoelectrico STD'!L15</f>
        <v>1.3005708679503105</v>
      </c>
    </row>
    <row r="16" spans="1:21">
      <c r="B16" s="50">
        <f>'Conversor Termoelectrico STD'!B16</f>
        <v>16</v>
      </c>
      <c r="C16" s="50">
        <f>'Conversor Termoelectrico STD'!C16</f>
        <v>0.75900000000000001</v>
      </c>
      <c r="D16" s="50">
        <f>'Conversor Termoelectrico STD'!D16</f>
        <v>2.0000000000000001E-4</v>
      </c>
      <c r="E16" s="50">
        <f>'Conversor Termoelectrico STD'!E16</f>
        <v>0.1196</v>
      </c>
      <c r="F16" s="50">
        <f>'Conversor Termoelectrico STD'!F16</f>
        <v>2.0000000000000001E-4</v>
      </c>
      <c r="G16" s="50">
        <f>'Conversor Termoelectrico STD'!G16</f>
        <v>9.0776399999999993E-2</v>
      </c>
      <c r="H16" s="50">
        <f>'Conversor Termoelectrico STD'!H16</f>
        <v>1.7572E-4</v>
      </c>
      <c r="I16" s="50">
        <f>'Conversor Termoelectrico STD'!I16</f>
        <v>8.5824960000000006E-2</v>
      </c>
      <c r="K16" s="50">
        <f>'Conversor Termoelectrico STD'!K16</f>
        <v>5.527623600000001</v>
      </c>
      <c r="L16" s="50">
        <f>'Conversor Termoelectrico STD'!L16</f>
        <v>1.3385070305590063</v>
      </c>
    </row>
    <row r="17" spans="1:18">
      <c r="C17" s="7" t="str">
        <f>'Conversor Termoelectrico STD'!C17</f>
        <v>Tfq (ºC)</v>
      </c>
      <c r="D17" s="7" t="str">
        <f>'Conversor Termoelectrico STD'!D17</f>
        <v>e Tfq (ºC)</v>
      </c>
      <c r="E17" s="7" t="str">
        <f>'Conversor Termoelectrico STD'!E17</f>
        <v>Tff (ºC)</v>
      </c>
      <c r="F17" s="7" t="str">
        <f>'Conversor Termoelectrico STD'!F17</f>
        <v>e Tff (ºC)</v>
      </c>
      <c r="G17" s="7" t="str">
        <f>'Conversor Termoelectrico STD'!G17</f>
        <v>Tb (ºC)</v>
      </c>
      <c r="H17" s="7" t="str">
        <f>'Conversor Termoelectrico STD'!H17</f>
        <v>e Tb (ºC)</v>
      </c>
      <c r="I17" s="22" t="str">
        <f>'Conversor Termoelectrico STD'!I17</f>
        <v>Ta (ºC)</v>
      </c>
      <c r="J17" s="7" t="str">
        <f>'Conversor Termoelectrico STD'!J17</f>
        <v>e Ta (ºC)</v>
      </c>
      <c r="K17" s="7" t="str">
        <f>'Conversor Termoelectrico STD'!K17</f>
        <v>dt</v>
      </c>
      <c r="L17" s="7" t="str">
        <f>'Conversor Termoelectrico STD'!L17</f>
        <v>e dt</v>
      </c>
      <c r="M17" s="7" t="str">
        <f>'Conversor Termoelectrico STD'!M17</f>
        <v>dv</v>
      </c>
      <c r="N17" s="7" t="str">
        <f>'Conversor Termoelectrico STD'!N17</f>
        <v>e dv</v>
      </c>
      <c r="O17" s="7" t="str">
        <f>'Conversor Termoelectrico STD'!O17</f>
        <v>P3 (W)</v>
      </c>
      <c r="P17" s="7" t="str">
        <f>'Conversor Termoelectrico STD'!P17</f>
        <v>e P3 (W)</v>
      </c>
      <c r="Q17" s="7" t="str">
        <f>'Conversor Termoelectrico STD'!Q17</f>
        <v>Rendimento Carnot</v>
      </c>
      <c r="R17" s="7" t="str">
        <f>'Conversor Termoelectrico STD'!R17</f>
        <v>e Rendimento</v>
      </c>
    </row>
    <row r="18" spans="1:18">
      <c r="B18" s="35">
        <f>'Conversor Termoelectrico STD'!B18</f>
        <v>7</v>
      </c>
      <c r="C18" s="44">
        <f>'Conversor Termoelectrico STD'!C18+T$7</f>
        <v>34.719000000000001</v>
      </c>
      <c r="D18" s="35">
        <f>'Conversor Termoelectrico STD'!D18</f>
        <v>0.27150000000000002</v>
      </c>
      <c r="E18" s="35">
        <f>'Conversor Termoelectrico STD'!E18+T$8</f>
        <v>26.801000000000002</v>
      </c>
      <c r="F18" s="35">
        <f>'Conversor Termoelectrico STD'!F18</f>
        <v>0.27150000000000002</v>
      </c>
      <c r="G18" s="35">
        <f>'Conversor Termoelectrico STD'!G18+T$9</f>
        <v>21.59</v>
      </c>
      <c r="H18" s="35">
        <f>'Conversor Termoelectrico STD'!H18</f>
        <v>0.27150000000000002</v>
      </c>
      <c r="I18" s="45">
        <f>'Conversor Termoelectrico STD'!I18+T$10</f>
        <v>21.045999999999999</v>
      </c>
      <c r="J18" s="35">
        <f>'Conversor Termoelectrico STD'!J18</f>
        <v>0.27150000000000002</v>
      </c>
      <c r="K18" s="35">
        <f>'Conversor Termoelectrico STD'!K18</f>
        <v>161</v>
      </c>
      <c r="L18" s="35">
        <f>'Conversor Termoelectrico STD'!L18</f>
        <v>0.01</v>
      </c>
      <c r="M18" s="35">
        <f>'Conversor Termoelectrico STD'!M18</f>
        <v>8.0000000000000007E-5</v>
      </c>
      <c r="N18" s="35">
        <f>'Conversor Termoelectrico STD'!N18</f>
        <v>4.9999999999999998E-7</v>
      </c>
      <c r="O18" s="46">
        <f>K$8*M18*B$22*(G18-I18)/K$18</f>
        <v>1.131520000000001</v>
      </c>
      <c r="P18" s="46">
        <f>K$8*B$22*SQRT((M18*H18/K$18)^2+(M18*J18/K$18)^2+((G18-I18)*N18/K$18)^2+((G18-I18)*L18*M18/(K$18^2))^2)</f>
        <v>0.79866599709977837</v>
      </c>
      <c r="Q18" s="55">
        <f>'Conversor Termoelectrico STD'!Q18</f>
        <v>2.4831990229610579E-2</v>
      </c>
      <c r="R18" s="35">
        <f>'Conversor Termoelectrico STD'!R18</f>
        <v>1.3917931625530698E-2</v>
      </c>
    </row>
    <row r="19" spans="1:18">
      <c r="B19" s="36">
        <f>'Conversor Termoelectrico STD'!B19</f>
        <v>10</v>
      </c>
      <c r="C19" s="41">
        <f>'Conversor Termoelectrico STD'!C19+T$7</f>
        <v>49.61</v>
      </c>
      <c r="D19" s="36">
        <f>'Conversor Termoelectrico STD'!D19</f>
        <v>0.27150000000000002</v>
      </c>
      <c r="E19" s="36">
        <f>'Conversor Termoelectrico STD'!E19+T$8</f>
        <v>32.991</v>
      </c>
      <c r="F19" s="36">
        <f>'Conversor Termoelectrico STD'!F19</f>
        <v>0.27150000000000002</v>
      </c>
      <c r="G19" s="36">
        <f>'Conversor Termoelectrico STD'!G19+T$9</f>
        <v>22.07</v>
      </c>
      <c r="H19" s="36">
        <f>'Conversor Termoelectrico STD'!H19</f>
        <v>0.27150000000000002</v>
      </c>
      <c r="I19" s="42">
        <f>'Conversor Termoelectrico STD'!I19+T$10</f>
        <v>20.702000000000002</v>
      </c>
      <c r="J19" s="36">
        <f>'Conversor Termoelectrico STD'!J19</f>
        <v>0.27150000000000002</v>
      </c>
      <c r="K19" s="36">
        <f>'Conversor Termoelectrico STD'!K19</f>
        <v>161</v>
      </c>
      <c r="L19" s="36">
        <f>'Conversor Termoelectrico STD'!L19</f>
        <v>0.01</v>
      </c>
      <c r="M19" s="36">
        <f>'Conversor Termoelectrico STD'!M19</f>
        <v>8.0000000000000007E-5</v>
      </c>
      <c r="N19" s="36">
        <f>'Conversor Termoelectrico STD'!N19</f>
        <v>4.9999999999999998E-7</v>
      </c>
      <c r="O19" s="43">
        <f>K$8*M19*B$22*(G19-I19)/K$18</f>
        <v>2.8454399999999973</v>
      </c>
      <c r="P19" s="43">
        <f>K$8*B$22*SQRT((M19*H19/K$18)^2+(M19*J19/K$18)^2+((G19-I19)*N19/K$18)^2+((G19-I19)*L19*M19/(K$18^2))^2)</f>
        <v>0.79883268504199489</v>
      </c>
      <c r="Q19" s="56">
        <f>'Conversor Termoelectrico STD'!Q19</f>
        <v>5.064444169042015E-2</v>
      </c>
      <c r="R19" s="36">
        <f>'Conversor Termoelectrico STD'!R19</f>
        <v>9.1421781693215975E-3</v>
      </c>
    </row>
    <row r="20" spans="1:18">
      <c r="B20" s="33">
        <f>'Conversor Termoelectrico STD'!B20</f>
        <v>13</v>
      </c>
      <c r="C20" s="47">
        <f>'Conversor Termoelectrico STD'!C20+T$7</f>
        <v>64.744</v>
      </c>
      <c r="D20" s="33">
        <f>'Conversor Termoelectrico STD'!D20</f>
        <v>0.27150000000000002</v>
      </c>
      <c r="E20" s="33">
        <f>'Conversor Termoelectrico STD'!E20+T$8</f>
        <v>39.826999999999998</v>
      </c>
      <c r="F20" s="33">
        <f>'Conversor Termoelectrico STD'!F20</f>
        <v>0.27150000000000002</v>
      </c>
      <c r="G20" s="33">
        <f>'Conversor Termoelectrico STD'!G20+T$9</f>
        <v>23.943999999999999</v>
      </c>
      <c r="H20" s="33">
        <f>'Conversor Termoelectrico STD'!H20</f>
        <v>0.27150000000000002</v>
      </c>
      <c r="I20" s="48">
        <f>'Conversor Termoelectrico STD'!I20+T$10</f>
        <v>21.562999999999999</v>
      </c>
      <c r="J20" s="33">
        <f>'Conversor Termoelectrico STD'!J20</f>
        <v>0.27150000000000002</v>
      </c>
      <c r="K20" s="33">
        <f>'Conversor Termoelectrico STD'!K20</f>
        <v>161</v>
      </c>
      <c r="L20" s="33">
        <f>'Conversor Termoelectrico STD'!L20</f>
        <v>0.01</v>
      </c>
      <c r="M20" s="33">
        <f>'Conversor Termoelectrico STD'!M20</f>
        <v>8.0000000000000007E-5</v>
      </c>
      <c r="N20" s="33">
        <f>'Conversor Termoelectrico STD'!N20</f>
        <v>4.9999999999999998E-7</v>
      </c>
      <c r="O20" s="49">
        <f>K$8*M20*B$22*(G20-I20)/K$18</f>
        <v>4.9524800000000004</v>
      </c>
      <c r="P20" s="49">
        <f>K$8*B$22*SQRT((M20*H20/K$18)^2+(M20*J20/K$18)^2+((G20-I20)*N20/K$18)^2+((G20-I20)*L20*M20/(K$18^2))^2)</f>
        <v>0.79923434587819453</v>
      </c>
      <c r="Q20" s="57">
        <f>'Conversor Termoelectrico STD'!Q20</f>
        <v>7.2934115432650493E-2</v>
      </c>
      <c r="R20" s="33">
        <f>'Conversor Termoelectrico STD'!R20</f>
        <v>6.7906971278790165E-3</v>
      </c>
    </row>
    <row r="21" spans="1:18">
      <c r="B21" s="50">
        <f>'Conversor Termoelectrico STD'!B21</f>
        <v>16</v>
      </c>
      <c r="C21" s="52">
        <f>'Conversor Termoelectrico STD'!C21+T$7</f>
        <v>86.489000000000004</v>
      </c>
      <c r="D21" s="50">
        <f>'Conversor Termoelectrico STD'!D21</f>
        <v>0.27150000000000002</v>
      </c>
      <c r="E21" s="50">
        <f>'Conversor Termoelectrico STD'!E21+T$8</f>
        <v>50.843999999999994</v>
      </c>
      <c r="F21" s="50">
        <f>'Conversor Termoelectrico STD'!F21</f>
        <v>0.27150000000000002</v>
      </c>
      <c r="G21" s="50">
        <f>'Conversor Termoelectrico STD'!G21+T$9</f>
        <v>25.356000000000002</v>
      </c>
      <c r="H21" s="50">
        <f>'Conversor Termoelectrico STD'!H21</f>
        <v>0.27150000000000002</v>
      </c>
      <c r="I21" s="53">
        <f>'Conversor Termoelectrico STD'!I21+T$10</f>
        <v>22.359000000000002</v>
      </c>
      <c r="J21" s="50">
        <f>'Conversor Termoelectrico STD'!J21</f>
        <v>0.27150000000000002</v>
      </c>
      <c r="K21" s="50">
        <f>'Conversor Termoelectrico STD'!K21</f>
        <v>161</v>
      </c>
      <c r="L21" s="50">
        <f>'Conversor Termoelectrico STD'!L21</f>
        <v>0.01</v>
      </c>
      <c r="M21" s="50">
        <f>'Conversor Termoelectrico STD'!M21</f>
        <v>8.0000000000000007E-5</v>
      </c>
      <c r="N21" s="50">
        <f>'Conversor Termoelectrico STD'!N21</f>
        <v>4.9999999999999998E-7</v>
      </c>
      <c r="O21" s="54">
        <f>K$8*M21*B$22*(G21-I21)/K$18</f>
        <v>6.2337600000000002</v>
      </c>
      <c r="P21" s="54">
        <f>K$8*B$22*SQRT((M21*H21/K$18)^2+(M21*J21/K$18)^2+((G21-I21)*N21/K$18)^2+((G21-I21)*L21*M21/(K$18^2))^2)</f>
        <v>0.799584558528455</v>
      </c>
      <c r="Q21" s="58">
        <f>'Conversor Termoelectrico STD'!Q21</f>
        <v>9.8354182944563884E-2</v>
      </c>
      <c r="R21" s="50">
        <f>'Conversor Termoelectrico STD'!R21</f>
        <v>4.9944245094077364E-3</v>
      </c>
    </row>
    <row r="22" spans="1:18">
      <c r="A22" s="7" t="str">
        <f>'Conversor Termoelectrico STD'!A22</f>
        <v>c do fluido</v>
      </c>
      <c r="B22" s="7">
        <f>'Conversor Termoelectrico STD'!B22</f>
        <v>4186</v>
      </c>
    </row>
    <row r="24" spans="1:18">
      <c r="A24" s="7" t="str">
        <f>'Conversor Termoelectrico STD'!A24</f>
        <v>POTENCIA TRANSMITIDA A FONTE FRIA</v>
      </c>
    </row>
    <row r="25" spans="1:18">
      <c r="A25" s="7" t="str">
        <f>'Conversor Termoelectrico STD'!A25</f>
        <v>Tfq (ºC)</v>
      </c>
      <c r="B25" s="7" t="str">
        <f>'Conversor Termoelectrico STD'!B25</f>
        <v>e Tfq (ºC)</v>
      </c>
      <c r="C25" s="7" t="str">
        <f>'Conversor Termoelectrico STD'!C25</f>
        <v>E1 (V)</v>
      </c>
      <c r="D25" s="7" t="e">
        <f>'Conversor Termoelectrico STD'!#REF!</f>
        <v>#REF!</v>
      </c>
      <c r="E25" s="7" t="str">
        <f>'Conversor Termoelectrico STD'!D25</f>
        <v>Tff (ºC)</v>
      </c>
      <c r="F25" s="7" t="str">
        <f>'Conversor Termoelectrico STD'!E25</f>
        <v>e Tff (ºC)</v>
      </c>
      <c r="G25" s="7" t="str">
        <f>'Conversor Termoelectrico STD'!F25</f>
        <v>Tb (ºC)</v>
      </c>
      <c r="H25" s="7" t="str">
        <f>'Conversor Termoelectrico STD'!G25</f>
        <v>e Tb (ºC)</v>
      </c>
      <c r="I25" s="7" t="str">
        <f>'Conversor Termoelectrico STD'!H25</f>
        <v>Ta (ºC)</v>
      </c>
      <c r="J25" s="7" t="str">
        <f>'Conversor Termoelectrico STD'!I25</f>
        <v>e Ta (ºC)</v>
      </c>
      <c r="K25" s="7" t="str">
        <f>'Conversor Termoelectrico STD'!J25</f>
        <v>dt</v>
      </c>
      <c r="L25" s="7" t="str">
        <f>'Conversor Termoelectrico STD'!K25</f>
        <v>edt</v>
      </c>
      <c r="M25" s="7" t="str">
        <f>'Conversor Termoelectrico STD'!L25</f>
        <v>dv</v>
      </c>
      <c r="N25" s="7" t="str">
        <f>'Conversor Termoelectrico STD'!M25</f>
        <v>edv</v>
      </c>
      <c r="O25" s="7" t="str">
        <f>'Conversor Termoelectrico STD'!N25</f>
        <v>V1 (V)</v>
      </c>
      <c r="P25" s="7" t="str">
        <f>'Conversor Termoelectrico STD'!O25</f>
        <v>e V1 (V)</v>
      </c>
      <c r="Q25" s="7" t="str">
        <f>'Conversor Termoelectrico STD'!P25</f>
        <v>I1 (A)</v>
      </c>
      <c r="R25" s="7" t="str">
        <f>'Conversor Termoelectrico STD'!Q25</f>
        <v>e I1 (A)</v>
      </c>
    </row>
    <row r="26" spans="1:18">
      <c r="A26" s="34">
        <f>'Conversor Termoelectrico STD'!A26+T$7</f>
        <v>84.947000000000003</v>
      </c>
      <c r="B26" s="34">
        <f>'Conversor Termoelectrico STD'!B26</f>
        <v>0.27150000000000002</v>
      </c>
      <c r="C26" s="34">
        <f>'Conversor Termoelectrico STD'!C26</f>
        <v>16</v>
      </c>
      <c r="D26" s="34" t="e">
        <f>'Conversor Termoelectrico STD'!#REF!</f>
        <v>#REF!</v>
      </c>
      <c r="E26" s="34">
        <f>'Conversor Termoelectrico STD'!D26+T$8</f>
        <v>50.090999999999994</v>
      </c>
      <c r="F26" s="34">
        <f>'Conversor Termoelectrico STD'!E26</f>
        <v>0.27150000000000002</v>
      </c>
      <c r="G26" s="34">
        <f>'Conversor Termoelectrico STD'!F26+T$9</f>
        <v>25.757000000000001</v>
      </c>
      <c r="H26" s="34">
        <f>'Conversor Termoelectrico STD'!G26</f>
        <v>0.27150000000000002</v>
      </c>
      <c r="I26" s="34">
        <f>'Conversor Termoelectrico STD'!H26+T$10</f>
        <v>22.818999999999999</v>
      </c>
      <c r="J26" s="34">
        <f>'Conversor Termoelectrico STD'!I26</f>
        <v>0.27150000000000002</v>
      </c>
      <c r="K26" s="34">
        <f>'Conversor Termoelectrico STD'!J26</f>
        <v>192</v>
      </c>
      <c r="L26" s="34">
        <f>'Conversor Termoelectrico STD'!K26</f>
        <v>0.1</v>
      </c>
      <c r="M26" s="34">
        <f>'Conversor Termoelectrico STD'!L26</f>
        <v>7.9999999999999993E-5</v>
      </c>
      <c r="N26" s="34">
        <f>'Conversor Termoelectrico STD'!M26</f>
        <v>4.9999999999999998E-7</v>
      </c>
      <c r="O26" s="34">
        <f>'Conversor Termoelectrico STD'!N26</f>
        <v>14.62</v>
      </c>
      <c r="P26" s="34">
        <f>'Conversor Termoelectrico STD'!O26</f>
        <v>0.01</v>
      </c>
      <c r="Q26" s="34">
        <f>'Conversor Termoelectrico STD'!P26</f>
        <v>0.71</v>
      </c>
      <c r="R26" s="34">
        <f>'Conversor Termoelectrico STD'!Q26</f>
        <v>0.01</v>
      </c>
    </row>
    <row r="27" spans="1:18">
      <c r="A27" s="59">
        <f>'Conversor Termoelectrico STD'!A27+T$7</f>
        <v>37.558</v>
      </c>
      <c r="B27" s="59">
        <f>'Conversor Termoelectrico STD'!B27</f>
        <v>0.27150000000000002</v>
      </c>
      <c r="C27" s="59">
        <f>'Conversor Termoelectrico STD'!C27</f>
        <v>7</v>
      </c>
      <c r="D27" s="59" t="e">
        <f>'Conversor Termoelectrico STD'!#REF!</f>
        <v>#REF!</v>
      </c>
      <c r="E27" s="59">
        <f>'Conversor Termoelectrico STD'!D27+T$8</f>
        <v>29.579000000000001</v>
      </c>
      <c r="F27" s="59">
        <f>'Conversor Termoelectrico STD'!E27</f>
        <v>0.27150000000000002</v>
      </c>
      <c r="G27" s="59">
        <f>'Conversor Termoelectrico STD'!F27+T$9</f>
        <v>22.678000000000001</v>
      </c>
      <c r="H27" s="59">
        <f>'Conversor Termoelectrico STD'!G27</f>
        <v>0.27150000000000002</v>
      </c>
      <c r="I27" s="59">
        <f>'Conversor Termoelectrico STD'!H27+T$10</f>
        <v>22.187999999999999</v>
      </c>
      <c r="J27" s="59">
        <f>'Conversor Termoelectrico STD'!I27</f>
        <v>0.27150000000000002</v>
      </c>
      <c r="K27" s="59">
        <f>'Conversor Termoelectrico STD'!J27</f>
        <v>192</v>
      </c>
      <c r="L27" s="59">
        <f>'Conversor Termoelectrico STD'!K27</f>
        <v>0.1</v>
      </c>
      <c r="M27" s="59">
        <f>'Conversor Termoelectrico STD'!L27</f>
        <v>7.9999999999999993E-5</v>
      </c>
      <c r="N27" s="59">
        <f>'Conversor Termoelectrico STD'!M27</f>
        <v>4.9999999999999998E-7</v>
      </c>
      <c r="O27" s="59">
        <f>'Conversor Termoelectrico STD'!N27</f>
        <v>6.58</v>
      </c>
      <c r="P27" s="59">
        <f>'Conversor Termoelectrico STD'!O27</f>
        <v>0.01</v>
      </c>
      <c r="Q27" s="59">
        <f>'Conversor Termoelectrico STD'!P27</f>
        <v>0.32</v>
      </c>
      <c r="R27" s="59">
        <f>'Conversor Termoelectrico STD'!Q27</f>
        <v>0.01</v>
      </c>
    </row>
    <row r="28" spans="1:18">
      <c r="A28" s="7" t="str">
        <f>'Conversor Termoelectrico STD'!A28</f>
        <v>RendCorrF</v>
      </c>
      <c r="B28" s="7" t="str">
        <f>'Conversor Termoelectrico STD'!B28</f>
        <v>eRendCorrF</v>
      </c>
      <c r="D28" s="7" t="str">
        <f>'Conversor Termoelectrico STD'!D28</f>
        <v>Pcond</v>
      </c>
      <c r="E28" s="7" t="str">
        <f>'Conversor Termoelectrico STD'!E28</f>
        <v>ePcond</v>
      </c>
      <c r="F28" s="7" t="str">
        <f>'Conversor Termoelectrico STD'!F28</f>
        <v>rt</v>
      </c>
      <c r="G28" s="7" t="str">
        <f>'Conversor Termoelectrico STD'!G28</f>
        <v>ert</v>
      </c>
      <c r="H28" s="9" t="s">
        <v>28</v>
      </c>
      <c r="I28" s="9" t="s">
        <v>26</v>
      </c>
    </row>
    <row r="29" spans="1:18">
      <c r="A29" s="76">
        <f>G16/(G16+O21-D29)</f>
        <v>7.5635986559957194E-2</v>
      </c>
      <c r="B29" s="34">
        <f>(((O21-D29)*H16)+(G16*P21)+(G16*E29))/(G16+O21-D29)^2</f>
        <v>9.2778687883151204E-2</v>
      </c>
      <c r="D29" s="34">
        <f>-(I26-G26)*K$8*B$22*M26/K26</f>
        <v>5.1243616666666698</v>
      </c>
      <c r="E29" s="34">
        <f>K$8*B$22*SQRT((M26*H26/K26)^2+(M26*J26/K26)^2+((G26-I26)*N26/K26)^2+((G26-I26)*M26*L26/(K26^2))^2)</f>
        <v>0.67045917067703265</v>
      </c>
      <c r="F29" s="34">
        <f>(A26-E26)/D29</f>
        <v>6.8020179423973754</v>
      </c>
      <c r="G29" s="34">
        <f>SQRT(B26*B26+F26*F26+((A26-E26)*E29/D29)^2)/ABS(D29)</f>
        <v>0.89310832190713929</v>
      </c>
      <c r="H29" s="60">
        <f>1-(E26+273.15)/(A26+273.15)</f>
        <v>9.7336755125008056E-2</v>
      </c>
      <c r="I29" s="40">
        <f>SQRT((F26/A26)^2+(B26*E26/(A26*A26))^2)</f>
        <v>3.7104006244380733E-3</v>
      </c>
    </row>
    <row r="30" spans="1:18">
      <c r="A30" s="77">
        <f>G13/(G13+O18-D30)</f>
        <v>1.7520795367265356E-2</v>
      </c>
      <c r="B30" s="59">
        <f>(((O18-D30)*H13)+(G13*P18)+(G13*E30))/(G13+O18-D30)^2</f>
        <v>9.1434455756863195E-2</v>
      </c>
      <c r="D30" s="59">
        <f>-(I27-G27)*K$8*B$22*M27/K27</f>
        <v>0.85464166666667019</v>
      </c>
      <c r="E30" s="59">
        <f>K$8*B$22*SQRT((M27*H27/K27)^2+(M27*J27/K27)^2+((G27-I27)*N27/K27)^2+((G27-I27)*M27*L27/(K27^2))^2)</f>
        <v>0.66970990792558438</v>
      </c>
      <c r="F30" s="59">
        <f>(A27-E27)/ABS(D30)</f>
        <v>9.3360765232991998</v>
      </c>
      <c r="G30" s="59">
        <f>SQRT(B27*B27+F27*F27+((A27-E27)*E30/D30)^2)/ABS(D30)</f>
        <v>7.3296697476199615</v>
      </c>
      <c r="H30" s="61">
        <f>1-(E27+273.15)/(A27+273.15)</f>
        <v>2.5680059734541683E-2</v>
      </c>
      <c r="I30" s="62">
        <f>SQRT((F27/A27)^2+(B27*E27/(A27*A27))^2)</f>
        <v>9.2014758202452474E-3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Conversor Termoelectrico STD</vt:lpstr>
      <vt:lpstr>Bomba de Calor</vt:lpstr>
      <vt:lpstr>nORMALIZADA</vt:lpstr>
    </vt:vector>
  </TitlesOfParts>
  <Company>none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Joao Tiago Neves Penedo</cp:lastModifiedBy>
  <dcterms:created xsi:type="dcterms:W3CDTF">2010-03-23T22:19:28Z</dcterms:created>
  <dcterms:modified xsi:type="dcterms:W3CDTF">2010-04-22T02:13:52Z</dcterms:modified>
</cp:coreProperties>
</file>