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75" windowWidth="18195" windowHeight="7995"/>
  </bookViews>
  <sheets>
    <sheet name="Fresnel" sheetId="1" r:id="rId1"/>
    <sheet name="Fresnel desviado à Doppler" sheetId="2" r:id="rId2"/>
    <sheet name="Relatório de Compatibilidade" sheetId="3" r:id="rId3"/>
  </sheets>
  <calcPr calcId="125725"/>
</workbook>
</file>

<file path=xl/calcChain.xml><?xml version="1.0" encoding="utf-8"?>
<calcChain xmlns="http://schemas.openxmlformats.org/spreadsheetml/2006/main">
  <c r="G183" i="1"/>
  <c r="N79"/>
  <c r="O81"/>
  <c r="H81"/>
  <c r="L81"/>
  <c r="W132"/>
  <c r="W134"/>
  <c r="W136"/>
  <c r="W138"/>
  <c r="W140"/>
  <c r="W142"/>
  <c r="W144"/>
  <c r="W146"/>
  <c r="W148"/>
  <c r="W150"/>
  <c r="W152"/>
  <c r="W154"/>
  <c r="W156"/>
  <c r="W158"/>
  <c r="W160"/>
  <c r="W162"/>
  <c r="W164"/>
  <c r="W130"/>
  <c r="V132"/>
  <c r="J132" s="1"/>
  <c r="V134"/>
  <c r="V136"/>
  <c r="J136" s="1"/>
  <c r="V138"/>
  <c r="V140"/>
  <c r="J140" s="1"/>
  <c r="V142"/>
  <c r="V144"/>
  <c r="J144" s="1"/>
  <c r="V146"/>
  <c r="V148"/>
  <c r="J148" s="1"/>
  <c r="V150"/>
  <c r="V152"/>
  <c r="J152" s="1"/>
  <c r="V154"/>
  <c r="V156"/>
  <c r="J156" s="1"/>
  <c r="V158"/>
  <c r="V160"/>
  <c r="J160" s="1"/>
  <c r="V162"/>
  <c r="V164"/>
  <c r="J164" s="1"/>
  <c r="V130"/>
  <c r="J130" s="1"/>
  <c r="K132"/>
  <c r="K134"/>
  <c r="K136"/>
  <c r="K138"/>
  <c r="K140"/>
  <c r="K142"/>
  <c r="K144"/>
  <c r="K146"/>
  <c r="K148"/>
  <c r="K150"/>
  <c r="K152"/>
  <c r="K154"/>
  <c r="K156"/>
  <c r="K158"/>
  <c r="K160"/>
  <c r="K162"/>
  <c r="K164"/>
  <c r="J134"/>
  <c r="J138"/>
  <c r="J142"/>
  <c r="J146"/>
  <c r="J150"/>
  <c r="J154"/>
  <c r="J158"/>
  <c r="J162"/>
  <c r="K130"/>
  <c r="AD130" s="1"/>
  <c r="K125"/>
  <c r="J125"/>
  <c r="W93"/>
  <c r="W95"/>
  <c r="W97"/>
  <c r="W99"/>
  <c r="W101"/>
  <c r="W103"/>
  <c r="W105"/>
  <c r="W107"/>
  <c r="W109"/>
  <c r="W111"/>
  <c r="W113"/>
  <c r="W115"/>
  <c r="W117"/>
  <c r="W119"/>
  <c r="W121"/>
  <c r="W123"/>
  <c r="W125"/>
  <c r="W91"/>
  <c r="V93"/>
  <c r="J93" s="1"/>
  <c r="V95"/>
  <c r="V97"/>
  <c r="J97" s="1"/>
  <c r="V99"/>
  <c r="V101"/>
  <c r="J101" s="1"/>
  <c r="V103"/>
  <c r="V105"/>
  <c r="J105" s="1"/>
  <c r="V107"/>
  <c r="V109"/>
  <c r="J109" s="1"/>
  <c r="V111"/>
  <c r="V113"/>
  <c r="J113" s="1"/>
  <c r="V115"/>
  <c r="V117"/>
  <c r="J117" s="1"/>
  <c r="V119"/>
  <c r="V121"/>
  <c r="J121" s="1"/>
  <c r="V123"/>
  <c r="V125"/>
  <c r="V91"/>
  <c r="J91" s="1"/>
  <c r="K93"/>
  <c r="K95"/>
  <c r="K97"/>
  <c r="K99"/>
  <c r="K101"/>
  <c r="K103"/>
  <c r="K105"/>
  <c r="K107"/>
  <c r="K109"/>
  <c r="K111"/>
  <c r="K113"/>
  <c r="K115"/>
  <c r="K117"/>
  <c r="K119"/>
  <c r="K121"/>
  <c r="K123"/>
  <c r="K91"/>
  <c r="K81"/>
  <c r="J95"/>
  <c r="J99"/>
  <c r="J103"/>
  <c r="J107"/>
  <c r="J111"/>
  <c r="J115"/>
  <c r="J119"/>
  <c r="J123"/>
  <c r="J81"/>
  <c r="W10"/>
  <c r="W12"/>
  <c r="W14"/>
  <c r="W16"/>
  <c r="K16" s="1"/>
  <c r="W18"/>
  <c r="W20"/>
  <c r="W22"/>
  <c r="W24"/>
  <c r="K24" s="1"/>
  <c r="W26"/>
  <c r="W28"/>
  <c r="W30"/>
  <c r="W32"/>
  <c r="K32" s="1"/>
  <c r="W34"/>
  <c r="W36"/>
  <c r="W38"/>
  <c r="W40"/>
  <c r="K40" s="1"/>
  <c r="W42"/>
  <c r="W8"/>
  <c r="V49"/>
  <c r="V51"/>
  <c r="J51" s="1"/>
  <c r="V53"/>
  <c r="V55"/>
  <c r="J55" s="1"/>
  <c r="V57"/>
  <c r="V59"/>
  <c r="J59" s="1"/>
  <c r="V61"/>
  <c r="V63"/>
  <c r="J63" s="1"/>
  <c r="V65"/>
  <c r="V67"/>
  <c r="J67" s="1"/>
  <c r="V69"/>
  <c r="V71"/>
  <c r="J71" s="1"/>
  <c r="V73"/>
  <c r="V75"/>
  <c r="J75" s="1"/>
  <c r="V77"/>
  <c r="V79"/>
  <c r="J79" s="1"/>
  <c r="V81"/>
  <c r="W49"/>
  <c r="W51"/>
  <c r="W53"/>
  <c r="W55"/>
  <c r="W57"/>
  <c r="W59"/>
  <c r="W61"/>
  <c r="W63"/>
  <c r="W65"/>
  <c r="W67"/>
  <c r="W69"/>
  <c r="W71"/>
  <c r="W73"/>
  <c r="W75"/>
  <c r="W77"/>
  <c r="W79"/>
  <c r="W81"/>
  <c r="W47"/>
  <c r="K47" s="1"/>
  <c r="V47"/>
  <c r="K49"/>
  <c r="K51"/>
  <c r="K53"/>
  <c r="K55"/>
  <c r="K57"/>
  <c r="K59"/>
  <c r="K61"/>
  <c r="K63"/>
  <c r="K65"/>
  <c r="K67"/>
  <c r="K69"/>
  <c r="K71"/>
  <c r="K73"/>
  <c r="K75"/>
  <c r="K77"/>
  <c r="K79"/>
  <c r="J49"/>
  <c r="J53"/>
  <c r="J57"/>
  <c r="J61"/>
  <c r="J65"/>
  <c r="J69"/>
  <c r="J73"/>
  <c r="J77"/>
  <c r="M8"/>
  <c r="I8"/>
  <c r="L8"/>
  <c r="K10"/>
  <c r="K12"/>
  <c r="K20"/>
  <c r="K28"/>
  <c r="K36"/>
  <c r="K8"/>
  <c r="V12"/>
  <c r="V14"/>
  <c r="V16"/>
  <c r="J16" s="1"/>
  <c r="V18"/>
  <c r="V20"/>
  <c r="V22"/>
  <c r="V24"/>
  <c r="J24" s="1"/>
  <c r="V26"/>
  <c r="V28"/>
  <c r="J28" s="1"/>
  <c r="V30"/>
  <c r="V32"/>
  <c r="J32" s="1"/>
  <c r="V34"/>
  <c r="V36"/>
  <c r="V38"/>
  <c r="V40"/>
  <c r="J40" s="1"/>
  <c r="V42"/>
  <c r="J42" s="1"/>
  <c r="V10"/>
  <c r="AA10" s="1"/>
  <c r="AB10" s="1"/>
  <c r="H174"/>
  <c r="V8"/>
  <c r="J174"/>
  <c r="I14"/>
  <c r="J12"/>
  <c r="AD132"/>
  <c r="AD134"/>
  <c r="AD136"/>
  <c r="AD164" s="1"/>
  <c r="AD138"/>
  <c r="AD140"/>
  <c r="AD142"/>
  <c r="AD144"/>
  <c r="AD146"/>
  <c r="AD148"/>
  <c r="AD150"/>
  <c r="AD152"/>
  <c r="AD154"/>
  <c r="AD156"/>
  <c r="AD158"/>
  <c r="AD160"/>
  <c r="AD162"/>
  <c r="AA5"/>
  <c r="H173"/>
  <c r="G198"/>
  <c r="I188"/>
  <c r="E204" s="1"/>
  <c r="I183"/>
  <c r="E198"/>
  <c r="C198"/>
  <c r="Y47"/>
  <c r="Y91"/>
  <c r="Y130"/>
  <c r="G188"/>
  <c r="C204" s="1"/>
  <c r="Y8"/>
  <c r="B20"/>
  <c r="B19"/>
  <c r="B21"/>
  <c r="H8"/>
  <c r="H14"/>
  <c r="F173"/>
  <c r="D173"/>
  <c r="H189"/>
  <c r="N65"/>
  <c r="N67"/>
  <c r="N69"/>
  <c r="N71"/>
  <c r="N73"/>
  <c r="N75"/>
  <c r="N77"/>
  <c r="N63"/>
  <c r="N150"/>
  <c r="N152"/>
  <c r="N154"/>
  <c r="N156"/>
  <c r="N158"/>
  <c r="N160"/>
  <c r="N162"/>
  <c r="N164"/>
  <c r="N148"/>
  <c r="M150"/>
  <c r="M152"/>
  <c r="M154"/>
  <c r="M156"/>
  <c r="M158"/>
  <c r="M160"/>
  <c r="M162"/>
  <c r="M164"/>
  <c r="M144"/>
  <c r="AN145"/>
  <c r="AN144"/>
  <c r="B144"/>
  <c r="B63"/>
  <c r="O164"/>
  <c r="O162"/>
  <c r="O160"/>
  <c r="O158"/>
  <c r="O156"/>
  <c r="O154"/>
  <c r="O152"/>
  <c r="O150"/>
  <c r="O148"/>
  <c r="O146"/>
  <c r="O144"/>
  <c r="O142"/>
  <c r="O140"/>
  <c r="O138"/>
  <c r="O136"/>
  <c r="O134"/>
  <c r="O132"/>
  <c r="O130"/>
  <c r="O79"/>
  <c r="O77"/>
  <c r="O75"/>
  <c r="O73"/>
  <c r="O71"/>
  <c r="O69"/>
  <c r="O67"/>
  <c r="O65"/>
  <c r="O63"/>
  <c r="O61"/>
  <c r="O59"/>
  <c r="O57"/>
  <c r="O55"/>
  <c r="O53"/>
  <c r="O51"/>
  <c r="O49"/>
  <c r="O47"/>
  <c r="O125"/>
  <c r="O123"/>
  <c r="O121"/>
  <c r="O119"/>
  <c r="O117"/>
  <c r="O115"/>
  <c r="O113"/>
  <c r="O111"/>
  <c r="O109"/>
  <c r="O107"/>
  <c r="O105"/>
  <c r="O103"/>
  <c r="O101"/>
  <c r="O99"/>
  <c r="O97"/>
  <c r="O95"/>
  <c r="O93"/>
  <c r="O91"/>
  <c r="H63"/>
  <c r="L63"/>
  <c r="O10"/>
  <c r="O12"/>
  <c r="O14"/>
  <c r="O16"/>
  <c r="O18"/>
  <c r="O20"/>
  <c r="O22"/>
  <c r="O24"/>
  <c r="O26"/>
  <c r="O28"/>
  <c r="O30"/>
  <c r="O32"/>
  <c r="O34"/>
  <c r="O36"/>
  <c r="O38"/>
  <c r="O40"/>
  <c r="O42"/>
  <c r="O8"/>
  <c r="F194"/>
  <c r="F193"/>
  <c r="L91"/>
  <c r="L164"/>
  <c r="I164"/>
  <c r="H164"/>
  <c r="L132"/>
  <c r="L134"/>
  <c r="L136"/>
  <c r="L138"/>
  <c r="L140"/>
  <c r="L142"/>
  <c r="L144"/>
  <c r="L148"/>
  <c r="L150"/>
  <c r="L152"/>
  <c r="L154"/>
  <c r="L156"/>
  <c r="L158"/>
  <c r="L160"/>
  <c r="L162"/>
  <c r="L130"/>
  <c r="M130"/>
  <c r="M134"/>
  <c r="M136"/>
  <c r="M138"/>
  <c r="M140"/>
  <c r="M142"/>
  <c r="M146"/>
  <c r="M148"/>
  <c r="M132"/>
  <c r="M91"/>
  <c r="I81"/>
  <c r="M81"/>
  <c r="M47"/>
  <c r="I125"/>
  <c r="H125"/>
  <c r="I42"/>
  <c r="M42"/>
  <c r="H42"/>
  <c r="L42"/>
  <c r="G183" i="2"/>
  <c r="G178"/>
  <c r="J168"/>
  <c r="H168"/>
  <c r="D168"/>
  <c r="AA167"/>
  <c r="W167"/>
  <c r="I159"/>
  <c r="M159"/>
  <c r="H159"/>
  <c r="L159"/>
  <c r="I157"/>
  <c r="M157"/>
  <c r="H157"/>
  <c r="L157"/>
  <c r="I155"/>
  <c r="M155"/>
  <c r="H155"/>
  <c r="L155"/>
  <c r="I153"/>
  <c r="M153"/>
  <c r="H153"/>
  <c r="L153"/>
  <c r="I151"/>
  <c r="M151"/>
  <c r="H151"/>
  <c r="L151"/>
  <c r="I149"/>
  <c r="M149"/>
  <c r="H149"/>
  <c r="L149"/>
  <c r="I147"/>
  <c r="M147"/>
  <c r="H147"/>
  <c r="L147"/>
  <c r="I145"/>
  <c r="M145"/>
  <c r="H145"/>
  <c r="L145"/>
  <c r="I143"/>
  <c r="M143"/>
  <c r="H143"/>
  <c r="L143"/>
  <c r="I141"/>
  <c r="M141"/>
  <c r="H141"/>
  <c r="L141"/>
  <c r="I139"/>
  <c r="M139"/>
  <c r="H139"/>
  <c r="L139"/>
  <c r="I137"/>
  <c r="M137"/>
  <c r="H137"/>
  <c r="L137"/>
  <c r="I135"/>
  <c r="M135"/>
  <c r="H135"/>
  <c r="L135"/>
  <c r="I133"/>
  <c r="M133"/>
  <c r="H133"/>
  <c r="L133"/>
  <c r="I131"/>
  <c r="M131"/>
  <c r="H131"/>
  <c r="L131"/>
  <c r="I129"/>
  <c r="M129"/>
  <c r="H129"/>
  <c r="L129"/>
  <c r="I127"/>
  <c r="M127"/>
  <c r="H127"/>
  <c r="L127"/>
  <c r="I121"/>
  <c r="M121"/>
  <c r="H121"/>
  <c r="L121"/>
  <c r="I119"/>
  <c r="M119"/>
  <c r="H119"/>
  <c r="L119"/>
  <c r="I117"/>
  <c r="M117"/>
  <c r="H117"/>
  <c r="L117"/>
  <c r="I115"/>
  <c r="M115"/>
  <c r="H115"/>
  <c r="L115"/>
  <c r="I113"/>
  <c r="M113"/>
  <c r="H113"/>
  <c r="L113"/>
  <c r="I111"/>
  <c r="M111"/>
  <c r="H111"/>
  <c r="L111"/>
  <c r="I109"/>
  <c r="M109"/>
  <c r="H109"/>
  <c r="L109"/>
  <c r="I107"/>
  <c r="M107"/>
  <c r="H107"/>
  <c r="L107"/>
  <c r="I105"/>
  <c r="M105"/>
  <c r="H105"/>
  <c r="L105"/>
  <c r="I103"/>
  <c r="M103"/>
  <c r="H103"/>
  <c r="L103"/>
  <c r="I101"/>
  <c r="M101"/>
  <c r="H101"/>
  <c r="L101"/>
  <c r="I99"/>
  <c r="M99"/>
  <c r="H99"/>
  <c r="L99"/>
  <c r="I97"/>
  <c r="M97"/>
  <c r="H97"/>
  <c r="L97"/>
  <c r="I95"/>
  <c r="M95"/>
  <c r="H95"/>
  <c r="L95"/>
  <c r="I93"/>
  <c r="M93"/>
  <c r="H93"/>
  <c r="L93"/>
  <c r="I91"/>
  <c r="M91"/>
  <c r="H91"/>
  <c r="L91"/>
  <c r="I89"/>
  <c r="M89"/>
  <c r="H89"/>
  <c r="L89"/>
  <c r="I79"/>
  <c r="M79"/>
  <c r="H79"/>
  <c r="L79"/>
  <c r="I77"/>
  <c r="M77"/>
  <c r="H77"/>
  <c r="L77"/>
  <c r="I75"/>
  <c r="M75"/>
  <c r="H75"/>
  <c r="L75"/>
  <c r="I73"/>
  <c r="M73"/>
  <c r="H73"/>
  <c r="L73"/>
  <c r="I71"/>
  <c r="M71"/>
  <c r="H71"/>
  <c r="L71"/>
  <c r="I69"/>
  <c r="M69"/>
  <c r="H69"/>
  <c r="L69"/>
  <c r="I67"/>
  <c r="M67"/>
  <c r="H67"/>
  <c r="L67"/>
  <c r="I65"/>
  <c r="M65"/>
  <c r="H65"/>
  <c r="L65"/>
  <c r="I63"/>
  <c r="M63"/>
  <c r="H63"/>
  <c r="L63"/>
  <c r="I61"/>
  <c r="M61"/>
  <c r="H61"/>
  <c r="L61"/>
  <c r="I59"/>
  <c r="M59"/>
  <c r="H59"/>
  <c r="L59"/>
  <c r="I57"/>
  <c r="M57"/>
  <c r="H57"/>
  <c r="L57"/>
  <c r="I55"/>
  <c r="M55"/>
  <c r="H55"/>
  <c r="L55"/>
  <c r="I53"/>
  <c r="M53"/>
  <c r="H53"/>
  <c r="L53"/>
  <c r="I51"/>
  <c r="M51"/>
  <c r="H51"/>
  <c r="L51"/>
  <c r="I49"/>
  <c r="M49"/>
  <c r="H49"/>
  <c r="L49"/>
  <c r="I47"/>
  <c r="M47"/>
  <c r="H47"/>
  <c r="L47"/>
  <c r="I40"/>
  <c r="M40"/>
  <c r="H40"/>
  <c r="L40"/>
  <c r="I38"/>
  <c r="M38"/>
  <c r="H38"/>
  <c r="L38"/>
  <c r="I36"/>
  <c r="M36"/>
  <c r="H36"/>
  <c r="L36"/>
  <c r="I34"/>
  <c r="M34"/>
  <c r="H34"/>
  <c r="L34"/>
  <c r="I32"/>
  <c r="M32"/>
  <c r="H32"/>
  <c r="L32"/>
  <c r="I30"/>
  <c r="M30"/>
  <c r="H30"/>
  <c r="L30"/>
  <c r="I28"/>
  <c r="M28"/>
  <c r="H28"/>
  <c r="L28"/>
  <c r="I26"/>
  <c r="M26"/>
  <c r="H26"/>
  <c r="L26"/>
  <c r="I24"/>
  <c r="M24"/>
  <c r="H24"/>
  <c r="L24"/>
  <c r="I22"/>
  <c r="M22"/>
  <c r="H22"/>
  <c r="L22"/>
  <c r="I20"/>
  <c r="M20"/>
  <c r="H20"/>
  <c r="L20"/>
  <c r="I18"/>
  <c r="M18"/>
  <c r="H18"/>
  <c r="L18"/>
  <c r="I16"/>
  <c r="M16"/>
  <c r="H16"/>
  <c r="L16"/>
  <c r="I14"/>
  <c r="M14"/>
  <c r="H14"/>
  <c r="L14"/>
  <c r="I12"/>
  <c r="M12"/>
  <c r="H12"/>
  <c r="L12"/>
  <c r="I10"/>
  <c r="M10"/>
  <c r="H10"/>
  <c r="L10"/>
  <c r="I8"/>
  <c r="M8"/>
  <c r="H8"/>
  <c r="L8"/>
  <c r="M49" i="1"/>
  <c r="M51"/>
  <c r="M53"/>
  <c r="M55"/>
  <c r="M57"/>
  <c r="M59"/>
  <c r="M61"/>
  <c r="M63"/>
  <c r="M65"/>
  <c r="M67"/>
  <c r="M69"/>
  <c r="M71"/>
  <c r="M73"/>
  <c r="M75"/>
  <c r="M77"/>
  <c r="M79"/>
  <c r="L49"/>
  <c r="L51"/>
  <c r="L53"/>
  <c r="L57"/>
  <c r="L59"/>
  <c r="L61"/>
  <c r="J173"/>
  <c r="L125"/>
  <c r="H91"/>
  <c r="H47"/>
  <c r="L47" s="1"/>
  <c r="H130"/>
  <c r="I162"/>
  <c r="H162"/>
  <c r="I160"/>
  <c r="H160"/>
  <c r="I158"/>
  <c r="H158"/>
  <c r="I156"/>
  <c r="H156"/>
  <c r="I154"/>
  <c r="H154"/>
  <c r="I152"/>
  <c r="H152"/>
  <c r="I150"/>
  <c r="H150"/>
  <c r="I148"/>
  <c r="H148"/>
  <c r="I146"/>
  <c r="H146"/>
  <c r="L146"/>
  <c r="I144"/>
  <c r="H144"/>
  <c r="I142"/>
  <c r="H142"/>
  <c r="I140"/>
  <c r="H140"/>
  <c r="I138"/>
  <c r="H138"/>
  <c r="I136"/>
  <c r="H136"/>
  <c r="I134"/>
  <c r="H134"/>
  <c r="I132"/>
  <c r="H132"/>
  <c r="I130"/>
  <c r="I123"/>
  <c r="M123"/>
  <c r="H123"/>
  <c r="I121"/>
  <c r="M121"/>
  <c r="H121"/>
  <c r="I119"/>
  <c r="M119"/>
  <c r="H119"/>
  <c r="I117"/>
  <c r="M117"/>
  <c r="H117"/>
  <c r="I115"/>
  <c r="M115"/>
  <c r="H115"/>
  <c r="I113"/>
  <c r="M113"/>
  <c r="H113"/>
  <c r="I111"/>
  <c r="M111"/>
  <c r="H111"/>
  <c r="I109"/>
  <c r="M109"/>
  <c r="H109"/>
  <c r="I107"/>
  <c r="M107"/>
  <c r="H107"/>
  <c r="I105"/>
  <c r="M105"/>
  <c r="H105"/>
  <c r="I103"/>
  <c r="M103"/>
  <c r="H103"/>
  <c r="I101"/>
  <c r="M101"/>
  <c r="H101"/>
  <c r="I99"/>
  <c r="M99"/>
  <c r="H99"/>
  <c r="I97"/>
  <c r="M97"/>
  <c r="H97"/>
  <c r="I95"/>
  <c r="M95"/>
  <c r="H95"/>
  <c r="I93"/>
  <c r="M93"/>
  <c r="H93"/>
  <c r="I91"/>
  <c r="I65"/>
  <c r="H51"/>
  <c r="I79"/>
  <c r="H79"/>
  <c r="L79"/>
  <c r="I77"/>
  <c r="H77"/>
  <c r="L77"/>
  <c r="I75"/>
  <c r="H75"/>
  <c r="L75"/>
  <c r="I73"/>
  <c r="H73"/>
  <c r="L73"/>
  <c r="I71"/>
  <c r="H71"/>
  <c r="L71"/>
  <c r="I69"/>
  <c r="H69"/>
  <c r="L69"/>
  <c r="I67"/>
  <c r="H67"/>
  <c r="L67"/>
  <c r="H65"/>
  <c r="L65"/>
  <c r="I63"/>
  <c r="I61"/>
  <c r="H61"/>
  <c r="I59"/>
  <c r="H59"/>
  <c r="I57"/>
  <c r="H57"/>
  <c r="I55"/>
  <c r="H55"/>
  <c r="L55"/>
  <c r="I53"/>
  <c r="H53"/>
  <c r="I51"/>
  <c r="I49"/>
  <c r="H49"/>
  <c r="I47"/>
  <c r="I26"/>
  <c r="I10"/>
  <c r="I12"/>
  <c r="I16"/>
  <c r="I18"/>
  <c r="I20"/>
  <c r="I22"/>
  <c r="I24"/>
  <c r="I28"/>
  <c r="I30"/>
  <c r="I32"/>
  <c r="I34"/>
  <c r="I36"/>
  <c r="I38"/>
  <c r="I40"/>
  <c r="H36"/>
  <c r="H10"/>
  <c r="H12"/>
  <c r="H16"/>
  <c r="H18"/>
  <c r="H20"/>
  <c r="H22"/>
  <c r="H24"/>
  <c r="H26"/>
  <c r="H28"/>
  <c r="H30"/>
  <c r="H32"/>
  <c r="H34"/>
  <c r="H38"/>
  <c r="H40"/>
  <c r="M125"/>
  <c r="L40"/>
  <c r="L34"/>
  <c r="L30"/>
  <c r="L26"/>
  <c r="L22"/>
  <c r="L18"/>
  <c r="L14"/>
  <c r="M40"/>
  <c r="M36"/>
  <c r="M32"/>
  <c r="M28"/>
  <c r="L10"/>
  <c r="L93"/>
  <c r="L95"/>
  <c r="L97"/>
  <c r="L99"/>
  <c r="L101"/>
  <c r="L103"/>
  <c r="L105"/>
  <c r="L38"/>
  <c r="L32"/>
  <c r="L28"/>
  <c r="L24"/>
  <c r="L20"/>
  <c r="L16"/>
  <c r="L12"/>
  <c r="L36"/>
  <c r="M38"/>
  <c r="M34"/>
  <c r="M30"/>
  <c r="M24"/>
  <c r="M20"/>
  <c r="M16"/>
  <c r="M12"/>
  <c r="M26"/>
  <c r="L107"/>
  <c r="L109"/>
  <c r="L111"/>
  <c r="L113"/>
  <c r="L115"/>
  <c r="L117"/>
  <c r="L119"/>
  <c r="L121"/>
  <c r="L123"/>
  <c r="M22"/>
  <c r="M18"/>
  <c r="M14"/>
  <c r="M10"/>
  <c r="B10" l="1"/>
  <c r="B91"/>
  <c r="B46"/>
  <c r="B130"/>
  <c r="J47"/>
  <c r="AA49"/>
  <c r="AB49" s="1"/>
  <c r="AA91"/>
  <c r="AB91" s="1"/>
  <c r="AA93"/>
  <c r="AB93" s="1"/>
  <c r="AA95"/>
  <c r="AB95" s="1"/>
  <c r="AA132"/>
  <c r="AB132" s="1"/>
  <c r="AA134"/>
  <c r="AB134" s="1"/>
  <c r="AA8"/>
  <c r="AB8" s="1"/>
  <c r="AA12"/>
  <c r="AB12" s="1"/>
  <c r="AA47"/>
  <c r="AB47" s="1"/>
  <c r="J36"/>
  <c r="J20"/>
  <c r="J8"/>
  <c r="K42"/>
  <c r="K38"/>
  <c r="K34"/>
  <c r="K30"/>
  <c r="K26"/>
  <c r="K22"/>
  <c r="K14"/>
  <c r="AA51"/>
  <c r="AB51" s="1"/>
  <c r="AA130"/>
  <c r="AB130" s="1"/>
  <c r="K18"/>
  <c r="J10"/>
  <c r="J38"/>
  <c r="J34"/>
  <c r="J30"/>
  <c r="J26"/>
  <c r="J22"/>
  <c r="J18"/>
  <c r="J14"/>
  <c r="N40"/>
  <c r="U40" s="1"/>
  <c r="Q40" s="1"/>
  <c r="N36"/>
  <c r="U36" s="1"/>
  <c r="Q36" s="1"/>
  <c r="N32"/>
  <c r="U32" s="1"/>
  <c r="Q32" s="1"/>
  <c r="N28"/>
  <c r="U28" s="1"/>
  <c r="Q28" s="1"/>
  <c r="N24"/>
  <c r="U24" s="1"/>
  <c r="Q24" s="1"/>
  <c r="N20"/>
  <c r="U20" s="1"/>
  <c r="Q20" s="1"/>
  <c r="N16"/>
  <c r="U16" s="1"/>
  <c r="Q16" s="1"/>
  <c r="N12"/>
  <c r="U12" s="1"/>
  <c r="Q12" s="1"/>
  <c r="N8"/>
  <c r="S8"/>
  <c r="R40"/>
  <c r="R36"/>
  <c r="X42" s="1"/>
  <c r="AA42" s="1"/>
  <c r="R32"/>
  <c r="X38" s="1"/>
  <c r="Z38" s="1"/>
  <c r="R28"/>
  <c r="X34" s="1"/>
  <c r="Z34" s="1"/>
  <c r="R24"/>
  <c r="X30" s="1"/>
  <c r="Z30" s="1"/>
  <c r="R20"/>
  <c r="X26" s="1"/>
  <c r="Z26" s="1"/>
  <c r="R16"/>
  <c r="X22" s="1"/>
  <c r="Z22" s="1"/>
  <c r="R12"/>
  <c r="X18" s="1"/>
  <c r="Z18" s="1"/>
  <c r="S42"/>
  <c r="S38"/>
  <c r="S34"/>
  <c r="S30"/>
  <c r="S26"/>
  <c r="S22"/>
  <c r="S18"/>
  <c r="S14"/>
  <c r="S10"/>
  <c r="R91"/>
  <c r="X97" s="1"/>
  <c r="Z97" s="1"/>
  <c r="N95"/>
  <c r="N99"/>
  <c r="N103"/>
  <c r="N107"/>
  <c r="N111"/>
  <c r="N115"/>
  <c r="N119"/>
  <c r="N123"/>
  <c r="N91"/>
  <c r="T91" s="1"/>
  <c r="S91"/>
  <c r="R87"/>
  <c r="S95"/>
  <c r="S97"/>
  <c r="S101"/>
  <c r="S105"/>
  <c r="S109"/>
  <c r="S113"/>
  <c r="S117"/>
  <c r="S121"/>
  <c r="S125"/>
  <c r="R97"/>
  <c r="X103" s="1"/>
  <c r="Z103" s="1"/>
  <c r="R101"/>
  <c r="X107" s="1"/>
  <c r="Z107" s="1"/>
  <c r="R105"/>
  <c r="X111" s="1"/>
  <c r="Z111" s="1"/>
  <c r="R109"/>
  <c r="X115" s="1"/>
  <c r="Z115" s="1"/>
  <c r="R113"/>
  <c r="X119" s="1"/>
  <c r="Z119" s="1"/>
  <c r="R117"/>
  <c r="X123" s="1"/>
  <c r="Z123" s="1"/>
  <c r="R121"/>
  <c r="R125"/>
  <c r="N93"/>
  <c r="T93" s="1"/>
  <c r="N97"/>
  <c r="U97" s="1"/>
  <c r="Q97" s="1"/>
  <c r="N101"/>
  <c r="T101" s="1"/>
  <c r="N105"/>
  <c r="U105" s="1"/>
  <c r="Q105" s="1"/>
  <c r="N109"/>
  <c r="T109" s="1"/>
  <c r="N113"/>
  <c r="U113" s="1"/>
  <c r="Q113" s="1"/>
  <c r="N117"/>
  <c r="T117" s="1"/>
  <c r="P117" s="1"/>
  <c r="N121"/>
  <c r="U121" s="1"/>
  <c r="Q121" s="1"/>
  <c r="N125"/>
  <c r="T125" s="1"/>
  <c r="P125" s="1"/>
  <c r="T95"/>
  <c r="T99"/>
  <c r="T103"/>
  <c r="T107"/>
  <c r="T111"/>
  <c r="T115"/>
  <c r="T119"/>
  <c r="T123"/>
  <c r="U95"/>
  <c r="Q95" s="1"/>
  <c r="U99"/>
  <c r="Q99" s="1"/>
  <c r="AD99" s="1"/>
  <c r="U103"/>
  <c r="Q103" s="1"/>
  <c r="U107"/>
  <c r="Q107" s="1"/>
  <c r="U111"/>
  <c r="Q111" s="1"/>
  <c r="U115"/>
  <c r="Q115" s="1"/>
  <c r="U119"/>
  <c r="Q119" s="1"/>
  <c r="U123"/>
  <c r="Q123" s="1"/>
  <c r="S87"/>
  <c r="S93"/>
  <c r="R93"/>
  <c r="X99" s="1"/>
  <c r="Z99" s="1"/>
  <c r="S99"/>
  <c r="S103"/>
  <c r="S107"/>
  <c r="P107" s="1"/>
  <c r="S111"/>
  <c r="S115"/>
  <c r="S119"/>
  <c r="S123"/>
  <c r="P123" s="1"/>
  <c r="R95"/>
  <c r="X101" s="1"/>
  <c r="Z101" s="1"/>
  <c r="R99"/>
  <c r="X105" s="1"/>
  <c r="AA105" s="1"/>
  <c r="R103"/>
  <c r="R107"/>
  <c r="R111"/>
  <c r="R115"/>
  <c r="R119"/>
  <c r="R123"/>
  <c r="AD123" s="1"/>
  <c r="U150"/>
  <c r="U158"/>
  <c r="T79"/>
  <c r="T40"/>
  <c r="P40" s="1"/>
  <c r="T36"/>
  <c r="P36" s="1"/>
  <c r="T32"/>
  <c r="P32" s="1"/>
  <c r="T28"/>
  <c r="P28" s="1"/>
  <c r="T24"/>
  <c r="P24" s="1"/>
  <c r="T20"/>
  <c r="P20" s="1"/>
  <c r="T16"/>
  <c r="P16" s="1"/>
  <c r="T12"/>
  <c r="P12" s="1"/>
  <c r="T75"/>
  <c r="T67"/>
  <c r="U148"/>
  <c r="P119"/>
  <c r="P111"/>
  <c r="P103"/>
  <c r="P95"/>
  <c r="P115"/>
  <c r="P99"/>
  <c r="T162"/>
  <c r="T164"/>
  <c r="T154"/>
  <c r="T150"/>
  <c r="T63"/>
  <c r="U63"/>
  <c r="P109" l="1"/>
  <c r="P101"/>
  <c r="N51"/>
  <c r="S81"/>
  <c r="N81"/>
  <c r="T81" s="1"/>
  <c r="U81"/>
  <c r="N10"/>
  <c r="T10" s="1"/>
  <c r="N42"/>
  <c r="T42" s="1"/>
  <c r="S12"/>
  <c r="S20"/>
  <c r="S28"/>
  <c r="S36"/>
  <c r="R10"/>
  <c r="X16" s="1"/>
  <c r="R18"/>
  <c r="X24" s="1"/>
  <c r="R26"/>
  <c r="X32" s="1"/>
  <c r="R34"/>
  <c r="X40" s="1"/>
  <c r="R42"/>
  <c r="U10"/>
  <c r="Q10" s="1"/>
  <c r="N18"/>
  <c r="N26"/>
  <c r="N34"/>
  <c r="U42"/>
  <c r="Q42" s="1"/>
  <c r="R8"/>
  <c r="X14" s="1"/>
  <c r="S16"/>
  <c r="S24"/>
  <c r="S32"/>
  <c r="S40"/>
  <c r="R14"/>
  <c r="X20" s="1"/>
  <c r="R22"/>
  <c r="X28" s="1"/>
  <c r="R30"/>
  <c r="X36" s="1"/>
  <c r="R38"/>
  <c r="N14"/>
  <c r="N22"/>
  <c r="N30"/>
  <c r="N38"/>
  <c r="AA18"/>
  <c r="AB18" s="1"/>
  <c r="AA26"/>
  <c r="AB26" s="1"/>
  <c r="AA34"/>
  <c r="AB34" s="1"/>
  <c r="AA22"/>
  <c r="AB22" s="1"/>
  <c r="AA30"/>
  <c r="AB30" s="1"/>
  <c r="AA38"/>
  <c r="AB38" s="1"/>
  <c r="U8"/>
  <c r="Q8" s="1"/>
  <c r="Z42"/>
  <c r="AB42" s="1"/>
  <c r="T8"/>
  <c r="P8" s="1"/>
  <c r="AD115"/>
  <c r="X121"/>
  <c r="AD107"/>
  <c r="X113"/>
  <c r="AA123"/>
  <c r="AB123" s="1"/>
  <c r="AA107"/>
  <c r="AB107" s="1"/>
  <c r="AA97"/>
  <c r="AB97" s="1"/>
  <c r="AA111"/>
  <c r="AB111" s="1"/>
  <c r="AA99"/>
  <c r="AB99" s="1"/>
  <c r="AD119"/>
  <c r="X125"/>
  <c r="AD111"/>
  <c r="X117"/>
  <c r="AD103"/>
  <c r="X109"/>
  <c r="AB105"/>
  <c r="Z105"/>
  <c r="AA115"/>
  <c r="AB115" s="1"/>
  <c r="AA103"/>
  <c r="AB103" s="1"/>
  <c r="AA119"/>
  <c r="AB119" s="1"/>
  <c r="AA101"/>
  <c r="AB101" s="1"/>
  <c r="T71"/>
  <c r="P91"/>
  <c r="P93"/>
  <c r="AE109"/>
  <c r="AE117"/>
  <c r="AE101"/>
  <c r="AE93"/>
  <c r="AE99"/>
  <c r="AE115"/>
  <c r="AE95"/>
  <c r="AE111"/>
  <c r="T51"/>
  <c r="N55"/>
  <c r="T55" s="1"/>
  <c r="N59"/>
  <c r="T59" s="1"/>
  <c r="U67"/>
  <c r="U75"/>
  <c r="N47"/>
  <c r="T47" s="1"/>
  <c r="U51"/>
  <c r="U55"/>
  <c r="U59"/>
  <c r="U65"/>
  <c r="U73"/>
  <c r="U47"/>
  <c r="T69"/>
  <c r="T77"/>
  <c r="S51"/>
  <c r="P51" s="1"/>
  <c r="S55"/>
  <c r="P55" s="1"/>
  <c r="S59"/>
  <c r="P59" s="1"/>
  <c r="S63"/>
  <c r="S67"/>
  <c r="S71"/>
  <c r="S75"/>
  <c r="S79"/>
  <c r="R49"/>
  <c r="R53"/>
  <c r="R57"/>
  <c r="R61"/>
  <c r="R65"/>
  <c r="R69"/>
  <c r="R73"/>
  <c r="R77"/>
  <c r="R81"/>
  <c r="S47"/>
  <c r="P47" s="1"/>
  <c r="R47"/>
  <c r="N49"/>
  <c r="T49" s="1"/>
  <c r="N53"/>
  <c r="T53" s="1"/>
  <c r="N57"/>
  <c r="T57" s="1"/>
  <c r="N61"/>
  <c r="T61" s="1"/>
  <c r="U71"/>
  <c r="U79"/>
  <c r="U49"/>
  <c r="U53"/>
  <c r="U57"/>
  <c r="U61"/>
  <c r="U69"/>
  <c r="U77"/>
  <c r="T65"/>
  <c r="T73"/>
  <c r="S49"/>
  <c r="P49" s="1"/>
  <c r="S53"/>
  <c r="P53" s="1"/>
  <c r="S57"/>
  <c r="P57" s="1"/>
  <c r="S61"/>
  <c r="P61" s="1"/>
  <c r="S65"/>
  <c r="P65" s="1"/>
  <c r="S69"/>
  <c r="P69" s="1"/>
  <c r="S73"/>
  <c r="S77"/>
  <c r="P77" s="1"/>
  <c r="R51"/>
  <c r="X57" s="1"/>
  <c r="R55"/>
  <c r="X61" s="1"/>
  <c r="R59"/>
  <c r="X65" s="1"/>
  <c r="R63"/>
  <c r="X69" s="1"/>
  <c r="R67"/>
  <c r="X73" s="1"/>
  <c r="R71"/>
  <c r="X77" s="1"/>
  <c r="R75"/>
  <c r="X81" s="1"/>
  <c r="R79"/>
  <c r="P63"/>
  <c r="P67"/>
  <c r="P75"/>
  <c r="AD121"/>
  <c r="AD113"/>
  <c r="AD105"/>
  <c r="U125"/>
  <c r="Q125" s="1"/>
  <c r="U117"/>
  <c r="Q117" s="1"/>
  <c r="U109"/>
  <c r="Q109" s="1"/>
  <c r="U101"/>
  <c r="Q101" s="1"/>
  <c r="U93"/>
  <c r="Q93" s="1"/>
  <c r="T121"/>
  <c r="P121" s="1"/>
  <c r="T113"/>
  <c r="P113" s="1"/>
  <c r="T105"/>
  <c r="P105" s="1"/>
  <c r="T97"/>
  <c r="P97" s="1"/>
  <c r="U91"/>
  <c r="Q91" s="1"/>
  <c r="AE107"/>
  <c r="AE123"/>
  <c r="AE103"/>
  <c r="AE119"/>
  <c r="N132"/>
  <c r="T132" s="1"/>
  <c r="N136"/>
  <c r="T136" s="1"/>
  <c r="N140"/>
  <c r="T140" s="1"/>
  <c r="N144"/>
  <c r="T144" s="1"/>
  <c r="N130"/>
  <c r="T130" s="1"/>
  <c r="U136"/>
  <c r="U144"/>
  <c r="U152"/>
  <c r="U160"/>
  <c r="T152"/>
  <c r="T158"/>
  <c r="AN141"/>
  <c r="AN152"/>
  <c r="AN156"/>
  <c r="T156"/>
  <c r="S132"/>
  <c r="P132" s="1"/>
  <c r="S136"/>
  <c r="P136" s="1"/>
  <c r="S140"/>
  <c r="S144"/>
  <c r="P144" s="1"/>
  <c r="S148"/>
  <c r="S152"/>
  <c r="S156"/>
  <c r="S160"/>
  <c r="S164"/>
  <c r="R134"/>
  <c r="X140" s="1"/>
  <c r="R138"/>
  <c r="X144" s="1"/>
  <c r="R142"/>
  <c r="X148" s="1"/>
  <c r="R146"/>
  <c r="X152" s="1"/>
  <c r="R150"/>
  <c r="X156" s="1"/>
  <c r="R154"/>
  <c r="X160" s="1"/>
  <c r="R158"/>
  <c r="X164" s="1"/>
  <c r="R162"/>
  <c r="N134"/>
  <c r="T134" s="1"/>
  <c r="N138"/>
  <c r="T138" s="1"/>
  <c r="N142"/>
  <c r="T142" s="1"/>
  <c r="N146"/>
  <c r="T146" s="1"/>
  <c r="U130"/>
  <c r="U138"/>
  <c r="U156"/>
  <c r="U164"/>
  <c r="T148"/>
  <c r="T160"/>
  <c r="S130"/>
  <c r="AN148"/>
  <c r="AN150"/>
  <c r="AN154"/>
  <c r="AN158"/>
  <c r="S134"/>
  <c r="S138"/>
  <c r="P138" s="1"/>
  <c r="S142"/>
  <c r="S146"/>
  <c r="P146" s="1"/>
  <c r="S150"/>
  <c r="P150" s="1"/>
  <c r="S154"/>
  <c r="P154" s="1"/>
  <c r="S158"/>
  <c r="P158" s="1"/>
  <c r="S162"/>
  <c r="P162" s="1"/>
  <c r="R132"/>
  <c r="X138" s="1"/>
  <c r="R136"/>
  <c r="R140"/>
  <c r="X146" s="1"/>
  <c r="R144"/>
  <c r="R148"/>
  <c r="R152"/>
  <c r="R156"/>
  <c r="X162" s="1"/>
  <c r="R160"/>
  <c r="Q160" s="1"/>
  <c r="AC160" s="1"/>
  <c r="R164"/>
  <c r="R130"/>
  <c r="X136" s="1"/>
  <c r="AE91"/>
  <c r="Q63"/>
  <c r="AC63" s="1"/>
  <c r="P164"/>
  <c r="P71"/>
  <c r="P79"/>
  <c r="U154"/>
  <c r="Q154" s="1"/>
  <c r="AC154" s="1"/>
  <c r="U162"/>
  <c r="AD117"/>
  <c r="AD109"/>
  <c r="AD101"/>
  <c r="U38" l="1"/>
  <c r="Q38" s="1"/>
  <c r="T38"/>
  <c r="P38" s="1"/>
  <c r="U22"/>
  <c r="Q22" s="1"/>
  <c r="T22"/>
  <c r="P22" s="1"/>
  <c r="Z28"/>
  <c r="AA28"/>
  <c r="AB28" s="1"/>
  <c r="Z14"/>
  <c r="AA14"/>
  <c r="AB14" s="1"/>
  <c r="U34"/>
  <c r="Q34" s="1"/>
  <c r="T34"/>
  <c r="P34" s="1"/>
  <c r="U18"/>
  <c r="Q18" s="1"/>
  <c r="T18"/>
  <c r="P18" s="1"/>
  <c r="Z32"/>
  <c r="AA32"/>
  <c r="AB32" s="1"/>
  <c r="Z16"/>
  <c r="AA16"/>
  <c r="AB16" s="1"/>
  <c r="Q162"/>
  <c r="AC162" s="1"/>
  <c r="P142"/>
  <c r="P134"/>
  <c r="P140"/>
  <c r="P10"/>
  <c r="P81"/>
  <c r="U30"/>
  <c r="Q30" s="1"/>
  <c r="T30"/>
  <c r="P30" s="1"/>
  <c r="U14"/>
  <c r="Q14" s="1"/>
  <c r="T14"/>
  <c r="P14" s="1"/>
  <c r="Z36"/>
  <c r="AA36"/>
  <c r="AB36" s="1"/>
  <c r="Z20"/>
  <c r="AA20"/>
  <c r="AB20" s="1"/>
  <c r="U26"/>
  <c r="Q26" s="1"/>
  <c r="T26"/>
  <c r="P26" s="1"/>
  <c r="Z40"/>
  <c r="AA40"/>
  <c r="AB40" s="1"/>
  <c r="Z24"/>
  <c r="AA24"/>
  <c r="AB24" s="1"/>
  <c r="P42"/>
  <c r="Z81"/>
  <c r="AA81"/>
  <c r="AA73"/>
  <c r="Z73"/>
  <c r="AA65"/>
  <c r="Z65"/>
  <c r="Z57"/>
  <c r="AA57"/>
  <c r="X53"/>
  <c r="X79"/>
  <c r="X71"/>
  <c r="X63"/>
  <c r="X55"/>
  <c r="AA77"/>
  <c r="Z77"/>
  <c r="AA69"/>
  <c r="Z69"/>
  <c r="Z61"/>
  <c r="AA61"/>
  <c r="X75"/>
  <c r="X67"/>
  <c r="X59"/>
  <c r="AA109"/>
  <c r="Z109"/>
  <c r="AA117"/>
  <c r="Z117"/>
  <c r="Z125"/>
  <c r="AA125"/>
  <c r="AA113"/>
  <c r="AB113" s="1"/>
  <c r="Z113"/>
  <c r="AA121"/>
  <c r="AB121" s="1"/>
  <c r="Z121"/>
  <c r="Z136"/>
  <c r="AA136"/>
  <c r="Z162"/>
  <c r="AA162"/>
  <c r="Q148"/>
  <c r="AC148" s="1"/>
  <c r="X154"/>
  <c r="Z146"/>
  <c r="AA146"/>
  <c r="Z138"/>
  <c r="AA138"/>
  <c r="Z160"/>
  <c r="AA160"/>
  <c r="Z152"/>
  <c r="AA152"/>
  <c r="Z144"/>
  <c r="AA144"/>
  <c r="Q152"/>
  <c r="AC152" s="1"/>
  <c r="X158"/>
  <c r="Q144"/>
  <c r="AC144" s="1"/>
  <c r="X150"/>
  <c r="Q136"/>
  <c r="X142"/>
  <c r="AA164"/>
  <c r="Z164"/>
  <c r="AA156"/>
  <c r="Z156"/>
  <c r="Z148"/>
  <c r="AA148"/>
  <c r="AA140"/>
  <c r="Z140"/>
  <c r="AD125"/>
  <c r="U146"/>
  <c r="Q150"/>
  <c r="AC150" s="1"/>
  <c r="P152"/>
  <c r="U132"/>
  <c r="Q132" s="1"/>
  <c r="P73"/>
  <c r="Q138"/>
  <c r="AC138"/>
  <c r="AE105"/>
  <c r="AE121"/>
  <c r="AD61"/>
  <c r="AD53"/>
  <c r="AD59"/>
  <c r="AD51"/>
  <c r="Q156"/>
  <c r="AC156" s="1"/>
  <c r="U142"/>
  <c r="Q142" s="1"/>
  <c r="AC142" s="1"/>
  <c r="U134"/>
  <c r="Q146"/>
  <c r="AC146" s="1"/>
  <c r="P156"/>
  <c r="P148"/>
  <c r="U140"/>
  <c r="Q81"/>
  <c r="Q77"/>
  <c r="AC77" s="1"/>
  <c r="Q79"/>
  <c r="AC79" s="1"/>
  <c r="Q57"/>
  <c r="AC57" s="1"/>
  <c r="Q49"/>
  <c r="Q73"/>
  <c r="AC73" s="1"/>
  <c r="Q59"/>
  <c r="AC59" s="1"/>
  <c r="Q51"/>
  <c r="Q75"/>
  <c r="AC75" s="1"/>
  <c r="AE97"/>
  <c r="AE113"/>
  <c r="AD57"/>
  <c r="AD49"/>
  <c r="AD47"/>
  <c r="AD55"/>
  <c r="Q140"/>
  <c r="AC140" s="1"/>
  <c r="Q164"/>
  <c r="Q130"/>
  <c r="Q158"/>
  <c r="AC158" s="1"/>
  <c r="Q134"/>
  <c r="P160"/>
  <c r="P130"/>
  <c r="Q69"/>
  <c r="AC69" s="1"/>
  <c r="Q71"/>
  <c r="AC71" s="1"/>
  <c r="Q61"/>
  <c r="AC61" s="1"/>
  <c r="Q53"/>
  <c r="Q47"/>
  <c r="Q65"/>
  <c r="Q55"/>
  <c r="AC55" s="1"/>
  <c r="Q67"/>
  <c r="AC67" s="1"/>
  <c r="Z44" l="1"/>
  <c r="W44"/>
  <c r="AB148"/>
  <c r="AB144"/>
  <c r="AB152"/>
  <c r="AB160"/>
  <c r="AB138"/>
  <c r="AB146"/>
  <c r="AB162"/>
  <c r="AB136"/>
  <c r="AB125"/>
  <c r="AB69"/>
  <c r="AB77"/>
  <c r="AB57"/>
  <c r="AB81"/>
  <c r="AA59"/>
  <c r="Z59"/>
  <c r="AC65"/>
  <c r="AE67" s="1"/>
  <c r="AA67"/>
  <c r="Z67"/>
  <c r="Z55"/>
  <c r="AA55"/>
  <c r="AB55" s="1"/>
  <c r="AA71"/>
  <c r="Z71"/>
  <c r="Z53"/>
  <c r="Z83" s="1"/>
  <c r="AA53"/>
  <c r="AB53" s="1"/>
  <c r="AB61"/>
  <c r="AB65"/>
  <c r="AB73"/>
  <c r="AA75"/>
  <c r="AB75" s="1"/>
  <c r="Z75"/>
  <c r="AA63"/>
  <c r="AB63" s="1"/>
  <c r="Z63"/>
  <c r="AA79"/>
  <c r="AB79" s="1"/>
  <c r="Z79"/>
  <c r="AC81"/>
  <c r="AB117"/>
  <c r="AB109"/>
  <c r="AB140"/>
  <c r="AB156"/>
  <c r="AB164"/>
  <c r="Z142"/>
  <c r="AA142"/>
  <c r="Z150"/>
  <c r="AA150"/>
  <c r="Z158"/>
  <c r="AA158"/>
  <c r="Z154"/>
  <c r="AA154"/>
  <c r="AE152"/>
  <c r="AE59"/>
  <c r="AE125"/>
  <c r="AC164"/>
  <c r="AE144"/>
  <c r="AD81"/>
  <c r="AB154" l="1"/>
  <c r="AB158"/>
  <c r="AB150"/>
  <c r="AB142"/>
  <c r="AB71"/>
  <c r="AB67"/>
  <c r="AB59"/>
</calcChain>
</file>

<file path=xl/sharedStrings.xml><?xml version="1.0" encoding="utf-8"?>
<sst xmlns="http://schemas.openxmlformats.org/spreadsheetml/2006/main" count="310" uniqueCount="106">
  <si>
    <t>Reflectido</t>
  </si>
  <si>
    <t>Transmitido</t>
  </si>
  <si>
    <t>ângulo</t>
  </si>
  <si>
    <t>Ir</t>
  </si>
  <si>
    <t>It</t>
  </si>
  <si>
    <t>Face Plana</t>
  </si>
  <si>
    <t>Face Redonda</t>
  </si>
  <si>
    <t>Face plana</t>
  </si>
  <si>
    <t>Polarização horizontal</t>
  </si>
  <si>
    <t>*</t>
  </si>
  <si>
    <t>Ii</t>
  </si>
  <si>
    <t>polarização paralela</t>
  </si>
  <si>
    <t>Polarização vertical</t>
  </si>
  <si>
    <t>It/Ii</t>
  </si>
  <si>
    <t>Ir/Ii</t>
  </si>
  <si>
    <t>intensidade transmitida</t>
  </si>
  <si>
    <t>reflectancia</t>
  </si>
  <si>
    <t>intensidade reflectida</t>
  </si>
  <si>
    <t>transmitancia</t>
  </si>
  <si>
    <t>referencia</t>
  </si>
  <si>
    <t>primeira e segunda medida</t>
  </si>
  <si>
    <t>li</t>
  </si>
  <si>
    <t>lr</t>
  </si>
  <si>
    <t>lt</t>
  </si>
  <si>
    <t>it - media consoante a referencia, vai cortar na divisão.</t>
  </si>
  <si>
    <t>li - mede-se com a referencia, dai medir it e ir com base na mesma referencia.</t>
  </si>
  <si>
    <t>li - ta no fim. O valor é fixo para as diferentes sequencias, mas diferente para diferentes polarizações</t>
  </si>
  <si>
    <t>angulo - valor da diferença entre a normal e angulo de incidencia</t>
  </si>
  <si>
    <t>exemplo outros grupos</t>
  </si>
  <si>
    <t>Reflecção total algures praqui</t>
  </si>
  <si>
    <t>face curva</t>
  </si>
  <si>
    <t>* possivel instabilidade no feixe</t>
  </si>
  <si>
    <t>aqui poe-se a referencia (ao contrario da posição em cima.</t>
  </si>
  <si>
    <t>P. perpendicular</t>
  </si>
  <si>
    <t>Calculo do n do polimero - através de do angulo de B. - usado para os ajustes</t>
  </si>
  <si>
    <t>angulo de brewster - angulo onde a intensidade é minima</t>
  </si>
  <si>
    <t>tan(ang) = nvidro</t>
  </si>
  <si>
    <t>nvidro:</t>
  </si>
  <si>
    <t>angulo d b:</t>
  </si>
  <si>
    <t>por em graus</t>
  </si>
  <si>
    <t>Quando a radiação vem do meio mais refringente (polimero)</t>
  </si>
  <si>
    <t>Quando a radiação vem do meio menos refringente (ar)</t>
  </si>
  <si>
    <t>PERGUNTAR AO STOR ONDE SE MEDE</t>
  </si>
  <si>
    <t>quanto maior n, mais refringente é</t>
  </si>
  <si>
    <t>* a partir daqui deve não há refracção</t>
  </si>
  <si>
    <t>faceplana</t>
  </si>
  <si>
    <t>face redonda</t>
  </si>
  <si>
    <t>Calculo do n do polimero - através do angulo de B. - usado para os ajustes</t>
  </si>
  <si>
    <t>Angulo t</t>
  </si>
  <si>
    <t>x</t>
  </si>
  <si>
    <t>X=</t>
  </si>
  <si>
    <t>n1</t>
  </si>
  <si>
    <t>n2</t>
  </si>
  <si>
    <t>Ir/Ii teori</t>
  </si>
  <si>
    <t>It/Ii teori</t>
  </si>
  <si>
    <t>T12 (0)</t>
  </si>
  <si>
    <r>
      <t>T12(</t>
    </r>
    <r>
      <rPr>
        <sz val="11"/>
        <color theme="1"/>
        <rFont val="Calibri"/>
        <family val="2"/>
      </rPr>
      <t>θ)</t>
    </r>
  </si>
  <si>
    <t>R12(θ)</t>
  </si>
  <si>
    <t>Angulo I</t>
  </si>
  <si>
    <t>Relatório de Compatibilidade para TFE2003.xls</t>
  </si>
  <si>
    <t>Executar em 16-05-2010 17:42</t>
  </si>
  <si>
    <t>As seguintes funcionalidades neste livro não são suportadas por versões anteriores do Excel. Estas funcionalidades poderão ser perdidas ou anuladas quando guardar o livro num formato de ficheiro anterior.</t>
  </si>
  <si>
    <t>Perda mínima de fidelidade</t>
  </si>
  <si>
    <t>N.º de ocorrências</t>
  </si>
  <si>
    <t>Algumas células ou estilos neste livro contêm formatação não suportada pelo formato de ficheiro seleccionado. Estes formatos serão convertidos no formato mais aproximado disponível.</t>
  </si>
  <si>
    <t>T21(0)</t>
  </si>
  <si>
    <t>ar</t>
  </si>
  <si>
    <t>polimero</t>
  </si>
  <si>
    <t>Ar</t>
  </si>
  <si>
    <t>Polimero</t>
  </si>
  <si>
    <t>R12θ)</t>
  </si>
  <si>
    <t>Experime</t>
  </si>
  <si>
    <t>Teorico</t>
  </si>
  <si>
    <t>Nvidro médio</t>
  </si>
  <si>
    <t>Conservação da energia</t>
  </si>
  <si>
    <t>Ei</t>
  </si>
  <si>
    <t>Et +Er</t>
  </si>
  <si>
    <t>Compararação Ir/Ii etc.</t>
  </si>
  <si>
    <t>Ir/Ii -IR/II</t>
  </si>
  <si>
    <t>It/Ii -IT/II</t>
  </si>
  <si>
    <t>dif max</t>
  </si>
  <si>
    <t>Médias interessantes</t>
  </si>
  <si>
    <t>Média de diferenças até 40º</t>
  </si>
  <si>
    <t>Média de diferenças a partir 40º</t>
  </si>
  <si>
    <t xml:space="preserve">Alterado </t>
  </si>
  <si>
    <t>Alterado</t>
  </si>
  <si>
    <t>(Et+Er)/Ei</t>
  </si>
  <si>
    <t>Erro</t>
  </si>
  <si>
    <t>Erros medição</t>
  </si>
  <si>
    <t>Erro I</t>
  </si>
  <si>
    <t>Erro Ref</t>
  </si>
  <si>
    <t>erro T e R</t>
  </si>
  <si>
    <t>Erro Ref I</t>
  </si>
  <si>
    <t>Erro 1</t>
  </si>
  <si>
    <t>Erro 2</t>
  </si>
  <si>
    <t>Erros</t>
  </si>
  <si>
    <t>Transmitan</t>
  </si>
  <si>
    <t>reflectanc</t>
  </si>
  <si>
    <t>Soma</t>
  </si>
  <si>
    <t>Angulo de reflecção total</t>
  </si>
  <si>
    <t>Angulo</t>
  </si>
  <si>
    <t>n polimero</t>
  </si>
  <si>
    <t>Erro A</t>
  </si>
  <si>
    <t>Erro n</t>
  </si>
  <si>
    <t>Erro Angulo</t>
  </si>
  <si>
    <t>n</t>
  </si>
</sst>
</file>

<file path=xl/styles.xml><?xml version="1.0" encoding="utf-8"?>
<styleSheet xmlns="http://schemas.openxmlformats.org/spreadsheetml/2006/main">
  <numFmts count="2">
    <numFmt numFmtId="164" formatCode="0.000"/>
    <numFmt numFmtId="165" formatCode="0.000000"/>
  </numFmts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1"/>
      <color theme="1"/>
      <name val="Calibri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-0.499984740745262"/>
        <bgColor indexed="64"/>
      </patternFill>
    </fill>
  </fills>
  <borders count="71">
    <border>
      <left/>
      <right/>
      <top/>
      <bottom/>
      <diagonal/>
    </border>
    <border diagonalUp="1">
      <left/>
      <right/>
      <top/>
      <bottom/>
      <diagonal style="thin">
        <color indexed="64"/>
      </diagonal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 diagonalUp="1">
      <left/>
      <right/>
      <top/>
      <bottom style="medium">
        <color indexed="64"/>
      </bottom>
      <diagonal style="thin">
        <color indexed="64"/>
      </diagonal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 diagonalUp="1"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 style="thin">
        <color indexed="64"/>
      </diagonal>
    </border>
    <border diagonalUp="1"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Up="1">
      <left/>
      <right style="medium">
        <color indexed="64"/>
      </right>
      <top style="medium">
        <color indexed="64"/>
      </top>
      <bottom/>
      <diagonal style="thin">
        <color indexed="64"/>
      </diagonal>
    </border>
    <border diagonalUp="1">
      <left/>
      <right style="medium">
        <color indexed="64"/>
      </right>
      <top/>
      <bottom/>
      <diagonal style="thin">
        <color indexed="64"/>
      </diagonal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 diagonalUp="1"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 style="thin">
        <color indexed="64"/>
      </diagonal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Up="1">
      <left/>
      <right/>
      <top style="medium">
        <color indexed="64"/>
      </top>
      <bottom/>
      <diagonal style="thin">
        <color indexed="64"/>
      </diagonal>
    </border>
    <border diagonalUp="1">
      <left style="medium">
        <color indexed="64"/>
      </left>
      <right/>
      <top/>
      <bottom/>
      <diagonal style="thin">
        <color indexed="64"/>
      </diagonal>
    </border>
    <border>
      <left/>
      <right/>
      <top style="medium">
        <color indexed="64"/>
      </top>
      <bottom style="medium">
        <color indexed="64"/>
      </bottom>
      <diagonal/>
    </border>
    <border diagonalUp="1">
      <left style="medium">
        <color indexed="64"/>
      </left>
      <right/>
      <top/>
      <bottom style="medium">
        <color indexed="64"/>
      </bottom>
      <diagonal style="thin">
        <color indexed="64"/>
      </diagonal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6">
    <xf numFmtId="0" fontId="0" fillId="0" borderId="0" xfId="0"/>
    <xf numFmtId="0" fontId="0" fillId="0" borderId="0" xfId="0" applyAlignment="1"/>
    <xf numFmtId="0" fontId="0" fillId="0" borderId="1" xfId="0" applyBorder="1"/>
    <xf numFmtId="0" fontId="0" fillId="0" borderId="0" xfId="0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0" fillId="0" borderId="0" xfId="0" applyAlignment="1">
      <alignment vertic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Border="1" applyAlignment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2" borderId="12" xfId="0" applyFill="1" applyBorder="1" applyAlignment="1"/>
    <xf numFmtId="0" fontId="0" fillId="2" borderId="13" xfId="0" applyFill="1" applyBorder="1" applyAlignment="1"/>
    <xf numFmtId="0" fontId="0" fillId="2" borderId="13" xfId="0" applyFill="1" applyBorder="1"/>
    <xf numFmtId="0" fontId="0" fillId="2" borderId="14" xfId="0" applyFill="1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8" xfId="0" applyBorder="1" applyAlignment="1"/>
    <xf numFmtId="0" fontId="0" fillId="0" borderId="12" xfId="0" applyBorder="1" applyAlignment="1"/>
    <xf numFmtId="0" fontId="0" fillId="0" borderId="13" xfId="0" applyBorder="1" applyAlignment="1"/>
    <xf numFmtId="0" fontId="0" fillId="0" borderId="13" xfId="0" applyBorder="1"/>
    <xf numFmtId="0" fontId="0" fillId="0" borderId="14" xfId="0" applyBorder="1"/>
    <xf numFmtId="0" fontId="0" fillId="2" borderId="12" xfId="0" applyFill="1" applyBorder="1"/>
    <xf numFmtId="0" fontId="0" fillId="0" borderId="18" xfId="0" applyBorder="1"/>
    <xf numFmtId="0" fontId="0" fillId="0" borderId="5" xfId="0" applyBorder="1" applyAlignment="1"/>
    <xf numFmtId="0" fontId="0" fillId="3" borderId="12" xfId="0" applyFill="1" applyBorder="1" applyAlignment="1"/>
    <xf numFmtId="0" fontId="0" fillId="3" borderId="12" xfId="0" applyFill="1" applyBorder="1"/>
    <xf numFmtId="0" fontId="0" fillId="3" borderId="13" xfId="0" applyFill="1" applyBorder="1" applyAlignment="1"/>
    <xf numFmtId="0" fontId="0" fillId="3" borderId="13" xfId="0" applyFill="1" applyBorder="1"/>
    <xf numFmtId="0" fontId="0" fillId="3" borderId="14" xfId="0" applyFill="1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2" fillId="0" borderId="8" xfId="0" applyFont="1" applyBorder="1"/>
    <xf numFmtId="0" fontId="2" fillId="3" borderId="13" xfId="0" applyFont="1" applyFill="1" applyBorder="1"/>
    <xf numFmtId="0" fontId="0" fillId="0" borderId="26" xfId="0" applyBorder="1"/>
    <xf numFmtId="0" fontId="0" fillId="2" borderId="2" xfId="0" applyFill="1" applyBorder="1"/>
    <xf numFmtId="0" fontId="0" fillId="2" borderId="19" xfId="0" applyFill="1" applyBorder="1"/>
    <xf numFmtId="0" fontId="0" fillId="2" borderId="4" xfId="0" applyFill="1" applyBorder="1"/>
    <xf numFmtId="0" fontId="0" fillId="2" borderId="21" xfId="0" applyFill="1" applyBorder="1"/>
    <xf numFmtId="0" fontId="0" fillId="3" borderId="2" xfId="0" applyFill="1" applyBorder="1"/>
    <xf numFmtId="0" fontId="0" fillId="3" borderId="19" xfId="0" applyFill="1" applyBorder="1"/>
    <xf numFmtId="0" fontId="0" fillId="3" borderId="4" xfId="0" applyFill="1" applyBorder="1"/>
    <xf numFmtId="0" fontId="0" fillId="3" borderId="21" xfId="0" applyFill="1" applyBorder="1"/>
    <xf numFmtId="0" fontId="0" fillId="0" borderId="8" xfId="0" applyBorder="1" applyAlignment="1"/>
    <xf numFmtId="0" fontId="0" fillId="4" borderId="21" xfId="0" applyFill="1" applyBorder="1"/>
    <xf numFmtId="164" fontId="0" fillId="2" borderId="13" xfId="0" applyNumberFormat="1" applyFill="1" applyBorder="1"/>
    <xf numFmtId="165" fontId="0" fillId="2" borderId="13" xfId="0" applyNumberFormat="1" applyFill="1" applyBorder="1"/>
    <xf numFmtId="0" fontId="0" fillId="2" borderId="14" xfId="0" applyFill="1" applyBorder="1" applyAlignment="1">
      <alignment vertic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5" borderId="21" xfId="0" applyFill="1" applyBorder="1"/>
    <xf numFmtId="0" fontId="0" fillId="2" borderId="27" xfId="0" applyFill="1" applyBorder="1"/>
    <xf numFmtId="0" fontId="0" fillId="3" borderId="27" xfId="0" applyFill="1" applyBorder="1"/>
    <xf numFmtId="0" fontId="0" fillId="4" borderId="0" xfId="0" applyFill="1" applyBorder="1" applyAlignment="1">
      <alignment horizontal="center"/>
    </xf>
    <xf numFmtId="0" fontId="0" fillId="4" borderId="0" xfId="0" applyFill="1" applyBorder="1"/>
    <xf numFmtId="0" fontId="1" fillId="0" borderId="0" xfId="0" applyFont="1" applyFill="1" applyBorder="1"/>
    <xf numFmtId="0" fontId="0" fillId="0" borderId="7" xfId="0" applyFill="1" applyBorder="1"/>
    <xf numFmtId="0" fontId="1" fillId="0" borderId="0" xfId="0" applyNumberFormat="1" applyFont="1" applyAlignment="1">
      <alignment vertical="top" wrapText="1"/>
    </xf>
    <xf numFmtId="0" fontId="1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NumberFormat="1" applyAlignment="1">
      <alignment vertical="top" wrapText="1"/>
    </xf>
    <xf numFmtId="0" fontId="0" fillId="0" borderId="49" xfId="0" applyNumberFormat="1" applyBorder="1" applyAlignment="1">
      <alignment vertical="top" wrapText="1"/>
    </xf>
    <xf numFmtId="0" fontId="0" fillId="0" borderId="50" xfId="0" applyBorder="1" applyAlignment="1">
      <alignment vertical="top" wrapText="1"/>
    </xf>
    <xf numFmtId="0" fontId="1" fillId="0" borderId="0" xfId="0" applyFont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1" fillId="0" borderId="0" xfId="0" applyNumberFormat="1" applyFont="1" applyAlignment="1">
      <alignment horizontal="center" vertical="top" wrapText="1"/>
    </xf>
    <xf numFmtId="0" fontId="0" fillId="0" borderId="50" xfId="0" applyBorder="1" applyAlignment="1">
      <alignment horizontal="center" vertical="top" wrapText="1"/>
    </xf>
    <xf numFmtId="0" fontId="0" fillId="0" borderId="51" xfId="0" applyBorder="1" applyAlignment="1">
      <alignment horizontal="center" vertical="top" wrapText="1"/>
    </xf>
    <xf numFmtId="0" fontId="0" fillId="0" borderId="0" xfId="0" applyFill="1" applyBorder="1"/>
    <xf numFmtId="0" fontId="0" fillId="0" borderId="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8" borderId="30" xfId="0" applyFill="1" applyBorder="1"/>
    <xf numFmtId="0" fontId="0" fillId="0" borderId="53" xfId="0" applyBorder="1" applyAlignment="1">
      <alignment horizontal="center"/>
    </xf>
    <xf numFmtId="0" fontId="0" fillId="0" borderId="53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7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3" xfId="0" applyFill="1" applyBorder="1"/>
    <xf numFmtId="0" fontId="0" fillId="0" borderId="0" xfId="0" applyBorder="1" applyAlignment="1"/>
    <xf numFmtId="0" fontId="0" fillId="10" borderId="30" xfId="0" applyFill="1" applyBorder="1" applyAlignment="1"/>
    <xf numFmtId="0" fontId="0" fillId="10" borderId="11" xfId="0" applyFill="1" applyBorder="1"/>
    <xf numFmtId="0" fontId="0" fillId="10" borderId="0" xfId="0" applyFill="1"/>
    <xf numFmtId="0" fontId="7" fillId="9" borderId="0" xfId="0" applyFont="1" applyFill="1" applyAlignment="1"/>
    <xf numFmtId="0" fontId="6" fillId="9" borderId="0" xfId="0" applyFont="1" applyFill="1" applyAlignment="1"/>
    <xf numFmtId="0" fontId="0" fillId="6" borderId="0" xfId="0" applyFill="1" applyBorder="1" applyAlignment="1"/>
    <xf numFmtId="0" fontId="0" fillId="0" borderId="53" xfId="0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11" borderId="0" xfId="0" applyFill="1" applyAlignment="1">
      <alignment horizontal="center"/>
    </xf>
    <xf numFmtId="0" fontId="0" fillId="0" borderId="52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11" borderId="7" xfId="0" applyFill="1" applyBorder="1" applyAlignment="1">
      <alignment horizontal="center"/>
    </xf>
    <xf numFmtId="0" fontId="0" fillId="10" borderId="2" xfId="0" applyFill="1" applyBorder="1" applyAlignment="1">
      <alignment horizontal="center" vertical="center"/>
    </xf>
    <xf numFmtId="0" fontId="0" fillId="10" borderId="3" xfId="0" applyFill="1" applyBorder="1" applyAlignment="1">
      <alignment horizontal="center" vertical="center"/>
    </xf>
    <xf numFmtId="0" fontId="0" fillId="10" borderId="10" xfId="0" applyFill="1" applyBorder="1" applyAlignment="1">
      <alignment horizontal="center"/>
    </xf>
    <xf numFmtId="0" fontId="0" fillId="10" borderId="5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54" xfId="0" applyBorder="1" applyAlignment="1">
      <alignment horizontal="center"/>
    </xf>
    <xf numFmtId="0" fontId="0" fillId="0" borderId="3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1" xfId="0" applyBorder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0" fillId="0" borderId="3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47" xfId="0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47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38" xfId="0" applyFill="1" applyBorder="1" applyAlignment="1">
      <alignment horizontal="center"/>
    </xf>
    <xf numFmtId="0" fontId="0" fillId="3" borderId="27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4" fillId="0" borderId="10" xfId="0" applyNumberFormat="1" applyFont="1" applyBorder="1" applyAlignment="1">
      <alignment horizontal="center" vertical="center"/>
    </xf>
    <xf numFmtId="0" fontId="4" fillId="0" borderId="5" xfId="0" applyNumberFormat="1" applyFont="1" applyBorder="1" applyAlignment="1">
      <alignment horizontal="center" vertical="center"/>
    </xf>
    <xf numFmtId="0" fontId="4" fillId="0" borderId="6" xfId="0" applyNumberFormat="1" applyFont="1" applyBorder="1" applyAlignment="1">
      <alignment horizontal="center" vertical="center"/>
    </xf>
    <xf numFmtId="0" fontId="4" fillId="0" borderId="26" xfId="0" applyNumberFormat="1" applyFont="1" applyBorder="1" applyAlignment="1">
      <alignment horizontal="center" vertical="center"/>
    </xf>
    <xf numFmtId="0" fontId="4" fillId="0" borderId="9" xfId="0" applyNumberFormat="1" applyFont="1" applyBorder="1" applyAlignment="1">
      <alignment horizontal="center" vertical="center"/>
    </xf>
    <xf numFmtId="0" fontId="4" fillId="0" borderId="17" xfId="0" applyNumberFormat="1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" fillId="0" borderId="12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2" borderId="3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6" xfId="0" applyBorder="1" applyAlignment="1">
      <alignment horizontal="center"/>
    </xf>
    <xf numFmtId="0" fontId="0" fillId="2" borderId="38" xfId="0" applyFill="1" applyBorder="1" applyAlignment="1">
      <alignment horizontal="center"/>
    </xf>
    <xf numFmtId="0" fontId="0" fillId="2" borderId="27" xfId="0" applyFill="1" applyBorder="1" applyAlignment="1">
      <alignment horizontal="center"/>
    </xf>
    <xf numFmtId="0" fontId="0" fillId="0" borderId="16" xfId="0" applyBorder="1" applyAlignment="1">
      <alignment horizontal="center" vertical="center"/>
    </xf>
    <xf numFmtId="0" fontId="0" fillId="0" borderId="27" xfId="0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0" xfId="0" applyBorder="1" applyAlignment="1"/>
    <xf numFmtId="0" fontId="0" fillId="0" borderId="28" xfId="0" applyBorder="1" applyAlignment="1">
      <alignment horizontal="center" vertical="center"/>
    </xf>
    <xf numFmtId="0" fontId="0" fillId="0" borderId="40" xfId="0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2" borderId="14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7" borderId="0" xfId="0" applyFill="1" applyAlignment="1">
      <alignment horizontal="center"/>
    </xf>
    <xf numFmtId="0" fontId="0" fillId="7" borderId="8" xfId="0" applyFill="1" applyBorder="1" applyAlignment="1">
      <alignment horizontal="center"/>
    </xf>
    <xf numFmtId="0" fontId="7" fillId="9" borderId="0" xfId="0" applyFont="1" applyFill="1" applyAlignment="1">
      <alignment horizontal="center"/>
    </xf>
    <xf numFmtId="0" fontId="0" fillId="0" borderId="6" xfId="0" applyBorder="1" applyAlignment="1">
      <alignment horizontal="center"/>
    </xf>
    <xf numFmtId="0" fontId="0" fillId="0" borderId="55" xfId="0" applyBorder="1" applyAlignment="1">
      <alignment horizontal="center"/>
    </xf>
    <xf numFmtId="0" fontId="0" fillId="0" borderId="56" xfId="0" applyBorder="1" applyAlignment="1">
      <alignment horizontal="center"/>
    </xf>
    <xf numFmtId="0" fontId="0" fillId="0" borderId="57" xfId="0" applyBorder="1" applyAlignment="1">
      <alignment horizontal="center"/>
    </xf>
    <xf numFmtId="0" fontId="0" fillId="0" borderId="58" xfId="0" applyBorder="1" applyAlignment="1">
      <alignment horizontal="center"/>
    </xf>
    <xf numFmtId="0" fontId="0" fillId="0" borderId="59" xfId="0" applyBorder="1" applyAlignment="1">
      <alignment horizontal="center"/>
    </xf>
    <xf numFmtId="0" fontId="0" fillId="0" borderId="60" xfId="0" applyBorder="1" applyAlignment="1">
      <alignment horizontal="center"/>
    </xf>
    <xf numFmtId="0" fontId="0" fillId="0" borderId="61" xfId="0" applyBorder="1" applyAlignment="1">
      <alignment horizontal="center"/>
    </xf>
    <xf numFmtId="0" fontId="0" fillId="0" borderId="62" xfId="0" applyBorder="1" applyAlignment="1">
      <alignment horizontal="center"/>
    </xf>
    <xf numFmtId="0" fontId="0" fillId="0" borderId="63" xfId="0" applyBorder="1" applyAlignment="1">
      <alignment horizontal="center"/>
    </xf>
    <xf numFmtId="0" fontId="0" fillId="0" borderId="64" xfId="0" applyBorder="1" applyAlignment="1">
      <alignment horizontal="center"/>
    </xf>
    <xf numFmtId="0" fontId="0" fillId="0" borderId="65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67" xfId="0" applyBorder="1" applyAlignment="1">
      <alignment horizontal="center"/>
    </xf>
    <xf numFmtId="0" fontId="0" fillId="0" borderId="66" xfId="0" applyBorder="1" applyAlignment="1">
      <alignment horizontal="center"/>
    </xf>
    <xf numFmtId="0" fontId="0" fillId="0" borderId="68" xfId="0" applyBorder="1" applyAlignment="1">
      <alignment horizontal="center"/>
    </xf>
    <xf numFmtId="0" fontId="0" fillId="0" borderId="69" xfId="0" applyBorder="1" applyAlignment="1">
      <alignment horizontal="center"/>
    </xf>
    <xf numFmtId="0" fontId="0" fillId="0" borderId="70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8" xfId="0" applyBorder="1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plotArea>
      <c:layout>
        <c:manualLayout>
          <c:layoutTarget val="inner"/>
          <c:xMode val="edge"/>
          <c:yMode val="edge"/>
          <c:x val="5.2755832094414784E-2"/>
          <c:y val="6.0821604098354562E-2"/>
          <c:w val="0.81844700181708052"/>
          <c:h val="0.83537909036158176"/>
        </c:manualLayout>
      </c:layout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Fresnel!$C$8:$C$41</c:f>
              <c:numCache>
                <c:formatCode>General</c:formatCode>
                <c:ptCount val="34"/>
                <c:pt idx="0">
                  <c:v>0</c:v>
                </c:pt>
                <c:pt idx="2">
                  <c:v>5</c:v>
                </c:pt>
                <c:pt idx="4">
                  <c:v>10</c:v>
                </c:pt>
                <c:pt idx="6">
                  <c:v>15</c:v>
                </c:pt>
                <c:pt idx="8">
                  <c:v>25</c:v>
                </c:pt>
                <c:pt idx="10">
                  <c:v>30</c:v>
                </c:pt>
                <c:pt idx="12">
                  <c:v>35</c:v>
                </c:pt>
                <c:pt idx="14">
                  <c:v>40</c:v>
                </c:pt>
                <c:pt idx="16">
                  <c:v>45</c:v>
                </c:pt>
                <c:pt idx="18">
                  <c:v>50</c:v>
                </c:pt>
                <c:pt idx="20">
                  <c:v>55</c:v>
                </c:pt>
                <c:pt idx="22">
                  <c:v>60</c:v>
                </c:pt>
                <c:pt idx="24">
                  <c:v>65</c:v>
                </c:pt>
                <c:pt idx="26">
                  <c:v>70</c:v>
                </c:pt>
                <c:pt idx="28">
                  <c:v>75</c:v>
                </c:pt>
                <c:pt idx="30">
                  <c:v>80</c:v>
                </c:pt>
                <c:pt idx="32">
                  <c:v>85</c:v>
                </c:pt>
              </c:numCache>
            </c:numRef>
          </c:xVal>
          <c:yVal>
            <c:numRef>
              <c:f>Fresnel!$L$8:$L$41</c:f>
              <c:numCache>
                <c:formatCode>General</c:formatCode>
                <c:ptCount val="34"/>
                <c:pt idx="0">
                  <c:v>0.85544094894275402</c:v>
                </c:pt>
                <c:pt idx="2">
                  <c:v>0.87109213250517603</c:v>
                </c:pt>
                <c:pt idx="4">
                  <c:v>0.87862318840579712</c:v>
                </c:pt>
                <c:pt idx="6">
                  <c:v>0.81073908730158739</c:v>
                </c:pt>
                <c:pt idx="8">
                  <c:v>0.78921475875118252</c:v>
                </c:pt>
                <c:pt idx="10">
                  <c:v>0.80833333333333335</c:v>
                </c:pt>
                <c:pt idx="12">
                  <c:v>0.75701058201058202</c:v>
                </c:pt>
                <c:pt idx="14">
                  <c:v>0.77271186440677975</c:v>
                </c:pt>
                <c:pt idx="16">
                  <c:v>0.78869905310827504</c:v>
                </c:pt>
                <c:pt idx="18">
                  <c:v>0.72370352250489245</c:v>
                </c:pt>
                <c:pt idx="20">
                  <c:v>0.72508305647840532</c:v>
                </c:pt>
                <c:pt idx="22">
                  <c:v>0.6834942084942085</c:v>
                </c:pt>
                <c:pt idx="24">
                  <c:v>0.62093425605536345</c:v>
                </c:pt>
                <c:pt idx="26">
                  <c:v>0.49176929392446644</c:v>
                </c:pt>
                <c:pt idx="28">
                  <c:v>0.35555743243243249</c:v>
                </c:pt>
                <c:pt idx="30">
                  <c:v>0.20366353383458646</c:v>
                </c:pt>
                <c:pt idx="32">
                  <c:v>5.5570453437347643E-2</c:v>
                </c:pt>
              </c:numCache>
            </c:numRef>
          </c:yVal>
        </c:ser>
        <c:ser>
          <c:idx val="1"/>
          <c:order val="1"/>
          <c:spPr>
            <a:ln w="28575">
              <a:noFill/>
            </a:ln>
          </c:spPr>
          <c:xVal>
            <c:numRef>
              <c:f>Fresnel!$C$8:$C$41</c:f>
              <c:numCache>
                <c:formatCode>General</c:formatCode>
                <c:ptCount val="34"/>
                <c:pt idx="0">
                  <c:v>0</c:v>
                </c:pt>
                <c:pt idx="2">
                  <c:v>5</c:v>
                </c:pt>
                <c:pt idx="4">
                  <c:v>10</c:v>
                </c:pt>
                <c:pt idx="6">
                  <c:v>15</c:v>
                </c:pt>
                <c:pt idx="8">
                  <c:v>25</c:v>
                </c:pt>
                <c:pt idx="10">
                  <c:v>30</c:v>
                </c:pt>
                <c:pt idx="12">
                  <c:v>35</c:v>
                </c:pt>
                <c:pt idx="14">
                  <c:v>40</c:v>
                </c:pt>
                <c:pt idx="16">
                  <c:v>45</c:v>
                </c:pt>
                <c:pt idx="18">
                  <c:v>50</c:v>
                </c:pt>
                <c:pt idx="20">
                  <c:v>55</c:v>
                </c:pt>
                <c:pt idx="22">
                  <c:v>60</c:v>
                </c:pt>
                <c:pt idx="24">
                  <c:v>65</c:v>
                </c:pt>
                <c:pt idx="26">
                  <c:v>70</c:v>
                </c:pt>
                <c:pt idx="28">
                  <c:v>75</c:v>
                </c:pt>
                <c:pt idx="30">
                  <c:v>80</c:v>
                </c:pt>
                <c:pt idx="32">
                  <c:v>85</c:v>
                </c:pt>
              </c:numCache>
            </c:numRef>
          </c:xVal>
          <c:yVal>
            <c:numRef>
              <c:f>Fresnel!$M$8:$M$41</c:f>
              <c:numCache>
                <c:formatCode>General</c:formatCode>
                <c:ptCount val="34"/>
                <c:pt idx="0">
                  <c:v>0</c:v>
                </c:pt>
                <c:pt idx="2">
                  <c:v>0</c:v>
                </c:pt>
                <c:pt idx="4">
                  <c:v>0</c:v>
                </c:pt>
                <c:pt idx="6">
                  <c:v>0</c:v>
                </c:pt>
                <c:pt idx="8">
                  <c:v>4.3977182539682545E-2</c:v>
                </c:pt>
                <c:pt idx="10">
                  <c:v>4.7298104956268232E-2</c:v>
                </c:pt>
                <c:pt idx="12">
                  <c:v>5.8142857142857142E-2</c:v>
                </c:pt>
                <c:pt idx="14">
                  <c:v>6.7157484154071204E-2</c:v>
                </c:pt>
                <c:pt idx="16">
                  <c:v>8.2206563706563707E-2</c:v>
                </c:pt>
                <c:pt idx="18">
                  <c:v>0.10223734533183353</c:v>
                </c:pt>
                <c:pt idx="20">
                  <c:v>0.12797757191613848</c:v>
                </c:pt>
                <c:pt idx="22">
                  <c:v>0.16778886198547222</c:v>
                </c:pt>
                <c:pt idx="24">
                  <c:v>0.22723520542781758</c:v>
                </c:pt>
                <c:pt idx="26">
                  <c:v>0.29351132686084141</c:v>
                </c:pt>
                <c:pt idx="28">
                  <c:v>0.38897651006711415</c:v>
                </c:pt>
                <c:pt idx="30">
                  <c:v>0.531378242353852</c:v>
                </c:pt>
                <c:pt idx="32">
                  <c:v>0.69285714285714295</c:v>
                </c:pt>
              </c:numCache>
            </c:numRef>
          </c:yVal>
        </c:ser>
        <c:ser>
          <c:idx val="2"/>
          <c:order val="2"/>
          <c:spPr>
            <a:ln w="28575">
              <a:noFill/>
            </a:ln>
          </c:spPr>
          <c:xVal>
            <c:numRef>
              <c:f>Fresnel!$C$8:$C$41</c:f>
              <c:numCache>
                <c:formatCode>General</c:formatCode>
                <c:ptCount val="34"/>
                <c:pt idx="0">
                  <c:v>0</c:v>
                </c:pt>
                <c:pt idx="2">
                  <c:v>5</c:v>
                </c:pt>
                <c:pt idx="4">
                  <c:v>10</c:v>
                </c:pt>
                <c:pt idx="6">
                  <c:v>15</c:v>
                </c:pt>
                <c:pt idx="8">
                  <c:v>25</c:v>
                </c:pt>
                <c:pt idx="10">
                  <c:v>30</c:v>
                </c:pt>
                <c:pt idx="12">
                  <c:v>35</c:v>
                </c:pt>
                <c:pt idx="14">
                  <c:v>40</c:v>
                </c:pt>
                <c:pt idx="16">
                  <c:v>45</c:v>
                </c:pt>
                <c:pt idx="18">
                  <c:v>50</c:v>
                </c:pt>
                <c:pt idx="20">
                  <c:v>55</c:v>
                </c:pt>
                <c:pt idx="22">
                  <c:v>60</c:v>
                </c:pt>
                <c:pt idx="24">
                  <c:v>65</c:v>
                </c:pt>
                <c:pt idx="26">
                  <c:v>70</c:v>
                </c:pt>
                <c:pt idx="28">
                  <c:v>75</c:v>
                </c:pt>
                <c:pt idx="30">
                  <c:v>80</c:v>
                </c:pt>
                <c:pt idx="32">
                  <c:v>85</c:v>
                </c:pt>
              </c:numCache>
            </c:numRef>
          </c:xVal>
          <c:yVal>
            <c:numRef>
              <c:f>Fresnel!$P$8:$P$41</c:f>
              <c:numCache>
                <c:formatCode>General</c:formatCode>
                <c:ptCount val="34"/>
                <c:pt idx="0">
                  <c:v>0.92822069522244743</c:v>
                </c:pt>
                <c:pt idx="2">
                  <c:v>0.92785447668865761</c:v>
                </c:pt>
                <c:pt idx="4">
                  <c:v>0.92673172025668749</c:v>
                </c:pt>
                <c:pt idx="6">
                  <c:v>0.92477742684631303</c:v>
                </c:pt>
                <c:pt idx="8">
                  <c:v>0.91776164078596545</c:v>
                </c:pt>
                <c:pt idx="10">
                  <c:v>0.91218123535914764</c:v>
                </c:pt>
                <c:pt idx="12">
                  <c:v>0.90466779670539488</c:v>
                </c:pt>
                <c:pt idx="14">
                  <c:v>0.89457643163723355</c:v>
                </c:pt>
                <c:pt idx="16">
                  <c:v>0.88097899760497145</c:v>
                </c:pt>
                <c:pt idx="18">
                  <c:v>0.8625359866334148</c:v>
                </c:pt>
                <c:pt idx="20">
                  <c:v>0.83730867253711228</c:v>
                </c:pt>
                <c:pt idx="22">
                  <c:v>0.80248779500660261</c:v>
                </c:pt>
                <c:pt idx="24">
                  <c:v>0.7540108747048585</c:v>
                </c:pt>
                <c:pt idx="26">
                  <c:v>0.68604150195141178</c:v>
                </c:pt>
                <c:pt idx="28">
                  <c:v>0.59029761916129486</c:v>
                </c:pt>
                <c:pt idx="30">
                  <c:v>0.45525125866644328</c:v>
                </c:pt>
                <c:pt idx="32">
                  <c:v>0.26528715472512576</c:v>
                </c:pt>
              </c:numCache>
            </c:numRef>
          </c:yVal>
        </c:ser>
        <c:ser>
          <c:idx val="3"/>
          <c:order val="3"/>
          <c:spPr>
            <a:ln w="28575">
              <a:noFill/>
            </a:ln>
          </c:spPr>
          <c:xVal>
            <c:numRef>
              <c:f>Fresnel!$C$8:$C$41</c:f>
              <c:numCache>
                <c:formatCode>General</c:formatCode>
                <c:ptCount val="34"/>
                <c:pt idx="0">
                  <c:v>0</c:v>
                </c:pt>
                <c:pt idx="2">
                  <c:v>5</c:v>
                </c:pt>
                <c:pt idx="4">
                  <c:v>10</c:v>
                </c:pt>
                <c:pt idx="6">
                  <c:v>15</c:v>
                </c:pt>
                <c:pt idx="8">
                  <c:v>25</c:v>
                </c:pt>
                <c:pt idx="10">
                  <c:v>30</c:v>
                </c:pt>
                <c:pt idx="12">
                  <c:v>35</c:v>
                </c:pt>
                <c:pt idx="14">
                  <c:v>40</c:v>
                </c:pt>
                <c:pt idx="16">
                  <c:v>45</c:v>
                </c:pt>
                <c:pt idx="18">
                  <c:v>50</c:v>
                </c:pt>
                <c:pt idx="20">
                  <c:v>55</c:v>
                </c:pt>
                <c:pt idx="22">
                  <c:v>60</c:v>
                </c:pt>
                <c:pt idx="24">
                  <c:v>65</c:v>
                </c:pt>
                <c:pt idx="26">
                  <c:v>70</c:v>
                </c:pt>
                <c:pt idx="28">
                  <c:v>75</c:v>
                </c:pt>
                <c:pt idx="30">
                  <c:v>80</c:v>
                </c:pt>
                <c:pt idx="32">
                  <c:v>85</c:v>
                </c:pt>
              </c:numCache>
            </c:numRef>
          </c:xVal>
          <c:yVal>
            <c:numRef>
              <c:f>Fresnel!$Q$8:$Q$41</c:f>
              <c:numCache>
                <c:formatCode>General</c:formatCode>
                <c:ptCount val="34"/>
                <c:pt idx="0">
                  <c:v>3.6557892127167091E-2</c:v>
                </c:pt>
                <c:pt idx="2">
                  <c:v>3.6938006854141503E-2</c:v>
                </c:pt>
                <c:pt idx="4">
                  <c:v>3.8103366373717501E-2</c:v>
                </c:pt>
                <c:pt idx="6">
                  <c:v>4.0131815612550768E-2</c:v>
                </c:pt>
                <c:pt idx="8">
                  <c:v>4.7413816267305099E-2</c:v>
                </c:pt>
                <c:pt idx="10">
                  <c:v>5.3205970649200046E-2</c:v>
                </c:pt>
                <c:pt idx="12">
                  <c:v>6.1004507367032959E-2</c:v>
                </c:pt>
                <c:pt idx="14">
                  <c:v>7.1478790134725037E-2</c:v>
                </c:pt>
                <c:pt idx="16">
                  <c:v>8.5592179949379968E-2</c:v>
                </c:pt>
                <c:pt idx="18">
                  <c:v>0.10473501252940556</c:v>
                </c:pt>
                <c:pt idx="20">
                  <c:v>0.13091957918904798</c:v>
                </c:pt>
                <c:pt idx="22">
                  <c:v>0.16706173785739828</c:v>
                </c:pt>
                <c:pt idx="24">
                  <c:v>0.2173781189929242</c:v>
                </c:pt>
                <c:pt idx="26">
                  <c:v>0.28792659533419102</c:v>
                </c:pt>
                <c:pt idx="28">
                  <c:v>0.38730348784048607</c:v>
                </c:pt>
                <c:pt idx="30">
                  <c:v>0.52747419388635142</c:v>
                </c:pt>
                <c:pt idx="32">
                  <c:v>0.72464650179049306</c:v>
                </c:pt>
              </c:numCache>
            </c:numRef>
          </c:yVal>
        </c:ser>
        <c:axId val="86442752"/>
        <c:axId val="86444288"/>
      </c:scatterChart>
      <c:valAx>
        <c:axId val="86442752"/>
        <c:scaling>
          <c:orientation val="minMax"/>
        </c:scaling>
        <c:axPos val="b"/>
        <c:numFmt formatCode="General" sourceLinked="1"/>
        <c:tickLblPos val="nextTo"/>
        <c:crossAx val="86444288"/>
        <c:crosses val="autoZero"/>
        <c:crossBetween val="midCat"/>
      </c:valAx>
      <c:valAx>
        <c:axId val="86444288"/>
        <c:scaling>
          <c:orientation val="minMax"/>
        </c:scaling>
        <c:axPos val="l"/>
        <c:majorGridlines/>
        <c:numFmt formatCode="General" sourceLinked="1"/>
        <c:tickLblPos val="nextTo"/>
        <c:crossAx val="86442752"/>
        <c:crosses val="autoZero"/>
        <c:crossBetween val="midCat"/>
      </c:valAx>
    </c:plotArea>
    <c:legend>
      <c:legendPos val="r"/>
      <c:txPr>
        <a:bodyPr/>
        <a:lstStyle/>
        <a:p>
          <a:pPr>
            <a:defRPr kern="1200" baseline="0"/>
          </a:pPr>
          <a:endParaRPr lang="pt-PT"/>
        </a:p>
      </c:txPr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plotArea>
      <c:layout>
        <c:manualLayout>
          <c:layoutTarget val="inner"/>
          <c:xMode val="edge"/>
          <c:yMode val="edge"/>
          <c:x val="9.1419072615923011E-2"/>
          <c:y val="5.1400554097404488E-2"/>
          <c:w val="0.72251968503937003"/>
          <c:h val="0.79822506561679785"/>
        </c:manualLayout>
      </c:layout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Fresnel!$C$91:$C$126</c:f>
              <c:numCache>
                <c:formatCode>General</c:formatCode>
                <c:ptCount val="36"/>
                <c:pt idx="0">
                  <c:v>0</c:v>
                </c:pt>
                <c:pt idx="2">
                  <c:v>5</c:v>
                </c:pt>
                <c:pt idx="4">
                  <c:v>10</c:v>
                </c:pt>
                <c:pt idx="6">
                  <c:v>15</c:v>
                </c:pt>
                <c:pt idx="8">
                  <c:v>20</c:v>
                </c:pt>
                <c:pt idx="10">
                  <c:v>25</c:v>
                </c:pt>
                <c:pt idx="12">
                  <c:v>30</c:v>
                </c:pt>
                <c:pt idx="14">
                  <c:v>35</c:v>
                </c:pt>
                <c:pt idx="16">
                  <c:v>40</c:v>
                </c:pt>
                <c:pt idx="18">
                  <c:v>45</c:v>
                </c:pt>
                <c:pt idx="20">
                  <c:v>50</c:v>
                </c:pt>
                <c:pt idx="22">
                  <c:v>55</c:v>
                </c:pt>
                <c:pt idx="24">
                  <c:v>60</c:v>
                </c:pt>
                <c:pt idx="26">
                  <c:v>65</c:v>
                </c:pt>
                <c:pt idx="28">
                  <c:v>70</c:v>
                </c:pt>
                <c:pt idx="30">
                  <c:v>75</c:v>
                </c:pt>
                <c:pt idx="32">
                  <c:v>80</c:v>
                </c:pt>
                <c:pt idx="34">
                  <c:v>85</c:v>
                </c:pt>
              </c:numCache>
            </c:numRef>
          </c:xVal>
          <c:yVal>
            <c:numRef>
              <c:f>Fresnel!$L$91:$L$126</c:f>
              <c:numCache>
                <c:formatCode>General</c:formatCode>
                <c:ptCount val="36"/>
                <c:pt idx="0">
                  <c:v>0.85669013104106395</c:v>
                </c:pt>
                <c:pt idx="2">
                  <c:v>0.88216784202072529</c:v>
                </c:pt>
                <c:pt idx="4">
                  <c:v>0.88086324598106136</c:v>
                </c:pt>
                <c:pt idx="6">
                  <c:v>0.87144784311428058</c:v>
                </c:pt>
                <c:pt idx="8">
                  <c:v>0.85557530590505027</c:v>
                </c:pt>
                <c:pt idx="10">
                  <c:v>0.86055207890140106</c:v>
                </c:pt>
                <c:pt idx="12">
                  <c:v>0.85337587670449422</c:v>
                </c:pt>
                <c:pt idx="14">
                  <c:v>0.83366663530737461</c:v>
                </c:pt>
                <c:pt idx="16">
                  <c:v>0.81685136179218332</c:v>
                </c:pt>
                <c:pt idx="18">
                  <c:v>0.806414382480373</c:v>
                </c:pt>
                <c:pt idx="20">
                  <c:v>0.79275051660939466</c:v>
                </c:pt>
                <c:pt idx="22">
                  <c:v>0.80519334479705018</c:v>
                </c:pt>
                <c:pt idx="24">
                  <c:v>0.79860314390153631</c:v>
                </c:pt>
                <c:pt idx="26">
                  <c:v>0.70426331237448514</c:v>
                </c:pt>
                <c:pt idx="28">
                  <c:v>0.6507575028318171</c:v>
                </c:pt>
                <c:pt idx="30">
                  <c:v>0.46795859942743889</c:v>
                </c:pt>
                <c:pt idx="32">
                  <c:v>0.2800485755109775</c:v>
                </c:pt>
                <c:pt idx="34">
                  <c:v>8.8924789972333829E-2</c:v>
                </c:pt>
              </c:numCache>
            </c:numRef>
          </c:yVal>
        </c:ser>
        <c:ser>
          <c:idx val="1"/>
          <c:order val="1"/>
          <c:spPr>
            <a:ln w="28575">
              <a:noFill/>
            </a:ln>
          </c:spPr>
          <c:xVal>
            <c:numRef>
              <c:f>Fresnel!$C$91:$C$126</c:f>
              <c:numCache>
                <c:formatCode>General</c:formatCode>
                <c:ptCount val="36"/>
                <c:pt idx="0">
                  <c:v>0</c:v>
                </c:pt>
                <c:pt idx="2">
                  <c:v>5</c:v>
                </c:pt>
                <c:pt idx="4">
                  <c:v>10</c:v>
                </c:pt>
                <c:pt idx="6">
                  <c:v>15</c:v>
                </c:pt>
                <c:pt idx="8">
                  <c:v>20</c:v>
                </c:pt>
                <c:pt idx="10">
                  <c:v>25</c:v>
                </c:pt>
                <c:pt idx="12">
                  <c:v>30</c:v>
                </c:pt>
                <c:pt idx="14">
                  <c:v>35</c:v>
                </c:pt>
                <c:pt idx="16">
                  <c:v>40</c:v>
                </c:pt>
                <c:pt idx="18">
                  <c:v>45</c:v>
                </c:pt>
                <c:pt idx="20">
                  <c:v>50</c:v>
                </c:pt>
                <c:pt idx="22">
                  <c:v>55</c:v>
                </c:pt>
                <c:pt idx="24">
                  <c:v>60</c:v>
                </c:pt>
                <c:pt idx="26">
                  <c:v>65</c:v>
                </c:pt>
                <c:pt idx="28">
                  <c:v>70</c:v>
                </c:pt>
                <c:pt idx="30">
                  <c:v>75</c:v>
                </c:pt>
                <c:pt idx="32">
                  <c:v>80</c:v>
                </c:pt>
                <c:pt idx="34">
                  <c:v>85</c:v>
                </c:pt>
              </c:numCache>
            </c:numRef>
          </c:xVal>
          <c:yVal>
            <c:numRef>
              <c:f>Fresnel!$M$91:$M$126</c:f>
              <c:numCache>
                <c:formatCode>General</c:formatCode>
                <c:ptCount val="36"/>
                <c:pt idx="0">
                  <c:v>0</c:v>
                </c:pt>
                <c:pt idx="2">
                  <c:v>0</c:v>
                </c:pt>
                <c:pt idx="4">
                  <c:v>0</c:v>
                </c:pt>
                <c:pt idx="6">
                  <c:v>0</c:v>
                </c:pt>
                <c:pt idx="8">
                  <c:v>3.0479870272867412E-2</c:v>
                </c:pt>
                <c:pt idx="10">
                  <c:v>2.811760379540882E-2</c:v>
                </c:pt>
                <c:pt idx="12">
                  <c:v>2.2975147223226133E-2</c:v>
                </c:pt>
                <c:pt idx="14">
                  <c:v>1.8045608323842329E-2</c:v>
                </c:pt>
                <c:pt idx="16">
                  <c:v>1.3255502469715007E-2</c:v>
                </c:pt>
                <c:pt idx="18">
                  <c:v>8.154368092324683E-3</c:v>
                </c:pt>
                <c:pt idx="20">
                  <c:v>3.6401938960422178E-3</c:v>
                </c:pt>
                <c:pt idx="22">
                  <c:v>9.0252381760354652E-4</c:v>
                </c:pt>
                <c:pt idx="24">
                  <c:v>2.4664170887469718E-3</c:v>
                </c:pt>
                <c:pt idx="26">
                  <c:v>1.2516146420507022E-2</c:v>
                </c:pt>
                <c:pt idx="28">
                  <c:v>4.0390324357633088E-2</c:v>
                </c:pt>
                <c:pt idx="30">
                  <c:v>9.8018975262423855E-2</c:v>
                </c:pt>
                <c:pt idx="32">
                  <c:v>0.21763814086938152</c:v>
                </c:pt>
                <c:pt idx="34">
                  <c:v>4.6919450449195321E-2</c:v>
                </c:pt>
              </c:numCache>
            </c:numRef>
          </c:yVal>
        </c:ser>
        <c:ser>
          <c:idx val="2"/>
          <c:order val="2"/>
          <c:spPr>
            <a:ln w="28575">
              <a:noFill/>
            </a:ln>
          </c:spPr>
          <c:xVal>
            <c:numRef>
              <c:f>Fresnel!$C$91:$C$126</c:f>
              <c:numCache>
                <c:formatCode>General</c:formatCode>
                <c:ptCount val="36"/>
                <c:pt idx="0">
                  <c:v>0</c:v>
                </c:pt>
                <c:pt idx="2">
                  <c:v>5</c:v>
                </c:pt>
                <c:pt idx="4">
                  <c:v>10</c:v>
                </c:pt>
                <c:pt idx="6">
                  <c:v>15</c:v>
                </c:pt>
                <c:pt idx="8">
                  <c:v>20</c:v>
                </c:pt>
                <c:pt idx="10">
                  <c:v>25</c:v>
                </c:pt>
                <c:pt idx="12">
                  <c:v>30</c:v>
                </c:pt>
                <c:pt idx="14">
                  <c:v>35</c:v>
                </c:pt>
                <c:pt idx="16">
                  <c:v>40</c:v>
                </c:pt>
                <c:pt idx="18">
                  <c:v>45</c:v>
                </c:pt>
                <c:pt idx="20">
                  <c:v>50</c:v>
                </c:pt>
                <c:pt idx="22">
                  <c:v>55</c:v>
                </c:pt>
                <c:pt idx="24">
                  <c:v>60</c:v>
                </c:pt>
                <c:pt idx="26">
                  <c:v>65</c:v>
                </c:pt>
                <c:pt idx="28">
                  <c:v>70</c:v>
                </c:pt>
                <c:pt idx="30">
                  <c:v>75</c:v>
                </c:pt>
                <c:pt idx="32">
                  <c:v>80</c:v>
                </c:pt>
                <c:pt idx="34">
                  <c:v>85</c:v>
                </c:pt>
              </c:numCache>
            </c:numRef>
          </c:xVal>
          <c:yVal>
            <c:numRef>
              <c:f>Fresnel!$P$91:$P$126</c:f>
              <c:numCache>
                <c:formatCode>General</c:formatCode>
                <c:ptCount val="36"/>
                <c:pt idx="0">
                  <c:v>0.92822069522244766</c:v>
                </c:pt>
                <c:pt idx="2">
                  <c:v>0.92858516274321268</c:v>
                </c:pt>
                <c:pt idx="4">
                  <c:v>0.92968113934735008</c:v>
                </c:pt>
                <c:pt idx="6">
                  <c:v>0.93151505559280812</c:v>
                </c:pt>
                <c:pt idx="8">
                  <c:v>0.93409289996771572</c:v>
                </c:pt>
                <c:pt idx="10">
                  <c:v>0.93741150657149219</c:v>
                </c:pt>
                <c:pt idx="12">
                  <c:v>0.94144258589359064</c:v>
                </c:pt>
                <c:pt idx="14">
                  <c:v>0.94610428154273196</c:v>
                </c:pt>
                <c:pt idx="16">
                  <c:v>0.95121088798894526</c:v>
                </c:pt>
                <c:pt idx="18">
                  <c:v>0.95638391049960103</c:v>
                </c:pt>
                <c:pt idx="20">
                  <c:v>0.96089398590226927</c:v>
                </c:pt>
                <c:pt idx="22">
                  <c:v>0.96337765291719668</c:v>
                </c:pt>
                <c:pt idx="24">
                  <c:v>0.96132416508003082</c:v>
                </c:pt>
                <c:pt idx="26">
                  <c:v>0.95013156645658448</c:v>
                </c:pt>
                <c:pt idx="28">
                  <c:v>0.92133536402953142</c:v>
                </c:pt>
                <c:pt idx="30">
                  <c:v>0.8591938846867424</c:v>
                </c:pt>
                <c:pt idx="32">
                  <c:v>0.73386241779502204</c:v>
                </c:pt>
                <c:pt idx="34">
                  <c:v>0.48706560783088282</c:v>
                </c:pt>
              </c:numCache>
            </c:numRef>
          </c:yVal>
        </c:ser>
        <c:ser>
          <c:idx val="3"/>
          <c:order val="3"/>
          <c:spPr>
            <a:ln w="28575">
              <a:noFill/>
            </a:ln>
          </c:spPr>
          <c:xVal>
            <c:numRef>
              <c:f>Fresnel!$C$91:$C$126</c:f>
              <c:numCache>
                <c:formatCode>General</c:formatCode>
                <c:ptCount val="36"/>
                <c:pt idx="0">
                  <c:v>0</c:v>
                </c:pt>
                <c:pt idx="2">
                  <c:v>5</c:v>
                </c:pt>
                <c:pt idx="4">
                  <c:v>10</c:v>
                </c:pt>
                <c:pt idx="6">
                  <c:v>15</c:v>
                </c:pt>
                <c:pt idx="8">
                  <c:v>20</c:v>
                </c:pt>
                <c:pt idx="10">
                  <c:v>25</c:v>
                </c:pt>
                <c:pt idx="12">
                  <c:v>30</c:v>
                </c:pt>
                <c:pt idx="14">
                  <c:v>35</c:v>
                </c:pt>
                <c:pt idx="16">
                  <c:v>40</c:v>
                </c:pt>
                <c:pt idx="18">
                  <c:v>45</c:v>
                </c:pt>
                <c:pt idx="20">
                  <c:v>50</c:v>
                </c:pt>
                <c:pt idx="22">
                  <c:v>55</c:v>
                </c:pt>
                <c:pt idx="24">
                  <c:v>60</c:v>
                </c:pt>
                <c:pt idx="26">
                  <c:v>65</c:v>
                </c:pt>
                <c:pt idx="28">
                  <c:v>70</c:v>
                </c:pt>
                <c:pt idx="30">
                  <c:v>75</c:v>
                </c:pt>
                <c:pt idx="32">
                  <c:v>80</c:v>
                </c:pt>
                <c:pt idx="34">
                  <c:v>85</c:v>
                </c:pt>
              </c:numCache>
            </c:numRef>
          </c:xVal>
          <c:yVal>
            <c:numRef>
              <c:f>Fresnel!$Q$91:$Q$126</c:f>
              <c:numCache>
                <c:formatCode>General</c:formatCode>
                <c:ptCount val="36"/>
                <c:pt idx="0">
                  <c:v>3.6557892127167091E-2</c:v>
                </c:pt>
                <c:pt idx="2">
                  <c:v>3.6179594855554553E-2</c:v>
                </c:pt>
                <c:pt idx="4">
                  <c:v>3.5042031326639113E-2</c:v>
                </c:pt>
                <c:pt idx="6">
                  <c:v>3.3138526974408458E-2</c:v>
                </c:pt>
                <c:pt idx="8">
                  <c:v>3.0462866077046267E-2</c:v>
                </c:pt>
                <c:pt idx="10">
                  <c:v>2.7018334665497735E-2</c:v>
                </c:pt>
                <c:pt idx="12">
                  <c:v>2.2834295698176289E-2</c:v>
                </c:pt>
                <c:pt idx="14">
                  <c:v>1.7995711614038973E-2</c:v>
                </c:pt>
                <c:pt idx="16">
                  <c:v>1.2695334555070725E-2</c:v>
                </c:pt>
                <c:pt idx="18">
                  <c:v>7.326021268487035E-3</c:v>
                </c:pt>
                <c:pt idx="20">
                  <c:v>2.6448106738761355E-3</c:v>
                </c:pt>
                <c:pt idx="22">
                  <c:v>6.6900704370043276E-5</c:v>
                </c:pt>
                <c:pt idx="24">
                  <c:v>2.1983083108941546E-3</c:v>
                </c:pt>
                <c:pt idx="26">
                  <c:v>1.3815611034103933E-2</c:v>
                </c:pt>
                <c:pt idx="28">
                  <c:v>4.3704487793530498E-2</c:v>
                </c:pt>
                <c:pt idx="30">
                  <c:v>0.10820393081662018</c:v>
                </c:pt>
                <c:pt idx="32">
                  <c:v>0.23829111080134971</c:v>
                </c:pt>
                <c:pt idx="34">
                  <c:v>0.49445264655676496</c:v>
                </c:pt>
              </c:numCache>
            </c:numRef>
          </c:yVal>
        </c:ser>
        <c:axId val="86485632"/>
        <c:axId val="86503808"/>
      </c:scatterChart>
      <c:valAx>
        <c:axId val="86485632"/>
        <c:scaling>
          <c:orientation val="minMax"/>
        </c:scaling>
        <c:axPos val="b"/>
        <c:numFmt formatCode="General" sourceLinked="1"/>
        <c:tickLblPos val="nextTo"/>
        <c:crossAx val="86503808"/>
        <c:crosses val="autoZero"/>
        <c:crossBetween val="midCat"/>
      </c:valAx>
      <c:valAx>
        <c:axId val="86503808"/>
        <c:scaling>
          <c:orientation val="minMax"/>
        </c:scaling>
        <c:axPos val="l"/>
        <c:majorGridlines/>
        <c:numFmt formatCode="General" sourceLinked="1"/>
        <c:tickLblPos val="nextTo"/>
        <c:crossAx val="86485632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plotArea>
      <c:layout>
        <c:manualLayout>
          <c:layoutTarget val="inner"/>
          <c:xMode val="edge"/>
          <c:yMode val="edge"/>
          <c:x val="4.6000467704146328E-2"/>
          <c:y val="5.0046681227783697E-2"/>
          <c:w val="0.83954217941307563"/>
          <c:h val="0.86454270139309564"/>
        </c:manualLayout>
      </c:layout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Fresnel!$C$130:$C$165</c:f>
              <c:numCache>
                <c:formatCode>General</c:formatCode>
                <c:ptCount val="36"/>
                <c:pt idx="0">
                  <c:v>0</c:v>
                </c:pt>
                <c:pt idx="2">
                  <c:v>5</c:v>
                </c:pt>
                <c:pt idx="4">
                  <c:v>10</c:v>
                </c:pt>
                <c:pt idx="6">
                  <c:v>15</c:v>
                </c:pt>
                <c:pt idx="8">
                  <c:v>20</c:v>
                </c:pt>
                <c:pt idx="10">
                  <c:v>25</c:v>
                </c:pt>
                <c:pt idx="12">
                  <c:v>30</c:v>
                </c:pt>
                <c:pt idx="14">
                  <c:v>35</c:v>
                </c:pt>
                <c:pt idx="16">
                  <c:v>40</c:v>
                </c:pt>
                <c:pt idx="18">
                  <c:v>45</c:v>
                </c:pt>
                <c:pt idx="20">
                  <c:v>50</c:v>
                </c:pt>
                <c:pt idx="22">
                  <c:v>55</c:v>
                </c:pt>
                <c:pt idx="24">
                  <c:v>60</c:v>
                </c:pt>
                <c:pt idx="26">
                  <c:v>65</c:v>
                </c:pt>
                <c:pt idx="28">
                  <c:v>70</c:v>
                </c:pt>
                <c:pt idx="30">
                  <c:v>75</c:v>
                </c:pt>
                <c:pt idx="32">
                  <c:v>80</c:v>
                </c:pt>
                <c:pt idx="34">
                  <c:v>85</c:v>
                </c:pt>
              </c:numCache>
            </c:numRef>
          </c:xVal>
          <c:yVal>
            <c:numRef>
              <c:f>Fresnel!$L$130:$L$166</c:f>
              <c:numCache>
                <c:formatCode>General</c:formatCode>
                <c:ptCount val="37"/>
                <c:pt idx="0">
                  <c:v>0.80632866362881783</c:v>
                </c:pt>
                <c:pt idx="2">
                  <c:v>0.77862491427785407</c:v>
                </c:pt>
                <c:pt idx="4">
                  <c:v>0.75727273952963714</c:v>
                </c:pt>
                <c:pt idx="6">
                  <c:v>0.75977591943238276</c:v>
                </c:pt>
                <c:pt idx="8">
                  <c:v>0.73707194490189087</c:v>
                </c:pt>
                <c:pt idx="10">
                  <c:v>0.72270326166526</c:v>
                </c:pt>
                <c:pt idx="12">
                  <c:v>0.66556540546211707</c:v>
                </c:pt>
                <c:pt idx="14">
                  <c:v>0.7113236031551885</c:v>
                </c:pt>
                <c:pt idx="16">
                  <c:v>0.54856518008337829</c:v>
                </c:pt>
                <c:pt idx="18">
                  <c:v>0</c:v>
                </c:pt>
                <c:pt idx="20">
                  <c:v>0</c:v>
                </c:pt>
                <c:pt idx="22">
                  <c:v>0</c:v>
                </c:pt>
                <c:pt idx="24">
                  <c:v>0</c:v>
                </c:pt>
                <c:pt idx="26">
                  <c:v>0</c:v>
                </c:pt>
                <c:pt idx="28">
                  <c:v>0</c:v>
                </c:pt>
                <c:pt idx="30">
                  <c:v>0</c:v>
                </c:pt>
                <c:pt idx="32">
                  <c:v>0</c:v>
                </c:pt>
                <c:pt idx="34">
                  <c:v>0</c:v>
                </c:pt>
              </c:numCache>
            </c:numRef>
          </c:yVal>
        </c:ser>
        <c:ser>
          <c:idx val="1"/>
          <c:order val="1"/>
          <c:spPr>
            <a:ln w="28575">
              <a:noFill/>
            </a:ln>
          </c:spPr>
          <c:xVal>
            <c:numRef>
              <c:f>Fresnel!$C$130:$C$165</c:f>
              <c:numCache>
                <c:formatCode>General</c:formatCode>
                <c:ptCount val="36"/>
                <c:pt idx="0">
                  <c:v>0</c:v>
                </c:pt>
                <c:pt idx="2">
                  <c:v>5</c:v>
                </c:pt>
                <c:pt idx="4">
                  <c:v>10</c:v>
                </c:pt>
                <c:pt idx="6">
                  <c:v>15</c:v>
                </c:pt>
                <c:pt idx="8">
                  <c:v>20</c:v>
                </c:pt>
                <c:pt idx="10">
                  <c:v>25</c:v>
                </c:pt>
                <c:pt idx="12">
                  <c:v>30</c:v>
                </c:pt>
                <c:pt idx="14">
                  <c:v>35</c:v>
                </c:pt>
                <c:pt idx="16">
                  <c:v>40</c:v>
                </c:pt>
                <c:pt idx="18">
                  <c:v>45</c:v>
                </c:pt>
                <c:pt idx="20">
                  <c:v>50</c:v>
                </c:pt>
                <c:pt idx="22">
                  <c:v>55</c:v>
                </c:pt>
                <c:pt idx="24">
                  <c:v>60</c:v>
                </c:pt>
                <c:pt idx="26">
                  <c:v>65</c:v>
                </c:pt>
                <c:pt idx="28">
                  <c:v>70</c:v>
                </c:pt>
                <c:pt idx="30">
                  <c:v>75</c:v>
                </c:pt>
                <c:pt idx="32">
                  <c:v>80</c:v>
                </c:pt>
                <c:pt idx="34">
                  <c:v>85</c:v>
                </c:pt>
              </c:numCache>
            </c:numRef>
          </c:xVal>
          <c:yVal>
            <c:numRef>
              <c:f>Fresnel!$M$130:$M$166</c:f>
              <c:numCache>
                <c:formatCode>General</c:formatCode>
                <c:ptCount val="37"/>
                <c:pt idx="0">
                  <c:v>0</c:v>
                </c:pt>
                <c:pt idx="2">
                  <c:v>0</c:v>
                </c:pt>
                <c:pt idx="4">
                  <c:v>0</c:v>
                </c:pt>
                <c:pt idx="6">
                  <c:v>0</c:v>
                </c:pt>
                <c:pt idx="8">
                  <c:v>1.6174184033686343E-2</c:v>
                </c:pt>
                <c:pt idx="10">
                  <c:v>1.027673786977905E-2</c:v>
                </c:pt>
                <c:pt idx="12">
                  <c:v>4.0487870884551198E-3</c:v>
                </c:pt>
                <c:pt idx="14">
                  <c:v>9.54605237903788E-4</c:v>
                </c:pt>
                <c:pt idx="16">
                  <c:v>6.8996745250712685E-2</c:v>
                </c:pt>
                <c:pt idx="18">
                  <c:v>0.6993367261384047</c:v>
                </c:pt>
                <c:pt idx="20">
                  <c:v>0.71796387857360489</c:v>
                </c:pt>
                <c:pt idx="22">
                  <c:v>0.7126135786984289</c:v>
                </c:pt>
                <c:pt idx="24">
                  <c:v>0.75926472162903136</c:v>
                </c:pt>
                <c:pt idx="26">
                  <c:v>0.75691677844287419</c:v>
                </c:pt>
                <c:pt idx="28">
                  <c:v>0.77763393480301757</c:v>
                </c:pt>
                <c:pt idx="30">
                  <c:v>0.7680477687806182</c:v>
                </c:pt>
                <c:pt idx="32">
                  <c:v>0.78442121506026274</c:v>
                </c:pt>
                <c:pt idx="34">
                  <c:v>0.7027689022034046</c:v>
                </c:pt>
              </c:numCache>
            </c:numRef>
          </c:yVal>
        </c:ser>
        <c:ser>
          <c:idx val="2"/>
          <c:order val="2"/>
          <c:spPr>
            <a:ln w="28575">
              <a:noFill/>
            </a:ln>
          </c:spPr>
          <c:xVal>
            <c:numRef>
              <c:f>Fresnel!$C$130:$C$165</c:f>
              <c:numCache>
                <c:formatCode>General</c:formatCode>
                <c:ptCount val="36"/>
                <c:pt idx="0">
                  <c:v>0</c:v>
                </c:pt>
                <c:pt idx="2">
                  <c:v>5</c:v>
                </c:pt>
                <c:pt idx="4">
                  <c:v>10</c:v>
                </c:pt>
                <c:pt idx="6">
                  <c:v>15</c:v>
                </c:pt>
                <c:pt idx="8">
                  <c:v>20</c:v>
                </c:pt>
                <c:pt idx="10">
                  <c:v>25</c:v>
                </c:pt>
                <c:pt idx="12">
                  <c:v>30</c:v>
                </c:pt>
                <c:pt idx="14">
                  <c:v>35</c:v>
                </c:pt>
                <c:pt idx="16">
                  <c:v>40</c:v>
                </c:pt>
                <c:pt idx="18">
                  <c:v>45</c:v>
                </c:pt>
                <c:pt idx="20">
                  <c:v>50</c:v>
                </c:pt>
                <c:pt idx="22">
                  <c:v>55</c:v>
                </c:pt>
                <c:pt idx="24">
                  <c:v>60</c:v>
                </c:pt>
                <c:pt idx="26">
                  <c:v>65</c:v>
                </c:pt>
                <c:pt idx="28">
                  <c:v>70</c:v>
                </c:pt>
                <c:pt idx="30">
                  <c:v>75</c:v>
                </c:pt>
                <c:pt idx="32">
                  <c:v>80</c:v>
                </c:pt>
                <c:pt idx="34">
                  <c:v>85</c:v>
                </c:pt>
              </c:numCache>
            </c:numRef>
          </c:xVal>
          <c:yVal>
            <c:numRef>
              <c:f>Fresnel!$P$130:$P$165</c:f>
              <c:numCache>
                <c:formatCode>General</c:formatCode>
                <c:ptCount val="36"/>
                <c:pt idx="0">
                  <c:v>0.92822069522244777</c:v>
                </c:pt>
                <c:pt idx="2">
                  <c:v>0.92901420881998253</c:v>
                </c:pt>
                <c:pt idx="4">
                  <c:v>0.93143527851571728</c:v>
                </c:pt>
                <c:pt idx="6">
                  <c:v>0.93559916301048773</c:v>
                </c:pt>
                <c:pt idx="8">
                  <c:v>0.94165903917421334</c:v>
                </c:pt>
                <c:pt idx="10">
                  <c:v>0.94964353907829691</c:v>
                </c:pt>
                <c:pt idx="12">
                  <c:v>0.95871973441421721</c:v>
                </c:pt>
                <c:pt idx="14">
                  <c:v>0.96308371845703622</c:v>
                </c:pt>
                <c:pt idx="16">
                  <c:v>0.91019248656354712</c:v>
                </c:pt>
                <c:pt idx="18">
                  <c:v>4.917042269854008E-16</c:v>
                </c:pt>
                <c:pt idx="20">
                  <c:v>5.4090556196162359E-16</c:v>
                </c:pt>
                <c:pt idx="22">
                  <c:v>6.0617447162120001E-16</c:v>
                </c:pt>
                <c:pt idx="24">
                  <c:v>6.9537478647893229E-16</c:v>
                </c:pt>
                <c:pt idx="26">
                  <c:v>8.2269846032539045E-16</c:v>
                </c:pt>
                <c:pt idx="28">
                  <c:v>1.0165699302347848E-15</c:v>
                </c:pt>
                <c:pt idx="30">
                  <c:v>1.3433609304204943E-15</c:v>
                </c:pt>
                <c:pt idx="32">
                  <c:v>2.0022518975485901E-15</c:v>
                </c:pt>
                <c:pt idx="34">
                  <c:v>3.9892654491640822E-15</c:v>
                </c:pt>
              </c:numCache>
            </c:numRef>
          </c:yVal>
        </c:ser>
        <c:ser>
          <c:idx val="3"/>
          <c:order val="3"/>
          <c:spPr>
            <a:ln w="28575">
              <a:noFill/>
            </a:ln>
          </c:spPr>
          <c:xVal>
            <c:numRef>
              <c:f>Fresnel!$C$130:$C$165</c:f>
              <c:numCache>
                <c:formatCode>General</c:formatCode>
                <c:ptCount val="36"/>
                <c:pt idx="0">
                  <c:v>0</c:v>
                </c:pt>
                <c:pt idx="2">
                  <c:v>5</c:v>
                </c:pt>
                <c:pt idx="4">
                  <c:v>10</c:v>
                </c:pt>
                <c:pt idx="6">
                  <c:v>15</c:v>
                </c:pt>
                <c:pt idx="8">
                  <c:v>20</c:v>
                </c:pt>
                <c:pt idx="10">
                  <c:v>25</c:v>
                </c:pt>
                <c:pt idx="12">
                  <c:v>30</c:v>
                </c:pt>
                <c:pt idx="14">
                  <c:v>35</c:v>
                </c:pt>
                <c:pt idx="16">
                  <c:v>40</c:v>
                </c:pt>
                <c:pt idx="18">
                  <c:v>45</c:v>
                </c:pt>
                <c:pt idx="20">
                  <c:v>50</c:v>
                </c:pt>
                <c:pt idx="22">
                  <c:v>55</c:v>
                </c:pt>
                <c:pt idx="24">
                  <c:v>60</c:v>
                </c:pt>
                <c:pt idx="26">
                  <c:v>65</c:v>
                </c:pt>
                <c:pt idx="28">
                  <c:v>70</c:v>
                </c:pt>
                <c:pt idx="30">
                  <c:v>75</c:v>
                </c:pt>
                <c:pt idx="32">
                  <c:v>80</c:v>
                </c:pt>
                <c:pt idx="34">
                  <c:v>85</c:v>
                </c:pt>
              </c:numCache>
            </c:numRef>
          </c:xVal>
          <c:yVal>
            <c:numRef>
              <c:f>Fresnel!$Q$130:$Q$165</c:f>
              <c:numCache>
                <c:formatCode>General</c:formatCode>
                <c:ptCount val="36"/>
                <c:pt idx="0">
                  <c:v>3.3933792046146292E-2</c:v>
                </c:pt>
                <c:pt idx="2">
                  <c:v>3.3169287633111735E-2</c:v>
                </c:pt>
                <c:pt idx="4">
                  <c:v>3.0836727142145699E-2</c:v>
                </c:pt>
                <c:pt idx="6">
                  <c:v>2.6825065487564793E-2</c:v>
                </c:pt>
                <c:pt idx="8">
                  <c:v>2.0986725622936939E-2</c:v>
                </c:pt>
                <c:pt idx="10">
                  <c:v>1.3294122205036243E-2</c:v>
                </c:pt>
                <c:pt idx="12">
                  <c:v>4.5497334391319958E-3</c:v>
                </c:pt>
                <c:pt idx="14">
                  <c:v>3.4528745419458684E-4</c:v>
                </c:pt>
                <c:pt idx="16">
                  <c:v>5.1302927397648607E-2</c:v>
                </c:pt>
                <c:pt idx="18">
                  <c:v>0.92822069522244721</c:v>
                </c:pt>
                <c:pt idx="20">
                  <c:v>0.92822069522244721</c:v>
                </c:pt>
                <c:pt idx="22">
                  <c:v>0.92822069522244699</c:v>
                </c:pt>
                <c:pt idx="24">
                  <c:v>0.92822069522244699</c:v>
                </c:pt>
                <c:pt idx="26">
                  <c:v>0.92822069522244677</c:v>
                </c:pt>
                <c:pt idx="28">
                  <c:v>0.92822069522244655</c:v>
                </c:pt>
                <c:pt idx="30">
                  <c:v>0.92822069522244632</c:v>
                </c:pt>
                <c:pt idx="32">
                  <c:v>0.9282206952224461</c:v>
                </c:pt>
                <c:pt idx="34">
                  <c:v>0.92822069522244366</c:v>
                </c:pt>
              </c:numCache>
            </c:numRef>
          </c:yVal>
        </c:ser>
        <c:axId val="88233856"/>
        <c:axId val="88235392"/>
      </c:scatterChart>
      <c:valAx>
        <c:axId val="88233856"/>
        <c:scaling>
          <c:orientation val="minMax"/>
        </c:scaling>
        <c:axPos val="b"/>
        <c:numFmt formatCode="General" sourceLinked="1"/>
        <c:tickLblPos val="nextTo"/>
        <c:crossAx val="88235392"/>
        <c:crosses val="autoZero"/>
        <c:crossBetween val="midCat"/>
      </c:valAx>
      <c:valAx>
        <c:axId val="88235392"/>
        <c:scaling>
          <c:orientation val="minMax"/>
        </c:scaling>
        <c:axPos val="l"/>
        <c:majorGridlines/>
        <c:numFmt formatCode="General" sourceLinked="1"/>
        <c:tickLblPos val="nextTo"/>
        <c:crossAx val="88233856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Fresnel!$C$47:$C$80</c:f>
              <c:numCache>
                <c:formatCode>General</c:formatCode>
                <c:ptCount val="34"/>
                <c:pt idx="0">
                  <c:v>0</c:v>
                </c:pt>
                <c:pt idx="2">
                  <c:v>5</c:v>
                </c:pt>
                <c:pt idx="4">
                  <c:v>10</c:v>
                </c:pt>
                <c:pt idx="6">
                  <c:v>15</c:v>
                </c:pt>
                <c:pt idx="8">
                  <c:v>25</c:v>
                </c:pt>
                <c:pt idx="10">
                  <c:v>30</c:v>
                </c:pt>
                <c:pt idx="12">
                  <c:v>35</c:v>
                </c:pt>
                <c:pt idx="14">
                  <c:v>40</c:v>
                </c:pt>
                <c:pt idx="16">
                  <c:v>45</c:v>
                </c:pt>
                <c:pt idx="18">
                  <c:v>50</c:v>
                </c:pt>
                <c:pt idx="20">
                  <c:v>55</c:v>
                </c:pt>
                <c:pt idx="22">
                  <c:v>60</c:v>
                </c:pt>
                <c:pt idx="24">
                  <c:v>65</c:v>
                </c:pt>
                <c:pt idx="26">
                  <c:v>70</c:v>
                </c:pt>
                <c:pt idx="28">
                  <c:v>75</c:v>
                </c:pt>
                <c:pt idx="30">
                  <c:v>80</c:v>
                </c:pt>
                <c:pt idx="32">
                  <c:v>85</c:v>
                </c:pt>
              </c:numCache>
            </c:numRef>
          </c:xVal>
          <c:yVal>
            <c:numRef>
              <c:f>Fresnel!$L$47:$L$80</c:f>
              <c:numCache>
                <c:formatCode>General</c:formatCode>
                <c:ptCount val="34"/>
                <c:pt idx="0">
                  <c:v>0.81501226143512107</c:v>
                </c:pt>
                <c:pt idx="2">
                  <c:v>0.80092953416038037</c:v>
                </c:pt>
                <c:pt idx="4">
                  <c:v>0.90608452619254443</c:v>
                </c:pt>
                <c:pt idx="6">
                  <c:v>0.85990805326569442</c:v>
                </c:pt>
                <c:pt idx="8">
                  <c:v>0.76666116520878025</c:v>
                </c:pt>
                <c:pt idx="10">
                  <c:v>0.74992077900643661</c:v>
                </c:pt>
                <c:pt idx="12">
                  <c:v>0.68068066078747969</c:v>
                </c:pt>
                <c:pt idx="14">
                  <c:v>0.41483542417091041</c:v>
                </c:pt>
                <c:pt idx="16">
                  <c:v>0</c:v>
                </c:pt>
                <c:pt idx="18">
                  <c:v>0</c:v>
                </c:pt>
                <c:pt idx="20">
                  <c:v>0</c:v>
                </c:pt>
                <c:pt idx="22">
                  <c:v>0</c:v>
                </c:pt>
                <c:pt idx="24">
                  <c:v>0</c:v>
                </c:pt>
                <c:pt idx="26">
                  <c:v>0</c:v>
                </c:pt>
                <c:pt idx="28">
                  <c:v>0</c:v>
                </c:pt>
                <c:pt idx="30">
                  <c:v>0</c:v>
                </c:pt>
                <c:pt idx="32">
                  <c:v>0</c:v>
                </c:pt>
              </c:numCache>
            </c:numRef>
          </c:yVal>
        </c:ser>
        <c:ser>
          <c:idx val="1"/>
          <c:order val="1"/>
          <c:spPr>
            <a:ln w="28575">
              <a:noFill/>
            </a:ln>
          </c:spPr>
          <c:xVal>
            <c:numRef>
              <c:f>Fresnel!$C$47:$C$80</c:f>
              <c:numCache>
                <c:formatCode>General</c:formatCode>
                <c:ptCount val="34"/>
                <c:pt idx="0">
                  <c:v>0</c:v>
                </c:pt>
                <c:pt idx="2">
                  <c:v>5</c:v>
                </c:pt>
                <c:pt idx="4">
                  <c:v>10</c:v>
                </c:pt>
                <c:pt idx="6">
                  <c:v>15</c:v>
                </c:pt>
                <c:pt idx="8">
                  <c:v>25</c:v>
                </c:pt>
                <c:pt idx="10">
                  <c:v>30</c:v>
                </c:pt>
                <c:pt idx="12">
                  <c:v>35</c:v>
                </c:pt>
                <c:pt idx="14">
                  <c:v>40</c:v>
                </c:pt>
                <c:pt idx="16">
                  <c:v>45</c:v>
                </c:pt>
                <c:pt idx="18">
                  <c:v>50</c:v>
                </c:pt>
                <c:pt idx="20">
                  <c:v>55</c:v>
                </c:pt>
                <c:pt idx="22">
                  <c:v>60</c:v>
                </c:pt>
                <c:pt idx="24">
                  <c:v>65</c:v>
                </c:pt>
                <c:pt idx="26">
                  <c:v>70</c:v>
                </c:pt>
                <c:pt idx="28">
                  <c:v>75</c:v>
                </c:pt>
                <c:pt idx="30">
                  <c:v>80</c:v>
                </c:pt>
                <c:pt idx="32">
                  <c:v>85</c:v>
                </c:pt>
              </c:numCache>
            </c:numRef>
          </c:xVal>
          <c:yVal>
            <c:numRef>
              <c:f>Fresnel!$M$47:$M$80</c:f>
              <c:numCache>
                <c:formatCode>General</c:formatCode>
                <c:ptCount val="34"/>
                <c:pt idx="0">
                  <c:v>0</c:v>
                </c:pt>
                <c:pt idx="2">
                  <c:v>0</c:v>
                </c:pt>
                <c:pt idx="4">
                  <c:v>0</c:v>
                </c:pt>
                <c:pt idx="6">
                  <c:v>0</c:v>
                </c:pt>
                <c:pt idx="8">
                  <c:v>5.2195255247795308E-2</c:v>
                </c:pt>
                <c:pt idx="10">
                  <c:v>7.4373285529661909E-2</c:v>
                </c:pt>
                <c:pt idx="12">
                  <c:v>0.12476305220883535</c:v>
                </c:pt>
                <c:pt idx="14">
                  <c:v>0.28264565109754081</c:v>
                </c:pt>
                <c:pt idx="16">
                  <c:v>0.7933007113779349</c:v>
                </c:pt>
                <c:pt idx="18">
                  <c:v>0.78078492347769446</c:v>
                </c:pt>
                <c:pt idx="20">
                  <c:v>0.82912985274431061</c:v>
                </c:pt>
                <c:pt idx="22">
                  <c:v>0.82130283847253427</c:v>
                </c:pt>
                <c:pt idx="24">
                  <c:v>0.81613480950830342</c:v>
                </c:pt>
                <c:pt idx="26">
                  <c:v>0.83223074114640372</c:v>
                </c:pt>
                <c:pt idx="28">
                  <c:v>0.78094681757332363</c:v>
                </c:pt>
                <c:pt idx="30">
                  <c:v>0.79955214798588281</c:v>
                </c:pt>
                <c:pt idx="32">
                  <c:v>0.76548880084094761</c:v>
                </c:pt>
              </c:numCache>
            </c:numRef>
          </c:yVal>
        </c:ser>
        <c:ser>
          <c:idx val="2"/>
          <c:order val="2"/>
          <c:spPr>
            <a:ln w="28575">
              <a:noFill/>
            </a:ln>
          </c:spPr>
          <c:xVal>
            <c:numRef>
              <c:f>Fresnel!$C$47:$C$80</c:f>
              <c:numCache>
                <c:formatCode>General</c:formatCode>
                <c:ptCount val="34"/>
                <c:pt idx="0">
                  <c:v>0</c:v>
                </c:pt>
                <c:pt idx="2">
                  <c:v>5</c:v>
                </c:pt>
                <c:pt idx="4">
                  <c:v>10</c:v>
                </c:pt>
                <c:pt idx="6">
                  <c:v>15</c:v>
                </c:pt>
                <c:pt idx="8">
                  <c:v>25</c:v>
                </c:pt>
                <c:pt idx="10">
                  <c:v>30</c:v>
                </c:pt>
                <c:pt idx="12">
                  <c:v>35</c:v>
                </c:pt>
                <c:pt idx="14">
                  <c:v>40</c:v>
                </c:pt>
                <c:pt idx="16">
                  <c:v>45</c:v>
                </c:pt>
                <c:pt idx="18">
                  <c:v>50</c:v>
                </c:pt>
                <c:pt idx="20">
                  <c:v>55</c:v>
                </c:pt>
                <c:pt idx="22">
                  <c:v>60</c:v>
                </c:pt>
                <c:pt idx="24">
                  <c:v>65</c:v>
                </c:pt>
                <c:pt idx="26">
                  <c:v>70</c:v>
                </c:pt>
                <c:pt idx="28">
                  <c:v>75</c:v>
                </c:pt>
                <c:pt idx="30">
                  <c:v>80</c:v>
                </c:pt>
                <c:pt idx="32">
                  <c:v>85</c:v>
                </c:pt>
              </c:numCache>
            </c:numRef>
          </c:xVal>
          <c:yVal>
            <c:numRef>
              <c:f>Fresnel!$P$47:$P$80</c:f>
              <c:numCache>
                <c:formatCode>General</c:formatCode>
                <c:ptCount val="34"/>
                <c:pt idx="0">
                  <c:v>0.92822069522244754</c:v>
                </c:pt>
                <c:pt idx="2">
                  <c:v>0.92741883412251513</c:v>
                </c:pt>
                <c:pt idx="4">
                  <c:v>0.92486448843363589</c:v>
                </c:pt>
                <c:pt idx="6">
                  <c:v>0.92004836941943235</c:v>
                </c:pt>
                <c:pt idx="8">
                  <c:v>0.89793582229176339</c:v>
                </c:pt>
                <c:pt idx="10">
                  <c:v>0.87273962211022171</c:v>
                </c:pt>
                <c:pt idx="12">
                  <c:v>0.82029449199467808</c:v>
                </c:pt>
                <c:pt idx="14">
                  <c:v>0.66581497547205659</c:v>
                </c:pt>
                <c:pt idx="16">
                  <c:v>2.2668079420301986E-16</c:v>
                </c:pt>
                <c:pt idx="18">
                  <c:v>2.4936312450682285E-16</c:v>
                </c:pt>
                <c:pt idx="20">
                  <c:v>2.7945277488283476E-16</c:v>
                </c:pt>
                <c:pt idx="22">
                  <c:v>3.2057505349141507E-16</c:v>
                </c:pt>
                <c:pt idx="24">
                  <c:v>3.7927259954529153E-16</c:v>
                </c:pt>
                <c:pt idx="26">
                  <c:v>4.6864937599035802E-16</c:v>
                </c:pt>
                <c:pt idx="28">
                  <c:v>6.1930344686271487E-16</c:v>
                </c:pt>
                <c:pt idx="30">
                  <c:v>9.2305907783927588E-16</c:v>
                </c:pt>
                <c:pt idx="32">
                  <c:v>1.839093118737886E-15</c:v>
                </c:pt>
              </c:numCache>
            </c:numRef>
          </c:yVal>
        </c:ser>
        <c:ser>
          <c:idx val="3"/>
          <c:order val="3"/>
          <c:spPr>
            <a:ln w="28575">
              <a:noFill/>
            </a:ln>
          </c:spPr>
          <c:xVal>
            <c:numRef>
              <c:f>Fresnel!$C$47:$C$80</c:f>
              <c:numCache>
                <c:formatCode>General</c:formatCode>
                <c:ptCount val="34"/>
                <c:pt idx="0">
                  <c:v>0</c:v>
                </c:pt>
                <c:pt idx="2">
                  <c:v>5</c:v>
                </c:pt>
                <c:pt idx="4">
                  <c:v>10</c:v>
                </c:pt>
                <c:pt idx="6">
                  <c:v>15</c:v>
                </c:pt>
                <c:pt idx="8">
                  <c:v>25</c:v>
                </c:pt>
                <c:pt idx="10">
                  <c:v>30</c:v>
                </c:pt>
                <c:pt idx="12">
                  <c:v>35</c:v>
                </c:pt>
                <c:pt idx="14">
                  <c:v>40</c:v>
                </c:pt>
                <c:pt idx="16">
                  <c:v>45</c:v>
                </c:pt>
                <c:pt idx="18">
                  <c:v>50</c:v>
                </c:pt>
                <c:pt idx="20">
                  <c:v>55</c:v>
                </c:pt>
                <c:pt idx="22">
                  <c:v>60</c:v>
                </c:pt>
                <c:pt idx="24">
                  <c:v>65</c:v>
                </c:pt>
                <c:pt idx="26">
                  <c:v>70</c:v>
                </c:pt>
                <c:pt idx="28">
                  <c:v>75</c:v>
                </c:pt>
                <c:pt idx="30">
                  <c:v>80</c:v>
                </c:pt>
                <c:pt idx="32">
                  <c:v>85</c:v>
                </c:pt>
              </c:numCache>
            </c:numRef>
          </c:xVal>
          <c:yVal>
            <c:numRef>
              <c:f>Fresnel!$Q$47:$Q$80</c:f>
              <c:numCache>
                <c:formatCode>General</c:formatCode>
                <c:ptCount val="34"/>
                <c:pt idx="0">
                  <c:v>3.3933792046146286E-2</c:v>
                </c:pt>
                <c:pt idx="2">
                  <c:v>3.4706338794486404E-2</c:v>
                </c:pt>
                <c:pt idx="4">
                  <c:v>3.7167302989215993E-2</c:v>
                </c:pt>
                <c:pt idx="6">
                  <c:v>4.1807354844026694E-2</c:v>
                </c:pt>
                <c:pt idx="8">
                  <c:v>6.3111513859145263E-2</c:v>
                </c:pt>
                <c:pt idx="10">
                  <c:v>8.7386594072435791E-2</c:v>
                </c:pt>
                <c:pt idx="12">
                  <c:v>0.13791444077862028</c:v>
                </c:pt>
                <c:pt idx="14">
                  <c:v>0.28674651180035038</c:v>
                </c:pt>
                <c:pt idx="16">
                  <c:v>0.92822069522244766</c:v>
                </c:pt>
                <c:pt idx="18">
                  <c:v>0.92822069522244721</c:v>
                </c:pt>
                <c:pt idx="20">
                  <c:v>0.92822069522244721</c:v>
                </c:pt>
                <c:pt idx="22">
                  <c:v>0.92822069522244721</c:v>
                </c:pt>
                <c:pt idx="24">
                  <c:v>0.92822069522244699</c:v>
                </c:pt>
                <c:pt idx="26">
                  <c:v>0.92822069522244677</c:v>
                </c:pt>
                <c:pt idx="28">
                  <c:v>0.9282206952224471</c:v>
                </c:pt>
                <c:pt idx="30">
                  <c:v>0.92822069522244677</c:v>
                </c:pt>
                <c:pt idx="32">
                  <c:v>0.9282206952224461</c:v>
                </c:pt>
              </c:numCache>
            </c:numRef>
          </c:yVal>
        </c:ser>
        <c:axId val="88278144"/>
        <c:axId val="88279680"/>
      </c:scatterChart>
      <c:valAx>
        <c:axId val="88278144"/>
        <c:scaling>
          <c:orientation val="minMax"/>
        </c:scaling>
        <c:axPos val="b"/>
        <c:numFmt formatCode="General" sourceLinked="1"/>
        <c:tickLblPos val="nextTo"/>
        <c:crossAx val="88279680"/>
        <c:crosses val="autoZero"/>
        <c:crossBetween val="midCat"/>
      </c:valAx>
      <c:valAx>
        <c:axId val="88279680"/>
        <c:scaling>
          <c:orientation val="minMax"/>
        </c:scaling>
        <c:axPos val="l"/>
        <c:majorGridlines/>
        <c:numFmt formatCode="General" sourceLinked="1"/>
        <c:tickLblPos val="nextTo"/>
        <c:crossAx val="88278144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plotArea>
      <c:layout>
        <c:manualLayout>
          <c:layoutTarget val="inner"/>
          <c:xMode val="edge"/>
          <c:yMode val="edge"/>
          <c:x val="0.10625000000000002"/>
          <c:y val="4.1666666666666664E-2"/>
          <c:w val="0.68541666666666656"/>
          <c:h val="0.79513888888888884"/>
        </c:manualLayout>
      </c:layout>
      <c:scatterChart>
        <c:scatterStyle val="smoothMarker"/>
        <c:ser>
          <c:idx val="0"/>
          <c:order val="0"/>
          <c:xVal>
            <c:numRef>
              <c:f>'Fresnel desviado à Doppler'!$C$8:$C$41</c:f>
              <c:numCache>
                <c:formatCode>General</c:formatCode>
                <c:ptCount val="34"/>
                <c:pt idx="0">
                  <c:v>5</c:v>
                </c:pt>
                <c:pt idx="2">
                  <c:v>10</c:v>
                </c:pt>
                <c:pt idx="4">
                  <c:v>15</c:v>
                </c:pt>
                <c:pt idx="6">
                  <c:v>20</c:v>
                </c:pt>
                <c:pt idx="8">
                  <c:v>25</c:v>
                </c:pt>
                <c:pt idx="10">
                  <c:v>30</c:v>
                </c:pt>
                <c:pt idx="12">
                  <c:v>35</c:v>
                </c:pt>
                <c:pt idx="14">
                  <c:v>40</c:v>
                </c:pt>
                <c:pt idx="16">
                  <c:v>45</c:v>
                </c:pt>
                <c:pt idx="18">
                  <c:v>50</c:v>
                </c:pt>
                <c:pt idx="20">
                  <c:v>55</c:v>
                </c:pt>
                <c:pt idx="22">
                  <c:v>60</c:v>
                </c:pt>
                <c:pt idx="24">
                  <c:v>65</c:v>
                </c:pt>
                <c:pt idx="26">
                  <c:v>70</c:v>
                </c:pt>
                <c:pt idx="28">
                  <c:v>75</c:v>
                </c:pt>
                <c:pt idx="30">
                  <c:v>80</c:v>
                </c:pt>
                <c:pt idx="32">
                  <c:v>85</c:v>
                </c:pt>
              </c:numCache>
            </c:numRef>
          </c:xVal>
          <c:yVal>
            <c:numRef>
              <c:f>'Fresnel desviado à Doppler'!$L$8:$L$41</c:f>
              <c:numCache>
                <c:formatCode>General</c:formatCode>
                <c:ptCount val="34"/>
                <c:pt idx="0">
                  <c:v>0.85544094894275402</c:v>
                </c:pt>
                <c:pt idx="2">
                  <c:v>0.87109213250517603</c:v>
                </c:pt>
                <c:pt idx="4">
                  <c:v>0.87862318840579712</c:v>
                </c:pt>
                <c:pt idx="6">
                  <c:v>0.81073908730158739</c:v>
                </c:pt>
                <c:pt idx="8">
                  <c:v>0.78921475875118252</c:v>
                </c:pt>
                <c:pt idx="10">
                  <c:v>0.80833333333333335</c:v>
                </c:pt>
                <c:pt idx="12">
                  <c:v>0.75701058201058202</c:v>
                </c:pt>
                <c:pt idx="14">
                  <c:v>0.77271186440677975</c:v>
                </c:pt>
                <c:pt idx="16">
                  <c:v>0.78869905310827504</c:v>
                </c:pt>
                <c:pt idx="18">
                  <c:v>0.72370352250489245</c:v>
                </c:pt>
                <c:pt idx="20">
                  <c:v>0.72508305647840532</c:v>
                </c:pt>
                <c:pt idx="22">
                  <c:v>0.6834942084942085</c:v>
                </c:pt>
                <c:pt idx="24">
                  <c:v>0.62093425605536345</c:v>
                </c:pt>
                <c:pt idx="26">
                  <c:v>0.49176929392446644</c:v>
                </c:pt>
                <c:pt idx="28">
                  <c:v>0.35555743243243249</c:v>
                </c:pt>
                <c:pt idx="30">
                  <c:v>0.20366353383458646</c:v>
                </c:pt>
                <c:pt idx="32">
                  <c:v>5.5570453437347643E-2</c:v>
                </c:pt>
              </c:numCache>
            </c:numRef>
          </c:yVal>
          <c:smooth val="1"/>
        </c:ser>
        <c:axId val="88382848"/>
        <c:axId val="88388736"/>
      </c:scatterChart>
      <c:valAx>
        <c:axId val="88382848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PT"/>
          </a:p>
        </c:txPr>
        <c:crossAx val="88388736"/>
        <c:crosses val="autoZero"/>
        <c:crossBetween val="midCat"/>
      </c:valAx>
      <c:valAx>
        <c:axId val="88388736"/>
        <c:scaling>
          <c:orientation val="minMax"/>
        </c:scaling>
        <c:axPos val="l"/>
        <c:majorGridlines/>
        <c:numFmt formatCode="General" sourceLinked="1"/>
        <c:tickLblPos val="nextTo"/>
        <c:crossAx val="88382848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plotArea>
      <c:layout>
        <c:manualLayout>
          <c:layoutTarget val="inner"/>
          <c:xMode val="edge"/>
          <c:yMode val="edge"/>
          <c:x val="9.7916666666666666E-2"/>
          <c:y val="4.5138888888888888E-2"/>
          <c:w val="0.68541666666666656"/>
          <c:h val="0.79513888888888884"/>
        </c:manualLayout>
      </c:layout>
      <c:scatterChart>
        <c:scatterStyle val="smoothMarker"/>
        <c:ser>
          <c:idx val="0"/>
          <c:order val="0"/>
          <c:xVal>
            <c:numRef>
              <c:f>'Fresnel desviado à Doppler'!$C$8:$C$41</c:f>
              <c:numCache>
                <c:formatCode>General</c:formatCode>
                <c:ptCount val="34"/>
                <c:pt idx="0">
                  <c:v>5</c:v>
                </c:pt>
                <c:pt idx="2">
                  <c:v>10</c:v>
                </c:pt>
                <c:pt idx="4">
                  <c:v>15</c:v>
                </c:pt>
                <c:pt idx="6">
                  <c:v>20</c:v>
                </c:pt>
                <c:pt idx="8">
                  <c:v>25</c:v>
                </c:pt>
                <c:pt idx="10">
                  <c:v>30</c:v>
                </c:pt>
                <c:pt idx="12">
                  <c:v>35</c:v>
                </c:pt>
                <c:pt idx="14">
                  <c:v>40</c:v>
                </c:pt>
                <c:pt idx="16">
                  <c:v>45</c:v>
                </c:pt>
                <c:pt idx="18">
                  <c:v>50</c:v>
                </c:pt>
                <c:pt idx="20">
                  <c:v>55</c:v>
                </c:pt>
                <c:pt idx="22">
                  <c:v>60</c:v>
                </c:pt>
                <c:pt idx="24">
                  <c:v>65</c:v>
                </c:pt>
                <c:pt idx="26">
                  <c:v>70</c:v>
                </c:pt>
                <c:pt idx="28">
                  <c:v>75</c:v>
                </c:pt>
                <c:pt idx="30">
                  <c:v>80</c:v>
                </c:pt>
                <c:pt idx="32">
                  <c:v>85</c:v>
                </c:pt>
              </c:numCache>
            </c:numRef>
          </c:xVal>
          <c:yVal>
            <c:numRef>
              <c:f>'Fresnel desviado à Doppler'!$M$8:$M$41</c:f>
              <c:numCache>
                <c:formatCode>General</c:formatCode>
                <c:ptCount val="34"/>
                <c:pt idx="0">
                  <c:v>0</c:v>
                </c:pt>
                <c:pt idx="2">
                  <c:v>0</c:v>
                </c:pt>
                <c:pt idx="4">
                  <c:v>0</c:v>
                </c:pt>
                <c:pt idx="6">
                  <c:v>4.1686266771902139E-2</c:v>
                </c:pt>
                <c:pt idx="8">
                  <c:v>4.3977182539682545E-2</c:v>
                </c:pt>
                <c:pt idx="10">
                  <c:v>4.7298104956268232E-2</c:v>
                </c:pt>
                <c:pt idx="12">
                  <c:v>5.8142857142857142E-2</c:v>
                </c:pt>
                <c:pt idx="14">
                  <c:v>6.7157484154071204E-2</c:v>
                </c:pt>
                <c:pt idx="16">
                  <c:v>8.2206563706563707E-2</c:v>
                </c:pt>
                <c:pt idx="18">
                  <c:v>0.10223734533183353</c:v>
                </c:pt>
                <c:pt idx="20">
                  <c:v>0.12797757191613848</c:v>
                </c:pt>
                <c:pt idx="22">
                  <c:v>0.16778886198547222</c:v>
                </c:pt>
                <c:pt idx="24">
                  <c:v>0.22723520542781758</c:v>
                </c:pt>
                <c:pt idx="26">
                  <c:v>0.29351132686084141</c:v>
                </c:pt>
                <c:pt idx="28">
                  <c:v>0.38897651006711415</c:v>
                </c:pt>
                <c:pt idx="30">
                  <c:v>0.531378242353852</c:v>
                </c:pt>
                <c:pt idx="32">
                  <c:v>0.69285714285714295</c:v>
                </c:pt>
              </c:numCache>
            </c:numRef>
          </c:yVal>
          <c:smooth val="1"/>
        </c:ser>
        <c:axId val="88482176"/>
        <c:axId val="88483712"/>
      </c:scatterChart>
      <c:valAx>
        <c:axId val="88482176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PT"/>
          </a:p>
        </c:txPr>
        <c:crossAx val="88483712"/>
        <c:crosses val="autoZero"/>
        <c:crossBetween val="midCat"/>
      </c:valAx>
      <c:valAx>
        <c:axId val="88483712"/>
        <c:scaling>
          <c:orientation val="minMax"/>
        </c:scaling>
        <c:axPos val="l"/>
        <c:majorGridlines/>
        <c:numFmt formatCode="General" sourceLinked="1"/>
        <c:tickLblPos val="nextTo"/>
        <c:crossAx val="88482176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plotArea>
      <c:layout>
        <c:manualLayout>
          <c:layoutTarget val="inner"/>
          <c:xMode val="edge"/>
          <c:yMode val="edge"/>
          <c:x val="7.5960629921259903E-2"/>
          <c:y val="5.6030183727034118E-2"/>
          <c:w val="0.70737948381452365"/>
          <c:h val="0.79822506561679785"/>
        </c:manualLayout>
      </c:layout>
      <c:scatterChart>
        <c:scatterStyle val="smoothMarker"/>
        <c:ser>
          <c:idx val="0"/>
          <c:order val="0"/>
          <c:xVal>
            <c:numRef>
              <c:f>'Fresnel desviado à Doppler'!$C$47:$C$80</c:f>
              <c:numCache>
                <c:formatCode>General</c:formatCode>
                <c:ptCount val="34"/>
                <c:pt idx="0">
                  <c:v>5</c:v>
                </c:pt>
                <c:pt idx="2">
                  <c:v>10</c:v>
                </c:pt>
                <c:pt idx="4">
                  <c:v>15</c:v>
                </c:pt>
                <c:pt idx="6">
                  <c:v>20</c:v>
                </c:pt>
                <c:pt idx="8">
                  <c:v>25</c:v>
                </c:pt>
                <c:pt idx="10">
                  <c:v>30</c:v>
                </c:pt>
                <c:pt idx="12">
                  <c:v>35</c:v>
                </c:pt>
                <c:pt idx="14">
                  <c:v>40</c:v>
                </c:pt>
                <c:pt idx="16">
                  <c:v>45</c:v>
                </c:pt>
                <c:pt idx="18">
                  <c:v>50</c:v>
                </c:pt>
                <c:pt idx="20">
                  <c:v>55</c:v>
                </c:pt>
                <c:pt idx="22">
                  <c:v>60</c:v>
                </c:pt>
                <c:pt idx="24">
                  <c:v>65</c:v>
                </c:pt>
                <c:pt idx="26">
                  <c:v>70</c:v>
                </c:pt>
                <c:pt idx="28">
                  <c:v>75</c:v>
                </c:pt>
                <c:pt idx="30">
                  <c:v>80</c:v>
                </c:pt>
                <c:pt idx="32">
                  <c:v>85</c:v>
                </c:pt>
              </c:numCache>
            </c:numRef>
          </c:xVal>
          <c:yVal>
            <c:numRef>
              <c:f>'Fresnel desviado à Doppler'!$H$47:$H$80</c:f>
              <c:numCache>
                <c:formatCode>General</c:formatCode>
                <c:ptCount val="34"/>
                <c:pt idx="0">
                  <c:v>0.3088375039594552</c:v>
                </c:pt>
                <c:pt idx="2">
                  <c:v>5.6528189910979227</c:v>
                </c:pt>
                <c:pt idx="4">
                  <c:v>6.3949843260188084</c:v>
                </c:pt>
                <c:pt idx="6">
                  <c:v>6.0690789473684212</c:v>
                </c:pt>
                <c:pt idx="8">
                  <c:v>5.4109589041095889</c:v>
                </c:pt>
                <c:pt idx="10">
                  <c:v>5.2928082191780819</c:v>
                </c:pt>
                <c:pt idx="12">
                  <c:v>4.8041237113402051</c:v>
                </c:pt>
                <c:pt idx="14">
                  <c:v>2.9278350515463916</c:v>
                </c:pt>
                <c:pt idx="16">
                  <c:v>0</c:v>
                </c:pt>
                <c:pt idx="18">
                  <c:v>0</c:v>
                </c:pt>
                <c:pt idx="20">
                  <c:v>0</c:v>
                </c:pt>
                <c:pt idx="22">
                  <c:v>0</c:v>
                </c:pt>
                <c:pt idx="24">
                  <c:v>0</c:v>
                </c:pt>
                <c:pt idx="26">
                  <c:v>0</c:v>
                </c:pt>
                <c:pt idx="28">
                  <c:v>0</c:v>
                </c:pt>
                <c:pt idx="30">
                  <c:v>0</c:v>
                </c:pt>
                <c:pt idx="32">
                  <c:v>0</c:v>
                </c:pt>
              </c:numCache>
            </c:numRef>
          </c:yVal>
          <c:smooth val="1"/>
        </c:ser>
        <c:axId val="88519808"/>
        <c:axId val="88521344"/>
      </c:scatterChart>
      <c:valAx>
        <c:axId val="88519808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PT"/>
          </a:p>
        </c:txPr>
        <c:crossAx val="88521344"/>
        <c:crosses val="autoZero"/>
        <c:crossBetween val="midCat"/>
      </c:valAx>
      <c:valAx>
        <c:axId val="88521344"/>
        <c:scaling>
          <c:orientation val="minMax"/>
        </c:scaling>
        <c:axPos val="l"/>
        <c:majorGridlines/>
        <c:numFmt formatCode="General" sourceLinked="1"/>
        <c:tickLblPos val="nextTo"/>
        <c:crossAx val="88519808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plotArea>
      <c:layout>
        <c:manualLayout>
          <c:layoutTarget val="inner"/>
          <c:xMode val="edge"/>
          <c:yMode val="edge"/>
          <c:x val="8.9583333333333348E-2"/>
          <c:y val="4.8611111111111112E-2"/>
          <c:w val="0.68541666666666656"/>
          <c:h val="0.79513888888888884"/>
        </c:manualLayout>
      </c:layout>
      <c:scatterChart>
        <c:scatterStyle val="smoothMarker"/>
        <c:ser>
          <c:idx val="0"/>
          <c:order val="0"/>
          <c:xVal>
            <c:numRef>
              <c:f>'Fresnel desviado à Doppler'!$C$47:$C$80</c:f>
              <c:numCache>
                <c:formatCode>General</c:formatCode>
                <c:ptCount val="34"/>
                <c:pt idx="0">
                  <c:v>5</c:v>
                </c:pt>
                <c:pt idx="2">
                  <c:v>10</c:v>
                </c:pt>
                <c:pt idx="4">
                  <c:v>15</c:v>
                </c:pt>
                <c:pt idx="6">
                  <c:v>20</c:v>
                </c:pt>
                <c:pt idx="8">
                  <c:v>25</c:v>
                </c:pt>
                <c:pt idx="10">
                  <c:v>30</c:v>
                </c:pt>
                <c:pt idx="12">
                  <c:v>35</c:v>
                </c:pt>
                <c:pt idx="14">
                  <c:v>40</c:v>
                </c:pt>
                <c:pt idx="16">
                  <c:v>45</c:v>
                </c:pt>
                <c:pt idx="18">
                  <c:v>50</c:v>
                </c:pt>
                <c:pt idx="20">
                  <c:v>55</c:v>
                </c:pt>
                <c:pt idx="22">
                  <c:v>60</c:v>
                </c:pt>
                <c:pt idx="24">
                  <c:v>65</c:v>
                </c:pt>
                <c:pt idx="26">
                  <c:v>70</c:v>
                </c:pt>
                <c:pt idx="28">
                  <c:v>75</c:v>
                </c:pt>
                <c:pt idx="30">
                  <c:v>80</c:v>
                </c:pt>
                <c:pt idx="32">
                  <c:v>85</c:v>
                </c:pt>
              </c:numCache>
            </c:numRef>
          </c:xVal>
          <c:yVal>
            <c:numRef>
              <c:f>'Fresnel desviado à Doppler'!$M$47:$M$80</c:f>
              <c:numCache>
                <c:formatCode>General</c:formatCode>
                <c:ptCount val="34"/>
                <c:pt idx="0">
                  <c:v>0</c:v>
                </c:pt>
                <c:pt idx="2">
                  <c:v>0</c:v>
                </c:pt>
                <c:pt idx="4">
                  <c:v>0</c:v>
                </c:pt>
                <c:pt idx="6">
                  <c:v>0</c:v>
                </c:pt>
                <c:pt idx="8">
                  <c:v>5.2195255247795308E-2</c:v>
                </c:pt>
                <c:pt idx="10">
                  <c:v>7.4373285529661909E-2</c:v>
                </c:pt>
                <c:pt idx="12">
                  <c:v>0.12476305220883535</c:v>
                </c:pt>
                <c:pt idx="14">
                  <c:v>0.28264565109754081</c:v>
                </c:pt>
                <c:pt idx="16">
                  <c:v>0.7933007113779349</c:v>
                </c:pt>
                <c:pt idx="18">
                  <c:v>0.78078492347769446</c:v>
                </c:pt>
                <c:pt idx="20">
                  <c:v>0.82912985274431061</c:v>
                </c:pt>
                <c:pt idx="22">
                  <c:v>0.82130283847253427</c:v>
                </c:pt>
                <c:pt idx="24">
                  <c:v>0.81613480950830342</c:v>
                </c:pt>
                <c:pt idx="26">
                  <c:v>0.83223074114640372</c:v>
                </c:pt>
                <c:pt idx="28">
                  <c:v>0.78094681757332363</c:v>
                </c:pt>
                <c:pt idx="30">
                  <c:v>0.79955214798588281</c:v>
                </c:pt>
                <c:pt idx="32">
                  <c:v>0.76548880084094761</c:v>
                </c:pt>
              </c:numCache>
            </c:numRef>
          </c:yVal>
          <c:smooth val="1"/>
        </c:ser>
        <c:axId val="88417792"/>
        <c:axId val="88419328"/>
      </c:scatterChart>
      <c:valAx>
        <c:axId val="88417792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PT"/>
          </a:p>
        </c:txPr>
        <c:crossAx val="88419328"/>
        <c:crosses val="autoZero"/>
        <c:crossBetween val="midCat"/>
      </c:valAx>
      <c:valAx>
        <c:axId val="88419328"/>
        <c:scaling>
          <c:orientation val="minMax"/>
        </c:scaling>
        <c:axPos val="l"/>
        <c:majorGridlines/>
        <c:numFmt formatCode="General" sourceLinked="1"/>
        <c:tickLblPos val="nextTo"/>
        <c:crossAx val="88417792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419100</xdr:colOff>
      <xdr:row>4</xdr:row>
      <xdr:rowOff>171450</xdr:rowOff>
    </xdr:from>
    <xdr:to>
      <xdr:col>40</xdr:col>
      <xdr:colOff>523875</xdr:colOff>
      <xdr:row>21</xdr:row>
      <xdr:rowOff>123825</xdr:rowOff>
    </xdr:to>
    <xdr:graphicFrame macro="">
      <xdr:nvGraphicFramePr>
        <xdr:cNvPr id="15" name="Gráfico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361950</xdr:colOff>
      <xdr:row>93</xdr:row>
      <xdr:rowOff>47625</xdr:rowOff>
    </xdr:from>
    <xdr:to>
      <xdr:col>42</xdr:col>
      <xdr:colOff>533400</xdr:colOff>
      <xdr:row>113</xdr:row>
      <xdr:rowOff>66675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35</xdr:col>
      <xdr:colOff>457199</xdr:colOff>
      <xdr:row>126</xdr:row>
      <xdr:rowOff>38099</xdr:rowOff>
    </xdr:from>
    <xdr:to>
      <xdr:col>48</xdr:col>
      <xdr:colOff>238125</xdr:colOff>
      <xdr:row>146</xdr:row>
      <xdr:rowOff>123824</xdr:rowOff>
    </xdr:to>
    <xdr:graphicFrame macro="">
      <xdr:nvGraphicFramePr>
        <xdr:cNvPr id="9" name="Grá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276225</xdr:colOff>
      <xdr:row>51</xdr:row>
      <xdr:rowOff>104774</xdr:rowOff>
    </xdr:from>
    <xdr:to>
      <xdr:col>42</xdr:col>
      <xdr:colOff>238125</xdr:colOff>
      <xdr:row>73</xdr:row>
      <xdr:rowOff>161924</xdr:rowOff>
    </xdr:to>
    <xdr:graphicFrame macro="">
      <xdr:nvGraphicFramePr>
        <xdr:cNvPr id="10" name="Gráfico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590550</xdr:colOff>
      <xdr:row>10</xdr:row>
      <xdr:rowOff>19050</xdr:rowOff>
    </xdr:from>
    <xdr:to>
      <xdr:col>21</xdr:col>
      <xdr:colOff>285750</xdr:colOff>
      <xdr:row>23</xdr:row>
      <xdr:rowOff>161925</xdr:rowOff>
    </xdr:to>
    <xdr:graphicFrame macro="">
      <xdr:nvGraphicFramePr>
        <xdr:cNvPr id="10241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495300</xdr:colOff>
      <xdr:row>25</xdr:row>
      <xdr:rowOff>28575</xdr:rowOff>
    </xdr:from>
    <xdr:to>
      <xdr:col>21</xdr:col>
      <xdr:colOff>190500</xdr:colOff>
      <xdr:row>38</xdr:row>
      <xdr:rowOff>171450</xdr:rowOff>
    </xdr:to>
    <xdr:graphicFrame macro="">
      <xdr:nvGraphicFramePr>
        <xdr:cNvPr id="10242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9525</xdr:colOff>
      <xdr:row>44</xdr:row>
      <xdr:rowOff>9525</xdr:rowOff>
    </xdr:from>
    <xdr:to>
      <xdr:col>21</xdr:col>
      <xdr:colOff>314325</xdr:colOff>
      <xdr:row>58</xdr:row>
      <xdr:rowOff>66675</xdr:rowOff>
    </xdr:to>
    <xdr:graphicFrame macro="">
      <xdr:nvGraphicFramePr>
        <xdr:cNvPr id="10243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352425</xdr:colOff>
      <xdr:row>65</xdr:row>
      <xdr:rowOff>76200</xdr:rowOff>
    </xdr:from>
    <xdr:to>
      <xdr:col>21</xdr:col>
      <xdr:colOff>47625</xdr:colOff>
      <xdr:row>79</xdr:row>
      <xdr:rowOff>142875</xdr:rowOff>
    </xdr:to>
    <xdr:graphicFrame macro="">
      <xdr:nvGraphicFramePr>
        <xdr:cNvPr id="10244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N206"/>
  <sheetViews>
    <sheetView tabSelected="1" topLeftCell="C133" zoomScaleNormal="100" workbookViewId="0">
      <selection activeCell="G188" sqref="G188"/>
    </sheetView>
  </sheetViews>
  <sheetFormatPr defaultRowHeight="15"/>
  <cols>
    <col min="4" max="4" width="11.28515625" bestFit="1" customWidth="1"/>
    <col min="6" max="6" width="10.28515625" customWidth="1"/>
    <col min="7" max="7" width="9.140625" customWidth="1"/>
    <col min="8" max="8" width="13.85546875" customWidth="1"/>
    <col min="10" max="10" width="11.42578125" customWidth="1"/>
    <col min="12" max="12" width="13.7109375" customWidth="1"/>
    <col min="13" max="13" width="12.42578125" customWidth="1"/>
    <col min="16" max="16" width="12" bestFit="1" customWidth="1"/>
    <col min="20" max="20" width="12" bestFit="1" customWidth="1"/>
    <col min="26" max="26" width="11.5703125" customWidth="1"/>
    <col min="27" max="27" width="10.5703125" customWidth="1"/>
  </cols>
  <sheetData>
    <row r="1" spans="1:35" ht="15.75" customHeight="1" thickBot="1">
      <c r="C1" s="157" t="s">
        <v>12</v>
      </c>
      <c r="D1" s="158"/>
      <c r="E1" s="158"/>
      <c r="F1" s="158"/>
      <c r="G1" s="158"/>
      <c r="H1" s="158"/>
      <c r="I1" s="158"/>
      <c r="J1" s="158"/>
      <c r="K1" s="158"/>
      <c r="L1" s="158"/>
      <c r="M1" s="159"/>
    </row>
    <row r="2" spans="1:35" ht="15.75" customHeight="1" thickBot="1">
      <c r="C2" s="160"/>
      <c r="D2" s="161"/>
      <c r="E2" s="161"/>
      <c r="F2" s="161"/>
      <c r="G2" s="161"/>
      <c r="H2" s="161"/>
      <c r="I2" s="161"/>
      <c r="J2" s="161"/>
      <c r="K2" s="161"/>
      <c r="L2" s="161"/>
      <c r="M2" s="162"/>
      <c r="O2" s="4" t="s">
        <v>23</v>
      </c>
      <c r="P2" s="164" t="s">
        <v>15</v>
      </c>
      <c r="Q2" s="164"/>
      <c r="R2" s="165"/>
      <c r="S2" t="s">
        <v>25</v>
      </c>
      <c r="T2" s="1"/>
      <c r="U2" s="1"/>
      <c r="V2" s="1"/>
      <c r="W2" s="1"/>
      <c r="X2" s="1"/>
      <c r="Y2" s="1"/>
      <c r="Z2" s="1"/>
      <c r="AA2" s="1"/>
      <c r="AB2" s="1"/>
    </row>
    <row r="3" spans="1:35">
      <c r="O3" s="5" t="s">
        <v>22</v>
      </c>
      <c r="P3" s="166" t="s">
        <v>17</v>
      </c>
      <c r="Q3" s="166"/>
      <c r="R3" s="167"/>
      <c r="S3" t="s">
        <v>26</v>
      </c>
      <c r="T3" s="1"/>
      <c r="U3" s="1"/>
      <c r="V3" s="1"/>
      <c r="W3" s="1"/>
      <c r="X3" s="1"/>
      <c r="Y3" s="1"/>
      <c r="Z3" s="1"/>
      <c r="AA3" s="1"/>
      <c r="AB3" s="1"/>
    </row>
    <row r="4" spans="1:35" ht="15.75" thickBot="1">
      <c r="C4" s="7"/>
      <c r="D4" s="7"/>
      <c r="E4" s="7"/>
      <c r="F4" s="7"/>
      <c r="G4" s="7"/>
      <c r="H4" s="7"/>
      <c r="I4" s="7"/>
      <c r="O4" s="6" t="s">
        <v>21</v>
      </c>
      <c r="P4" s="168" t="s">
        <v>15</v>
      </c>
      <c r="Q4" s="168"/>
      <c r="R4" s="169"/>
    </row>
    <row r="5" spans="1:35" ht="15.75" thickBot="1">
      <c r="C5" s="7"/>
      <c r="D5" s="7" t="s">
        <v>19</v>
      </c>
      <c r="E5" s="7" t="s">
        <v>20</v>
      </c>
      <c r="F5" s="7"/>
      <c r="G5" s="7"/>
      <c r="H5" s="7" t="s">
        <v>24</v>
      </c>
      <c r="I5" s="7"/>
      <c r="Q5" s="1"/>
      <c r="R5" s="1"/>
      <c r="S5" s="1"/>
      <c r="T5" s="1"/>
      <c r="U5" s="1"/>
      <c r="V5" s="1"/>
      <c r="W5" s="1"/>
      <c r="X5" s="1"/>
      <c r="AA5">
        <f>1/(2*$H$170)*($B$17+$B$17)+($G$170+$G$171)/(2*$H$170^2)*$B$18</f>
        <v>0.29581606263506571</v>
      </c>
    </row>
    <row r="6" spans="1:35" ht="16.5" thickBot="1">
      <c r="C6" s="170" t="s">
        <v>5</v>
      </c>
      <c r="D6" s="171"/>
      <c r="E6" s="171"/>
      <c r="F6" s="171"/>
      <c r="G6" s="171"/>
      <c r="H6" s="171"/>
      <c r="I6" s="172"/>
      <c r="J6" s="117" t="s">
        <v>95</v>
      </c>
      <c r="K6" s="118"/>
      <c r="L6" s="8" t="s">
        <v>18</v>
      </c>
      <c r="M6" s="9" t="s">
        <v>16</v>
      </c>
      <c r="N6" s="108" t="s">
        <v>84</v>
      </c>
      <c r="O6" s="109"/>
      <c r="P6" s="109"/>
      <c r="Q6" s="109"/>
      <c r="R6" s="109"/>
      <c r="S6" s="109"/>
      <c r="T6" s="109"/>
      <c r="U6" s="109"/>
      <c r="V6" s="110" t="s">
        <v>74</v>
      </c>
      <c r="W6" s="110"/>
      <c r="X6" s="110"/>
      <c r="Y6" s="110"/>
      <c r="Z6" s="110"/>
      <c r="AA6" s="110"/>
      <c r="AB6" s="211"/>
      <c r="AC6" s="211"/>
      <c r="AD6" s="211"/>
    </row>
    <row r="7" spans="1:35" ht="15.75" thickBot="1">
      <c r="B7" t="s">
        <v>27</v>
      </c>
      <c r="C7" s="15" t="s">
        <v>2</v>
      </c>
      <c r="D7" s="130" t="s">
        <v>1</v>
      </c>
      <c r="E7" s="130"/>
      <c r="F7" s="130" t="s">
        <v>0</v>
      </c>
      <c r="G7" s="130"/>
      <c r="H7" s="15" t="s">
        <v>4</v>
      </c>
      <c r="I7" s="15" t="s">
        <v>3</v>
      </c>
      <c r="J7" s="101" t="s">
        <v>96</v>
      </c>
      <c r="K7" s="102" t="s">
        <v>97</v>
      </c>
      <c r="L7" s="15" t="s">
        <v>13</v>
      </c>
      <c r="M7" s="15" t="s">
        <v>14</v>
      </c>
      <c r="N7" s="92" t="s">
        <v>48</v>
      </c>
      <c r="O7" s="66" t="s">
        <v>58</v>
      </c>
      <c r="P7" s="66" t="s">
        <v>54</v>
      </c>
      <c r="Q7" s="67" t="s">
        <v>53</v>
      </c>
      <c r="R7" s="67" t="s">
        <v>55</v>
      </c>
      <c r="S7" s="79" t="s">
        <v>65</v>
      </c>
      <c r="T7" s="67" t="s">
        <v>56</v>
      </c>
      <c r="U7" s="67" t="s">
        <v>70</v>
      </c>
      <c r="V7" s="79" t="s">
        <v>93</v>
      </c>
      <c r="W7" s="79" t="s">
        <v>94</v>
      </c>
      <c r="X7" t="s">
        <v>76</v>
      </c>
      <c r="Y7" t="s">
        <v>75</v>
      </c>
      <c r="Z7" t="s">
        <v>86</v>
      </c>
      <c r="AA7" t="s">
        <v>87</v>
      </c>
      <c r="AB7" t="s">
        <v>98</v>
      </c>
    </row>
    <row r="8" spans="1:35" ht="15.75" thickBot="1">
      <c r="A8" t="s">
        <v>66</v>
      </c>
      <c r="C8" s="124">
        <v>0</v>
      </c>
      <c r="D8" s="183">
        <v>2.7699999999999999E-2</v>
      </c>
      <c r="E8" s="16">
        <v>0.17199999999999999</v>
      </c>
      <c r="F8" s="183">
        <v>0</v>
      </c>
      <c r="G8" s="28">
        <v>0</v>
      </c>
      <c r="H8" s="138">
        <f>(AVERAGE(E8:E9)/D8)</f>
        <v>6.1732851985559565</v>
      </c>
      <c r="I8" s="178" t="e">
        <f>(AVERAGE(G8:G9)/F8)</f>
        <v>#DIV/0!</v>
      </c>
      <c r="J8" s="115">
        <f>V8/$H$173+((H8*$H$174)/$H$173^2)</f>
        <v>2.745693895903447E-2</v>
      </c>
      <c r="K8" s="115" t="e">
        <f>W8/$H$173+I8*$H$174/$H$173^2</f>
        <v>#DIV/0!</v>
      </c>
      <c r="L8" s="174">
        <f>H8/$H$173</f>
        <v>0.85544094894275402</v>
      </c>
      <c r="M8" s="178" t="e">
        <f>I8/$H$173</f>
        <v>#DIV/0!</v>
      </c>
      <c r="N8" s="207">
        <f>ASIN($B$9/$B$10*SIN(C8*PI()/180))</f>
        <v>0</v>
      </c>
      <c r="O8" s="113">
        <f>C8*PI()/180</f>
        <v>0</v>
      </c>
      <c r="P8" s="113">
        <f>R8*T8</f>
        <v>0.92822069522244743</v>
      </c>
      <c r="Q8" s="112">
        <f>U8</f>
        <v>3.6557892127167091E-2</v>
      </c>
      <c r="R8" s="113">
        <f>($B$10/$B$9)*((2*$B$9/($B$10+$B$9))^2)</f>
        <v>0.96344210787283291</v>
      </c>
      <c r="S8" s="113">
        <f>($B$9/$B$10)*((2*$B$10/($B$10+$B$9))^2)</f>
        <v>0.96344210787283313</v>
      </c>
      <c r="T8" s="113">
        <f>(($B$10*COS(N8))/($B$9*COS(O8)))*(((2*$B$9*COS(O8))^2)/(($B$9*COS(O8)+$B$10*COS(N8))^2))</f>
        <v>0.96344210787283291</v>
      </c>
      <c r="U8" s="112">
        <f>(($B$9*COS(O8)-$B$10*COS(N8))^2)/(($B$9*COS(O8)+$B$10*COS(N8))^2)</f>
        <v>3.6557892127167091E-2</v>
      </c>
      <c r="V8" s="112">
        <f>1/(2*D8)*($B$15+$B$15)+(E8+E9)/(2*D8^2)*$B$16</f>
        <v>0.14753222380064906</v>
      </c>
      <c r="W8" s="112" t="e">
        <f>(1/(2*F8))*($B$15+$B$15)+(G8+G9)/(2*F8^2)*$B$16</f>
        <v>#DIV/0!</v>
      </c>
      <c r="X8" s="112"/>
      <c r="Y8" s="112">
        <f>H173</f>
        <v>7.216494845360824</v>
      </c>
      <c r="Z8" s="111"/>
      <c r="AA8" s="111" t="e">
        <f>(1/$Y$8)*V8+(1/$Y$8)*W8+(X8)/($Y$8^2)*(1/(2*$H$170)*($B$17+$B$17)+ABS($G$170+$G$171)/(2*$H$170^2)*$B$18)</f>
        <v>#DIV/0!</v>
      </c>
      <c r="AB8" s="107" t="e">
        <f>AA8+Z8</f>
        <v>#DIV/0!</v>
      </c>
      <c r="AC8" s="91"/>
      <c r="AD8" s="91"/>
    </row>
    <row r="9" spans="1:35" ht="15.75" thickBot="1">
      <c r="A9" t="s">
        <v>51</v>
      </c>
      <c r="B9">
        <v>1.0002914000000001</v>
      </c>
      <c r="C9" s="124"/>
      <c r="D9" s="177"/>
      <c r="E9" s="17">
        <v>0.17</v>
      </c>
      <c r="F9" s="177"/>
      <c r="G9" s="18">
        <v>0</v>
      </c>
      <c r="H9" s="138"/>
      <c r="I9" s="141"/>
      <c r="J9" s="116"/>
      <c r="K9" s="116"/>
      <c r="L9" s="138"/>
      <c r="M9" s="141"/>
      <c r="N9" s="207"/>
      <c r="O9" s="113"/>
      <c r="P9" s="113"/>
      <c r="Q9" s="112"/>
      <c r="R9" s="113"/>
      <c r="S9" s="113"/>
      <c r="T9" s="113"/>
      <c r="U9" s="112"/>
      <c r="V9" s="112"/>
      <c r="W9" s="112"/>
      <c r="X9" s="112"/>
      <c r="Y9" s="112"/>
      <c r="Z9" s="111"/>
      <c r="AA9" s="111"/>
      <c r="AB9" s="107"/>
      <c r="AC9" s="91"/>
      <c r="AD9" s="91"/>
      <c r="AE9" s="15" t="s">
        <v>2</v>
      </c>
      <c r="AF9" s="130" t="s">
        <v>1</v>
      </c>
      <c r="AG9" s="130"/>
      <c r="AH9" s="88" t="s">
        <v>0</v>
      </c>
      <c r="AI9" s="88"/>
    </row>
    <row r="10" spans="1:35" ht="15.75" thickBot="1">
      <c r="A10" t="s">
        <v>52</v>
      </c>
      <c r="B10">
        <f>C204</f>
        <v>1.473231998292388</v>
      </c>
      <c r="C10" s="124">
        <v>5</v>
      </c>
      <c r="D10" s="177">
        <v>2.76E-2</v>
      </c>
      <c r="E10" s="18">
        <v>0.17299999999999999</v>
      </c>
      <c r="F10" s="180">
        <v>0</v>
      </c>
      <c r="G10" s="18">
        <v>0</v>
      </c>
      <c r="H10" s="138">
        <f>(AVERAGE(E10:E11)/D10)</f>
        <v>6.2862318840579707</v>
      </c>
      <c r="I10" s="141" t="e">
        <f>(AVERAGE(G10:G11)/F10)</f>
        <v>#DIV/0!</v>
      </c>
      <c r="J10" s="115">
        <f t="shared" ref="J10" si="0">V10/$H$173+((H10*$H$174)/$H$173^2)</f>
        <v>2.7942860036264037E-2</v>
      </c>
      <c r="K10" s="115" t="e">
        <f t="shared" ref="K10" si="1">W10/$H$173+I10*$H$174/$H$173^2</f>
        <v>#DIV/0!</v>
      </c>
      <c r="L10" s="138">
        <f>H10/$H$173</f>
        <v>0.87109213250517603</v>
      </c>
      <c r="M10" s="141" t="e">
        <f>I10/$H$173</f>
        <v>#DIV/0!</v>
      </c>
      <c r="N10" s="207">
        <f>ASIN($B$9/$B$10*SIN(C10*PI()/180))</f>
        <v>5.9211382556360256E-2</v>
      </c>
      <c r="O10" s="113">
        <f t="shared" ref="O10" si="2">C10*PI()/180</f>
        <v>8.7266462599716474E-2</v>
      </c>
      <c r="P10" s="113">
        <f t="shared" ref="P10" si="3">R10*T10</f>
        <v>0.92785447668865761</v>
      </c>
      <c r="Q10" s="112">
        <f t="shared" ref="Q10" si="4">U10</f>
        <v>3.6938006854141503E-2</v>
      </c>
      <c r="R10" s="113">
        <f t="shared" ref="R10" si="5">($B$10/$B$9)*((2*$B$9/($B$10+$B$9))^2)</f>
        <v>0.96344210787283291</v>
      </c>
      <c r="S10" s="113">
        <f t="shared" ref="S10" si="6">($B$9/$B$10)*((2*$B$10/($B$10+$B$9))^2)</f>
        <v>0.96344210787283313</v>
      </c>
      <c r="T10" s="113">
        <f t="shared" ref="T10" si="7">(($B$10*COS(N10))/($B$9*COS(O10)))*(((2*$B$9*COS(O10))^2)/(($B$9*COS(O10)+$B$10*COS(N10))^2))</f>
        <v>0.9630619931458585</v>
      </c>
      <c r="U10" s="112">
        <f t="shared" ref="U10" si="8">(($B$9*COS(O10)-$B$10*COS(N10))^2)/(($B$9*COS(O10)+$B$10*COS(N10))^2)</f>
        <v>3.6938006854141503E-2</v>
      </c>
      <c r="V10" s="112">
        <f>1/(2*D10)*($B$15+$B$15)+(E10+E11)/(2*D10^2)*$B$16</f>
        <v>0.15011289645032555</v>
      </c>
      <c r="W10" s="112" t="e">
        <f t="shared" ref="W10" si="9">(1/(2*F10))*($B$15+$B$15)+(G10+G11)/(2*F10^2)*$B$16</f>
        <v>#DIV/0!</v>
      </c>
      <c r="X10" s="112"/>
      <c r="Y10" s="112"/>
      <c r="Z10" s="111"/>
      <c r="AA10" s="111" t="e">
        <f t="shared" ref="AA10" si="10">(1/$Y$8)*V10+(1/$Y$8)*W10+(X10)/($Y$8^2)*(1/(2*$H$170)*($B$17+$B$17)+ABS($G$170+$G$171)/(2*$H$170^2)*$B$18)</f>
        <v>#DIV/0!</v>
      </c>
      <c r="AB10" s="107" t="e">
        <f t="shared" ref="AB10" si="11">AA10+Z10</f>
        <v>#DIV/0!</v>
      </c>
      <c r="AC10" s="91"/>
      <c r="AD10" s="91"/>
      <c r="AE10" s="175">
        <v>5</v>
      </c>
      <c r="AF10" s="140">
        <v>2.6800000000000001E-2</v>
      </c>
      <c r="AG10" s="12">
        <v>0.186</v>
      </c>
      <c r="AH10" s="80"/>
      <c r="AI10" s="11"/>
    </row>
    <row r="11" spans="1:35" ht="15.75" thickBot="1">
      <c r="A11" t="s">
        <v>67</v>
      </c>
      <c r="C11" s="124"/>
      <c r="D11" s="177"/>
      <c r="E11" s="18">
        <v>0.17399999999999999</v>
      </c>
      <c r="F11" s="180"/>
      <c r="G11" s="18">
        <v>0</v>
      </c>
      <c r="H11" s="138"/>
      <c r="I11" s="141"/>
      <c r="J11" s="116"/>
      <c r="K11" s="116"/>
      <c r="L11" s="138"/>
      <c r="M11" s="141"/>
      <c r="N11" s="207"/>
      <c r="O11" s="113"/>
      <c r="P11" s="113"/>
      <c r="Q11" s="112"/>
      <c r="R11" s="113"/>
      <c r="S11" s="113"/>
      <c r="T11" s="113"/>
      <c r="U11" s="112"/>
      <c r="V11" s="112"/>
      <c r="W11" s="112"/>
      <c r="X11" s="112"/>
      <c r="Y11" s="112"/>
      <c r="Z11" s="111"/>
      <c r="AA11" s="111"/>
      <c r="AB11" s="107"/>
      <c r="AC11" s="91"/>
      <c r="AD11" s="91"/>
      <c r="AE11" s="175"/>
      <c r="AF11" s="140"/>
      <c r="AG11" s="12">
        <v>0.188</v>
      </c>
      <c r="AH11" s="80"/>
      <c r="AI11" s="11"/>
    </row>
    <row r="12" spans="1:35" ht="15.75" thickBot="1">
      <c r="C12" s="124">
        <v>10</v>
      </c>
      <c r="D12" s="177">
        <v>2.76E-2</v>
      </c>
      <c r="E12" s="18">
        <v>0.17399999999999999</v>
      </c>
      <c r="F12" s="180">
        <v>0</v>
      </c>
      <c r="G12" s="18">
        <v>0</v>
      </c>
      <c r="H12" s="138">
        <f>(AVERAGE(E12:E13)/D12)</f>
        <v>6.3405797101449268</v>
      </c>
      <c r="I12" s="141" t="e">
        <f>(AVERAGE(G12:G13)/F12)</f>
        <v>#DIV/0!</v>
      </c>
      <c r="J12" s="115">
        <f t="shared" ref="J12" si="12">V12/$H$173+((H12*$H$174)/$H$173^2)</f>
        <v>2.8141034296516342E-2</v>
      </c>
      <c r="K12" s="115" t="e">
        <f t="shared" ref="K12" si="13">W12/$H$173+I12*$H$174/$H$173^2</f>
        <v>#DIV/0!</v>
      </c>
      <c r="L12" s="138">
        <f>H12/$H$173</f>
        <v>0.87862318840579712</v>
      </c>
      <c r="M12" s="141" t="e">
        <f>I12/$H$173</f>
        <v>#DIV/0!</v>
      </c>
      <c r="N12" s="207">
        <f t="shared" ref="N12" si="14">ASIN($B$9/$B$10*SIN(C12*PI()/180))</f>
        <v>0.11817809643357079</v>
      </c>
      <c r="O12" s="113">
        <f t="shared" ref="O12" si="15">C12*PI()/180</f>
        <v>0.17453292519943295</v>
      </c>
      <c r="P12" s="113">
        <f t="shared" ref="P12" si="16">R12*T12</f>
        <v>0.92673172025668749</v>
      </c>
      <c r="Q12" s="112">
        <f t="shared" ref="Q12" si="17">U12</f>
        <v>3.8103366373717501E-2</v>
      </c>
      <c r="R12" s="113">
        <f t="shared" ref="R12" si="18">($B$10/$B$9)*((2*$B$9/($B$10+$B$9))^2)</f>
        <v>0.96344210787283291</v>
      </c>
      <c r="S12" s="113">
        <f t="shared" ref="S12" si="19">($B$9/$B$10)*((2*$B$10/($B$10+$B$9))^2)</f>
        <v>0.96344210787283313</v>
      </c>
      <c r="T12" s="113">
        <f t="shared" ref="T12" si="20">(($B$10*COS(N12))/($B$9*COS(O12)))*(((2*$B$9*COS(O12))^2)/(($B$9*COS(O12)+$B$10*COS(N12))^2))</f>
        <v>0.9618966336262823</v>
      </c>
      <c r="U12" s="112">
        <f t="shared" ref="U12" si="21">(($B$9*COS(O12)-$B$10*COS(N12))^2)/(($B$9*COS(O12)+$B$10*COS(N12))^2)</f>
        <v>3.8103366373717501E-2</v>
      </c>
      <c r="V12" s="112">
        <f t="shared" ref="V12" si="22">1/(2*D12)*($B$15+$B$15)+(E12+E13)/(2*D12^2)*$B$16</f>
        <v>0.15109745851711825</v>
      </c>
      <c r="W12" s="112" t="e">
        <f t="shared" ref="W12" si="23">(1/(2*F12))*($B$15+$B$15)+(G12+G13)/(2*F12^2)*$B$16</f>
        <v>#DIV/0!</v>
      </c>
      <c r="X12" s="112"/>
      <c r="Y12" s="112"/>
      <c r="Z12" s="111"/>
      <c r="AA12" s="111" t="e">
        <f t="shared" ref="AA12" si="24">(1/$Y$8)*V12+(1/$Y$8)*W12+(X12)/($Y$8^2)*(1/(2*$H$170)*($B$17+$B$17)+ABS($G$170+$G$171)/(2*$H$170^2)*$B$18)</f>
        <v>#DIV/0!</v>
      </c>
      <c r="AB12" s="107" t="e">
        <f t="shared" ref="AB12" si="25">AA12+Z12</f>
        <v>#DIV/0!</v>
      </c>
      <c r="AC12" s="91"/>
      <c r="AD12" s="91"/>
      <c r="AE12" s="175">
        <v>10</v>
      </c>
      <c r="AF12" s="140">
        <v>3.1E-2</v>
      </c>
      <c r="AG12" s="3">
        <v>0.23400000000000001</v>
      </c>
      <c r="AH12" s="80"/>
      <c r="AI12" s="11"/>
    </row>
    <row r="13" spans="1:35" ht="15.75" thickBot="1">
      <c r="C13" s="124"/>
      <c r="D13" s="177"/>
      <c r="E13" s="18">
        <v>0.17599999999999999</v>
      </c>
      <c r="F13" s="180"/>
      <c r="G13" s="18">
        <v>0</v>
      </c>
      <c r="H13" s="138"/>
      <c r="I13" s="141"/>
      <c r="J13" s="116"/>
      <c r="K13" s="116"/>
      <c r="L13" s="138"/>
      <c r="M13" s="141"/>
      <c r="N13" s="207"/>
      <c r="O13" s="113"/>
      <c r="P13" s="113"/>
      <c r="Q13" s="112"/>
      <c r="R13" s="113"/>
      <c r="S13" s="113"/>
      <c r="T13" s="113"/>
      <c r="U13" s="112"/>
      <c r="V13" s="112"/>
      <c r="W13" s="112"/>
      <c r="X13" s="112"/>
      <c r="Y13" s="112"/>
      <c r="Z13" s="111"/>
      <c r="AA13" s="111"/>
      <c r="AB13" s="107"/>
      <c r="AC13" s="91"/>
      <c r="AD13" s="91"/>
      <c r="AE13" s="175"/>
      <c r="AF13" s="140"/>
      <c r="AG13" s="3">
        <v>0.20599999999999999</v>
      </c>
      <c r="AH13" s="80"/>
      <c r="AI13" s="11"/>
    </row>
    <row r="14" spans="1:35" ht="15.75" thickBot="1">
      <c r="A14" s="138" t="s">
        <v>88</v>
      </c>
      <c r="B14" s="138"/>
      <c r="C14" s="187">
        <v>15</v>
      </c>
      <c r="D14" s="177">
        <v>2.8799999999999999E-2</v>
      </c>
      <c r="E14" s="56">
        <v>0.17</v>
      </c>
      <c r="F14" s="180">
        <v>0</v>
      </c>
      <c r="G14" s="57">
        <v>0</v>
      </c>
      <c r="H14" s="138">
        <f>(AVERAGE(E14:E15)/D14)</f>
        <v>5.8506944444444446</v>
      </c>
      <c r="I14" s="141" t="e">
        <f>(AVERAGE(G14:G15)/F14)</f>
        <v>#DIV/0!</v>
      </c>
      <c r="J14" s="115">
        <f t="shared" ref="J14" si="26">V14/$H$173+((H14*$H$174)/$H$173^2)</f>
        <v>2.5533546607300332E-2</v>
      </c>
      <c r="K14" s="115" t="e">
        <f>W14/$H$173+((I14*$H$174)/$H$173^2)</f>
        <v>#DIV/0!</v>
      </c>
      <c r="L14" s="138">
        <f>H14/$H$173</f>
        <v>0.81073908730158739</v>
      </c>
      <c r="M14" s="141" t="e">
        <f>I14/$H$173</f>
        <v>#DIV/0!</v>
      </c>
      <c r="N14" s="207">
        <f t="shared" ref="N14" si="27">ASIN($B$9/$B$10*SIN(C14*PI()/180))</f>
        <v>0.17664960710914493</v>
      </c>
      <c r="O14" s="113">
        <f t="shared" ref="O14" si="28">C14*PI()/180</f>
        <v>0.26179938779914941</v>
      </c>
      <c r="P14" s="113">
        <f t="shared" ref="P14" si="29">R14*T14</f>
        <v>0.92477742684631303</v>
      </c>
      <c r="Q14" s="112">
        <f t="shared" ref="Q14" si="30">U14</f>
        <v>4.0131815612550768E-2</v>
      </c>
      <c r="R14" s="113">
        <f t="shared" ref="R14" si="31">($B$10/$B$9)*((2*$B$9/($B$10+$B$9))^2)</f>
        <v>0.96344210787283291</v>
      </c>
      <c r="S14" s="113">
        <f t="shared" ref="S14" si="32">($B$9/$B$10)*((2*$B$10/($B$10+$B$9))^2)</f>
        <v>0.96344210787283313</v>
      </c>
      <c r="T14" s="113">
        <f t="shared" ref="T14" si="33">(($B$10*COS(N14))/($B$9*COS(O14)))*(((2*$B$9*COS(O14))^2)/(($B$9*COS(O14)+$B$10*COS(N14))^2))</f>
        <v>0.95986818438744914</v>
      </c>
      <c r="U14" s="112">
        <f t="shared" ref="U14" si="34">(($B$9*COS(O14)-$B$10*COS(N14))^2)/(($B$9*COS(O14)+$B$10*COS(N14))^2)</f>
        <v>4.0131815612550768E-2</v>
      </c>
      <c r="V14" s="112">
        <f t="shared" ref="V14" si="35">1/(2*D14)*($B$15+$B$15)+(E14+E15)/(2*D14^2)*$B$16</f>
        <v>0.13629677854938271</v>
      </c>
      <c r="W14" s="112" t="e">
        <f t="shared" ref="W14" si="36">(1/(2*F14))*($B$15+$B$15)+(G14+G15)/(2*F14^2)*$B$16</f>
        <v>#DIV/0!</v>
      </c>
      <c r="X14" s="113" t="e">
        <f>H14/R8+I14</f>
        <v>#DIV/0!</v>
      </c>
      <c r="Y14" s="112"/>
      <c r="Z14" s="111" t="e">
        <f>X14/$Y$8</f>
        <v>#DIV/0!</v>
      </c>
      <c r="AA14" s="111" t="e">
        <f>(1/$Y$8)*V14+(1/$Y$8)*W14+(X14)/($Y$8^2)*(1/(2*$H$170)*($B$17+$B$17)+ABS($G$170+$G$171)/(2*$H$170^2)*$B$18)</f>
        <v>#DIV/0!</v>
      </c>
      <c r="AB14" s="107" t="e">
        <f>AA14+Z14</f>
        <v>#DIV/0!</v>
      </c>
      <c r="AC14" s="91"/>
      <c r="AD14" s="91"/>
      <c r="AE14" s="175">
        <v>15</v>
      </c>
      <c r="AF14" s="140">
        <v>2.7E-2</v>
      </c>
      <c r="AG14" s="3">
        <v>0.186</v>
      </c>
      <c r="AH14" s="80"/>
      <c r="AI14" s="11"/>
    </row>
    <row r="15" spans="1:35" ht="15.75" thickBot="1">
      <c r="A15" s="26" t="s">
        <v>91</v>
      </c>
      <c r="B15" s="26">
        <v>1E-3</v>
      </c>
      <c r="C15" s="187"/>
      <c r="D15" s="177"/>
      <c r="E15" s="56">
        <v>0.16700000000000001</v>
      </c>
      <c r="F15" s="180"/>
      <c r="G15" s="57">
        <v>0</v>
      </c>
      <c r="H15" s="138"/>
      <c r="I15" s="141"/>
      <c r="J15" s="116"/>
      <c r="K15" s="116"/>
      <c r="L15" s="138"/>
      <c r="M15" s="141"/>
      <c r="N15" s="207"/>
      <c r="O15" s="113"/>
      <c r="P15" s="113"/>
      <c r="Q15" s="112"/>
      <c r="R15" s="113"/>
      <c r="S15" s="113"/>
      <c r="T15" s="113"/>
      <c r="U15" s="112"/>
      <c r="V15" s="112"/>
      <c r="W15" s="112"/>
      <c r="X15" s="113"/>
      <c r="Y15" s="112"/>
      <c r="Z15" s="111"/>
      <c r="AA15" s="111"/>
      <c r="AB15" s="107"/>
      <c r="AC15" s="91"/>
      <c r="AD15" s="91"/>
      <c r="AE15" s="175"/>
      <c r="AF15" s="140"/>
      <c r="AG15" s="3">
        <v>0.188</v>
      </c>
      <c r="AH15" s="80"/>
      <c r="AI15" s="11"/>
    </row>
    <row r="16" spans="1:35" ht="15.75" thickBot="1">
      <c r="A16" s="26" t="s">
        <v>90</v>
      </c>
      <c r="B16" s="26">
        <v>5.0000000000000001E-4</v>
      </c>
      <c r="C16" s="187">
        <v>25</v>
      </c>
      <c r="D16" s="177">
        <v>3.0200000000000001E-2</v>
      </c>
      <c r="E16" s="56">
        <v>0.17299999999999999</v>
      </c>
      <c r="F16" s="180">
        <v>2.8799999999999999E-2</v>
      </c>
      <c r="G16" s="57">
        <v>9.1599999999999997E-3</v>
      </c>
      <c r="H16" s="138">
        <f>(AVERAGE(E16:E17)/D16)</f>
        <v>5.6953642384105949</v>
      </c>
      <c r="I16" s="141">
        <f>(AVERAGE(G16:G17)/F16)</f>
        <v>0.31736111111111109</v>
      </c>
      <c r="J16" s="115">
        <f t="shared" ref="J16" si="37">V16/$H$173+((H16*$H$174)/$H$173^2)</f>
        <v>2.4125171142093959E-2</v>
      </c>
      <c r="K16" s="115">
        <f>W16/$H$173+((I16*$H$174)/$H$173^2)</f>
        <v>5.9355401825081887E-3</v>
      </c>
      <c r="L16" s="138">
        <f>H16/$H$173</f>
        <v>0.78921475875118252</v>
      </c>
      <c r="M16" s="141">
        <f>I16/$H$173</f>
        <v>4.3977182539682545E-2</v>
      </c>
      <c r="N16" s="207">
        <f t="shared" ref="N16" si="38">ASIN($B$9/$B$10*SIN(C16*PI()/180))</f>
        <v>0.29103963764956881</v>
      </c>
      <c r="O16" s="113">
        <f t="shared" ref="O16" si="39">C16*PI()/180</f>
        <v>0.43633231299858238</v>
      </c>
      <c r="P16" s="113">
        <f t="shared" ref="P16" si="40">R16*T16</f>
        <v>0.91776164078596545</v>
      </c>
      <c r="Q16" s="112">
        <f t="shared" ref="Q16" si="41">U16</f>
        <v>4.7413816267305099E-2</v>
      </c>
      <c r="R16" s="113">
        <f t="shared" ref="R16" si="42">($B$10/$B$9)*((2*$B$9/($B$10+$B$9))^2)</f>
        <v>0.96344210787283291</v>
      </c>
      <c r="S16" s="113">
        <f t="shared" ref="S16" si="43">($B$9/$B$10)*((2*$B$10/($B$10+$B$9))^2)</f>
        <v>0.96344210787283313</v>
      </c>
      <c r="T16" s="113">
        <f t="shared" ref="T16" si="44">(($B$10*COS(N16))/($B$9*COS(O16)))*(((2*$B$9*COS(O16))^2)/(($B$9*COS(O16)+$B$10*COS(N16))^2))</f>
        <v>0.9525861837326951</v>
      </c>
      <c r="U16" s="112">
        <f t="shared" ref="U16" si="45">(($B$9*COS(O16)-$B$10*COS(N16))^2)/(($B$9*COS(O16)+$B$10*COS(N16))^2)</f>
        <v>4.7413816267305099E-2</v>
      </c>
      <c r="V16" s="112">
        <f t="shared" ref="V16" si="46">1/(2*D16)*($B$15+$B$15)+(E16+E17)/(2*D16^2)*$B$16</f>
        <v>0.12740669268891713</v>
      </c>
      <c r="W16" s="112">
        <f t="shared" ref="W16" si="47">(1/(2*F16))*($B$15+$B$15)+(G16+G17)/(2*F16^2)*$B$16</f>
        <v>4.0231963734567902E-2</v>
      </c>
      <c r="X16" s="113">
        <f t="shared" ref="X16" si="48">H16/R10+I16</f>
        <v>6.2288364264108447</v>
      </c>
      <c r="Y16" s="112"/>
      <c r="Z16" s="111">
        <f t="shared" ref="Z16" si="49">X16/$Y$8</f>
        <v>0.86313876194550287</v>
      </c>
      <c r="AA16" s="111">
        <f t="shared" ref="AA16" si="50">(1/$Y$8)*V16+(1/$Y$8)*W16+(X16)/($Y$8^2)*(1/(2*$H$170)*($B$17+$B$17)+ABS($G$170+$G$171)/(2*$H$170^2)*$B$18)</f>
        <v>5.86114139278874E-2</v>
      </c>
      <c r="AB16" s="107">
        <f t="shared" ref="AB16" si="51">AA16+Z16</f>
        <v>0.92175017587339025</v>
      </c>
      <c r="AC16" s="91"/>
      <c r="AD16" s="91"/>
      <c r="AE16" s="175">
        <v>20</v>
      </c>
      <c r="AF16" s="140">
        <v>3.4000000000000002E-2</v>
      </c>
      <c r="AG16" s="3">
        <v>0.218</v>
      </c>
      <c r="AH16" s="80">
        <v>2.8400000000000002E-2</v>
      </c>
      <c r="AI16" s="11">
        <v>8.5000000000000006E-3</v>
      </c>
    </row>
    <row r="17" spans="1:36" ht="15.75" thickBot="1">
      <c r="A17" s="26" t="s">
        <v>89</v>
      </c>
      <c r="B17" s="26">
        <v>5.0000000000000001E-3</v>
      </c>
      <c r="C17" s="187"/>
      <c r="D17" s="177"/>
      <c r="E17" s="56">
        <v>0.17100000000000001</v>
      </c>
      <c r="F17" s="180"/>
      <c r="G17" s="57">
        <v>9.1199999999999996E-3</v>
      </c>
      <c r="H17" s="138"/>
      <c r="I17" s="141"/>
      <c r="J17" s="116"/>
      <c r="K17" s="116"/>
      <c r="L17" s="138"/>
      <c r="M17" s="141"/>
      <c r="N17" s="207"/>
      <c r="O17" s="113"/>
      <c r="P17" s="113"/>
      <c r="Q17" s="112"/>
      <c r="R17" s="113"/>
      <c r="S17" s="113"/>
      <c r="T17" s="113"/>
      <c r="U17" s="112"/>
      <c r="V17" s="112"/>
      <c r="W17" s="112"/>
      <c r="X17" s="113"/>
      <c r="Y17" s="112"/>
      <c r="Z17" s="111"/>
      <c r="AA17" s="111"/>
      <c r="AB17" s="107"/>
      <c r="AC17" s="91"/>
      <c r="AD17" s="91"/>
      <c r="AE17" s="175"/>
      <c r="AF17" s="140"/>
      <c r="AG17" s="3">
        <v>0.20399999999999999</v>
      </c>
      <c r="AH17" s="80"/>
      <c r="AI17" s="11">
        <v>8.3999999999999995E-3</v>
      </c>
    </row>
    <row r="18" spans="1:36" ht="15.75" thickBot="1">
      <c r="A18" s="99" t="s">
        <v>92</v>
      </c>
      <c r="B18" s="99">
        <v>5.0000000000000001E-4</v>
      </c>
      <c r="C18" s="187">
        <v>30</v>
      </c>
      <c r="D18" s="177">
        <v>2.9399999999999999E-2</v>
      </c>
      <c r="E18" s="56">
        <v>0.17199999999999999</v>
      </c>
      <c r="F18" s="180">
        <v>2.9399999999999999E-2</v>
      </c>
      <c r="G18" s="57">
        <v>1.004E-2</v>
      </c>
      <c r="H18" s="138">
        <f>(AVERAGE(E18:E19)/D18)</f>
        <v>5.833333333333333</v>
      </c>
      <c r="I18" s="141">
        <f>(AVERAGE(G18:G19)/F18)</f>
        <v>0.34132653061224494</v>
      </c>
      <c r="J18" s="115">
        <f t="shared" ref="J18" si="52">V18/$H$173+((H18*$H$174)/$H$173^2)</f>
        <v>2.5087463556851312E-2</v>
      </c>
      <c r="K18" s="115">
        <f>W18/$H$173+I18*$H$174/$H$173^2</f>
        <v>5.9054689514289691E-3</v>
      </c>
      <c r="L18" s="138">
        <f>H18/$H$173</f>
        <v>0.80833333333333335</v>
      </c>
      <c r="M18" s="141">
        <f>I18/$H$173</f>
        <v>4.7298104956268232E-2</v>
      </c>
      <c r="N18" s="207">
        <f t="shared" ref="N18" si="53">ASIN($B$9/$B$10*SIN(C18*PI()/180))</f>
        <v>0.3463733215148535</v>
      </c>
      <c r="O18" s="113">
        <f t="shared" ref="O18" si="54">C18*PI()/180</f>
        <v>0.52359877559829882</v>
      </c>
      <c r="P18" s="113">
        <f t="shared" ref="P18" si="55">R18*T18</f>
        <v>0.91218123535914764</v>
      </c>
      <c r="Q18" s="112">
        <f t="shared" ref="Q18" si="56">U18</f>
        <v>5.3205970649200046E-2</v>
      </c>
      <c r="R18" s="113">
        <f t="shared" ref="R18" si="57">($B$10/$B$9)*((2*$B$9/($B$10+$B$9))^2)</f>
        <v>0.96344210787283291</v>
      </c>
      <c r="S18" s="113">
        <f t="shared" ref="S18" si="58">($B$9/$B$10)*((2*$B$10/($B$10+$B$9))^2)</f>
        <v>0.96344210787283313</v>
      </c>
      <c r="T18" s="113">
        <f t="shared" ref="T18" si="59">(($B$10*COS(N18))/($B$9*COS(O18)))*(((2*$B$9*COS(O18))^2)/(($B$9*COS(O18)+$B$10*COS(N18))^2))</f>
        <v>0.94679402935080004</v>
      </c>
      <c r="U18" s="112">
        <f t="shared" ref="U18" si="60">(($B$9*COS(O18)-$B$10*COS(N18))^2)/(($B$9*COS(O18)+$B$10*COS(N18))^2)</f>
        <v>5.3205970649200046E-2</v>
      </c>
      <c r="V18" s="112">
        <f t="shared" ref="V18" si="61">1/(2*D18)*($B$15+$B$15)+(E18+E19)/(2*D18^2)*$B$16</f>
        <v>0.13321995464852607</v>
      </c>
      <c r="W18" s="112">
        <f t="shared" ref="W18" si="62">(1/(2*F18))*($B$15+$B$15)+(G18+G19)/(2*F18^2)*$B$16</f>
        <v>3.9818478411772877E-2</v>
      </c>
      <c r="X18" s="113">
        <f t="shared" ref="X18" si="63">H18/R12+I18</f>
        <v>6.3960061897903646</v>
      </c>
      <c r="Y18" s="112"/>
      <c r="Z18" s="111">
        <f t="shared" ref="Z18" si="64">X18/$Y$8</f>
        <v>0.88630371487095061</v>
      </c>
      <c r="AA18" s="111">
        <f t="shared" ref="AA18" si="65">(1/$Y$8)*V18+(1/$Y$8)*W18+(X18)/($Y$8^2)*(1/(2*$H$170)*($B$17+$B$17)+ABS($G$170+$G$171)/(2*$H$170^2)*$B$18)</f>
        <v>6.0309238434783981E-2</v>
      </c>
      <c r="AB18" s="107">
        <f t="shared" ref="AB18" si="66">AA18+Z18</f>
        <v>0.94661295330573458</v>
      </c>
      <c r="AC18" s="91"/>
      <c r="AD18" s="91"/>
      <c r="AE18" s="175">
        <v>25</v>
      </c>
      <c r="AF18" s="140">
        <v>2.9000000000000001E-2</v>
      </c>
      <c r="AG18" s="3">
        <v>0.17899999999999999</v>
      </c>
      <c r="AH18" s="80">
        <v>2.9499999999999998E-2</v>
      </c>
      <c r="AI18" s="11">
        <v>9.4000000000000004E-3</v>
      </c>
    </row>
    <row r="19" spans="1:36" ht="15.75" thickBot="1">
      <c r="B19">
        <f>1/D8*($B$15+$B$15)+(E8+E9)/(D8^2)*$B$16</f>
        <v>0.29506444760129813</v>
      </c>
      <c r="C19" s="124"/>
      <c r="D19" s="177"/>
      <c r="E19" s="56">
        <v>0.17100000000000001</v>
      </c>
      <c r="F19" s="180"/>
      <c r="G19" s="57">
        <v>1.0030000000000001E-2</v>
      </c>
      <c r="H19" s="138"/>
      <c r="I19" s="141"/>
      <c r="J19" s="116"/>
      <c r="K19" s="116"/>
      <c r="L19" s="138"/>
      <c r="M19" s="141"/>
      <c r="N19" s="207"/>
      <c r="O19" s="113"/>
      <c r="P19" s="113"/>
      <c r="Q19" s="112"/>
      <c r="R19" s="113"/>
      <c r="S19" s="113"/>
      <c r="T19" s="113"/>
      <c r="U19" s="112"/>
      <c r="V19" s="112"/>
      <c r="W19" s="112"/>
      <c r="X19" s="113"/>
      <c r="Y19" s="112"/>
      <c r="Z19" s="111"/>
      <c r="AA19" s="111"/>
      <c r="AB19" s="107"/>
      <c r="AC19" s="91"/>
      <c r="AD19" s="91"/>
      <c r="AE19" s="175"/>
      <c r="AF19" s="140"/>
      <c r="AG19" s="3">
        <v>0.18099999999999999</v>
      </c>
      <c r="AH19" s="80"/>
      <c r="AI19" s="11">
        <v>9.2999999999999992E-3</v>
      </c>
    </row>
    <row r="20" spans="1:36" ht="15.75" thickBot="1">
      <c r="B20" t="e">
        <f>(1/F8)*($B$15+$B$15)+(G8+G9)/(F8^2)*$B$16</f>
        <v>#DIV/0!</v>
      </c>
      <c r="C20" s="124">
        <v>35</v>
      </c>
      <c r="D20" s="177">
        <v>3.2399999999999998E-2</v>
      </c>
      <c r="E20" s="56">
        <v>0.17799999999999999</v>
      </c>
      <c r="F20" s="180">
        <v>2.9100000000000001E-2</v>
      </c>
      <c r="G20" s="57">
        <v>1.223E-2</v>
      </c>
      <c r="H20" s="138">
        <f>(AVERAGE(E20:E21)/D20)</f>
        <v>5.4629629629629628</v>
      </c>
      <c r="I20" s="141">
        <f>(AVERAGE(G20:G21)/F20)</f>
        <v>0.41958762886597933</v>
      </c>
      <c r="J20" s="115">
        <f t="shared" ref="J20" si="67">V20/$H$173+((H20*$H$174)/$H$173^2)</f>
        <v>2.2165381241659905E-2</v>
      </c>
      <c r="K20" s="115">
        <f t="shared" ref="K20" si="68">W20/$H$173+I20*$H$174/$H$173^2</f>
        <v>6.2375973069640238E-3</v>
      </c>
      <c r="L20" s="138">
        <f>H20/$H$173</f>
        <v>0.75701058201058202</v>
      </c>
      <c r="M20" s="141">
        <f>I20/$H$173</f>
        <v>5.8142857142857142E-2</v>
      </c>
      <c r="N20" s="207">
        <f t="shared" ref="N20" si="69">ASIN($B$9/$B$10*SIN(C20*PI()/180))</f>
        <v>0.40002948860327259</v>
      </c>
      <c r="O20" s="113">
        <f t="shared" ref="O20" si="70">C20*PI()/180</f>
        <v>0.6108652381980153</v>
      </c>
      <c r="P20" s="113">
        <f t="shared" ref="P20" si="71">R20*T20</f>
        <v>0.90466779670539488</v>
      </c>
      <c r="Q20" s="112">
        <f t="shared" ref="Q20" si="72">U20</f>
        <v>6.1004507367032959E-2</v>
      </c>
      <c r="R20" s="113">
        <f t="shared" ref="R20" si="73">($B$10/$B$9)*((2*$B$9/($B$10+$B$9))^2)</f>
        <v>0.96344210787283291</v>
      </c>
      <c r="S20" s="113">
        <f t="shared" ref="S20" si="74">($B$9/$B$10)*((2*$B$10/($B$10+$B$9))^2)</f>
        <v>0.96344210787283313</v>
      </c>
      <c r="T20" s="113">
        <f t="shared" ref="T20" si="75">(($B$10*COS(N20))/($B$9*COS(O20)))*(((2*$B$9*COS(O20))^2)/(($B$9*COS(O20)+$B$10*COS(N20))^2))</f>
        <v>0.938995492632967</v>
      </c>
      <c r="U20" s="112">
        <f t="shared" ref="U20" si="76">(($B$9*COS(O20)-$B$10*COS(N20))^2)/(($B$9*COS(O20)+$B$10*COS(N20))^2)</f>
        <v>6.1004507367032959E-2</v>
      </c>
      <c r="V20" s="112">
        <f t="shared" ref="V20" si="77">1/(2*D20)*($B$15+$B$15)+(E20+E21)/(2*D20^2)*$B$16</f>
        <v>0.11516918152720623</v>
      </c>
      <c r="W20" s="112">
        <f t="shared" ref="W20" si="78">(1/(2*F20))*($B$15+$B$15)+(G20+G21)/(2*F20^2)*$B$16</f>
        <v>4.1573670599071813E-2</v>
      </c>
      <c r="X20" s="113">
        <f t="shared" ref="X20" si="79">H20/R14+I20</f>
        <v>6.0898431826994566</v>
      </c>
      <c r="Y20" s="112"/>
      <c r="Z20" s="111">
        <f t="shared" ref="Z20" si="80">X20/$Y$8</f>
        <v>0.84387826960263912</v>
      </c>
      <c r="AA20" s="111">
        <f t="shared" ref="AA20" si="81">(1/$Y$8)*V20+(1/$Y$8)*W20+(X20)/($Y$8^2)*(1/(2*$H$170)*($B$17+$B$17)+ABS($G$170+$G$171)/(2*$H$170^2)*$B$18)</f>
        <v>5.6312047315417224E-2</v>
      </c>
      <c r="AB20" s="107">
        <f t="shared" ref="AB20" si="82">AA20+Z20</f>
        <v>0.90019031691805629</v>
      </c>
      <c r="AC20" s="91"/>
      <c r="AD20" s="91"/>
      <c r="AE20" s="175">
        <v>30</v>
      </c>
      <c r="AF20" s="140">
        <v>3.73E-2</v>
      </c>
      <c r="AG20" s="3">
        <v>0.23200000000000001</v>
      </c>
      <c r="AH20" s="80">
        <v>0.03</v>
      </c>
      <c r="AI20" s="11">
        <v>1.12E-2</v>
      </c>
    </row>
    <row r="21" spans="1:36" ht="15.75" thickBot="1">
      <c r="B21">
        <f>1/$H$170*($B$17+$B$17)+ABS($G$170+$G$171)/($H$170^2)*$B$18</f>
        <v>0.59163212527013143</v>
      </c>
      <c r="C21" s="124"/>
      <c r="D21" s="177"/>
      <c r="E21" s="56">
        <v>0.17599999999999999</v>
      </c>
      <c r="F21" s="180"/>
      <c r="G21" s="57">
        <v>1.2189999999999999E-2</v>
      </c>
      <c r="H21" s="138"/>
      <c r="I21" s="141"/>
      <c r="J21" s="116"/>
      <c r="K21" s="116"/>
      <c r="L21" s="138"/>
      <c r="M21" s="141"/>
      <c r="N21" s="207"/>
      <c r="O21" s="113"/>
      <c r="P21" s="113"/>
      <c r="Q21" s="112"/>
      <c r="R21" s="113"/>
      <c r="S21" s="113"/>
      <c r="T21" s="113"/>
      <c r="U21" s="112"/>
      <c r="V21" s="112"/>
      <c r="W21" s="112"/>
      <c r="X21" s="113"/>
      <c r="Y21" s="112"/>
      <c r="Z21" s="111"/>
      <c r="AA21" s="111"/>
      <c r="AB21" s="107"/>
      <c r="AC21" s="91"/>
      <c r="AD21" s="91"/>
      <c r="AE21" s="175"/>
      <c r="AF21" s="140"/>
      <c r="AG21" s="3">
        <v>0.216</v>
      </c>
      <c r="AH21" s="80"/>
      <c r="AI21" s="11">
        <v>1.0699999999999999E-2</v>
      </c>
    </row>
    <row r="22" spans="1:36" ht="15.75" thickBot="1">
      <c r="C22" s="124">
        <v>40</v>
      </c>
      <c r="D22" s="177">
        <v>2.9499999999999998E-2</v>
      </c>
      <c r="E22" s="56">
        <v>0.16500000000000001</v>
      </c>
      <c r="F22" s="180">
        <v>2.93E-2</v>
      </c>
      <c r="G22" s="57">
        <v>1.4200000000000001E-2</v>
      </c>
      <c r="H22" s="138">
        <f>(AVERAGE(E22:E23)/D22)</f>
        <v>5.5762711864406782</v>
      </c>
      <c r="I22" s="141">
        <f>(AVERAGE(G22:G23)/F22)</f>
        <v>0.48464163822525602</v>
      </c>
      <c r="J22" s="115">
        <f t="shared" ref="J22" si="83">V22/$H$173+((H22*$H$174)/$H$173^2)</f>
        <v>2.4129095361212573E-2</v>
      </c>
      <c r="K22" s="115">
        <f t="shared" ref="K22" si="84">W22/$H$173+I22*$H$174/$H$173^2</f>
        <v>6.4260117214191073E-3</v>
      </c>
      <c r="L22" s="138">
        <f>H22/$H$173</f>
        <v>0.77271186440677975</v>
      </c>
      <c r="M22" s="141">
        <f>I22/$H$173</f>
        <v>6.7157484154071204E-2</v>
      </c>
      <c r="N22" s="207">
        <f t="shared" ref="N22" si="85">ASIN($B$9/$B$10*SIN(C22*PI()/180))</f>
        <v>0.45163627846440357</v>
      </c>
      <c r="O22" s="113">
        <f t="shared" ref="O22" si="86">C22*PI()/180</f>
        <v>0.69813170079773179</v>
      </c>
      <c r="P22" s="113">
        <f t="shared" ref="P22" si="87">R22*T22</f>
        <v>0.89457643163723355</v>
      </c>
      <c r="Q22" s="112">
        <f t="shared" ref="Q22" si="88">U22</f>
        <v>7.1478790134725037E-2</v>
      </c>
      <c r="R22" s="113">
        <f t="shared" ref="R22" si="89">($B$10/$B$9)*((2*$B$9/($B$10+$B$9))^2)</f>
        <v>0.96344210787283291</v>
      </c>
      <c r="S22" s="113">
        <f t="shared" ref="S22" si="90">($B$9/$B$10)*((2*$B$10/($B$10+$B$9))^2)</f>
        <v>0.96344210787283313</v>
      </c>
      <c r="T22" s="113">
        <f t="shared" ref="T22" si="91">(($B$10*COS(N22))/($B$9*COS(O22)))*(((2*$B$9*COS(O22))^2)/(($B$9*COS(O22)+$B$10*COS(N22))^2))</f>
        <v>0.92852120986527498</v>
      </c>
      <c r="U22" s="112">
        <f t="shared" ref="U22" si="92">(($B$9*COS(O22)-$B$10*COS(N22))^2)/(($B$9*COS(O22)+$B$10*COS(N22))^2)</f>
        <v>7.1478790134725037E-2</v>
      </c>
      <c r="V22" s="112">
        <f t="shared" ref="V22" si="93">1/(2*D22)*($B$15+$B$15)+(E22+E23)/(2*D22^2)*$B$16</f>
        <v>0.12841137604136743</v>
      </c>
      <c r="W22" s="112">
        <f t="shared" ref="W22" si="94">(1/(2*F22))*($B$15+$B$15)+(G22+G23)/(2*F22^2)*$B$16</f>
        <v>4.2400027956062389E-2</v>
      </c>
      <c r="X22" s="113">
        <f t="shared" ref="X22" si="95">H22/R16+I22</f>
        <v>6.2725049056429842</v>
      </c>
      <c r="Y22" s="112"/>
      <c r="Z22" s="111">
        <f t="shared" ref="Z22" si="96">X22/$Y$8</f>
        <v>0.86918996549624217</v>
      </c>
      <c r="AA22" s="111">
        <f t="shared" ref="AA22" si="97">(1/$Y$8)*V22+(1/$Y$8)*W22+(X22)/($Y$8^2)*(1/(2*$H$170)*($B$17+$B$17)+ABS($G$170+$G$171)/(2*$H$170^2)*$B$18)</f>
        <v>5.9299114936323394E-2</v>
      </c>
      <c r="AB22" s="107">
        <f t="shared" ref="AB22" si="98">AA22+Z22</f>
        <v>0.92848908043256562</v>
      </c>
      <c r="AC22" s="91"/>
      <c r="AD22" s="91"/>
      <c r="AE22" s="175">
        <v>35</v>
      </c>
      <c r="AF22" s="140">
        <v>2.9100000000000001E-2</v>
      </c>
      <c r="AG22" s="3">
        <v>0.17199999999999999</v>
      </c>
      <c r="AH22" s="80">
        <v>2.9000000000000001E-2</v>
      </c>
      <c r="AI22" s="11">
        <v>1.23E-2</v>
      </c>
      <c r="AJ22" s="121" t="s">
        <v>71</v>
      </c>
    </row>
    <row r="23" spans="1:36" ht="15.75" thickBot="1">
      <c r="C23" s="124"/>
      <c r="D23" s="177"/>
      <c r="E23" s="56">
        <v>0.16400000000000001</v>
      </c>
      <c r="F23" s="180"/>
      <c r="G23" s="57">
        <v>1.4200000000000001E-2</v>
      </c>
      <c r="H23" s="138"/>
      <c r="I23" s="141"/>
      <c r="J23" s="116"/>
      <c r="K23" s="116"/>
      <c r="L23" s="138"/>
      <c r="M23" s="141"/>
      <c r="N23" s="207"/>
      <c r="O23" s="113"/>
      <c r="P23" s="113"/>
      <c r="Q23" s="112"/>
      <c r="R23" s="113"/>
      <c r="S23" s="113"/>
      <c r="T23" s="113"/>
      <c r="U23" s="112"/>
      <c r="V23" s="112"/>
      <c r="W23" s="112"/>
      <c r="X23" s="113"/>
      <c r="Y23" s="112"/>
      <c r="Z23" s="111"/>
      <c r="AA23" s="111"/>
      <c r="AB23" s="107"/>
      <c r="AC23" s="91"/>
      <c r="AD23" s="91"/>
      <c r="AE23" s="175"/>
      <c r="AF23" s="140"/>
      <c r="AG23" s="3">
        <v>0.17299999999999999</v>
      </c>
      <c r="AH23" s="80"/>
      <c r="AI23" s="11">
        <v>1.23E-2</v>
      </c>
      <c r="AJ23" s="121"/>
    </row>
    <row r="24" spans="1:36" ht="15.75" thickBot="1">
      <c r="C24" s="124">
        <v>45</v>
      </c>
      <c r="D24" s="177">
        <v>3.4700000000000002E-2</v>
      </c>
      <c r="E24" s="56">
        <v>0.19800000000000001</v>
      </c>
      <c r="F24" s="180">
        <v>2.9600000000000001E-2</v>
      </c>
      <c r="G24" s="57">
        <v>1.77E-2</v>
      </c>
      <c r="H24" s="138">
        <f>(AVERAGE(E24:E25)/D24)</f>
        <v>5.6916426512968297</v>
      </c>
      <c r="I24" s="141">
        <f>(AVERAGE(G24:G25)/F24)</f>
        <v>0.59324324324324318</v>
      </c>
      <c r="J24" s="115">
        <f t="shared" ref="J24" si="99">V24/$H$173+((H24*$H$174)/$H$173^2)</f>
        <v>2.1823968398411699E-2</v>
      </c>
      <c r="K24" s="115">
        <f t="shared" ref="K24" si="100">W24/$H$173+I24*$H$174/$H$173^2</f>
        <v>6.7440481780732748E-3</v>
      </c>
      <c r="L24" s="138">
        <f>H24/$H$173</f>
        <v>0.78869905310827504</v>
      </c>
      <c r="M24" s="141">
        <f>I24/$H$173</f>
        <v>8.2206563706563707E-2</v>
      </c>
      <c r="N24" s="207">
        <f t="shared" ref="N24" si="101">ASIN($B$9/$B$10*SIN(C24*PI()/180))</f>
        <v>0.50077965510221556</v>
      </c>
      <c r="O24" s="113">
        <f t="shared" ref="O24" si="102">C24*PI()/180</f>
        <v>0.78539816339744828</v>
      </c>
      <c r="P24" s="113">
        <f t="shared" ref="P24" si="103">R24*T24</f>
        <v>0.88097899760497145</v>
      </c>
      <c r="Q24" s="112">
        <f t="shared" ref="Q24" si="104">U24</f>
        <v>8.5592179949379968E-2</v>
      </c>
      <c r="R24" s="113">
        <f t="shared" ref="R24" si="105">($B$10/$B$9)*((2*$B$9/($B$10+$B$9))^2)</f>
        <v>0.96344210787283291</v>
      </c>
      <c r="S24" s="113">
        <f t="shared" ref="S24" si="106">($B$9/$B$10)*((2*$B$10/($B$10+$B$9))^2)</f>
        <v>0.96344210787283313</v>
      </c>
      <c r="T24" s="113">
        <f t="shared" ref="T24" si="107">(($B$10*COS(N24))/($B$9*COS(O24)))*(((2*$B$9*COS(O24))^2)/(($B$9*COS(O24)+$B$10*COS(N24))^2))</f>
        <v>0.91440782005062005</v>
      </c>
      <c r="U24" s="112">
        <f t="shared" ref="U24" si="108">(($B$9*COS(O24)-$B$10*COS(N24))^2)/(($B$9*COS(O24)+$B$10*COS(N24))^2)</f>
        <v>8.5592179949379968E-2</v>
      </c>
      <c r="V24" s="112">
        <f t="shared" ref="V24" si="109">1/(2*D24)*($B$15+$B$15)+(E24+E25)/(2*D24^2)*$B$16</f>
        <v>0.11083058575355664</v>
      </c>
      <c r="W24" s="112">
        <f t="shared" ref="W24" si="110">(1/(2*F24))*($B$15+$B$15)+(G24+G25)/(2*F24^2)*$B$16</f>
        <v>4.3804784514243973E-2</v>
      </c>
      <c r="X24" s="113">
        <f t="shared" ref="X24" si="111">H24/R18+I24</f>
        <v>6.5008557554919646</v>
      </c>
      <c r="Y24" s="112"/>
      <c r="Z24" s="111">
        <f t="shared" ref="Z24" si="112">X24/$Y$8</f>
        <v>0.90083286897531523</v>
      </c>
      <c r="AA24" s="111">
        <f t="shared" ref="AA24" si="113">(1/$Y$8)*V24+(1/$Y$8)*W24+(X24)/($Y$8^2)*(1/(2*$H$170)*($B$17+$B$17)+ABS($G$170+$G$171)/(2*$H$170^2)*$B$18)</f>
        <v>5.8354673797216948E-2</v>
      </c>
      <c r="AB24" s="107">
        <f t="shared" ref="AB24" si="114">AA24+Z24</f>
        <v>0.95918754277253215</v>
      </c>
      <c r="AC24" s="91"/>
      <c r="AD24" s="91"/>
      <c r="AE24" s="175">
        <v>40</v>
      </c>
      <c r="AF24" s="140">
        <v>3.6999999999999998E-2</v>
      </c>
      <c r="AG24" s="3">
        <v>0.22700000000000001</v>
      </c>
      <c r="AH24" s="80">
        <v>0.03</v>
      </c>
      <c r="AI24" s="11">
        <v>1.6E-2</v>
      </c>
      <c r="AJ24" s="121" t="s">
        <v>72</v>
      </c>
    </row>
    <row r="25" spans="1:36" ht="15.75" thickBot="1">
      <c r="C25" s="124"/>
      <c r="D25" s="177"/>
      <c r="E25" s="56">
        <v>0.19700000000000001</v>
      </c>
      <c r="F25" s="180"/>
      <c r="G25" s="57">
        <v>1.7420000000000001E-2</v>
      </c>
      <c r="H25" s="138"/>
      <c r="I25" s="141"/>
      <c r="J25" s="116"/>
      <c r="K25" s="116"/>
      <c r="L25" s="138"/>
      <c r="M25" s="141"/>
      <c r="N25" s="207"/>
      <c r="O25" s="113"/>
      <c r="P25" s="113"/>
      <c r="Q25" s="112"/>
      <c r="R25" s="113"/>
      <c r="S25" s="113"/>
      <c r="T25" s="113"/>
      <c r="U25" s="112"/>
      <c r="V25" s="112"/>
      <c r="W25" s="112"/>
      <c r="X25" s="113"/>
      <c r="Y25" s="112"/>
      <c r="Z25" s="111"/>
      <c r="AA25" s="111"/>
      <c r="AB25" s="107"/>
      <c r="AC25" s="91"/>
      <c r="AD25" s="91"/>
      <c r="AE25" s="175"/>
      <c r="AF25" s="140"/>
      <c r="AG25" s="3">
        <v>0.218</v>
      </c>
      <c r="AH25" s="80"/>
      <c r="AI25" s="11">
        <v>1.4999999999999999E-2</v>
      </c>
      <c r="AJ25" s="121"/>
    </row>
    <row r="26" spans="1:36" ht="15.75" thickBot="1">
      <c r="C26" s="124">
        <v>50</v>
      </c>
      <c r="D26" s="177">
        <v>2.92E-2</v>
      </c>
      <c r="E26" s="56">
        <v>0.153</v>
      </c>
      <c r="F26" s="180">
        <v>3.8100000000000002E-2</v>
      </c>
      <c r="G26" s="57">
        <v>2.708E-2</v>
      </c>
      <c r="H26" s="138">
        <f>(AVERAGE(E26:E27)/D26)</f>
        <v>5.2226027397260273</v>
      </c>
      <c r="I26" s="141">
        <f>(AVERAGE(G26:G27)/F26)</f>
        <v>0.73779527559055114</v>
      </c>
      <c r="J26" s="115">
        <f t="shared" ref="J26" si="115">V26/$H$173+((H26*$H$174)/$H$173^2)</f>
        <v>2.3070941409027493E-2</v>
      </c>
      <c r="K26" s="115">
        <f t="shared" ref="K26" si="116">W26/$H$173+I26*$H$174/$H$173^2</f>
        <v>5.8169183998231944E-3</v>
      </c>
      <c r="L26" s="138">
        <f>H26/$H$173</f>
        <v>0.72370352250489245</v>
      </c>
      <c r="M26" s="141">
        <f>I26/$H$173</f>
        <v>0.10223734533183353</v>
      </c>
      <c r="N26" s="207">
        <f t="shared" ref="N26" si="117">ASIN($B$9/$B$10*SIN(C26*PI()/180))</f>
        <v>0.54699958391276826</v>
      </c>
      <c r="O26" s="113">
        <f t="shared" ref="O26" si="118">C26*PI()/180</f>
        <v>0.87266462599716477</v>
      </c>
      <c r="P26" s="113">
        <f t="shared" ref="P26" si="119">R26*T26</f>
        <v>0.8625359866334148</v>
      </c>
      <c r="Q26" s="112">
        <f t="shared" ref="Q26" si="120">U26</f>
        <v>0.10473501252940556</v>
      </c>
      <c r="R26" s="113">
        <f t="shared" ref="R26" si="121">($B$10/$B$9)*((2*$B$9/($B$10+$B$9))^2)</f>
        <v>0.96344210787283291</v>
      </c>
      <c r="S26" s="113">
        <f t="shared" ref="S26" si="122">($B$9/$B$10)*((2*$B$10/($B$10+$B$9))^2)</f>
        <v>0.96344210787283313</v>
      </c>
      <c r="T26" s="113">
        <f t="shared" ref="T26" si="123">(($B$10*COS(N26))/($B$9*COS(O26)))*(((2*$B$9*COS(O26))^2)/(($B$9*COS(O26)+$B$10*COS(N26))^2))</f>
        <v>0.89526498747059435</v>
      </c>
      <c r="U26" s="112">
        <f t="shared" ref="U26" si="124">(($B$9*COS(O26)-$B$10*COS(N26))^2)/(($B$9*COS(O26)+$B$10*COS(N26))^2)</f>
        <v>0.10473501252940556</v>
      </c>
      <c r="V26" s="112">
        <f t="shared" ref="V26" si="125">1/(2*D26)*($B$15+$B$15)+(E26+E27)/(2*D26^2)*$B$16</f>
        <v>0.12367470444736348</v>
      </c>
      <c r="W26" s="112">
        <f t="shared" ref="W26" si="126">(1/(2*F26))*($B$15+$B$15)+(G26+G27)/(2*F26^2)*$B$16</f>
        <v>3.5929071858143716E-2</v>
      </c>
      <c r="X26" s="113">
        <f t="shared" ref="X26" si="127">H26/R20+I26</f>
        <v>6.1585701172226255</v>
      </c>
      <c r="Y26" s="112"/>
      <c r="Z26" s="111">
        <f t="shared" ref="Z26" si="128">X26/$Y$8</f>
        <v>0.85340185910084965</v>
      </c>
      <c r="AA26" s="111">
        <f t="shared" ref="AA26" si="129">(1/$Y$8)*V26+(1/$Y$8)*W26+(X26)/($Y$8^2)*(1/(2*$H$170)*($B$17+$B$17)+ABS($G$170+$G$171)/(2*$H$170^2)*$B$18)</f>
        <v>5.7098877355265823E-2</v>
      </c>
      <c r="AB26" s="107">
        <f t="shared" ref="AB26" si="130">AA26+Z26</f>
        <v>0.91050073645611551</v>
      </c>
      <c r="AC26" s="91"/>
      <c r="AD26" s="91"/>
      <c r="AE26" s="175">
        <v>45</v>
      </c>
      <c r="AF26" s="140">
        <v>2.9000000000000001E-2</v>
      </c>
      <c r="AG26" s="3">
        <v>0.16900000000000001</v>
      </c>
      <c r="AH26" s="80">
        <v>2.8000000000000001E-2</v>
      </c>
      <c r="AI26" s="11">
        <v>1.7600000000000001E-2</v>
      </c>
    </row>
    <row r="27" spans="1:36" ht="15.75" thickBot="1">
      <c r="C27" s="124"/>
      <c r="D27" s="177"/>
      <c r="E27" s="56">
        <v>0.152</v>
      </c>
      <c r="F27" s="180"/>
      <c r="G27" s="57">
        <v>2.9139999999999999E-2</v>
      </c>
      <c r="H27" s="138"/>
      <c r="I27" s="141"/>
      <c r="J27" s="116"/>
      <c r="K27" s="116"/>
      <c r="L27" s="138"/>
      <c r="M27" s="141"/>
      <c r="N27" s="207"/>
      <c r="O27" s="113"/>
      <c r="P27" s="113"/>
      <c r="Q27" s="112"/>
      <c r="R27" s="113"/>
      <c r="S27" s="113"/>
      <c r="T27" s="113"/>
      <c r="U27" s="112"/>
      <c r="V27" s="112"/>
      <c r="W27" s="112"/>
      <c r="X27" s="113"/>
      <c r="Y27" s="112"/>
      <c r="Z27" s="111"/>
      <c r="AA27" s="111"/>
      <c r="AB27" s="107"/>
      <c r="AC27" s="91"/>
      <c r="AD27" s="91"/>
      <c r="AE27" s="175"/>
      <c r="AF27" s="140"/>
      <c r="AG27" s="3">
        <v>0.16900000000000001</v>
      </c>
      <c r="AH27" s="80"/>
      <c r="AI27" s="11">
        <v>1.7500000000000002E-2</v>
      </c>
    </row>
    <row r="28" spans="1:36" ht="15.75" thickBot="1">
      <c r="C28" s="124">
        <v>55</v>
      </c>
      <c r="D28" s="177">
        <v>3.44E-2</v>
      </c>
      <c r="E28" s="56">
        <v>0.183</v>
      </c>
      <c r="F28" s="180">
        <v>2.93E-2</v>
      </c>
      <c r="G28" s="57">
        <v>2.708E-2</v>
      </c>
      <c r="H28" s="138">
        <f>(AVERAGE(E28:E29)/D28)</f>
        <v>5.2325581395348832</v>
      </c>
      <c r="I28" s="141">
        <f>(AVERAGE(G28:G29)/F28)</f>
        <v>0.92354948805460757</v>
      </c>
      <c r="J28" s="115">
        <f t="shared" ref="J28" si="131">V28/$H$173+((H28*$H$174)/$H$173^2)</f>
        <v>2.0511707928168567E-2</v>
      </c>
      <c r="K28" s="115">
        <f t="shared" ref="K28" si="132">W28/$H$173+I28*$H$174/$H$173^2</f>
        <v>7.9625203816573054E-3</v>
      </c>
      <c r="L28" s="138">
        <f>H28/$H$173</f>
        <v>0.72508305647840532</v>
      </c>
      <c r="M28" s="141">
        <f>I28/$H$173</f>
        <v>0.12797757191613848</v>
      </c>
      <c r="N28" s="207">
        <f t="shared" ref="N28" si="133">ASIN($B$9/$B$10*SIN(C28*PI()/180))</f>
        <v>0.58978916450689078</v>
      </c>
      <c r="O28" s="113">
        <f t="shared" ref="O28" si="134">C28*PI()/180</f>
        <v>0.95993108859688125</v>
      </c>
      <c r="P28" s="113">
        <f t="shared" ref="P28" si="135">R28*T28</f>
        <v>0.83730867253711228</v>
      </c>
      <c r="Q28" s="112">
        <f t="shared" ref="Q28" si="136">U28</f>
        <v>0.13091957918904798</v>
      </c>
      <c r="R28" s="113">
        <f t="shared" ref="R28" si="137">($B$10/$B$9)*((2*$B$9/($B$10+$B$9))^2)</f>
        <v>0.96344210787283291</v>
      </c>
      <c r="S28" s="113">
        <f t="shared" ref="S28" si="138">($B$9/$B$10)*((2*$B$10/($B$10+$B$9))^2)</f>
        <v>0.96344210787283313</v>
      </c>
      <c r="T28" s="113">
        <f t="shared" ref="T28" si="139">(($B$10*COS(N28))/($B$9*COS(O28)))*(((2*$B$9*COS(O28))^2)/(($B$9*COS(O28)+$B$10*COS(N28))^2))</f>
        <v>0.86908042081095205</v>
      </c>
      <c r="U28" s="112">
        <f t="shared" ref="U28" si="140">(($B$9*COS(O28)-$B$10*COS(N28))^2)/(($B$9*COS(O28)+$B$10*COS(N28))^2)</f>
        <v>0.13091957918904798</v>
      </c>
      <c r="V28" s="112">
        <f t="shared" ref="V28" si="141">1/(2*D28)*($B$15+$B$15)+(E28+E29)/(2*D28^2)*$B$16</f>
        <v>0.10512439156300703</v>
      </c>
      <c r="W28" s="112">
        <f t="shared" ref="W28" si="142">(1/(2*F28))*($B$15+$B$15)+(G28+G29)/(2*F28^2)*$B$16</f>
        <v>4.988992300434484E-2</v>
      </c>
      <c r="X28" s="113">
        <f t="shared" ref="X28" si="143">H28/R22+I28</f>
        <v>6.3546574879818243</v>
      </c>
      <c r="Y28" s="112"/>
      <c r="Z28" s="111">
        <f t="shared" ref="Z28" si="144">X28/$Y$8</f>
        <v>0.8805739661917672</v>
      </c>
      <c r="AA28" s="111">
        <f t="shared" ref="AA28" si="145">(1/$Y$8)*V28+(1/$Y$8)*W28+(X28)/($Y$8^2)*(1/(2*$H$170)*($B$17+$B$17)+ABS($G$170+$G$171)/(2*$H$170^2)*$B$18)</f>
        <v>5.7576738708855664E-2</v>
      </c>
      <c r="AB28" s="107">
        <f t="shared" ref="AB28" si="146">AA28+Z28</f>
        <v>0.93815070490062291</v>
      </c>
      <c r="AC28" s="91"/>
      <c r="AD28" s="91"/>
      <c r="AE28" s="175">
        <v>50</v>
      </c>
      <c r="AF28" s="140">
        <v>3.5999999999999997E-2</v>
      </c>
      <c r="AG28" s="3">
        <v>0.20899999999999999</v>
      </c>
      <c r="AH28" s="80">
        <v>3.3700000000000001E-2</v>
      </c>
      <c r="AI28" s="11">
        <v>2.53E-2</v>
      </c>
    </row>
    <row r="29" spans="1:36" ht="15.75" thickBot="1">
      <c r="C29" s="124"/>
      <c r="D29" s="177"/>
      <c r="E29" s="56">
        <v>0.17699999999999999</v>
      </c>
      <c r="F29" s="180"/>
      <c r="G29" s="57">
        <v>2.7040000000000002E-2</v>
      </c>
      <c r="H29" s="138"/>
      <c r="I29" s="141"/>
      <c r="J29" s="116"/>
      <c r="K29" s="116"/>
      <c r="L29" s="138"/>
      <c r="M29" s="141"/>
      <c r="N29" s="207"/>
      <c r="O29" s="113"/>
      <c r="P29" s="113"/>
      <c r="Q29" s="112"/>
      <c r="R29" s="113"/>
      <c r="S29" s="113"/>
      <c r="T29" s="113"/>
      <c r="U29" s="112"/>
      <c r="V29" s="112"/>
      <c r="W29" s="112"/>
      <c r="X29" s="113"/>
      <c r="Y29" s="112"/>
      <c r="Z29" s="111"/>
      <c r="AA29" s="111"/>
      <c r="AB29" s="107"/>
      <c r="AC29" s="91"/>
      <c r="AD29" s="91"/>
      <c r="AE29" s="175"/>
      <c r="AF29" s="140"/>
      <c r="AG29" s="3">
        <v>0.20399999999999999</v>
      </c>
      <c r="AH29" s="80"/>
      <c r="AI29" s="11">
        <v>2.4799999999999999E-2</v>
      </c>
    </row>
    <row r="30" spans="1:36" ht="15.75" thickBot="1">
      <c r="B30" s="12"/>
      <c r="C30" s="124">
        <v>60</v>
      </c>
      <c r="D30" s="177">
        <v>2.9600000000000001E-2</v>
      </c>
      <c r="E30" s="56">
        <v>0.14599999999999999</v>
      </c>
      <c r="F30" s="180">
        <v>2.9499999999999998E-2</v>
      </c>
      <c r="G30" s="57">
        <v>3.5779999999999999E-2</v>
      </c>
      <c r="H30" s="138">
        <f>(AVERAGE(E30:E31)/D30)</f>
        <v>4.9324324324324316</v>
      </c>
      <c r="I30" s="141">
        <f>(AVERAGE(G30:G31)/F30)</f>
        <v>1.2108474576271189</v>
      </c>
      <c r="J30" s="115">
        <f t="shared" ref="J30" si="147">V30/$H$173+((H30*$H$174)/$H$173^2)</f>
        <v>2.1830489135025818E-2</v>
      </c>
      <c r="K30" s="115">
        <f t="shared" ref="K30" si="148">W30/$H$173+I30*$H$174/$H$173^2</f>
        <v>8.9168041867709463E-3</v>
      </c>
      <c r="L30" s="138">
        <f>H30/$H$173</f>
        <v>0.6834942084942085</v>
      </c>
      <c r="M30" s="141">
        <f>I30/$H$173</f>
        <v>0.16778886198547222</v>
      </c>
      <c r="N30" s="207">
        <f t="shared" ref="N30" si="149">ASIN($B$9/$B$10*SIN(C30*PI()/180))</f>
        <v>0.6285985577501676</v>
      </c>
      <c r="O30" s="113">
        <f t="shared" ref="O30" si="150">C30*PI()/180</f>
        <v>1.0471975511965976</v>
      </c>
      <c r="P30" s="113">
        <f t="shared" ref="P30" si="151">R30*T30</f>
        <v>0.80248779500660261</v>
      </c>
      <c r="Q30" s="112">
        <f t="shared" ref="Q30" si="152">U30</f>
        <v>0.16706173785739828</v>
      </c>
      <c r="R30" s="113">
        <f t="shared" ref="R30" si="153">($B$10/$B$9)*((2*$B$9/($B$10+$B$9))^2)</f>
        <v>0.96344210787283291</v>
      </c>
      <c r="S30" s="113">
        <f t="shared" ref="S30" si="154">($B$9/$B$10)*((2*$B$10/($B$10+$B$9))^2)</f>
        <v>0.96344210787283313</v>
      </c>
      <c r="T30" s="113">
        <f t="shared" ref="T30" si="155">(($B$10*COS(N30))/($B$9*COS(O30)))*(((2*$B$9*COS(O30))^2)/(($B$9*COS(O30)+$B$10*COS(N30))^2))</f>
        <v>0.83293826214260192</v>
      </c>
      <c r="U30" s="112">
        <f t="shared" ref="U30" si="156">(($B$9*COS(O30)-$B$10*COS(N30))^2)/(($B$9*COS(O30)+$B$10*COS(N30))^2)</f>
        <v>0.16706173785739828</v>
      </c>
      <c r="V30" s="112">
        <f t="shared" ref="V30" si="157">1/(2*D30)*($B$15+$B$15)+(E30+E31)/(2*D30^2)*$B$16</f>
        <v>0.11710189919649379</v>
      </c>
      <c r="W30" s="112">
        <f t="shared" ref="W30" si="158">(1/(2*F30))*($B$15+$B$15)+(G30+G31)/(2*F30^2)*$B$16</f>
        <v>5.4421143349612178E-2</v>
      </c>
      <c r="X30" s="113">
        <f t="shared" ref="X30" si="159">H30/R24+I30</f>
        <v>6.330441455156107</v>
      </c>
      <c r="Y30" s="112"/>
      <c r="Z30" s="111">
        <f t="shared" ref="Z30" si="160">X30/$Y$8</f>
        <v>0.87721831592877497</v>
      </c>
      <c r="AA30" s="111">
        <f t="shared" ref="AA30" si="161">(1/$Y$8)*V30+(1/$Y$8)*W30+(X30)/($Y$8^2)*(1/(2*$H$170)*($B$17+$B$17)+ABS($G$170+$G$171)/(2*$H$170^2)*$B$18)</f>
        <v>5.9726823072921972E-2</v>
      </c>
      <c r="AB30" s="107">
        <f t="shared" ref="AB30" si="162">AA30+Z30</f>
        <v>0.93694513900169696</v>
      </c>
      <c r="AC30" s="91"/>
      <c r="AD30" s="91"/>
      <c r="AE30" s="175">
        <v>55</v>
      </c>
      <c r="AF30" s="140">
        <v>2.87E-2</v>
      </c>
      <c r="AG30" s="3">
        <v>0.153</v>
      </c>
      <c r="AH30" s="80">
        <v>2.8500000000000001E-2</v>
      </c>
      <c r="AI30" s="11">
        <v>2.7300000000000001E-2</v>
      </c>
    </row>
    <row r="31" spans="1:36" ht="15.75" thickBot="1">
      <c r="B31" s="12"/>
      <c r="C31" s="124"/>
      <c r="D31" s="177"/>
      <c r="E31" s="56">
        <v>0.14599999999999999</v>
      </c>
      <c r="F31" s="180"/>
      <c r="G31" s="57">
        <v>3.5659999999999997E-2</v>
      </c>
      <c r="H31" s="138"/>
      <c r="I31" s="141"/>
      <c r="J31" s="116"/>
      <c r="K31" s="116"/>
      <c r="L31" s="138"/>
      <c r="M31" s="141"/>
      <c r="N31" s="207"/>
      <c r="O31" s="113"/>
      <c r="P31" s="113"/>
      <c r="Q31" s="112"/>
      <c r="R31" s="113"/>
      <c r="S31" s="113"/>
      <c r="T31" s="113"/>
      <c r="U31" s="112"/>
      <c r="V31" s="112"/>
      <c r="W31" s="112"/>
      <c r="X31" s="113"/>
      <c r="Y31" s="112"/>
      <c r="Z31" s="111"/>
      <c r="AA31" s="111"/>
      <c r="AB31" s="107"/>
      <c r="AC31" s="91"/>
      <c r="AD31" s="91"/>
      <c r="AE31" s="175"/>
      <c r="AF31" s="140"/>
      <c r="AG31" s="3">
        <v>0.152</v>
      </c>
      <c r="AH31" s="80"/>
      <c r="AI31" s="11">
        <v>2.76E-2</v>
      </c>
    </row>
    <row r="32" spans="1:36" ht="15.75" thickBot="1">
      <c r="C32" s="124">
        <v>65</v>
      </c>
      <c r="D32" s="177">
        <v>2.8899999999999999E-2</v>
      </c>
      <c r="E32" s="56">
        <v>0.13</v>
      </c>
      <c r="F32" s="180">
        <v>3.7900000000000003E-2</v>
      </c>
      <c r="G32" s="57">
        <v>6.2300000000000001E-2</v>
      </c>
      <c r="H32" s="138">
        <f>(AVERAGE(E32:E33)/D32)</f>
        <v>4.4809688581314884</v>
      </c>
      <c r="I32" s="141">
        <f>(AVERAGE(G32:G33)/F32)</f>
        <v>1.6398416886543534</v>
      </c>
      <c r="J32" s="115">
        <f t="shared" ref="J32" si="163">V32/$H$173+((H32*$H$174)/$H$173^2)</f>
        <v>2.0628290803396468E-2</v>
      </c>
      <c r="K32" s="115">
        <f t="shared" ref="K32" si="164">W32/$H$173+I32*$H$174/$H$173^2</f>
        <v>8.5170135514053436E-3</v>
      </c>
      <c r="L32" s="138">
        <f>H32/$H$173</f>
        <v>0.62093425605536345</v>
      </c>
      <c r="M32" s="141">
        <f>I32/$H$173</f>
        <v>0.22723520542781758</v>
      </c>
      <c r="N32" s="207">
        <f t="shared" ref="N32" si="165">ASIN($B$9/$B$10*SIN(C32*PI()/180))</f>
        <v>0.66284590424630652</v>
      </c>
      <c r="O32" s="113">
        <f t="shared" ref="O32" si="166">C32*PI()/180</f>
        <v>1.1344640137963142</v>
      </c>
      <c r="P32" s="113">
        <f t="shared" ref="P32" si="167">R32*T32</f>
        <v>0.7540108747048585</v>
      </c>
      <c r="Q32" s="112">
        <f t="shared" ref="Q32" si="168">U32</f>
        <v>0.2173781189929242</v>
      </c>
      <c r="R32" s="113">
        <f t="shared" ref="R32" si="169">($B$10/$B$9)*((2*$B$9/($B$10+$B$9))^2)</f>
        <v>0.96344210787283291</v>
      </c>
      <c r="S32" s="113">
        <f t="shared" ref="S32" si="170">($B$9/$B$10)*((2*$B$10/($B$10+$B$9))^2)</f>
        <v>0.96344210787283313</v>
      </c>
      <c r="T32" s="113">
        <f t="shared" ref="T32" si="171">(($B$10*COS(N32))/($B$9*COS(O32)))*(((2*$B$9*COS(O32))^2)/(($B$9*COS(O32)+$B$10*COS(N32))^2))</f>
        <v>0.78262188100707575</v>
      </c>
      <c r="U32" s="112">
        <f t="shared" ref="U32" si="172">(($B$9*COS(O32)-$B$10*COS(N32))^2)/(($B$9*COS(O32)+$B$10*COS(N32))^2)</f>
        <v>0.2173781189929242</v>
      </c>
      <c r="V32" s="112">
        <f t="shared" ref="V32" si="173">1/(2*D32)*($B$15+$B$15)+(E32+E33)/(2*D32^2)*$B$16</f>
        <v>0.11212748889500844</v>
      </c>
      <c r="W32" s="112">
        <f t="shared" ref="W32" si="174">(1/(2*F32))*($B$15+$B$15)+(G32+G33)/(2*F32^2)*$B$16</f>
        <v>4.8019019639239491E-2</v>
      </c>
      <c r="X32" s="113">
        <f t="shared" ref="X32" si="175">H32/R26+I32</f>
        <v>6.290841288438239</v>
      </c>
      <c r="Y32" s="112"/>
      <c r="Z32" s="111">
        <f t="shared" ref="Z32" si="176">X32/$Y$8</f>
        <v>0.87173086425501323</v>
      </c>
      <c r="AA32" s="111">
        <f t="shared" ref="AA32" si="177">(1/$Y$8)*V32+(1/$Y$8)*W32+(X32)/($Y$8^2)*(1/(2*$H$170)*($B$17+$B$17)+ABS($G$170+$G$171)/(2*$H$170^2)*$B$18)</f>
        <v>5.7925420780194296E-2</v>
      </c>
      <c r="AB32" s="107">
        <f t="shared" ref="AB32" si="178">AA32+Z32</f>
        <v>0.92965628503520747</v>
      </c>
      <c r="AC32" s="91"/>
      <c r="AD32" s="91"/>
      <c r="AE32" s="175">
        <v>60</v>
      </c>
      <c r="AF32" s="140">
        <v>2.9000000000000001E-2</v>
      </c>
      <c r="AG32" s="3">
        <v>0.14899999999999999</v>
      </c>
      <c r="AH32" s="80">
        <v>2.92E-2</v>
      </c>
      <c r="AI32" s="11">
        <v>3.6200000000000003E-2</v>
      </c>
    </row>
    <row r="33" spans="1:39" ht="15.75" thickBot="1">
      <c r="C33" s="124"/>
      <c r="D33" s="177"/>
      <c r="E33" s="18">
        <v>0.129</v>
      </c>
      <c r="F33" s="180"/>
      <c r="G33" s="57">
        <v>6.2E-2</v>
      </c>
      <c r="H33" s="138"/>
      <c r="I33" s="141"/>
      <c r="J33" s="116"/>
      <c r="K33" s="116"/>
      <c r="L33" s="138"/>
      <c r="M33" s="141"/>
      <c r="N33" s="207"/>
      <c r="O33" s="113"/>
      <c r="P33" s="113"/>
      <c r="Q33" s="112"/>
      <c r="R33" s="113"/>
      <c r="S33" s="113"/>
      <c r="T33" s="113"/>
      <c r="U33" s="112"/>
      <c r="V33" s="112"/>
      <c r="W33" s="112"/>
      <c r="X33" s="113"/>
      <c r="Y33" s="112"/>
      <c r="Z33" s="111"/>
      <c r="AA33" s="111"/>
      <c r="AB33" s="107"/>
      <c r="AC33" s="91"/>
      <c r="AD33" s="91"/>
      <c r="AE33" s="175"/>
      <c r="AF33" s="140"/>
      <c r="AG33" s="3">
        <v>0.151</v>
      </c>
      <c r="AH33" s="80"/>
      <c r="AI33" s="11">
        <v>3.6299999999999999E-2</v>
      </c>
    </row>
    <row r="34" spans="1:39" ht="15.75" thickBot="1">
      <c r="C34" s="124">
        <v>70</v>
      </c>
      <c r="D34" s="177">
        <v>3.4799999999999998E-2</v>
      </c>
      <c r="E34" s="18">
        <v>0.124</v>
      </c>
      <c r="F34" s="180">
        <v>3.09E-2</v>
      </c>
      <c r="G34" s="57">
        <v>6.5699999999999995E-2</v>
      </c>
      <c r="H34" s="138">
        <f>(AVERAGE(E34:E35)/D34)</f>
        <v>3.548850574712644</v>
      </c>
      <c r="I34" s="141">
        <f>(AVERAGE(G34:G35)/F34)</f>
        <v>2.1181229773462782</v>
      </c>
      <c r="J34" s="115">
        <f t="shared" ref="J34" si="179">V34/$H$173+((H34*$H$174)/$H$173^2)</f>
        <v>1.5079275765002795E-2</v>
      </c>
      <c r="K34" s="115">
        <f t="shared" ref="K34" si="180">W34/$H$173+I34*$H$174/$H$173^2</f>
        <v>1.1640189446815895E-2</v>
      </c>
      <c r="L34" s="138">
        <f>H34/$H$173</f>
        <v>0.49176929392446644</v>
      </c>
      <c r="M34" s="141">
        <f>I34/$H$173</f>
        <v>0.29351132686084141</v>
      </c>
      <c r="N34" s="207">
        <f t="shared" ref="N34" si="181">ASIN($B$9/$B$10*SIN(C34*PI()/180))</f>
        <v>0.69193734942617258</v>
      </c>
      <c r="O34" s="113">
        <f t="shared" ref="O34" si="182">C34*PI()/180</f>
        <v>1.2217304763960306</v>
      </c>
      <c r="P34" s="113">
        <f t="shared" ref="P34" si="183">R34*T34</f>
        <v>0.68604150195141178</v>
      </c>
      <c r="Q34" s="112">
        <f t="shared" ref="Q34" si="184">U34</f>
        <v>0.28792659533419102</v>
      </c>
      <c r="R34" s="113">
        <f t="shared" ref="R34" si="185">($B$10/$B$9)*((2*$B$9/($B$10+$B$9))^2)</f>
        <v>0.96344210787283291</v>
      </c>
      <c r="S34" s="113">
        <f t="shared" ref="S34" si="186">($B$9/$B$10)*((2*$B$10/($B$10+$B$9))^2)</f>
        <v>0.96344210787283313</v>
      </c>
      <c r="T34" s="113">
        <f t="shared" ref="T34" si="187">(($B$10*COS(N34))/($B$9*COS(O34)))*(((2*$B$9*COS(O34))^2)/(($B$9*COS(O34)+$B$10*COS(N34))^2))</f>
        <v>0.71207340466580904</v>
      </c>
      <c r="U34" s="112">
        <f t="shared" ref="U34" si="188">(($B$9*COS(O34)-$B$10*COS(N34))^2)/(($B$9*COS(O34)+$B$10*COS(N34))^2)</f>
        <v>0.28792659533419102</v>
      </c>
      <c r="V34" s="112">
        <f t="shared" ref="V34" si="189">1/(2*D34)*($B$15+$B$15)+(E34+E35)/(2*D34^2)*$B$16</f>
        <v>7.9724864579204663E-2</v>
      </c>
      <c r="W34" s="112">
        <f t="shared" ref="W34" si="190">(1/(2*F34))*($B$15+$B$15)+(G34+G35)/(2*F34^2)*$B$16</f>
        <v>6.6636294131816792E-2</v>
      </c>
      <c r="X34" s="113">
        <f t="shared" ref="X34" si="191">H34/R28+I34</f>
        <v>5.8016349867477457</v>
      </c>
      <c r="Y34" s="112"/>
      <c r="Z34" s="111">
        <f t="shared" ref="Z34" si="192">X34/$Y$8</f>
        <v>0.80394084816361633</v>
      </c>
      <c r="AA34" s="111">
        <f t="shared" ref="AA34" si="193">(1/$Y$8)*V34+(1/$Y$8)*W34+(X34)/($Y$8^2)*(1/(2*$H$170)*($B$17+$B$17)+ABS($G$170+$G$171)/(2*$H$170^2)*$B$18)</f>
        <v>5.3236340250869908E-2</v>
      </c>
      <c r="AB34" s="107">
        <f t="shared" ref="AB34" si="194">AA34+Z34</f>
        <v>0.8571771884144862</v>
      </c>
      <c r="AC34" s="91"/>
      <c r="AD34" s="91"/>
      <c r="AE34" s="175">
        <v>65</v>
      </c>
      <c r="AF34" s="140">
        <v>3.7999999999999999E-2</v>
      </c>
      <c r="AG34" s="3">
        <v>0.17499999999999999</v>
      </c>
      <c r="AH34" s="80">
        <v>3.6999999999999998E-2</v>
      </c>
      <c r="AI34" s="11">
        <v>5.8000000000000003E-2</v>
      </c>
    </row>
    <row r="35" spans="1:39" ht="15.75" thickBot="1">
      <c r="C35" s="124"/>
      <c r="D35" s="177"/>
      <c r="E35" s="18">
        <v>0.123</v>
      </c>
      <c r="F35" s="180"/>
      <c r="G35" s="57">
        <v>6.5199999999999994E-2</v>
      </c>
      <c r="H35" s="138"/>
      <c r="I35" s="141"/>
      <c r="J35" s="116"/>
      <c r="K35" s="116"/>
      <c r="L35" s="138"/>
      <c r="M35" s="141"/>
      <c r="N35" s="207"/>
      <c r="O35" s="113"/>
      <c r="P35" s="113"/>
      <c r="Q35" s="112"/>
      <c r="R35" s="113"/>
      <c r="S35" s="113"/>
      <c r="T35" s="113"/>
      <c r="U35" s="112"/>
      <c r="V35" s="112"/>
      <c r="W35" s="112"/>
      <c r="X35" s="113"/>
      <c r="Y35" s="112"/>
      <c r="Z35" s="111"/>
      <c r="AA35" s="111"/>
      <c r="AB35" s="107"/>
      <c r="AC35" s="91"/>
      <c r="AD35" s="91"/>
      <c r="AE35" s="175"/>
      <c r="AF35" s="140"/>
      <c r="AG35" s="3">
        <v>0.17199999999999999</v>
      </c>
      <c r="AH35" s="80"/>
      <c r="AI35" s="11">
        <v>5.5E-2</v>
      </c>
    </row>
    <row r="36" spans="1:39" ht="15.75" thickBot="1">
      <c r="B36" t="s">
        <v>9</v>
      </c>
      <c r="C36" s="124">
        <v>75</v>
      </c>
      <c r="D36" s="177">
        <v>2.9600000000000001E-2</v>
      </c>
      <c r="E36" s="18">
        <v>7.5600000000000001E-2</v>
      </c>
      <c r="F36" s="180">
        <v>2.98E-2</v>
      </c>
      <c r="G36" s="57">
        <v>8.3400000000000002E-2</v>
      </c>
      <c r="H36" s="138">
        <f>(AVERAGE(E36:E37)/D36)</f>
        <v>2.5658783783783785</v>
      </c>
      <c r="I36" s="141">
        <f>(AVERAGE(G36:G37)/F36)</f>
        <v>2.8070469798657718</v>
      </c>
      <c r="J36" s="115">
        <f t="shared" ref="J36" si="195">V36/$H$173+((H36*$H$174)/$H$173^2)</f>
        <v>1.3602482368951965E-2</v>
      </c>
      <c r="K36" s="115">
        <f t="shared" ref="K36" si="196">W36/$H$173+I36*$H$174/$H$173^2</f>
        <v>1.436545758342074E-2</v>
      </c>
      <c r="L36" s="138">
        <f>H36/$H$173</f>
        <v>0.35555743243243249</v>
      </c>
      <c r="M36" s="141">
        <f>I36/$H$173</f>
        <v>0.38897651006711415</v>
      </c>
      <c r="N36" s="207">
        <f t="shared" ref="N36" si="197">ASIN($B$9/$B$10*SIN(C36*PI()/180))</f>
        <v>0.71529735228317659</v>
      </c>
      <c r="O36" s="113">
        <f t="shared" ref="O36" si="198">C36*PI()/180</f>
        <v>1.3089969389957472</v>
      </c>
      <c r="P36" s="113">
        <f t="shared" ref="P36" si="199">R36*T36</f>
        <v>0.59029761916129486</v>
      </c>
      <c r="Q36" s="112">
        <f t="shared" ref="Q36" si="200">U36</f>
        <v>0.38730348784048607</v>
      </c>
      <c r="R36" s="113">
        <f t="shared" ref="R36" si="201">($B$10/$B$9)*((2*$B$9/($B$10+$B$9))^2)</f>
        <v>0.96344210787283291</v>
      </c>
      <c r="S36" s="113">
        <f t="shared" ref="S36" si="202">($B$9/$B$10)*((2*$B$10/($B$10+$B$9))^2)</f>
        <v>0.96344210787283313</v>
      </c>
      <c r="T36" s="113">
        <f t="shared" ref="T36" si="203">(($B$10*COS(N36))/($B$9*COS(O36)))*(((2*$B$9*COS(O36))^2)/(($B$9*COS(O36)+$B$10*COS(N36))^2))</f>
        <v>0.61269651215951393</v>
      </c>
      <c r="U36" s="112">
        <f t="shared" ref="U36" si="204">(($B$9*COS(O36)-$B$10*COS(N36))^2)/(($B$9*COS(O36)+$B$10*COS(N36))^2)</f>
        <v>0.38730348784048607</v>
      </c>
      <c r="V36" s="112">
        <f t="shared" ref="V36" si="205">1/(2*D36)*($B$15+$B$15)+(E36+E37)/(2*D36^2)*$B$16</f>
        <v>7.7126323959094231E-2</v>
      </c>
      <c r="W36" s="112">
        <f t="shared" ref="W36" si="206">(1/(2*F36))*($B$15+$B$15)+(G36+G37)/(2*F36^2)*$B$16</f>
        <v>8.0655150668888786E-2</v>
      </c>
      <c r="X36" s="113">
        <f>H36/R30+I36</f>
        <v>5.4702878299502018</v>
      </c>
      <c r="Y36" s="112"/>
      <c r="Z36" s="111">
        <f t="shared" ref="Z36" si="207">X36/$Y$8</f>
        <v>0.75802559929309943</v>
      </c>
      <c r="AA36" s="111">
        <f t="shared" ref="AA36" si="208">(1/$Y$8)*V36+(1/$Y$8)*W36+(X36)/($Y$8^2)*(1/(2*$H$170)*($B$17+$B$17)+ABS($G$170+$G$171)/(2*$H$170^2)*$B$18)</f>
        <v>5.2936727729118602E-2</v>
      </c>
      <c r="AB36" s="107">
        <f t="shared" ref="AB36" si="209">AA36+Z36</f>
        <v>0.81096232702221804</v>
      </c>
      <c r="AC36" s="91"/>
      <c r="AD36" s="91"/>
      <c r="AE36" s="175">
        <v>70</v>
      </c>
      <c r="AF36" s="140">
        <v>3.0800000000000001E-2</v>
      </c>
      <c r="AG36" s="3">
        <v>0.112</v>
      </c>
      <c r="AH36" s="80">
        <v>3.0099999999999998E-2</v>
      </c>
      <c r="AI36" s="11">
        <v>5.9799999999999999E-2</v>
      </c>
    </row>
    <row r="37" spans="1:39" ht="15.75" thickBot="1">
      <c r="C37" s="124"/>
      <c r="D37" s="177"/>
      <c r="E37" s="18">
        <v>7.6300000000000007E-2</v>
      </c>
      <c r="F37" s="180"/>
      <c r="G37" s="57">
        <v>8.3900000000000002E-2</v>
      </c>
      <c r="H37" s="138"/>
      <c r="I37" s="141"/>
      <c r="J37" s="116"/>
      <c r="K37" s="116"/>
      <c r="L37" s="138"/>
      <c r="M37" s="141"/>
      <c r="N37" s="207"/>
      <c r="O37" s="113"/>
      <c r="P37" s="113"/>
      <c r="Q37" s="112"/>
      <c r="R37" s="113"/>
      <c r="S37" s="113"/>
      <c r="T37" s="113"/>
      <c r="U37" s="112"/>
      <c r="V37" s="112"/>
      <c r="W37" s="112"/>
      <c r="X37" s="113"/>
      <c r="Y37" s="112"/>
      <c r="Z37" s="111"/>
      <c r="AA37" s="111"/>
      <c r="AB37" s="107"/>
      <c r="AC37" s="91"/>
      <c r="AD37" s="91"/>
      <c r="AE37" s="175"/>
      <c r="AF37" s="140"/>
      <c r="AG37" s="3">
        <v>0.1103</v>
      </c>
      <c r="AH37" s="80"/>
      <c r="AI37" s="11">
        <v>6.0100000000000001E-2</v>
      </c>
    </row>
    <row r="38" spans="1:39" ht="15.75" thickBot="1">
      <c r="B38" t="s">
        <v>9</v>
      </c>
      <c r="C38" s="124">
        <v>80</v>
      </c>
      <c r="D38" s="177">
        <v>3.7999999999999999E-2</v>
      </c>
      <c r="E38" s="18">
        <v>5.57E-2</v>
      </c>
      <c r="F38" s="180">
        <v>3.6900000000000002E-2</v>
      </c>
      <c r="G38" s="57">
        <v>0.14199999999999999</v>
      </c>
      <c r="H38" s="138">
        <f>(AVERAGE(E38:E39)/D38)</f>
        <v>1.469736842105263</v>
      </c>
      <c r="I38" s="141">
        <f>(AVERAGE(G38:G39)/F38)</f>
        <v>3.834688346883468</v>
      </c>
      <c r="J38" s="115">
        <f t="shared" ref="J38" si="210">V38/$H$173+((H38*$H$174)/$H$173^2)</f>
        <v>7.9961009195922139E-3</v>
      </c>
      <c r="K38" s="115">
        <f t="shared" ref="K38" si="211">W38/$H$173+I38*$H$174/$H$173^2</f>
        <v>1.5311985106466849E-2</v>
      </c>
      <c r="L38" s="138">
        <f>H38/$H$173</f>
        <v>0.20366353383458646</v>
      </c>
      <c r="M38" s="141">
        <f>I38/$H$173</f>
        <v>0.531378242353852</v>
      </c>
      <c r="N38" s="207">
        <f t="shared" ref="N38" si="212">ASIN($B$9/$B$10*SIN(C38*PI()/180))</f>
        <v>0.73240832311372606</v>
      </c>
      <c r="O38" s="113">
        <f t="shared" ref="O38" si="213">C38*PI()/180</f>
        <v>1.3962634015954636</v>
      </c>
      <c r="P38" s="113">
        <f t="shared" ref="P38" si="214">R38*T38</f>
        <v>0.45525125866644328</v>
      </c>
      <c r="Q38" s="112">
        <f t="shared" ref="Q38" si="215">U38</f>
        <v>0.52747419388635142</v>
      </c>
      <c r="R38" s="113">
        <f t="shared" ref="R38" si="216">($B$10/$B$9)*((2*$B$9/($B$10+$B$9))^2)</f>
        <v>0.96344210787283291</v>
      </c>
      <c r="S38" s="113">
        <f t="shared" ref="S38" si="217">($B$9/$B$10)*((2*$B$10/($B$10+$B$9))^2)</f>
        <v>0.96344210787283313</v>
      </c>
      <c r="T38" s="113">
        <f t="shared" ref="T38" si="218">(($B$10*COS(N38))/($B$9*COS(O38)))*(((2*$B$9*COS(O38))^2)/(($B$9*COS(O38)+$B$10*COS(N38))^2))</f>
        <v>0.47252580611364875</v>
      </c>
      <c r="U38" s="112">
        <f t="shared" ref="U38" si="219">(($B$9*COS(O38)-$B$10*COS(N38))^2)/(($B$9*COS(O38)+$B$10*COS(N38))^2)</f>
        <v>0.52747419388635142</v>
      </c>
      <c r="V38" s="112">
        <f t="shared" ref="V38" si="220">1/(2*D38)*($B$15+$B$15)+(E38+E39)/(2*D38^2)*$B$16</f>
        <v>4.5654432132963989E-2</v>
      </c>
      <c r="W38" s="112">
        <f t="shared" ref="W38" si="221">(1/(2*F38))*($B$15+$B$15)+(G38+G39)/(2*F38^2)*$B$16</f>
        <v>7.9060817708448083E-2</v>
      </c>
      <c r="X38" s="113">
        <f t="shared" ref="X38" si="222">H38/R32+I38</f>
        <v>5.3601944775530832</v>
      </c>
      <c r="Y38" s="112"/>
      <c r="Z38" s="111">
        <f t="shared" ref="Z38" si="223">X38/$Y$8</f>
        <v>0.74276980617521304</v>
      </c>
      <c r="AA38" s="111">
        <f t="shared" ref="AA38" si="224">(1/$Y$8)*V38+(1/$Y$8)*W38+(X38)/($Y$8^2)*(1/(2*$H$170)*($B$17+$B$17)+ABS($G$170+$G$171)/(2*$H$170^2)*$B$18)</f>
        <v>4.7729333523989045E-2</v>
      </c>
      <c r="AB38" s="107">
        <f t="shared" ref="AB38" si="225">AA38+Z38</f>
        <v>0.79049913969920205</v>
      </c>
      <c r="AC38" s="91"/>
      <c r="AD38" s="91"/>
      <c r="AE38" s="175">
        <v>75</v>
      </c>
      <c r="AF38" s="140">
        <v>3.0499999999999999E-2</v>
      </c>
      <c r="AG38" s="3">
        <v>7.2499999999999995E-2</v>
      </c>
      <c r="AH38" s="80">
        <v>3.0200000000000001E-2</v>
      </c>
      <c r="AI38" s="11">
        <v>8.0500000000000002E-2</v>
      </c>
    </row>
    <row r="39" spans="1:39" ht="15.75" thickBot="1">
      <c r="C39" s="124"/>
      <c r="D39" s="177"/>
      <c r="E39" s="18">
        <v>5.6000000000000001E-2</v>
      </c>
      <c r="F39" s="180"/>
      <c r="G39" s="57">
        <v>0.14099999999999999</v>
      </c>
      <c r="H39" s="138"/>
      <c r="I39" s="141"/>
      <c r="J39" s="116"/>
      <c r="K39" s="116"/>
      <c r="L39" s="138"/>
      <c r="M39" s="141"/>
      <c r="N39" s="207"/>
      <c r="O39" s="113"/>
      <c r="P39" s="113"/>
      <c r="Q39" s="112"/>
      <c r="R39" s="113"/>
      <c r="S39" s="113"/>
      <c r="T39" s="113"/>
      <c r="U39" s="112"/>
      <c r="V39" s="112"/>
      <c r="W39" s="112"/>
      <c r="X39" s="113"/>
      <c r="Y39" s="112"/>
      <c r="Z39" s="111"/>
      <c r="AA39" s="111"/>
      <c r="AB39" s="107"/>
      <c r="AC39" s="91"/>
      <c r="AD39" s="91"/>
      <c r="AE39" s="175"/>
      <c r="AF39" s="140"/>
      <c r="AG39" s="3">
        <v>7.2599999999999998E-2</v>
      </c>
      <c r="AH39" s="80"/>
      <c r="AI39" s="11">
        <v>7.9699999999999993E-2</v>
      </c>
    </row>
    <row r="40" spans="1:39" ht="15.75" thickBot="1">
      <c r="B40" t="s">
        <v>9</v>
      </c>
      <c r="C40" s="124">
        <v>85</v>
      </c>
      <c r="D40" s="177">
        <v>2.93E-2</v>
      </c>
      <c r="E40" s="18">
        <v>1.1599999999999999E-2</v>
      </c>
      <c r="F40" s="180">
        <v>2.9399999999999999E-2</v>
      </c>
      <c r="G40" s="57">
        <v>0.14699999999999999</v>
      </c>
      <c r="H40" s="138">
        <f>(AVERAGE(E40:E41)/D40)</f>
        <v>0.40102389078498296</v>
      </c>
      <c r="I40" s="141">
        <f>(AVERAGE(G40:G41)/F40)</f>
        <v>5</v>
      </c>
      <c r="J40" s="115">
        <f t="shared" ref="J40" si="226">V40/$H$173+((H40*$H$174)/$H$173^2)</f>
        <v>6.1332865100984539E-3</v>
      </c>
      <c r="K40" s="115">
        <f t="shared" ref="K40" si="227">W40/$H$173+I40*$H$174/$H$173^2</f>
        <v>2.2176870748299323E-2</v>
      </c>
      <c r="L40" s="138">
        <f>H40/$H$173</f>
        <v>5.5570453437347643E-2</v>
      </c>
      <c r="M40" s="141">
        <f>I40/$H$173</f>
        <v>0.69285714285714295</v>
      </c>
      <c r="N40" s="207">
        <f t="shared" ref="N40" si="228">ASIN($B$9/$B$10*SIN(C40*PI()/180))</f>
        <v>0.74285542266524007</v>
      </c>
      <c r="O40" s="113">
        <f t="shared" ref="O40" si="229">C40*PI()/180</f>
        <v>1.4835298641951802</v>
      </c>
      <c r="P40" s="113">
        <f t="shared" ref="P40" si="230">R40*T40</f>
        <v>0.26528715472512576</v>
      </c>
      <c r="Q40" s="112">
        <f t="shared" ref="Q40" si="231">U40</f>
        <v>0.72464650179049306</v>
      </c>
      <c r="R40" s="113">
        <f t="shared" ref="R40" si="232">($B$10/$B$9)*((2*$B$9/($B$10+$B$9))^2)</f>
        <v>0.96344210787283291</v>
      </c>
      <c r="S40" s="113">
        <f t="shared" ref="S40" si="233">($B$9/$B$10)*((2*$B$10/($B$10+$B$9))^2)</f>
        <v>0.96344210787283313</v>
      </c>
      <c r="T40" s="113">
        <f t="shared" ref="T40" si="234">(($B$10*COS(N40))/($B$9*COS(O40)))*(((2*$B$9*COS(O40))^2)/(($B$9*COS(O40)+$B$10*COS(N40))^2))</f>
        <v>0.275353498209507</v>
      </c>
      <c r="U40" s="112">
        <f t="shared" ref="U40" si="235">(($B$9*COS(O40)-$B$10*COS(N40))^2)/(($B$9*COS(O40)+$B$10*COS(N40))^2)</f>
        <v>0.72464650179049306</v>
      </c>
      <c r="V40" s="112">
        <f t="shared" ref="V40" si="236">1/(2*D40)*($B$15+$B$15)+(E40+E41)/(2*D40^2)*$B$16</f>
        <v>4.0973103938310287E-2</v>
      </c>
      <c r="W40" s="112">
        <f t="shared" ref="W40" si="237">(1/(2*F40))*($B$15+$B$15)+(G40+G41)/(2*F40^2)*$B$16</f>
        <v>0.11904761904761904</v>
      </c>
      <c r="X40" s="113">
        <f t="shared" ref="X40:X42" si="238">H40/R34+I40</f>
        <v>5.4162407761794809</v>
      </c>
      <c r="Y40" s="112"/>
      <c r="Z40" s="111">
        <f t="shared" ref="Z40:Z42" si="239">X40/$Y$8</f>
        <v>0.75053622184201385</v>
      </c>
      <c r="AA40" s="111">
        <f t="shared" ref="AA40" si="240">(1/$Y$8)*V40+(1/$Y$8)*W40+(X40)/($Y$8^2)*(1/(2*$H$170)*($B$17+$B$17)+ABS($G$170+$G$171)/(2*$H$170^2)*$B$18)</f>
        <v>5.2940021600906453E-2</v>
      </c>
      <c r="AB40" s="107">
        <f t="shared" ref="AB40" si="241">AA40+Z40</f>
        <v>0.80347624344292035</v>
      </c>
      <c r="AC40" s="91"/>
      <c r="AD40" s="91"/>
      <c r="AE40" s="175">
        <v>80</v>
      </c>
      <c r="AF40" s="140">
        <v>2.9499999999999998E-2</v>
      </c>
      <c r="AG40" s="3">
        <v>3.9100000000000003E-2</v>
      </c>
      <c r="AH40" s="80">
        <v>2.93E-2</v>
      </c>
      <c r="AI40" s="11">
        <v>0.14430000000000001</v>
      </c>
    </row>
    <row r="41" spans="1:39" ht="15.75" thickBot="1">
      <c r="C41" s="124"/>
      <c r="D41" s="185"/>
      <c r="E41" s="62">
        <v>1.1900000000000001E-2</v>
      </c>
      <c r="F41" s="186"/>
      <c r="G41" s="62">
        <v>0.14699999999999999</v>
      </c>
      <c r="H41" s="188"/>
      <c r="I41" s="191"/>
      <c r="J41" s="116"/>
      <c r="K41" s="116"/>
      <c r="L41" s="138"/>
      <c r="M41" s="141"/>
      <c r="N41" s="207"/>
      <c r="O41" s="113"/>
      <c r="P41" s="113"/>
      <c r="Q41" s="112"/>
      <c r="R41" s="113"/>
      <c r="S41" s="113"/>
      <c r="T41" s="113"/>
      <c r="U41" s="112"/>
      <c r="V41" s="112"/>
      <c r="W41" s="112"/>
      <c r="X41" s="113"/>
      <c r="Y41" s="112"/>
      <c r="Z41" s="111"/>
      <c r="AA41" s="111"/>
      <c r="AB41" s="107"/>
      <c r="AC41" s="91"/>
      <c r="AD41" s="91"/>
      <c r="AE41" s="175"/>
      <c r="AF41" s="140"/>
      <c r="AG41" s="3">
        <v>3.9E-2</v>
      </c>
      <c r="AH41" s="80"/>
      <c r="AI41" s="11">
        <v>0.14510000000000001</v>
      </c>
    </row>
    <row r="42" spans="1:39">
      <c r="C42" s="119">
        <v>20</v>
      </c>
      <c r="D42" s="177">
        <v>3.04E-2</v>
      </c>
      <c r="E42" s="18">
        <v>0.17699999999999999</v>
      </c>
      <c r="F42" s="180">
        <v>3.6200000000000003E-2</v>
      </c>
      <c r="G42" s="57">
        <v>1.093E-2</v>
      </c>
      <c r="H42" s="192">
        <f>(AVERAGE(E42:E43)/D42)</f>
        <v>5.822368421052631</v>
      </c>
      <c r="I42" s="141">
        <f>(AVERAGE(G42:G43)/F42)</f>
        <v>0.30082872928176796</v>
      </c>
      <c r="J42" s="115">
        <f>V42/$H$173+((H42*$H$174)/$H$173^2)</f>
        <v>2.4442763687885127E-2</v>
      </c>
      <c r="K42" s="115">
        <f t="shared" ref="K42" si="242">W42/$H$173+I42*$H$174/$H$173^2</f>
        <v>4.7454749892386974E-3</v>
      </c>
      <c r="L42" s="138">
        <f>H42/$H$173</f>
        <v>0.80681390977443612</v>
      </c>
      <c r="M42" s="141">
        <f>I42/$H$173</f>
        <v>4.1686266771902139E-2</v>
      </c>
      <c r="N42" s="207">
        <f>ASIN($B$9/$B$10*SIN(C42*PI()/180))</f>
        <v>0.23436355521169944</v>
      </c>
      <c r="O42" s="113">
        <f t="shared" ref="O42" si="243">C42*PI()/180</f>
        <v>0.3490658503988659</v>
      </c>
      <c r="P42" s="113">
        <f t="shared" ref="P42" si="244">R42*T42</f>
        <v>0.92185719951980427</v>
      </c>
      <c r="Q42" s="112">
        <f t="shared" ref="Q42" si="245">U42</f>
        <v>4.3162851211520477E-2</v>
      </c>
      <c r="R42" s="113">
        <f t="shared" ref="R42" si="246">($B$10/$B$9)*((2*$B$9/($B$10+$B$9))^2)</f>
        <v>0.96344210787283291</v>
      </c>
      <c r="S42" s="113">
        <f t="shared" ref="S42" si="247">($B$9/$B$10)*((2*$B$10/($B$10+$B$9))^2)</f>
        <v>0.96344210787283313</v>
      </c>
      <c r="T42" s="113">
        <f t="shared" ref="T42" si="248">(($B$10*COS(N42))/($B$9*COS(O42)))*(((2*$B$9*COS(O42))^2)/(($B$9*COS(O42)+$B$10*COS(N42))^2))</f>
        <v>0.95683714878847959</v>
      </c>
      <c r="U42" s="112">
        <f t="shared" ref="U42" si="249">(($B$9*COS(O42)-$B$10*COS(N42))^2)/(($B$9*COS(O42)+$B$10*COS(N42))^2)</f>
        <v>4.3162851211520477E-2</v>
      </c>
      <c r="V42" s="112">
        <f t="shared" ref="V42" si="250">1/(2*D42)*($B$15+$B$15)+(E42+E43)/(2*D42^2)*$B$16</f>
        <v>0.12865737534626037</v>
      </c>
      <c r="W42" s="112">
        <f t="shared" ref="W42" si="251">(1/(2*F42))*($B$15+$B$15)+(G42+G43)/(2*F42^2)*$B$16</f>
        <v>3.1779402338145961E-2</v>
      </c>
      <c r="X42" s="113">
        <f t="shared" si="238"/>
        <v>6.3441274116569204</v>
      </c>
      <c r="Y42" s="112"/>
      <c r="Z42" s="111">
        <f t="shared" si="239"/>
        <v>0.8791147984724591</v>
      </c>
      <c r="AA42" s="111">
        <f t="shared" ref="AA42" si="252">(1/$Y$8)*V42+(1/$Y$8)*W42+(X42)/($Y$8^2)*(1/(2*$H$170)*($B$17+$B$17)+ABS($G$170+$G$171)/(2*$H$170^2)*$B$18)</f>
        <v>5.8268323470509434E-2</v>
      </c>
      <c r="AB42" s="107">
        <f t="shared" ref="AB42" si="253">AA42+Z42</f>
        <v>0.93738312194296858</v>
      </c>
      <c r="AC42" s="93"/>
      <c r="AD42" s="90"/>
      <c r="AE42" s="175">
        <v>85</v>
      </c>
      <c r="AF42" s="140">
        <v>3.73E-2</v>
      </c>
      <c r="AG42" s="3">
        <v>1.3100000000000001E-2</v>
      </c>
      <c r="AH42" s="80">
        <v>3.3000000000000002E-2</v>
      </c>
      <c r="AI42" s="11">
        <v>0.159</v>
      </c>
    </row>
    <row r="43" spans="1:39" ht="15.75" thickBot="1">
      <c r="C43" s="184"/>
      <c r="D43" s="190"/>
      <c r="E43" s="58">
        <v>0.17699999999999999</v>
      </c>
      <c r="F43" s="180"/>
      <c r="G43" s="57">
        <v>1.085E-2</v>
      </c>
      <c r="H43" s="193"/>
      <c r="I43" s="194"/>
      <c r="J43" s="116"/>
      <c r="K43" s="116"/>
      <c r="L43" s="179"/>
      <c r="M43" s="194"/>
      <c r="N43" s="207"/>
      <c r="O43" s="113"/>
      <c r="P43" s="113"/>
      <c r="Q43" s="112"/>
      <c r="R43" s="113"/>
      <c r="S43" s="113"/>
      <c r="T43" s="113"/>
      <c r="U43" s="112"/>
      <c r="V43" s="112"/>
      <c r="W43" s="112"/>
      <c r="X43" s="113"/>
      <c r="Y43" s="112"/>
      <c r="Z43" s="111"/>
      <c r="AA43" s="111"/>
      <c r="AB43" s="107"/>
      <c r="AC43" s="93"/>
      <c r="AD43" s="90"/>
      <c r="AE43" s="176"/>
      <c r="AF43" s="149"/>
      <c r="AG43" s="13">
        <v>1.38E-2</v>
      </c>
      <c r="AH43" s="81"/>
      <c r="AI43" s="22">
        <v>0.152</v>
      </c>
    </row>
    <row r="44" spans="1:39" ht="15.75" thickBot="1">
      <c r="C44" s="7"/>
      <c r="D44" s="7"/>
      <c r="E44" s="7"/>
      <c r="F44" s="7"/>
      <c r="G44" s="7"/>
      <c r="H44" s="7"/>
      <c r="I44" s="7"/>
      <c r="J44" s="103"/>
      <c r="K44" s="103"/>
      <c r="W44" s="121" t="e">
        <f>MAX(Z14:Z41)</f>
        <v>#DIV/0!</v>
      </c>
      <c r="X44" s="121"/>
      <c r="Y44" s="121"/>
      <c r="Z44" s="1" t="e">
        <f>MIN(Z14:Z41)</f>
        <v>#DIV/0!</v>
      </c>
    </row>
    <row r="45" spans="1:39" ht="15.75" thickBot="1">
      <c r="A45" t="s">
        <v>67</v>
      </c>
      <c r="C45" s="173" t="s">
        <v>6</v>
      </c>
      <c r="D45" s="173"/>
      <c r="E45" s="173"/>
      <c r="F45" s="173"/>
      <c r="G45" s="173"/>
      <c r="H45" s="173"/>
      <c r="I45" s="144"/>
      <c r="J45" s="117" t="s">
        <v>95</v>
      </c>
      <c r="K45" s="118"/>
      <c r="L45" s="8"/>
      <c r="M45" s="9"/>
      <c r="N45" s="108" t="s">
        <v>85</v>
      </c>
      <c r="O45" s="109"/>
      <c r="P45" s="109"/>
      <c r="Q45" s="109"/>
      <c r="R45" s="109"/>
      <c r="S45" s="109"/>
      <c r="T45" s="109"/>
      <c r="U45" s="109"/>
      <c r="V45" s="106"/>
      <c r="W45" s="110" t="s">
        <v>74</v>
      </c>
      <c r="X45" s="110"/>
      <c r="Y45" s="110"/>
      <c r="Z45" s="110"/>
      <c r="AA45" s="110"/>
      <c r="AC45" s="104" t="s">
        <v>77</v>
      </c>
      <c r="AD45" s="105"/>
      <c r="AE45" s="105"/>
      <c r="AJ45" s="156">
        <v>3.7999999999999999E-2</v>
      </c>
      <c r="AK45" s="24">
        <v>0.246</v>
      </c>
      <c r="AL45" s="174"/>
      <c r="AM45" s="36"/>
    </row>
    <row r="46" spans="1:39" ht="15.75" thickBot="1">
      <c r="A46" t="s">
        <v>51</v>
      </c>
      <c r="B46">
        <f>C204</f>
        <v>1.473231998292388</v>
      </c>
      <c r="C46" s="15" t="s">
        <v>2</v>
      </c>
      <c r="D46" s="129" t="s">
        <v>1</v>
      </c>
      <c r="E46" s="130"/>
      <c r="F46" s="130" t="s">
        <v>0</v>
      </c>
      <c r="G46" s="130"/>
      <c r="H46" s="15" t="s">
        <v>4</v>
      </c>
      <c r="I46" s="20" t="s">
        <v>3</v>
      </c>
      <c r="J46" s="101" t="s">
        <v>96</v>
      </c>
      <c r="K46" s="102" t="s">
        <v>97</v>
      </c>
      <c r="L46" s="15" t="s">
        <v>13</v>
      </c>
      <c r="M46" s="15" t="s">
        <v>14</v>
      </c>
      <c r="N46" s="92" t="s">
        <v>48</v>
      </c>
      <c r="O46" s="66" t="s">
        <v>58</v>
      </c>
      <c r="P46" s="66" t="s">
        <v>54</v>
      </c>
      <c r="Q46" s="67" t="s">
        <v>53</v>
      </c>
      <c r="R46" s="67" t="s">
        <v>55</v>
      </c>
      <c r="S46" s="79" t="s">
        <v>65</v>
      </c>
      <c r="T46" s="67" t="s">
        <v>56</v>
      </c>
      <c r="U46" s="67" t="s">
        <v>57</v>
      </c>
      <c r="V46" s="79" t="s">
        <v>93</v>
      </c>
      <c r="W46" s="79" t="s">
        <v>94</v>
      </c>
      <c r="X46" t="s">
        <v>76</v>
      </c>
      <c r="Y46" t="s">
        <v>75</v>
      </c>
      <c r="Z46" t="s">
        <v>86</v>
      </c>
      <c r="AA46" t="s">
        <v>87</v>
      </c>
      <c r="AC46" t="s">
        <v>78</v>
      </c>
      <c r="AD46" t="s">
        <v>79</v>
      </c>
      <c r="AE46" t="s">
        <v>81</v>
      </c>
      <c r="AJ46" s="150"/>
      <c r="AK46" s="25">
        <v>0.24299999999999999</v>
      </c>
      <c r="AL46" s="138"/>
      <c r="AM46" s="37"/>
    </row>
    <row r="47" spans="1:39">
      <c r="A47" t="s">
        <v>52</v>
      </c>
      <c r="B47">
        <v>1.0002914000000001</v>
      </c>
      <c r="C47" s="123">
        <v>0</v>
      </c>
      <c r="D47" s="183">
        <v>3.39E-2</v>
      </c>
      <c r="E47" s="16">
        <v>0.19600000000000001</v>
      </c>
      <c r="F47" s="189">
        <v>0</v>
      </c>
      <c r="G47" s="28">
        <v>0</v>
      </c>
      <c r="H47" s="174">
        <f>(AVERAGE(E47:E48)/D47)</f>
        <v>5.7522123893805315</v>
      </c>
      <c r="I47" s="178" t="e">
        <f>(AVERAGE(G47:G48)/F47)</f>
        <v>#DIV/0!</v>
      </c>
      <c r="J47" s="115">
        <f>V47/$H$173+((H47*$H$174)/$H$173^2)</f>
        <v>2.2379002505536639E-2</v>
      </c>
      <c r="K47" s="115" t="e">
        <f>W47/$H$173+((I47*$H$174)/$H$173^2)</f>
        <v>#DIV/0!</v>
      </c>
      <c r="L47" s="140">
        <f>H47/$J$173</f>
        <v>0.81501226143512107</v>
      </c>
      <c r="M47" s="139" t="e">
        <f>I47/$J$173</f>
        <v>#DIV/0!</v>
      </c>
      <c r="N47" s="207">
        <f>ASIN($B$46/$B$47*SIN(C47*PI()/180))</f>
        <v>0</v>
      </c>
      <c r="O47" s="113">
        <f>C47*PI()/180</f>
        <v>0</v>
      </c>
      <c r="P47" s="113">
        <f>S47*T47</f>
        <v>0.92822069522244754</v>
      </c>
      <c r="Q47" s="112">
        <f>U47*R47*S47</f>
        <v>3.3933792046146286E-2</v>
      </c>
      <c r="R47" s="113">
        <f>($B$47/$B$46)*((2*$B$46/($B$47+$B$46))^2)</f>
        <v>0.96344210787283313</v>
      </c>
      <c r="S47" s="113">
        <f>($B$46/$B$47)*((2*$B$47/($B$47+$B$46))^2)</f>
        <v>0.96344210787283291</v>
      </c>
      <c r="T47" s="113">
        <f>(($B$47*COS(N47))/($B$46*COS(O47)))*(((2*$B$46*COS(O47))^2)/(($B$46*COS(O47)+$B$47*COS(N47))^2))</f>
        <v>0.96344210787283302</v>
      </c>
      <c r="U47" s="112">
        <f>(($B$46*COS(O47)-$B$47*COS(N47))^2)/(($B$46*COS(O47)+$B$47*COS(N47))^2)</f>
        <v>3.6557892127167091E-2</v>
      </c>
      <c r="V47" s="112">
        <f>(1/(2*D47))*($B$15+$B$15)+(E47+E48)/(2*D47^2)*$B$16</f>
        <v>0.11433941577257423</v>
      </c>
      <c r="W47" s="112" t="e">
        <f>(1/(2*F47))*($B$15+$B$15)+(G47+G48)/(2*F47^2)*$B$16</f>
        <v>#DIV/0!</v>
      </c>
      <c r="X47" s="112"/>
      <c r="Y47" s="112">
        <f>J173</f>
        <v>7.0578231292517009</v>
      </c>
      <c r="Z47" s="111"/>
      <c r="AA47" s="111" t="e">
        <f>(1/$Y$8)*V47+(1/$Y$8)*W47+(X47)/($Y$8^2)*(1/$H$170*($B$17+$B$17)+ABS($G$170+$G$171)/($H$170^2)*$B$18)</f>
        <v>#DIV/0!</v>
      </c>
      <c r="AB47" s="107" t="e">
        <f>AA47+Z47</f>
        <v>#DIV/0!</v>
      </c>
      <c r="AC47" s="107"/>
      <c r="AD47" s="95">
        <f>P47-L47</f>
        <v>0.11320843378732648</v>
      </c>
      <c r="AE47" s="95"/>
      <c r="AJ47" s="150">
        <v>3.7199999999999997E-2</v>
      </c>
      <c r="AK47" s="26">
        <v>0.23499999999999999</v>
      </c>
      <c r="AL47" s="138"/>
      <c r="AM47" s="37"/>
    </row>
    <row r="48" spans="1:39" ht="15.75" thickBot="1">
      <c r="A48" t="s">
        <v>66</v>
      </c>
      <c r="C48" s="123"/>
      <c r="D48" s="177"/>
      <c r="E48" s="17">
        <v>0.19400000000000001</v>
      </c>
      <c r="F48" s="180"/>
      <c r="G48" s="18">
        <v>0</v>
      </c>
      <c r="H48" s="138"/>
      <c r="I48" s="141"/>
      <c r="J48" s="116"/>
      <c r="K48" s="116"/>
      <c r="L48" s="140"/>
      <c r="M48" s="139"/>
      <c r="N48" s="207"/>
      <c r="O48" s="113"/>
      <c r="P48" s="113"/>
      <c r="Q48" s="112"/>
      <c r="R48" s="113"/>
      <c r="S48" s="113"/>
      <c r="T48" s="113"/>
      <c r="U48" s="112"/>
      <c r="V48" s="112"/>
      <c r="W48" s="112"/>
      <c r="X48" s="112"/>
      <c r="Y48" s="112"/>
      <c r="Z48" s="111"/>
      <c r="AA48" s="111"/>
      <c r="AB48" s="107"/>
      <c r="AC48" s="107"/>
      <c r="AD48" s="95"/>
      <c r="AE48" s="95"/>
      <c r="AJ48" s="150"/>
      <c r="AK48" s="26">
        <v>0.22900000000000001</v>
      </c>
      <c r="AL48" s="138"/>
      <c r="AM48" s="37"/>
    </row>
    <row r="49" spans="2:39">
      <c r="C49" s="123">
        <v>5</v>
      </c>
      <c r="D49" s="177">
        <v>3.3700000000000001E-2</v>
      </c>
      <c r="E49" s="18">
        <v>0.191</v>
      </c>
      <c r="F49" s="180">
        <v>0</v>
      </c>
      <c r="G49" s="18">
        <v>0</v>
      </c>
      <c r="H49" s="138">
        <f>(AVERAGE(E49:E50)/D49)</f>
        <v>5.6528189910979227</v>
      </c>
      <c r="I49" s="141" t="e">
        <f>(AVERAGE(G49:G50)/F49)</f>
        <v>#DIV/0!</v>
      </c>
      <c r="J49" s="115">
        <f t="shared" ref="J49" si="254">V49/$H$173+((H49*$H$174)/$H$173^2)</f>
        <v>2.2155768470161361E-2</v>
      </c>
      <c r="K49" s="115" t="e">
        <f t="shared" ref="K49" si="255">W49/$H$173+((I49*$H$174)/$H$173^2)</f>
        <v>#DIV/0!</v>
      </c>
      <c r="L49" s="140">
        <f>H49/$J$173</f>
        <v>0.80092953416038037</v>
      </c>
      <c r="M49" s="139" t="e">
        <f>I49/$J$173</f>
        <v>#DIV/0!</v>
      </c>
      <c r="N49" s="207">
        <f t="shared" ref="N49" si="256">ASIN($B$46/$B$47*SIN(C49*PI()/180))</f>
        <v>0.1287183730013042</v>
      </c>
      <c r="O49" s="113">
        <f t="shared" ref="O49" si="257">C49*PI()/180</f>
        <v>8.7266462599716474E-2</v>
      </c>
      <c r="P49" s="113">
        <f t="shared" ref="P49" si="258">S49*T49</f>
        <v>0.92741883412251513</v>
      </c>
      <c r="Q49" s="112">
        <f t="shared" ref="Q49" si="259">U49*R49*S49</f>
        <v>3.4706338794486404E-2</v>
      </c>
      <c r="R49" s="113">
        <f t="shared" ref="R49" si="260">($B$47/$B$46)*((2*$B$46/($B$47+$B$46))^2)</f>
        <v>0.96344210787283313</v>
      </c>
      <c r="S49" s="113">
        <f t="shared" ref="S49" si="261">($B$46/$B$47)*((2*$B$47/($B$47+$B$46))^2)</f>
        <v>0.96344210787283291</v>
      </c>
      <c r="T49" s="113">
        <f t="shared" ref="T49" si="262">(($B$47*COS(N49))/($B$46*COS(O49)))*(((2*$B$46*COS(O49))^2)/(($B$46*COS(O49)+$B$47*COS(N49))^2))</f>
        <v>0.96260982008576212</v>
      </c>
      <c r="U49" s="112">
        <f t="shared" ref="U49" si="263">(($B$46*COS(O49)-$B$47*COS(N49))^2)/(($B$46*COS(O49)+$B$47*COS(N49))^2)</f>
        <v>3.7390179914238007E-2</v>
      </c>
      <c r="V49" s="112">
        <f t="shared" ref="V49" si="264">(1/(2*D49))*($B$15+$B$15)+(E49+E50)/(2*D49^2)*$B$16</f>
        <v>0.11354330847326295</v>
      </c>
      <c r="W49" s="112" t="e">
        <f t="shared" ref="W49" si="265">(1/(2*F49))*($B$15+$B$15)+(G49+G50)/(2*F49^2)*$B$16</f>
        <v>#DIV/0!</v>
      </c>
      <c r="X49" s="112"/>
      <c r="Y49" s="112"/>
      <c r="Z49" s="111"/>
      <c r="AA49" s="111" t="e">
        <f>(1/$Y$8)*V49+(1/$Y$8)*W49+(X49)/($Y$8^2)*(1/$H$170*($B$17+$B$17)+ABS($G$170+$G$171)/($H$170^2)*$B$18)</f>
        <v>#DIV/0!</v>
      </c>
      <c r="AB49" s="107" t="e">
        <f t="shared" ref="AB49" si="266">AA49+Z49</f>
        <v>#DIV/0!</v>
      </c>
      <c r="AC49" s="107"/>
      <c r="AD49" s="95">
        <f>P49-L49</f>
        <v>0.12648929996213476</v>
      </c>
      <c r="AE49" s="95"/>
      <c r="AJ49" s="150">
        <v>3.5000000000000003E-2</v>
      </c>
      <c r="AK49" s="26">
        <v>0.214</v>
      </c>
      <c r="AL49" s="138"/>
      <c r="AM49" s="37"/>
    </row>
    <row r="50" spans="2:39" ht="15.75" thickBot="1">
      <c r="C50" s="123"/>
      <c r="D50" s="177"/>
      <c r="E50" s="18">
        <v>0.19</v>
      </c>
      <c r="F50" s="180"/>
      <c r="G50" s="18">
        <v>0</v>
      </c>
      <c r="H50" s="138"/>
      <c r="I50" s="141"/>
      <c r="J50" s="116"/>
      <c r="K50" s="116"/>
      <c r="L50" s="140"/>
      <c r="M50" s="139"/>
      <c r="N50" s="207"/>
      <c r="O50" s="113"/>
      <c r="P50" s="113"/>
      <c r="Q50" s="112"/>
      <c r="R50" s="113"/>
      <c r="S50" s="113"/>
      <c r="T50" s="113"/>
      <c r="U50" s="112"/>
      <c r="V50" s="112"/>
      <c r="W50" s="112"/>
      <c r="X50" s="112"/>
      <c r="Y50" s="112"/>
      <c r="Z50" s="111"/>
      <c r="AA50" s="111"/>
      <c r="AB50" s="107"/>
      <c r="AC50" s="107"/>
      <c r="AD50" s="95"/>
      <c r="AE50" s="95"/>
      <c r="AJ50" s="150"/>
      <c r="AK50" s="26">
        <v>0.20899999999999999</v>
      </c>
      <c r="AL50" s="138"/>
      <c r="AM50" s="37"/>
    </row>
    <row r="51" spans="2:39">
      <c r="C51" s="123">
        <v>10</v>
      </c>
      <c r="D51" s="177">
        <v>3.1899999999999998E-2</v>
      </c>
      <c r="E51" s="18">
        <v>0.20399999999999999</v>
      </c>
      <c r="F51" s="180">
        <v>0</v>
      </c>
      <c r="G51" s="18">
        <v>0</v>
      </c>
      <c r="H51" s="138">
        <f>(AVERAGE(E51:E52)/D51)</f>
        <v>6.3949843260188084</v>
      </c>
      <c r="I51" s="141" t="e">
        <f>(AVERAGE(G51:G52)/F51)</f>
        <v>#DIV/0!</v>
      </c>
      <c r="J51" s="115">
        <f t="shared" ref="J51" si="267">V51/$H$173+((H51*$H$174)/$H$173^2)</f>
        <v>2.5498670454119288E-2</v>
      </c>
      <c r="K51" s="115" t="e">
        <f t="shared" ref="K51" si="268">W51/$H$173+((I51*$H$174)/$H$173^2)</f>
        <v>#DIV/0!</v>
      </c>
      <c r="L51" s="140">
        <f>H51/$J$173</f>
        <v>0.90608452619254443</v>
      </c>
      <c r="M51" s="139" t="e">
        <f>I51/$J$173</f>
        <v>#DIV/0!</v>
      </c>
      <c r="N51" s="207">
        <f>ASIN($B$46/$B$47*SIN(C51*PI()/180))</f>
        <v>0.25862293461365621</v>
      </c>
      <c r="O51" s="113">
        <f t="shared" ref="O51" si="269">C51*PI()/180</f>
        <v>0.17453292519943295</v>
      </c>
      <c r="P51" s="113">
        <f t="shared" ref="P51" si="270">S51*T51</f>
        <v>0.92486448843363589</v>
      </c>
      <c r="Q51" s="112">
        <f t="shared" ref="Q51" si="271">U51*R51*S51</f>
        <v>3.7167302989215993E-2</v>
      </c>
      <c r="R51" s="113">
        <f t="shared" ref="R51" si="272">($B$47/$B$46)*((2*$B$46/($B$47+$B$46))^2)</f>
        <v>0.96344210787283313</v>
      </c>
      <c r="S51" s="113">
        <f t="shared" ref="S51" si="273">($B$46/$B$47)*((2*$B$47/($B$47+$B$46))^2)</f>
        <v>0.96344210787283291</v>
      </c>
      <c r="T51" s="113">
        <f t="shared" ref="T51" si="274">(($B$47*COS(N51))/($B$46*COS(O51)))*(((2*$B$46*COS(O51))^2)/(($B$46*COS(O51)+$B$47*COS(N51))^2))</f>
        <v>0.95995854953405357</v>
      </c>
      <c r="U51" s="112">
        <f t="shared" ref="U51" si="275">(($B$46*COS(O51)-$B$47*COS(N51))^2)/(($B$46*COS(O51)+$B$47*COS(N51))^2)</f>
        <v>4.0041450465946427E-2</v>
      </c>
      <c r="V51" s="112">
        <f t="shared" ref="V51" si="276">(1/(2*D51))*($B$15+$B$15)+(E51+E52)/(2*D51^2)*$B$16</f>
        <v>0.13158282642662708</v>
      </c>
      <c r="W51" s="112" t="e">
        <f t="shared" ref="W51" si="277">(1/(2*F51))*($B$15+$B$15)+(G51+G52)/(2*F51^2)*$B$16</f>
        <v>#DIV/0!</v>
      </c>
      <c r="X51" s="112"/>
      <c r="Y51" s="112"/>
      <c r="Z51" s="111"/>
      <c r="AA51" s="111" t="e">
        <f t="shared" ref="AA51" si="278">(1/$Y$8)*V51+(1/$Y$8)*W51+(X51)/($Y$8^2)*(1/$H$170*($B$17+$B$17)+ABS($G$170+$G$171)/($H$170^2)*$B$18)</f>
        <v>#DIV/0!</v>
      </c>
      <c r="AB51" s="107" t="e">
        <f t="shared" ref="AB51" si="279">AA51+Z51</f>
        <v>#DIV/0!</v>
      </c>
      <c r="AC51" s="107"/>
      <c r="AD51" s="95">
        <f>P51-L51</f>
        <v>1.8779962241091464E-2</v>
      </c>
      <c r="AE51" s="95"/>
      <c r="AJ51" s="150">
        <v>3.3000000000000002E-2</v>
      </c>
      <c r="AK51" s="26">
        <v>0.20499999999999999</v>
      </c>
      <c r="AL51" s="138">
        <v>3.1699999999999999E-2</v>
      </c>
      <c r="AM51" s="37">
        <v>9.1000000000000004E-3</v>
      </c>
    </row>
    <row r="52" spans="2:39" ht="15.75" thickBot="1">
      <c r="C52" s="123"/>
      <c r="D52" s="177"/>
      <c r="E52" s="18">
        <v>0.20399999999999999</v>
      </c>
      <c r="F52" s="180"/>
      <c r="G52" s="18">
        <v>0</v>
      </c>
      <c r="H52" s="138"/>
      <c r="I52" s="141"/>
      <c r="J52" s="116"/>
      <c r="K52" s="116"/>
      <c r="L52" s="140"/>
      <c r="M52" s="139"/>
      <c r="N52" s="207"/>
      <c r="O52" s="113"/>
      <c r="P52" s="113"/>
      <c r="Q52" s="112"/>
      <c r="R52" s="113"/>
      <c r="S52" s="113"/>
      <c r="T52" s="113"/>
      <c r="U52" s="112"/>
      <c r="V52" s="112"/>
      <c r="W52" s="112"/>
      <c r="X52" s="112"/>
      <c r="Y52" s="112"/>
      <c r="Z52" s="111"/>
      <c r="AA52" s="111"/>
      <c r="AB52" s="107"/>
      <c r="AC52" s="107"/>
      <c r="AD52" s="95"/>
      <c r="AE52" s="95"/>
      <c r="AJ52" s="150"/>
      <c r="AK52" s="26">
        <v>0.19500000000000001</v>
      </c>
      <c r="AL52" s="138"/>
      <c r="AM52" s="37">
        <v>8.9999999999999993E-3</v>
      </c>
    </row>
    <row r="53" spans="2:39" ht="15" customHeight="1">
      <c r="C53" s="123">
        <v>15</v>
      </c>
      <c r="D53" s="177">
        <v>3.04E-2</v>
      </c>
      <c r="E53" s="18">
        <v>0.185</v>
      </c>
      <c r="F53" s="180">
        <v>0</v>
      </c>
      <c r="G53" s="18">
        <v>0</v>
      </c>
      <c r="H53" s="138">
        <f>(AVERAGE(E53:E54)/D53)</f>
        <v>6.0690789473684212</v>
      </c>
      <c r="I53" s="141" t="e">
        <f>(AVERAGE(G53:G54)/F53)</f>
        <v>#DIV/0!</v>
      </c>
      <c r="J53" s="115">
        <f t="shared" ref="J53" si="280">V53/$H$173+((H53*$H$174)/$H$173^2)</f>
        <v>2.5285326951071288E-2</v>
      </c>
      <c r="K53" s="115" t="e">
        <f t="shared" ref="K53" si="281">W53/$H$173+((I53*$H$174)/$H$173^2)</f>
        <v>#DIV/0!</v>
      </c>
      <c r="L53" s="140">
        <f>H53/$J$173</f>
        <v>0.85990805326569442</v>
      </c>
      <c r="M53" s="139" t="e">
        <f>I53/$J$173</f>
        <v>#DIV/0!</v>
      </c>
      <c r="N53" s="207">
        <f t="shared" ref="N53" si="282">ASIN($B$46/$B$47*SIN(C53*PI()/180))</f>
        <v>0.39108251534244659</v>
      </c>
      <c r="O53" s="113">
        <f t="shared" ref="O53" si="283">C53*PI()/180</f>
        <v>0.26179938779914941</v>
      </c>
      <c r="P53" s="113">
        <f t="shared" ref="P53" si="284">S53*T53</f>
        <v>0.92004836941943235</v>
      </c>
      <c r="Q53" s="112">
        <f t="shared" ref="Q53" si="285">U53*R53*S53</f>
        <v>4.1807354844026694E-2</v>
      </c>
      <c r="R53" s="113">
        <f t="shared" ref="R53" si="286">($B$47/$B$46)*((2*$B$46/($B$47+$B$46))^2)</f>
        <v>0.96344210787283313</v>
      </c>
      <c r="S53" s="113">
        <f t="shared" ref="S53" si="287">($B$46/$B$47)*((2*$B$47/($B$47+$B$46))^2)</f>
        <v>0.96344210787283291</v>
      </c>
      <c r="T53" s="113">
        <f t="shared" ref="T53" si="288">(($B$47*COS(N53))/($B$46*COS(O53)))*(((2*$B$46*COS(O53))^2)/(($B$46*COS(O53)+$B$47*COS(N53))^2))</f>
        <v>0.95495968247722862</v>
      </c>
      <c r="U53" s="112">
        <f t="shared" ref="U53" si="289">(($B$46*COS(O53)-$B$47*COS(N53))^2)/(($B$46*COS(O53)+$B$47*COS(N53))^2)</f>
        <v>4.5040317522771441E-2</v>
      </c>
      <c r="V53" s="112">
        <f t="shared" ref="V53" si="290">(1/(2*D53))*($B$15+$B$15)+(E53+E54)/(2*D53^2)*$B$16</f>
        <v>0.13271511426592797</v>
      </c>
      <c r="W53" s="112" t="e">
        <f t="shared" ref="W53" si="291">(1/(2*F53))*($B$15+$B$15)+(G53+G54)/(2*F53^2)*$B$16</f>
        <v>#DIV/0!</v>
      </c>
      <c r="X53" s="113" t="e">
        <f>H53/R47+I53/(R47*S47)</f>
        <v>#DIV/0!</v>
      </c>
      <c r="Y53" s="112"/>
      <c r="Z53" s="111" t="e">
        <f>X53/$Y$8</f>
        <v>#DIV/0!</v>
      </c>
      <c r="AA53" s="111" t="e">
        <f>(1/$Y$8)*V53+(1/$Y$8)*W53+(X53)/($Y$8^2)*(1/$H$170*($B$17+$B$17)+ABS($G$170+$G$171)/($H$170^2)*$B$18)</f>
        <v>#DIV/0!</v>
      </c>
      <c r="AB53" s="107" t="e">
        <f t="shared" ref="AB53" si="292">AA53+Z53</f>
        <v>#DIV/0!</v>
      </c>
      <c r="AC53" s="107"/>
      <c r="AD53" s="95">
        <f>P53-L53</f>
        <v>6.0140316153737938E-2</v>
      </c>
      <c r="AE53" s="97" t="s">
        <v>82</v>
      </c>
      <c r="AJ53" s="150">
        <v>3.09E-2</v>
      </c>
      <c r="AK53" s="26">
        <v>0.18</v>
      </c>
      <c r="AL53" s="138">
        <v>3.0200000000000001E-2</v>
      </c>
      <c r="AM53" s="37">
        <v>1.0200000000000001E-2</v>
      </c>
    </row>
    <row r="54" spans="2:39" ht="15.75" thickBot="1">
      <c r="C54" s="123"/>
      <c r="D54" s="177"/>
      <c r="E54" s="18">
        <v>0.184</v>
      </c>
      <c r="F54" s="180"/>
      <c r="G54" s="18">
        <v>0</v>
      </c>
      <c r="H54" s="138"/>
      <c r="I54" s="141"/>
      <c r="J54" s="116"/>
      <c r="K54" s="116"/>
      <c r="L54" s="140"/>
      <c r="M54" s="139"/>
      <c r="N54" s="207"/>
      <c r="O54" s="113"/>
      <c r="P54" s="113"/>
      <c r="Q54" s="112"/>
      <c r="R54" s="113"/>
      <c r="S54" s="113"/>
      <c r="T54" s="113"/>
      <c r="U54" s="112"/>
      <c r="V54" s="112"/>
      <c r="W54" s="112"/>
      <c r="X54" s="113"/>
      <c r="Y54" s="112"/>
      <c r="Z54" s="111"/>
      <c r="AA54" s="111"/>
      <c r="AB54" s="107"/>
      <c r="AC54" s="107"/>
      <c r="AD54" s="95"/>
      <c r="AE54" s="97"/>
      <c r="AJ54" s="150"/>
      <c r="AK54" s="26">
        <v>0.17899999999999999</v>
      </c>
      <c r="AL54" s="138"/>
      <c r="AM54" s="37">
        <v>1.01E-2</v>
      </c>
    </row>
    <row r="55" spans="2:39">
      <c r="C55" s="123">
        <v>25</v>
      </c>
      <c r="D55" s="177">
        <v>2.92E-2</v>
      </c>
      <c r="E55" s="18">
        <v>0.158</v>
      </c>
      <c r="F55" s="180">
        <v>2.9100000000000001E-2</v>
      </c>
      <c r="G55" s="18">
        <v>1.073E-2</v>
      </c>
      <c r="H55" s="138">
        <f>(AVERAGE(E55:E56)/D55)</f>
        <v>5.4109589041095889</v>
      </c>
      <c r="I55" s="141">
        <f>(AVERAGE(G55:G56)/F55)</f>
        <v>0.36838487972508593</v>
      </c>
      <c r="J55" s="115">
        <f t="shared" ref="J55" si="293">V55/$H$173+((H55*$H$174)/$H$173^2)</f>
        <v>2.3731855474409695E-2</v>
      </c>
      <c r="K55" s="115">
        <f t="shared" ref="K55" si="294">W55/$H$173+((I55*$H$174)/$H$173^2)</f>
        <v>6.0575168899174798E-3</v>
      </c>
      <c r="L55" s="140">
        <f>H55/$J$173</f>
        <v>0.76666116520878025</v>
      </c>
      <c r="M55" s="139">
        <f>I55/$J$173</f>
        <v>5.2195255247795308E-2</v>
      </c>
      <c r="N55" s="207">
        <f t="shared" ref="N55" si="295">ASIN($B$46/$B$47*SIN(C55*PI()/180))</f>
        <v>0.6718479244770551</v>
      </c>
      <c r="O55" s="113">
        <f t="shared" ref="O55" si="296">C55*PI()/180</f>
        <v>0.43633231299858238</v>
      </c>
      <c r="P55" s="113">
        <f t="shared" ref="P55" si="297">S55*T55</f>
        <v>0.89793582229176339</v>
      </c>
      <c r="Q55" s="112">
        <f t="shared" ref="Q55" si="298">U55*R55*S55</f>
        <v>6.3111513859145263E-2</v>
      </c>
      <c r="R55" s="113">
        <f t="shared" ref="R55" si="299">($B$47/$B$46)*((2*$B$46/($B$47+$B$46))^2)</f>
        <v>0.96344210787283313</v>
      </c>
      <c r="S55" s="113">
        <f t="shared" ref="S55" si="300">($B$46/$B$47)*((2*$B$47/($B$47+$B$46))^2)</f>
        <v>0.96344210787283291</v>
      </c>
      <c r="T55" s="113">
        <f t="shared" ref="T55" si="301">(($B$47*COS(N55))/($B$46*COS(O55)))*(((2*$B$46*COS(O55))^2)/(($B$46*COS(O55)+$B$47*COS(N55))^2))</f>
        <v>0.93200807288182608</v>
      </c>
      <c r="U55" s="112">
        <f t="shared" ref="U55" si="302">(($B$46*COS(O55)-$B$47*COS(N55))^2)/(($B$46*COS(O55)+$B$47*COS(N55))^2)</f>
        <v>6.7991927118173784E-2</v>
      </c>
      <c r="V55" s="112">
        <f t="shared" ref="V55" si="303">(1/(2*D55))*($B$15+$B$15)+(E55+E56)/(2*D55^2)*$B$16</f>
        <v>0.12689998123475324</v>
      </c>
      <c r="W55" s="112">
        <f t="shared" ref="W55" si="304">(1/(2*F55))*($B$15+$B$15)+(G55+G56)/(2*F55^2)*$B$16</f>
        <v>4.0693898277063337E-2</v>
      </c>
      <c r="X55" s="113">
        <f t="shared" ref="X55" si="305">H55/R49+I55/(R49*S49)</f>
        <v>6.0131502784217625</v>
      </c>
      <c r="Y55" s="112"/>
      <c r="Z55" s="111">
        <f t="shared" ref="Z55" si="306">X55/$Y$8</f>
        <v>0.83325082429558717</v>
      </c>
      <c r="AA55" s="111">
        <f t="shared" ref="AA55" si="307">(1/$Y$8)*V55+(1/$Y$8)*W55+(X55)/($Y$8^2)*(1/$H$170*($B$17+$B$17)+ABS($G$170+$G$171)/($H$170^2)*$B$18)</f>
        <v>9.1536382929388094E-2</v>
      </c>
      <c r="AB55" s="107">
        <f t="shared" ref="AB55" si="308">AA55+Z55</f>
        <v>0.92478720722497521</v>
      </c>
      <c r="AC55" s="107">
        <f>Q55-M55</f>
        <v>1.0916258611349955E-2</v>
      </c>
      <c r="AD55" s="95">
        <f>P55-L55</f>
        <v>0.13127465708298314</v>
      </c>
      <c r="AE55" s="97"/>
      <c r="AJ55" s="150">
        <v>3.0800000000000001E-2</v>
      </c>
      <c r="AK55" s="26">
        <v>0.17100000000000001</v>
      </c>
      <c r="AL55" s="138">
        <v>3.1E-2</v>
      </c>
      <c r="AM55" s="37">
        <v>1.6E-2</v>
      </c>
    </row>
    <row r="56" spans="2:39" ht="15.75" thickBot="1">
      <c r="C56" s="123"/>
      <c r="D56" s="177"/>
      <c r="E56" s="18">
        <v>0.158</v>
      </c>
      <c r="F56" s="180"/>
      <c r="G56" s="18">
        <v>1.0710000000000001E-2</v>
      </c>
      <c r="H56" s="138"/>
      <c r="I56" s="141"/>
      <c r="J56" s="116"/>
      <c r="K56" s="116"/>
      <c r="L56" s="140"/>
      <c r="M56" s="139"/>
      <c r="N56" s="207"/>
      <c r="O56" s="113"/>
      <c r="P56" s="113"/>
      <c r="Q56" s="112"/>
      <c r="R56" s="113"/>
      <c r="S56" s="113"/>
      <c r="T56" s="113"/>
      <c r="U56" s="112"/>
      <c r="V56" s="112"/>
      <c r="W56" s="112"/>
      <c r="X56" s="113"/>
      <c r="Y56" s="112"/>
      <c r="Z56" s="111"/>
      <c r="AA56" s="111"/>
      <c r="AB56" s="107"/>
      <c r="AC56" s="107"/>
      <c r="AD56" s="95"/>
      <c r="AE56" s="97"/>
      <c r="AJ56" s="150"/>
      <c r="AK56" s="26">
        <v>0.17199999999999999</v>
      </c>
      <c r="AL56" s="138"/>
      <c r="AM56" s="37">
        <v>1.6E-2</v>
      </c>
    </row>
    <row r="57" spans="2:39">
      <c r="C57" s="123">
        <v>30</v>
      </c>
      <c r="D57" s="177">
        <v>2.92E-2</v>
      </c>
      <c r="E57" s="18">
        <v>0.1545</v>
      </c>
      <c r="F57" s="180">
        <v>2.8899999999999999E-2</v>
      </c>
      <c r="G57" s="18">
        <v>1.52E-2</v>
      </c>
      <c r="H57" s="138">
        <f>(AVERAGE(E57:E58)/D57)</f>
        <v>5.2928082191780819</v>
      </c>
      <c r="I57" s="141">
        <f>(AVERAGE(G57:G58)/F57)</f>
        <v>0.52491349480968863</v>
      </c>
      <c r="J57" s="115">
        <f t="shared" ref="J57" si="309">V57/$H$173+((H57*$H$174)/$H$173^2)</f>
        <v>2.3317282106124493E-2</v>
      </c>
      <c r="K57" s="115">
        <f t="shared" ref="K57" si="310">W57/$H$173+((I57*$H$174)/$H$173^2)</f>
        <v>6.6496325458740404E-3</v>
      </c>
      <c r="L57" s="140">
        <f>H57/$J$173</f>
        <v>0.74992077900643661</v>
      </c>
      <c r="M57" s="139">
        <f>I57/$J$173</f>
        <v>7.4373285529661909E-2</v>
      </c>
      <c r="N57" s="207">
        <f t="shared" ref="N57" si="311">ASIN($B$46/$B$47*SIN(C57*PI()/180))</f>
        <v>0.82773577722908398</v>
      </c>
      <c r="O57" s="113">
        <f t="shared" ref="O57" si="312">C57*PI()/180</f>
        <v>0.52359877559829882</v>
      </c>
      <c r="P57" s="113">
        <f t="shared" ref="P57" si="313">S57*T57</f>
        <v>0.87273962211022171</v>
      </c>
      <c r="Q57" s="112">
        <f t="shared" ref="Q57" si="314">U57*R57*S57</f>
        <v>8.7386594072435791E-2</v>
      </c>
      <c r="R57" s="113">
        <f t="shared" ref="R57" si="315">($B$47/$B$46)*((2*$B$46/($B$47+$B$46))^2)</f>
        <v>0.96344210787283313</v>
      </c>
      <c r="S57" s="113">
        <f t="shared" ref="S57" si="316">($B$46/$B$47)*((2*$B$47/($B$47+$B$46))^2)</f>
        <v>0.96344210787283291</v>
      </c>
      <c r="T57" s="113">
        <f t="shared" ref="T57" si="317">(($B$47*COS(N57))/($B$46*COS(O57)))*(((2*$B$46*COS(O57))^2)/(($B$46*COS(O57)+$B$47*COS(N57))^2))</f>
        <v>0.90585580075706718</v>
      </c>
      <c r="U57" s="112">
        <f t="shared" ref="U57" si="318">(($B$46*COS(O57)-$B$47*COS(N57))^2)/(($B$46*COS(O57)+$B$47*COS(N57))^2)</f>
        <v>9.414419924293288E-2</v>
      </c>
      <c r="V57" s="112">
        <f t="shared" ref="V57" si="319">(1/(2*D57))*($B$15+$B$15)+(E57+E58)/(2*D57^2)*$B$16</f>
        <v>0.12487685306811784</v>
      </c>
      <c r="W57" s="112">
        <f t="shared" ref="W57" si="320">(1/(2*F57))*($B$15+$B$15)+(G57+G58)/(2*F57^2)*$B$16</f>
        <v>4.3683624477676278E-2</v>
      </c>
      <c r="X57" s="113">
        <f t="shared" ref="X57" si="321">H57/R51+I57/(R51*S51)</f>
        <v>6.0591493283969839</v>
      </c>
      <c r="Y57" s="112"/>
      <c r="Z57" s="111">
        <f t="shared" ref="Z57" si="322">X57/$Y$8</f>
        <v>0.83962497836358219</v>
      </c>
      <c r="AA57" s="111">
        <f t="shared" ref="AA57" si="323">(1/$Y$8)*V57+(1/$Y$8)*W57+(X57)/($Y$8^2)*(1/$H$170*($B$17+$B$17)+ABS($G$170+$G$171)/($H$170^2)*$B$18)</f>
        <v>9.2192900041025788E-2</v>
      </c>
      <c r="AB57" s="107">
        <f t="shared" ref="AB57" si="324">AA57+Z57</f>
        <v>0.93181787840460795</v>
      </c>
      <c r="AC57" s="107">
        <f>Q57-M57</f>
        <v>1.3013308542773883E-2</v>
      </c>
      <c r="AD57" s="95">
        <f>P57-L57</f>
        <v>0.1228188431037851</v>
      </c>
      <c r="AE57" s="97"/>
      <c r="AJ57" s="150">
        <v>3.0499999999999999E-2</v>
      </c>
      <c r="AK57" s="26">
        <v>0.154</v>
      </c>
      <c r="AL57" s="138">
        <v>3.0499999999999999E-2</v>
      </c>
      <c r="AM57" s="37">
        <v>2.53E-2</v>
      </c>
    </row>
    <row r="58" spans="2:39" ht="15.75" thickBot="1">
      <c r="C58" s="123"/>
      <c r="D58" s="177"/>
      <c r="E58" s="18">
        <v>0.15459999999999999</v>
      </c>
      <c r="F58" s="180"/>
      <c r="G58" s="18">
        <v>1.5140000000000001E-2</v>
      </c>
      <c r="H58" s="138"/>
      <c r="I58" s="141"/>
      <c r="J58" s="116"/>
      <c r="K58" s="116"/>
      <c r="L58" s="140"/>
      <c r="M58" s="139"/>
      <c r="N58" s="207"/>
      <c r="O58" s="113"/>
      <c r="P58" s="113"/>
      <c r="Q58" s="112"/>
      <c r="R58" s="113"/>
      <c r="S58" s="113"/>
      <c r="T58" s="113"/>
      <c r="U58" s="112"/>
      <c r="V58" s="112"/>
      <c r="W58" s="112"/>
      <c r="X58" s="113"/>
      <c r="Y58" s="112"/>
      <c r="Z58" s="111"/>
      <c r="AA58" s="111"/>
      <c r="AB58" s="107"/>
      <c r="AC58" s="107"/>
      <c r="AD58" s="95"/>
      <c r="AE58" s="97"/>
      <c r="AJ58" s="150"/>
      <c r="AK58" s="26">
        <v>0.155</v>
      </c>
      <c r="AL58" s="138"/>
      <c r="AM58" s="37">
        <v>2.5399999999999999E-2</v>
      </c>
    </row>
    <row r="59" spans="2:39">
      <c r="C59" s="123">
        <v>35</v>
      </c>
      <c r="D59" s="177">
        <v>2.9100000000000001E-2</v>
      </c>
      <c r="E59" s="18">
        <v>0.13969999999999999</v>
      </c>
      <c r="F59" s="180">
        <v>2.8799999999999999E-2</v>
      </c>
      <c r="G59" s="18">
        <v>2.5360000000000001E-2</v>
      </c>
      <c r="H59" s="138">
        <f>(AVERAGE(E59:E60)/D59)</f>
        <v>4.8041237113402051</v>
      </c>
      <c r="I59" s="141">
        <f>(AVERAGE(G59:G60)/F59)</f>
        <v>0.88055555555555565</v>
      </c>
      <c r="J59" s="115">
        <f t="shared" ref="J59" si="325">V59/$H$173+((H59*$H$174)/$H$173^2)</f>
        <v>2.1658040535801951E-2</v>
      </c>
      <c r="K59" s="115">
        <f t="shared" ref="K59" si="326">W59/$H$173+((I59*$H$174)/$H$173^2)</f>
        <v>7.9302669910556838E-3</v>
      </c>
      <c r="L59" s="140">
        <f>H59/$J$173</f>
        <v>0.68068066078747969</v>
      </c>
      <c r="M59" s="139">
        <f>I59/$J$173</f>
        <v>0.12476305220883535</v>
      </c>
      <c r="N59" s="207">
        <f t="shared" ref="N59" si="327">ASIN($B$46/$B$47*SIN(C59*PI()/180))</f>
        <v>1.0061258658435575</v>
      </c>
      <c r="O59" s="113">
        <f t="shared" ref="O59" si="328">C59*PI()/180</f>
        <v>0.6108652381980153</v>
      </c>
      <c r="P59" s="113">
        <f t="shared" ref="P59" si="329">S59*T59</f>
        <v>0.82029449199467808</v>
      </c>
      <c r="Q59" s="112">
        <f t="shared" ref="Q59" si="330">U59*R59*S59</f>
        <v>0.13791444077862028</v>
      </c>
      <c r="R59" s="113">
        <f t="shared" ref="R59" si="331">($B$47/$B$46)*((2*$B$46/($B$47+$B$46))^2)</f>
        <v>0.96344210787283313</v>
      </c>
      <c r="S59" s="113">
        <f t="shared" ref="S59" si="332">($B$46/$B$47)*((2*$B$47/($B$47+$B$46))^2)</f>
        <v>0.96344210787283291</v>
      </c>
      <c r="T59" s="113">
        <f t="shared" ref="T59" si="333">(($B$47*COS(N59))/($B$46*COS(O59)))*(((2*$B$46*COS(O59))^2)/(($B$46*COS(O59)+$B$47*COS(N59))^2))</f>
        <v>0.85142063575131877</v>
      </c>
      <c r="U59" s="112">
        <f t="shared" ref="U59" si="334">(($B$46*COS(O59)-$B$47*COS(N59))^2)/(($B$46*COS(O59)+$B$47*COS(N59))^2)</f>
        <v>0.14857936424868134</v>
      </c>
      <c r="V59" s="112">
        <f t="shared" ref="V59" si="335">(1/(2*D59))*($B$15+$B$15)+(E59+E60)/(2*D59^2)*$B$16</f>
        <v>0.11690934211924753</v>
      </c>
      <c r="W59" s="112">
        <f t="shared" ref="W59" si="336">(1/(2*F59))*($B$15+$B$15)+(G59+G60)/(2*F59^2)*$B$16</f>
        <v>5.0009645061728399E-2</v>
      </c>
      <c r="X59" s="113">
        <f t="shared" ref="X59" si="337">H59/R53+I59/(R53*S53)</f>
        <v>5.9350655063457491</v>
      </c>
      <c r="Y59" s="112"/>
      <c r="Z59" s="111">
        <f t="shared" ref="Z59" si="338">X59/$Y$8</f>
        <v>0.82243050587933964</v>
      </c>
      <c r="AA59" s="111">
        <f>(1/$Y$8)*V59+(1/$Y$8)*W59+(X59)/($Y$8^2)*(1/$H$170*($B$17+$B$17)+ABS($G$170+$G$171)/($H$170^2)*$B$18)</f>
        <v>9.0555776629074047E-2</v>
      </c>
      <c r="AB59" s="107">
        <f t="shared" ref="AB59" si="339">AA59+Z59</f>
        <v>0.91298628250841363</v>
      </c>
      <c r="AC59" s="107">
        <f>Q59-M59</f>
        <v>1.3151388569784928E-2</v>
      </c>
      <c r="AD59" s="95">
        <f>P59-L59</f>
        <v>0.13961383120719839</v>
      </c>
      <c r="AE59" s="95">
        <f>AVERAGE(AC55:AC62)</f>
        <v>1.0295454106679584E-2</v>
      </c>
      <c r="AJ59" s="150">
        <v>3.0880000000000001E-2</v>
      </c>
      <c r="AK59" s="26">
        <v>0.14080000000000001</v>
      </c>
      <c r="AL59" s="138">
        <v>3.6999999999999998E-2</v>
      </c>
      <c r="AM59" s="37">
        <v>6.5100000000000005E-2</v>
      </c>
    </row>
    <row r="60" spans="2:39" ht="15.75" thickBot="1">
      <c r="C60" s="123"/>
      <c r="D60" s="177"/>
      <c r="E60" s="18">
        <v>0.1399</v>
      </c>
      <c r="F60" s="180"/>
      <c r="G60" s="18">
        <v>2.5360000000000001E-2</v>
      </c>
      <c r="H60" s="138"/>
      <c r="I60" s="141"/>
      <c r="J60" s="116"/>
      <c r="K60" s="116"/>
      <c r="L60" s="140"/>
      <c r="M60" s="139"/>
      <c r="N60" s="207"/>
      <c r="O60" s="113"/>
      <c r="P60" s="113"/>
      <c r="Q60" s="112"/>
      <c r="R60" s="113"/>
      <c r="S60" s="113"/>
      <c r="T60" s="113"/>
      <c r="U60" s="112"/>
      <c r="V60" s="112"/>
      <c r="W60" s="112"/>
      <c r="X60" s="113"/>
      <c r="Y60" s="112"/>
      <c r="Z60" s="111"/>
      <c r="AA60" s="111"/>
      <c r="AB60" s="107"/>
      <c r="AC60" s="107"/>
      <c r="AD60" s="95"/>
      <c r="AE60" s="95"/>
      <c r="AJ60" s="150"/>
      <c r="AK60" s="26">
        <v>0.13850000000000001</v>
      </c>
      <c r="AL60" s="138"/>
      <c r="AM60" s="37">
        <v>6.5000000000000002E-2</v>
      </c>
    </row>
    <row r="61" spans="2:39" ht="15" customHeight="1">
      <c r="B61" s="54"/>
      <c r="C61" s="123">
        <v>40</v>
      </c>
      <c r="D61" s="177">
        <v>2.9100000000000001E-2</v>
      </c>
      <c r="E61" s="18">
        <v>8.5000000000000006E-2</v>
      </c>
      <c r="F61" s="180">
        <v>2.92E-2</v>
      </c>
      <c r="G61" s="18">
        <v>5.8299999999999998E-2</v>
      </c>
      <c r="H61" s="138">
        <f>(AVERAGE(E61:E62)/D61)</f>
        <v>2.9278350515463916</v>
      </c>
      <c r="I61" s="141">
        <f>(AVERAGE(G61:G62)/F61)</f>
        <v>1.9948630136986301</v>
      </c>
      <c r="J61" s="115">
        <f t="shared" ref="J61" si="340">V61/$H$173+((H61*$H$174)/$H$173^2)</f>
        <v>1.5059120555438673E-2</v>
      </c>
      <c r="K61" s="115">
        <f t="shared" ref="K61" si="341">W61/$H$173+((I61*$H$174)/$H$173^2)</f>
        <v>1.1745277652250618E-2</v>
      </c>
      <c r="L61" s="140">
        <f>H61/$J$173</f>
        <v>0.41483542417091041</v>
      </c>
      <c r="M61" s="139">
        <f>I61/$J$173</f>
        <v>0.28264565109754081</v>
      </c>
      <c r="N61" s="207">
        <f t="shared" ref="N61" si="342">ASIN($B$46/$B$47*SIN(C61*PI()/180))</f>
        <v>1.2428300686818063</v>
      </c>
      <c r="O61" s="113">
        <f t="shared" ref="O61" si="343">C61*PI()/180</f>
        <v>0.69813170079773179</v>
      </c>
      <c r="P61" s="113">
        <f t="shared" ref="P61" si="344">S61*T61</f>
        <v>0.66581497547205659</v>
      </c>
      <c r="Q61" s="112">
        <f t="shared" ref="Q61" si="345">U61*R61*S61</f>
        <v>0.28674651180035038</v>
      </c>
      <c r="R61" s="113">
        <f t="shared" ref="R61" si="346">($B$47/$B$46)*((2*$B$46/($B$47+$B$46))^2)</f>
        <v>0.96344210787283313</v>
      </c>
      <c r="S61" s="113">
        <f t="shared" ref="S61" si="347">($B$46/$B$47)*((2*$B$47/($B$47+$B$46))^2)</f>
        <v>0.96344210787283291</v>
      </c>
      <c r="T61" s="113">
        <f t="shared" ref="T61" si="348">(($B$47*COS(N61))/($B$46*COS(O61)))*(((2*$B$46*COS(O61))^2)/(($B$46*COS(O61)+$B$47*COS(N61))^2))</f>
        <v>0.69107938093145826</v>
      </c>
      <c r="U61" s="112">
        <f t="shared" ref="U61" si="349">(($B$46*COS(O61)-$B$47*COS(N61))^2)/(($B$46*COS(O61)+$B$47*COS(N61))^2)</f>
        <v>0.3089206190685414</v>
      </c>
      <c r="V61" s="112">
        <f t="shared" ref="V61" si="350">(1/(2*D61))*($B$15+$B$15)+(E61+E62)/(2*D61^2)*$B$16</f>
        <v>8.4670705353030784E-2</v>
      </c>
      <c r="W61" s="112">
        <f t="shared" ref="W61" si="351">(1/(2*F61))*($B$15+$B$15)+(G61+G62)/(2*F61^2)*$B$16</f>
        <v>6.8405188590729971E-2</v>
      </c>
      <c r="X61" s="113">
        <f>H61/R55+I61/(R55*S55)</f>
        <v>5.1880577669197283</v>
      </c>
      <c r="Y61" s="112"/>
      <c r="Z61" s="111">
        <f t="shared" ref="Z61" si="352">X61/$Y$8</f>
        <v>0.71891657627316241</v>
      </c>
      <c r="AA61" s="111">
        <f t="shared" ref="AA61" si="353">(1/$Y$8)*V61+(1/$Y$8)*W61+(X61)/($Y$8^2)*(1/$H$170*($B$17+$B$17)+ABS($G$170+$G$171)/($H$170^2)*$B$18)</f>
        <v>8.0151104968641876E-2</v>
      </c>
      <c r="AB61" s="107">
        <f t="shared" ref="AB61" si="354">AA61+Z61</f>
        <v>0.79906768124180427</v>
      </c>
      <c r="AC61" s="107">
        <f>Q61-M61</f>
        <v>4.1008607028095723E-3</v>
      </c>
      <c r="AD61" s="95">
        <f>P61-L61</f>
        <v>0.25097955130114619</v>
      </c>
      <c r="AE61" s="97" t="s">
        <v>83</v>
      </c>
      <c r="AJ61" s="150"/>
      <c r="AK61" s="26"/>
      <c r="AL61" s="138">
        <v>3.1E-2</v>
      </c>
      <c r="AM61" s="37">
        <v>0.16900000000000001</v>
      </c>
    </row>
    <row r="62" spans="2:39" ht="15.75" thickBot="1">
      <c r="B62" s="23"/>
      <c r="C62" s="123"/>
      <c r="D62" s="177"/>
      <c r="E62" s="18">
        <v>8.5400000000000004E-2</v>
      </c>
      <c r="F62" s="180"/>
      <c r="G62" s="18">
        <v>5.8200000000000002E-2</v>
      </c>
      <c r="H62" s="138"/>
      <c r="I62" s="141"/>
      <c r="J62" s="116"/>
      <c r="K62" s="116"/>
      <c r="L62" s="140"/>
      <c r="M62" s="139"/>
      <c r="N62" s="207"/>
      <c r="O62" s="113"/>
      <c r="P62" s="113"/>
      <c r="Q62" s="112"/>
      <c r="R62" s="113"/>
      <c r="S62" s="113"/>
      <c r="T62" s="113"/>
      <c r="U62" s="112"/>
      <c r="V62" s="112"/>
      <c r="W62" s="112"/>
      <c r="X62" s="113"/>
      <c r="Y62" s="112"/>
      <c r="Z62" s="111"/>
      <c r="AA62" s="111"/>
      <c r="AB62" s="107"/>
      <c r="AC62" s="107"/>
      <c r="AD62" s="95"/>
      <c r="AE62" s="97"/>
      <c r="AJ62" s="150"/>
      <c r="AK62" s="26"/>
      <c r="AL62" s="138"/>
      <c r="AM62" s="37">
        <v>0.17</v>
      </c>
    </row>
    <row r="63" spans="2:39">
      <c r="B63" s="139">
        <f>SIN(C63*PI()/180)</f>
        <v>0.70710678118654746</v>
      </c>
      <c r="C63" s="123">
        <v>45</v>
      </c>
      <c r="D63" s="177">
        <v>0</v>
      </c>
      <c r="E63" s="18">
        <v>0</v>
      </c>
      <c r="F63" s="180">
        <v>2.93E-2</v>
      </c>
      <c r="G63" s="18">
        <v>0.16389999999999999</v>
      </c>
      <c r="H63" s="138" t="e">
        <f>(AVERAGE(E63:E64)/D63)</f>
        <v>#DIV/0!</v>
      </c>
      <c r="I63" s="141">
        <f>(AVERAGE(G63:G64)/F63)</f>
        <v>5.598976109215017</v>
      </c>
      <c r="J63" s="115" t="e">
        <f t="shared" ref="J63" si="355">V63/$H$173+((H63*$H$174)/$H$173^2)</f>
        <v>#DIV/0!</v>
      </c>
      <c r="K63" s="115">
        <f t="shared" ref="K63" si="356">W63/$H$173+((I63*$H$174)/$H$173^2)</f>
        <v>2.4330041483214916E-2</v>
      </c>
      <c r="L63" s="140" t="e">
        <f>H63/$J$173</f>
        <v>#DIV/0!</v>
      </c>
      <c r="M63" s="139">
        <f>I63/$J$173</f>
        <v>0.7933007113779349</v>
      </c>
      <c r="N63" s="207">
        <f>PI()/2</f>
        <v>1.5707963267948966</v>
      </c>
      <c r="O63" s="113">
        <f t="shared" ref="O63" si="357">C63*PI()/180</f>
        <v>0.78539816339744828</v>
      </c>
      <c r="P63" s="113">
        <f t="shared" ref="P63" si="358">S63*T63</f>
        <v>2.2668079420301986E-16</v>
      </c>
      <c r="Q63" s="112">
        <f t="shared" ref="Q63" si="359">U63*R63*S63</f>
        <v>0.92822069522244766</v>
      </c>
      <c r="R63" s="113">
        <f t="shared" ref="R63" si="360">($B$47/$B$46)*((2*$B$46/($B$47+$B$46))^2)</f>
        <v>0.96344210787283313</v>
      </c>
      <c r="S63" s="113">
        <f t="shared" ref="S63" si="361">($B$46/$B$47)*((2*$B$47/($B$47+$B$46))^2)</f>
        <v>0.96344210787283291</v>
      </c>
      <c r="T63" s="113">
        <f t="shared" ref="T63" si="362">(($B$47*COS(N63))/($B$46*COS(O63)))*(((2*$B$46*COS(O63))^2)/(($B$46*COS(O63)+$B$47*COS(N63))^2))</f>
        <v>2.3528221607783416E-16</v>
      </c>
      <c r="U63" s="112">
        <f t="shared" ref="U63" si="363">(($B$46*COS(O63)-$B$47*COS(N63))^2)/(($B$46*COS(O63)+$B$47*COS(N63))^2)</f>
        <v>1</v>
      </c>
      <c r="V63" s="112" t="e">
        <f t="shared" ref="V63" si="364">(1/(2*D63))*($B$15+$B$15)+(E63+E64)/(2*D63^2)*$B$16</f>
        <v>#DIV/0!</v>
      </c>
      <c r="W63" s="112">
        <f t="shared" ref="W63" si="365">(1/(2*F63))*($B$15+$B$15)+(G63+G64)/(2*F63^2)*$B$16</f>
        <v>0.12967536022551224</v>
      </c>
      <c r="X63" s="113" t="e">
        <f t="shared" ref="X63:X79" si="366">H63/R57+I63/(R57*S57)</f>
        <v>#DIV/0!</v>
      </c>
      <c r="Y63" s="112"/>
      <c r="Z63" s="111" t="e">
        <f>X63/$Y$8</f>
        <v>#DIV/0!</v>
      </c>
      <c r="AA63" s="111" t="e">
        <f t="shared" ref="AA63" si="367">(1/$Y$8)*V63+(1/$Y$8)*W63+(X63)/($Y$8^2)*(1/$H$170*($B$17+$B$17)+ABS($G$170+$G$171)/($H$170^2)*$B$18)</f>
        <v>#DIV/0!</v>
      </c>
      <c r="AB63" s="107" t="e">
        <f t="shared" ref="AB63" si="368">AA63+Z63</f>
        <v>#DIV/0!</v>
      </c>
      <c r="AC63" s="107">
        <f>Q63-M63</f>
        <v>0.13491998384451276</v>
      </c>
      <c r="AD63" s="95"/>
      <c r="AE63" s="97"/>
      <c r="AJ63" s="150"/>
      <c r="AK63" s="26"/>
      <c r="AL63" s="138">
        <v>3.2899999999999999E-2</v>
      </c>
      <c r="AM63" s="37">
        <v>0.16400000000000001</v>
      </c>
    </row>
    <row r="64" spans="2:39" ht="15.75" thickBot="1">
      <c r="B64" s="139"/>
      <c r="C64" s="123"/>
      <c r="D64" s="177"/>
      <c r="E64" s="18">
        <v>0</v>
      </c>
      <c r="F64" s="180"/>
      <c r="G64" s="18">
        <v>0.16420000000000001</v>
      </c>
      <c r="H64" s="138"/>
      <c r="I64" s="141"/>
      <c r="J64" s="116"/>
      <c r="K64" s="116"/>
      <c r="L64" s="140"/>
      <c r="M64" s="139"/>
      <c r="N64" s="207"/>
      <c r="O64" s="113"/>
      <c r="P64" s="113"/>
      <c r="Q64" s="112"/>
      <c r="R64" s="113"/>
      <c r="S64" s="113"/>
      <c r="T64" s="113"/>
      <c r="U64" s="112"/>
      <c r="V64" s="112"/>
      <c r="W64" s="112"/>
      <c r="X64" s="113"/>
      <c r="Y64" s="112"/>
      <c r="Z64" s="111"/>
      <c r="AA64" s="111"/>
      <c r="AB64" s="107"/>
      <c r="AC64" s="107"/>
      <c r="AD64" s="95"/>
      <c r="AE64" s="97"/>
      <c r="AJ64" s="150"/>
      <c r="AK64" s="26"/>
      <c r="AL64" s="138"/>
      <c r="AM64" s="37">
        <v>0.16600000000000001</v>
      </c>
    </row>
    <row r="65" spans="2:39">
      <c r="B65" s="123"/>
      <c r="C65" s="123">
        <v>50</v>
      </c>
      <c r="D65" s="177">
        <v>0</v>
      </c>
      <c r="E65" s="18">
        <v>0</v>
      </c>
      <c r="F65" s="180">
        <v>2.9600000000000001E-2</v>
      </c>
      <c r="G65" s="18">
        <v>0.16311999999999999</v>
      </c>
      <c r="H65" s="138" t="e">
        <f>(AVERAGE(E65:E66)/D65)</f>
        <v>#DIV/0!</v>
      </c>
      <c r="I65" s="141">
        <f>(AVERAGE(G65:G66)/F65)</f>
        <v>5.5106418918918916</v>
      </c>
      <c r="J65" s="115" t="e">
        <f t="shared" ref="J65" si="369">V65/$H$173+((H65*$H$174)/$H$173^2)</f>
        <v>#DIV/0!</v>
      </c>
      <c r="K65" s="115">
        <f t="shared" ref="K65" si="370">W65/$H$173+((I65*$H$174)/$H$173^2)</f>
        <v>2.3840800852389897E-2</v>
      </c>
      <c r="L65" s="140" t="e">
        <f>H65/$J$173</f>
        <v>#DIV/0!</v>
      </c>
      <c r="M65" s="139">
        <f>I65/$J$173</f>
        <v>0.78078492347769446</v>
      </c>
      <c r="N65" s="207">
        <f t="shared" ref="N65" si="371">PI()/2</f>
        <v>1.5707963267948966</v>
      </c>
      <c r="O65" s="113">
        <f t="shared" ref="O65" si="372">C65*PI()/180</f>
        <v>0.87266462599716477</v>
      </c>
      <c r="P65" s="113">
        <f t="shared" ref="P65" si="373">S65*T65</f>
        <v>2.4936312450682285E-16</v>
      </c>
      <c r="Q65" s="112">
        <f t="shared" ref="Q65" si="374">U65*R65*S65</f>
        <v>0.92822069522244721</v>
      </c>
      <c r="R65" s="113">
        <f t="shared" ref="R65" si="375">($B$47/$B$46)*((2*$B$46/($B$47+$B$46))^2)</f>
        <v>0.96344210787283313</v>
      </c>
      <c r="S65" s="113">
        <f t="shared" ref="S65" si="376">($B$46/$B$47)*((2*$B$47/($B$47+$B$46))^2)</f>
        <v>0.96344210787283291</v>
      </c>
      <c r="T65" s="113">
        <f t="shared" ref="T65" si="377">(($B$47*COS(N65))/($B$46*COS(O65)))*(((2*$B$46*COS(O65))^2)/(($B$46*COS(O65)+$B$47*COS(N65))^2))</f>
        <v>2.588252293200962E-16</v>
      </c>
      <c r="U65" s="112">
        <f t="shared" ref="U65" si="378">(($B$46*COS(O65)-$B$47*COS(N65))^2)/(($B$46*COS(O65)+$B$47*COS(N65))^2)</f>
        <v>0.99999999999999956</v>
      </c>
      <c r="V65" s="112" t="e">
        <f t="shared" ref="V65" si="379">(1/(2*D65))*($B$15+$B$15)+(E65+E66)/(2*D65^2)*$B$16</f>
        <v>#DIV/0!</v>
      </c>
      <c r="W65" s="112">
        <f t="shared" ref="W65" si="380">(1/(2*F65))*($B$15+$B$15)+(G65+G66)/(2*F65^2)*$B$16</f>
        <v>0.12686895087655223</v>
      </c>
      <c r="X65" s="113" t="e">
        <f t="shared" ref="X65:X73" si="381">H65/R59+I65/(R59*S59)</f>
        <v>#DIV/0!</v>
      </c>
      <c r="Y65" s="112"/>
      <c r="Z65" s="111" t="e">
        <f t="shared" ref="Z65" si="382">X65/$Y$8</f>
        <v>#DIV/0!</v>
      </c>
      <c r="AA65" s="111" t="e">
        <f t="shared" ref="AA65" si="383">(1/$Y$8)*V65+(1/$Y$8)*W65+(X65)/($Y$8^2)*(1/$H$170*($B$17+$B$17)+ABS($G$170+$G$171)/($H$170^2)*$B$18)</f>
        <v>#DIV/0!</v>
      </c>
      <c r="AB65" s="107" t="e">
        <f t="shared" ref="AB65" si="384">AA65+Z65</f>
        <v>#DIV/0!</v>
      </c>
      <c r="AC65" s="107">
        <f>Q65-M65</f>
        <v>0.14743577174475275</v>
      </c>
      <c r="AD65" s="95"/>
      <c r="AE65" s="97"/>
      <c r="AJ65" s="150"/>
      <c r="AK65" s="26"/>
      <c r="AL65" s="138">
        <v>3.4099999999999998E-2</v>
      </c>
      <c r="AM65" s="37">
        <v>0.16700000000000001</v>
      </c>
    </row>
    <row r="66" spans="2:39" ht="15.75" thickBot="1">
      <c r="B66" s="123"/>
      <c r="C66" s="123"/>
      <c r="D66" s="177"/>
      <c r="E66" s="18">
        <v>0</v>
      </c>
      <c r="F66" s="180"/>
      <c r="G66" s="18">
        <v>0.16311</v>
      </c>
      <c r="H66" s="138"/>
      <c r="I66" s="141"/>
      <c r="J66" s="116"/>
      <c r="K66" s="116"/>
      <c r="L66" s="140"/>
      <c r="M66" s="139"/>
      <c r="N66" s="207"/>
      <c r="O66" s="113"/>
      <c r="P66" s="113"/>
      <c r="Q66" s="112"/>
      <c r="R66" s="113"/>
      <c r="S66" s="113"/>
      <c r="T66" s="113"/>
      <c r="U66" s="112"/>
      <c r="V66" s="112"/>
      <c r="W66" s="112"/>
      <c r="X66" s="113"/>
      <c r="Y66" s="112"/>
      <c r="Z66" s="111"/>
      <c r="AA66" s="111"/>
      <c r="AB66" s="107"/>
      <c r="AC66" s="107"/>
      <c r="AD66" s="95"/>
      <c r="AE66" s="97"/>
      <c r="AJ66" s="150"/>
      <c r="AK66" s="26"/>
      <c r="AL66" s="138"/>
      <c r="AM66" s="37">
        <v>0.16400000000000001</v>
      </c>
    </row>
    <row r="67" spans="2:39">
      <c r="B67" s="123"/>
      <c r="C67" s="123">
        <v>55</v>
      </c>
      <c r="D67" s="177">
        <v>0</v>
      </c>
      <c r="E67" s="18">
        <v>0</v>
      </c>
      <c r="F67" s="180">
        <v>2.9700000000000001E-2</v>
      </c>
      <c r="G67" s="18">
        <v>0.1739</v>
      </c>
      <c r="H67" s="138" t="e">
        <f>(AVERAGE(E67:E68)/D67)</f>
        <v>#DIV/0!</v>
      </c>
      <c r="I67" s="141">
        <f>(AVERAGE(G67:G68)/F67)</f>
        <v>5.8518518518518521</v>
      </c>
      <c r="J67" s="115" t="e">
        <f t="shared" ref="J67" si="385">V67/$H$173+((H67*$H$174)/$H$173^2)</f>
        <v>#DIV/0!</v>
      </c>
      <c r="K67" s="115">
        <f t="shared" ref="K67" si="386">W67/$H$173+((I67*$H$174)/$H$173^2)</f>
        <v>2.4965233081635202E-2</v>
      </c>
      <c r="L67" s="140" t="e">
        <f>H67/$J$173</f>
        <v>#DIV/0!</v>
      </c>
      <c r="M67" s="139">
        <f>I67/$J$173</f>
        <v>0.82912985274431061</v>
      </c>
      <c r="N67" s="207">
        <f t="shared" ref="N67" si="387">PI()/2</f>
        <v>1.5707963267948966</v>
      </c>
      <c r="O67" s="113">
        <f t="shared" ref="O67" si="388">C67*PI()/180</f>
        <v>0.95993108859688125</v>
      </c>
      <c r="P67" s="113">
        <f t="shared" ref="P67" si="389">S67*T67</f>
        <v>2.7945277488283476E-16</v>
      </c>
      <c r="Q67" s="112">
        <f t="shared" ref="Q67" si="390">U67*R67*S67</f>
        <v>0.92822069522244721</v>
      </c>
      <c r="R67" s="113">
        <f t="shared" ref="R67" si="391">($B$47/$B$46)*((2*$B$46/($B$47+$B$46))^2)</f>
        <v>0.96344210787283313</v>
      </c>
      <c r="S67" s="113">
        <f t="shared" ref="S67" si="392">($B$46/$B$47)*((2*$B$47/($B$47+$B$46))^2)</f>
        <v>0.96344210787283291</v>
      </c>
      <c r="T67" s="113">
        <f t="shared" ref="T67" si="393">(($B$47*COS(N67))/($B$46*COS(O67)))*(((2*$B$46*COS(O67))^2)/(($B$46*COS(O67)+$B$47*COS(N67))^2))</f>
        <v>2.9005663402011119E-16</v>
      </c>
      <c r="U67" s="112">
        <f t="shared" ref="U67" si="394">(($B$46*COS(O67)-$B$47*COS(N67))^2)/(($B$46*COS(O67)+$B$47*COS(N67))^2)</f>
        <v>0.99999999999999956</v>
      </c>
      <c r="V67" s="112" t="e">
        <f t="shared" ref="V67" si="395">(1/(2*D67))*($B$15+$B$15)+(E67+E68)/(2*D67^2)*$B$16</f>
        <v>#DIV/0!</v>
      </c>
      <c r="W67" s="112">
        <f t="shared" ref="W67" si="396">(1/(2*F67))*($B$15+$B$15)+(G67+G68)/(2*F67^2)*$B$16</f>
        <v>0.13218605811198403</v>
      </c>
      <c r="X67" s="113" t="e">
        <f t="shared" ref="X67:X75" si="397">H67/R61+I67/(R61*S61)</f>
        <v>#DIV/0!</v>
      </c>
      <c r="Y67" s="112"/>
      <c r="Z67" s="111" t="e">
        <f t="shared" ref="Z67" si="398">X67/$Y$8</f>
        <v>#DIV/0!</v>
      </c>
      <c r="AA67" s="111" t="e">
        <f t="shared" ref="AA67" si="399">(1/$Y$8)*V67+(1/$Y$8)*W67+(X67)/($Y$8^2)*(1/$H$170*($B$17+$B$17)+ABS($G$170+$G$171)/($H$170^2)*$B$18)</f>
        <v>#DIV/0!</v>
      </c>
      <c r="AB67" s="107" t="e">
        <f t="shared" ref="AB67" si="400">AA67+Z67</f>
        <v>#DIV/0!</v>
      </c>
      <c r="AC67" s="107">
        <f>Q67-M67</f>
        <v>9.9090842478136598E-2</v>
      </c>
      <c r="AD67" s="95"/>
      <c r="AE67" s="95">
        <f>AVERAGE(AC65:AC80)</f>
        <v>0.12502432875377184</v>
      </c>
      <c r="AJ67" s="150"/>
      <c r="AK67" s="26"/>
      <c r="AL67" s="138">
        <v>3.3300000000000003E-2</v>
      </c>
      <c r="AM67" s="37">
        <v>0.161</v>
      </c>
    </row>
    <row r="68" spans="2:39" ht="15.75" thickBot="1">
      <c r="B68" s="123"/>
      <c r="C68" s="123"/>
      <c r="D68" s="177"/>
      <c r="E68" s="18">
        <v>0</v>
      </c>
      <c r="F68" s="180"/>
      <c r="G68" s="18">
        <v>0.17369999999999999</v>
      </c>
      <c r="H68" s="138"/>
      <c r="I68" s="141"/>
      <c r="J68" s="116"/>
      <c r="K68" s="116"/>
      <c r="L68" s="140"/>
      <c r="M68" s="139"/>
      <c r="N68" s="207"/>
      <c r="O68" s="113"/>
      <c r="P68" s="113"/>
      <c r="Q68" s="112"/>
      <c r="R68" s="113"/>
      <c r="S68" s="113"/>
      <c r="T68" s="113"/>
      <c r="U68" s="112"/>
      <c r="V68" s="112"/>
      <c r="W68" s="112"/>
      <c r="X68" s="113"/>
      <c r="Y68" s="112"/>
      <c r="Z68" s="111"/>
      <c r="AA68" s="111"/>
      <c r="AB68" s="107"/>
      <c r="AC68" s="107"/>
      <c r="AD68" s="95"/>
      <c r="AE68" s="95"/>
      <c r="AJ68" s="150"/>
      <c r="AK68" s="26"/>
      <c r="AL68" s="138"/>
      <c r="AM68" s="37">
        <v>0.16</v>
      </c>
    </row>
    <row r="69" spans="2:39">
      <c r="B69" s="123"/>
      <c r="C69" s="123">
        <v>60</v>
      </c>
      <c r="D69" s="177">
        <v>0</v>
      </c>
      <c r="E69" s="18">
        <v>0</v>
      </c>
      <c r="F69" s="180">
        <v>2.9499999999999998E-2</v>
      </c>
      <c r="G69" s="18">
        <v>0.17100000000000001</v>
      </c>
      <c r="H69" s="138" t="e">
        <f>(AVERAGE(E69:E70)/D69)</f>
        <v>#DIV/0!</v>
      </c>
      <c r="I69" s="141">
        <f>(AVERAGE(G69:G70)/F69)</f>
        <v>5.796610169491526</v>
      </c>
      <c r="J69" s="115" t="e">
        <f t="shared" ref="J69" si="401">V69/$H$173+((H69*$H$174)/$H$173^2)</f>
        <v>#DIV/0!</v>
      </c>
      <c r="K69" s="115">
        <f t="shared" ref="K69" si="402">W69/$H$173+((I69*$H$174)/$H$173^2)</f>
        <v>2.4896915617726556E-2</v>
      </c>
      <c r="L69" s="140" t="e">
        <f>H69/$J$173</f>
        <v>#DIV/0!</v>
      </c>
      <c r="M69" s="139">
        <f>I69/$J$173</f>
        <v>0.82130283847253427</v>
      </c>
      <c r="N69" s="207">
        <f t="shared" ref="N69" si="403">PI()/2</f>
        <v>1.5707963267948966</v>
      </c>
      <c r="O69" s="113">
        <f t="shared" ref="O69" si="404">C69*PI()/180</f>
        <v>1.0471975511965976</v>
      </c>
      <c r="P69" s="113">
        <f t="shared" ref="P69" si="405">S69*T69</f>
        <v>3.2057505349141507E-16</v>
      </c>
      <c r="Q69" s="112">
        <f t="shared" ref="Q69" si="406">U69*R69*S69</f>
        <v>0.92822069522244721</v>
      </c>
      <c r="R69" s="113">
        <f t="shared" ref="R69" si="407">($B$47/$B$46)*((2*$B$46/($B$47+$B$46))^2)</f>
        <v>0.96344210787283313</v>
      </c>
      <c r="S69" s="113">
        <f t="shared" ref="S69" si="408">($B$46/$B$47)*((2*$B$47/($B$47+$B$46))^2)</f>
        <v>0.96344210787283291</v>
      </c>
      <c r="T69" s="113">
        <f t="shared" ref="T69" si="409">(($B$47*COS(N69))/($B$46*COS(O69)))*(((2*$B$46*COS(O69))^2)/(($B$46*COS(O69)+$B$47*COS(N69))^2))</f>
        <v>3.3273930096247005E-16</v>
      </c>
      <c r="U69" s="112">
        <f t="shared" ref="U69" si="410">(($B$46*COS(O69)-$B$47*COS(N69))^2)/(($B$46*COS(O69)+$B$47*COS(N69))^2)</f>
        <v>0.99999999999999956</v>
      </c>
      <c r="V69" s="112" t="e">
        <f t="shared" ref="V69" si="411">(1/(2*D69))*($B$15+$B$15)+(E69+E70)/(2*D69^2)*$B$16</f>
        <v>#DIV/0!</v>
      </c>
      <c r="W69" s="112">
        <f t="shared" ref="W69" si="412">(1/(2*F69))*($B$15+$B$15)+(G69+G70)/(2*F69^2)*$B$16</f>
        <v>0.13214593507612757</v>
      </c>
      <c r="X69" s="113" t="e">
        <f t="shared" ref="X69" si="413">H69/R63+I69/(R63*S63)</f>
        <v>#DIV/0!</v>
      </c>
      <c r="Y69" s="112"/>
      <c r="Z69" s="111" t="e">
        <f t="shared" ref="Z69" si="414">X69/$Y$8</f>
        <v>#DIV/0!</v>
      </c>
      <c r="AA69" s="111" t="e">
        <f t="shared" ref="AA69" si="415">(1/$Y$8)*V69+(1/$Y$8)*W69+(X69)/($Y$8^2)*(1/$H$170*($B$17+$B$17)+ABS($G$170+$G$171)/($H$170^2)*$B$18)</f>
        <v>#DIV/0!</v>
      </c>
      <c r="AB69" s="107" t="e">
        <f t="shared" ref="AB69" si="416">AA69+Z69</f>
        <v>#DIV/0!</v>
      </c>
      <c r="AC69" s="107">
        <f>Q69-M69</f>
        <v>0.10691785674991294</v>
      </c>
      <c r="AD69" s="95"/>
      <c r="AE69" s="95"/>
      <c r="AJ69" s="150"/>
      <c r="AK69" s="26"/>
      <c r="AL69" s="138">
        <v>3.4599999999999999E-2</v>
      </c>
      <c r="AM69" s="37">
        <v>0.15</v>
      </c>
    </row>
    <row r="70" spans="2:39" ht="15.75" thickBot="1">
      <c r="B70" s="123"/>
      <c r="C70" s="123"/>
      <c r="D70" s="177"/>
      <c r="E70" s="18">
        <v>0</v>
      </c>
      <c r="F70" s="180"/>
      <c r="G70" s="18">
        <v>0.17100000000000001</v>
      </c>
      <c r="H70" s="138"/>
      <c r="I70" s="141"/>
      <c r="J70" s="116"/>
      <c r="K70" s="116"/>
      <c r="L70" s="140"/>
      <c r="M70" s="139"/>
      <c r="N70" s="207"/>
      <c r="O70" s="113"/>
      <c r="P70" s="113"/>
      <c r="Q70" s="112"/>
      <c r="R70" s="113"/>
      <c r="S70" s="113"/>
      <c r="T70" s="113"/>
      <c r="U70" s="112"/>
      <c r="V70" s="112"/>
      <c r="W70" s="112"/>
      <c r="X70" s="113"/>
      <c r="Y70" s="112"/>
      <c r="Z70" s="111"/>
      <c r="AA70" s="111"/>
      <c r="AB70" s="107"/>
      <c r="AC70" s="107"/>
      <c r="AD70" s="95"/>
      <c r="AE70" s="95"/>
      <c r="AJ70" s="150"/>
      <c r="AK70" s="26"/>
      <c r="AL70" s="138"/>
      <c r="AM70" s="37">
        <v>0.14799999999999999</v>
      </c>
    </row>
    <row r="71" spans="2:39">
      <c r="B71" s="123"/>
      <c r="C71" s="123">
        <v>65</v>
      </c>
      <c r="D71" s="177">
        <v>0</v>
      </c>
      <c r="E71" s="18">
        <v>0</v>
      </c>
      <c r="F71" s="180">
        <v>2.9600000000000001E-2</v>
      </c>
      <c r="G71" s="18">
        <v>0.17</v>
      </c>
      <c r="H71" s="138" t="e">
        <f>(AVERAGE(E71:E72)/D71)</f>
        <v>#DIV/0!</v>
      </c>
      <c r="I71" s="141">
        <f>(AVERAGE(G71:G72)/F71)</f>
        <v>5.7601351351351351</v>
      </c>
      <c r="J71" s="115" t="e">
        <f t="shared" ref="J71" si="417">V71/$H$173+((H71*$H$174)/$H$173^2)</f>
        <v>#DIV/0!</v>
      </c>
      <c r="K71" s="115">
        <f t="shared" ref="K71" si="418">W71/$H$173+((I71*$H$174)/$H$173^2)</f>
        <v>2.4708235969698327E-2</v>
      </c>
      <c r="L71" s="140" t="e">
        <f>H71/$J$173</f>
        <v>#DIV/0!</v>
      </c>
      <c r="M71" s="139">
        <f>I71/$J$173</f>
        <v>0.81613480950830342</v>
      </c>
      <c r="N71" s="207">
        <f t="shared" ref="N71" si="419">PI()/2</f>
        <v>1.5707963267948966</v>
      </c>
      <c r="O71" s="113">
        <f t="shared" ref="O71" si="420">C71*PI()/180</f>
        <v>1.1344640137963142</v>
      </c>
      <c r="P71" s="113">
        <f t="shared" ref="P71" si="421">S71*T71</f>
        <v>3.7927259954529153E-16</v>
      </c>
      <c r="Q71" s="112">
        <f t="shared" ref="Q71" si="422">U71*R71*S71</f>
        <v>0.92822069522244699</v>
      </c>
      <c r="R71" s="113">
        <f t="shared" ref="R71" si="423">($B$47/$B$46)*((2*$B$46/($B$47+$B$46))^2)</f>
        <v>0.96344210787283313</v>
      </c>
      <c r="S71" s="113">
        <f t="shared" ref="S71" si="424">($B$46/$B$47)*((2*$B$47/($B$47+$B$46))^2)</f>
        <v>0.96344210787283291</v>
      </c>
      <c r="T71" s="113">
        <f t="shared" ref="T71" si="425">(($B$47*COS(N71))/($B$46*COS(O71)))*(((2*$B$46*COS(O71))^2)/(($B$46*COS(O71)+$B$47*COS(N71))^2))</f>
        <v>3.9366413035722601E-16</v>
      </c>
      <c r="U71" s="112">
        <f t="shared" ref="U71" si="426">(($B$46*COS(O71)-$B$47*COS(N71))^2)/(($B$46*COS(O71)+$B$47*COS(N71))^2)</f>
        <v>0.99999999999999933</v>
      </c>
      <c r="V71" s="112" t="e">
        <f t="shared" ref="V71" si="427">(1/(2*D71))*($B$15+$B$15)+(E71+E72)/(2*D71^2)*$B$16</f>
        <v>#DIV/0!</v>
      </c>
      <c r="W71" s="112">
        <f t="shared" ref="W71" si="428">(1/(2*F71))*($B$15+$B$15)+(G71+G72)/(2*F71^2)*$B$16</f>
        <v>0.13108336376917457</v>
      </c>
      <c r="X71" s="113" t="e">
        <f t="shared" si="366"/>
        <v>#DIV/0!</v>
      </c>
      <c r="Y71" s="112"/>
      <c r="Z71" s="111" t="e">
        <f t="shared" ref="Z71" si="429">X71/$Y$8</f>
        <v>#DIV/0!</v>
      </c>
      <c r="AA71" s="111" t="e">
        <f t="shared" ref="AA71" si="430">(1/$Y$8)*V71+(1/$Y$8)*W71+(X71)/($Y$8^2)*(1/$H$170*($B$17+$B$17)+ABS($G$170+$G$171)/($H$170^2)*$B$18)</f>
        <v>#DIV/0!</v>
      </c>
      <c r="AB71" s="107" t="e">
        <f t="shared" ref="AB71" si="431">AA71+Z71</f>
        <v>#DIV/0!</v>
      </c>
      <c r="AC71" s="107">
        <f>Q71-M71</f>
        <v>0.11208588571414357</v>
      </c>
      <c r="AD71" s="95"/>
      <c r="AE71" s="95"/>
      <c r="AJ71" s="150"/>
      <c r="AK71" s="26"/>
      <c r="AL71" s="138">
        <v>3.3799999999999997E-2</v>
      </c>
      <c r="AM71" s="37">
        <v>0.14899999999999999</v>
      </c>
    </row>
    <row r="72" spans="2:39" ht="15.75" thickBot="1">
      <c r="B72" s="123"/>
      <c r="C72" s="123"/>
      <c r="D72" s="177"/>
      <c r="E72" s="18">
        <v>0</v>
      </c>
      <c r="F72" s="180"/>
      <c r="G72" s="18">
        <v>0.17100000000000001</v>
      </c>
      <c r="H72" s="138"/>
      <c r="I72" s="141"/>
      <c r="J72" s="116"/>
      <c r="K72" s="116"/>
      <c r="L72" s="140"/>
      <c r="M72" s="139"/>
      <c r="N72" s="207"/>
      <c r="O72" s="113"/>
      <c r="P72" s="113"/>
      <c r="Q72" s="112"/>
      <c r="R72" s="113"/>
      <c r="S72" s="113"/>
      <c r="T72" s="113"/>
      <c r="U72" s="112"/>
      <c r="V72" s="112"/>
      <c r="W72" s="112"/>
      <c r="X72" s="113"/>
      <c r="Y72" s="112"/>
      <c r="Z72" s="111"/>
      <c r="AA72" s="111"/>
      <c r="AB72" s="107"/>
      <c r="AC72" s="107"/>
      <c r="AD72" s="95"/>
      <c r="AE72" s="95"/>
      <c r="AJ72" s="150"/>
      <c r="AK72" s="26"/>
      <c r="AL72" s="138"/>
      <c r="AM72" s="37">
        <v>0.14799999999999999</v>
      </c>
    </row>
    <row r="73" spans="2:39">
      <c r="B73" s="123"/>
      <c r="C73" s="123">
        <v>70</v>
      </c>
      <c r="D73" s="177">
        <v>0</v>
      </c>
      <c r="E73" s="18">
        <v>0</v>
      </c>
      <c r="F73" s="180">
        <v>2.9700000000000001E-2</v>
      </c>
      <c r="G73" s="18">
        <v>0.17449999999999999</v>
      </c>
      <c r="H73" s="138" t="e">
        <f>(AVERAGE(E73:E74)/D73)</f>
        <v>#DIV/0!</v>
      </c>
      <c r="I73" s="141">
        <f>(AVERAGE(G73:G74)/F73)</f>
        <v>5.8737373737373737</v>
      </c>
      <c r="J73" s="115" t="e">
        <f t="shared" ref="J73" si="432">V73/$H$173+((H73*$H$174)/$H$173^2)</f>
        <v>#DIV/0!</v>
      </c>
      <c r="K73" s="115">
        <f t="shared" ref="K73" si="433">W73/$H$173+((I73*$H$174)/$H$173^2)</f>
        <v>2.5041151916332292E-2</v>
      </c>
      <c r="L73" s="140" t="e">
        <f>H73/$J$173</f>
        <v>#DIV/0!</v>
      </c>
      <c r="M73" s="139">
        <f>I73/$J$173</f>
        <v>0.83223074114640372</v>
      </c>
      <c r="N73" s="207">
        <f t="shared" ref="N73" si="434">PI()/2</f>
        <v>1.5707963267948966</v>
      </c>
      <c r="O73" s="113">
        <f t="shared" ref="O73" si="435">C73*PI()/180</f>
        <v>1.2217304763960306</v>
      </c>
      <c r="P73" s="113">
        <f t="shared" ref="P73" si="436">S73*T73</f>
        <v>4.6864937599035802E-16</v>
      </c>
      <c r="Q73" s="112">
        <f t="shared" ref="Q73" si="437">U73*R73*S73</f>
        <v>0.92822069522244677</v>
      </c>
      <c r="R73" s="113">
        <f t="shared" ref="R73" si="438">($B$47/$B$46)*((2*$B$46/($B$47+$B$46))^2)</f>
        <v>0.96344210787283313</v>
      </c>
      <c r="S73" s="113">
        <f t="shared" ref="S73" si="439">($B$46/$B$47)*((2*$B$47/($B$47+$B$46))^2)</f>
        <v>0.96344210787283291</v>
      </c>
      <c r="T73" s="113">
        <f t="shared" ref="T73" si="440">(($B$47*COS(N73))/($B$46*COS(O73)))*(((2*$B$46*COS(O73))^2)/(($B$46*COS(O73)+$B$47*COS(N73))^2))</f>
        <v>4.8643231613062964E-16</v>
      </c>
      <c r="U73" s="112">
        <f t="shared" ref="U73" si="441">(($B$46*COS(O73)-$B$47*COS(N73))^2)/(($B$46*COS(O73)+$B$47*COS(N73))^2)</f>
        <v>0.99999999999999911</v>
      </c>
      <c r="V73" s="112" t="e">
        <f t="shared" ref="V73" si="442">(1/(2*D73))*($B$15+$B$15)+(E73+E74)/(2*D73^2)*$B$16</f>
        <v>#DIV/0!</v>
      </c>
      <c r="W73" s="112">
        <f t="shared" ref="W73" si="443">(1/(2*F73))*($B$15+$B$15)+(G73+G74)/(2*F73^2)*$B$16</f>
        <v>0.13255450124136992</v>
      </c>
      <c r="X73" s="113" t="e">
        <f t="shared" si="381"/>
        <v>#DIV/0!</v>
      </c>
      <c r="Y73" s="112"/>
      <c r="Z73" s="111" t="e">
        <f t="shared" ref="Z73" si="444">X73/$Y$8</f>
        <v>#DIV/0!</v>
      </c>
      <c r="AA73" s="111" t="e">
        <f t="shared" ref="AA73" si="445">(1/$Y$8)*V73+(1/$Y$8)*W73+(X73)/($Y$8^2)*(1/$H$170*($B$17+$B$17)+ABS($G$170+$G$171)/($H$170^2)*$B$18)</f>
        <v>#DIV/0!</v>
      </c>
      <c r="AB73" s="107" t="e">
        <f t="shared" ref="AB73" si="446">AA73+Z73</f>
        <v>#DIV/0!</v>
      </c>
      <c r="AC73" s="107">
        <f>Q73-M73</f>
        <v>9.5989954076043049E-2</v>
      </c>
      <c r="AD73" s="95"/>
      <c r="AE73" s="95"/>
      <c r="AJ73" s="150"/>
      <c r="AK73" s="26"/>
      <c r="AL73" s="138">
        <v>3.5700000000000003E-2</v>
      </c>
      <c r="AM73" s="37">
        <v>0.21199999999999999</v>
      </c>
    </row>
    <row r="74" spans="2:39" ht="15.75" thickBot="1">
      <c r="B74" s="123"/>
      <c r="C74" s="123"/>
      <c r="D74" s="177"/>
      <c r="E74" s="18">
        <v>0</v>
      </c>
      <c r="F74" s="180"/>
      <c r="G74" s="18">
        <v>0.1744</v>
      </c>
      <c r="H74" s="138"/>
      <c r="I74" s="141"/>
      <c r="J74" s="116"/>
      <c r="K74" s="116"/>
      <c r="L74" s="140"/>
      <c r="M74" s="139"/>
      <c r="N74" s="207"/>
      <c r="O74" s="113"/>
      <c r="P74" s="113"/>
      <c r="Q74" s="112"/>
      <c r="R74" s="113"/>
      <c r="S74" s="113"/>
      <c r="T74" s="113"/>
      <c r="U74" s="112"/>
      <c r="V74" s="112"/>
      <c r="W74" s="112"/>
      <c r="X74" s="113"/>
      <c r="Y74" s="112"/>
      <c r="Z74" s="111"/>
      <c r="AA74" s="111"/>
      <c r="AB74" s="107"/>
      <c r="AC74" s="107"/>
      <c r="AD74" s="95"/>
      <c r="AE74" s="95"/>
      <c r="AJ74" s="150"/>
      <c r="AK74" s="26"/>
      <c r="AL74" s="138"/>
      <c r="AM74" s="37">
        <v>0.21299999999999999</v>
      </c>
    </row>
    <row r="75" spans="2:39">
      <c r="B75" s="123"/>
      <c r="C75" s="123">
        <v>75</v>
      </c>
      <c r="D75" s="177">
        <v>0</v>
      </c>
      <c r="E75" s="18">
        <v>0</v>
      </c>
      <c r="F75" s="180">
        <v>2.9700000000000001E-2</v>
      </c>
      <c r="G75" s="18">
        <v>0.16339999999999999</v>
      </c>
      <c r="H75" s="138" t="e">
        <f>(AVERAGE(E75:E76)/D75)</f>
        <v>#DIV/0!</v>
      </c>
      <c r="I75" s="141">
        <f>(AVERAGE(G75:G76)/F75)</f>
        <v>5.5117845117845121</v>
      </c>
      <c r="J75" s="115" t="e">
        <f t="shared" ref="J75" si="447">V75/$H$173+((H75*$H$174)/$H$173^2)</f>
        <v>#DIV/0!</v>
      </c>
      <c r="K75" s="115">
        <f t="shared" ref="K75" si="448">W75/$H$173+((I75*$H$174)/$H$173^2)</f>
        <v>2.3785571188649591E-2</v>
      </c>
      <c r="L75" s="140" t="e">
        <f>H75/$J$173</f>
        <v>#DIV/0!</v>
      </c>
      <c r="M75" s="139">
        <f>I75/$J$173</f>
        <v>0.78094681757332363</v>
      </c>
      <c r="N75" s="207">
        <f t="shared" ref="N75" si="449">PI()/2</f>
        <v>1.5707963267948966</v>
      </c>
      <c r="O75" s="113">
        <f t="shared" ref="O75" si="450">C75*PI()/180</f>
        <v>1.3089969389957472</v>
      </c>
      <c r="P75" s="113">
        <f t="shared" ref="P75" si="451">S75*T75</f>
        <v>6.1930344686271487E-16</v>
      </c>
      <c r="Q75" s="112">
        <f t="shared" ref="Q75" si="452">U75*R75*S75</f>
        <v>0.9282206952224471</v>
      </c>
      <c r="R75" s="113">
        <f t="shared" ref="R75" si="453">($B$47/$B$46)*((2*$B$46/($B$47+$B$46))^2)</f>
        <v>0.96344210787283313</v>
      </c>
      <c r="S75" s="113">
        <f t="shared" ref="S75" si="454">($B$46/$B$47)*((2*$B$47/($B$47+$B$46))^2)</f>
        <v>0.96344210787283291</v>
      </c>
      <c r="T75" s="113">
        <f t="shared" ref="T75" si="455">(($B$47*COS(N75))/($B$46*COS(O75)))*(((2*$B$46*COS(O75))^2)/(($B$46*COS(O75)+$B$47*COS(N75))^2))</f>
        <v>6.4280296844204179E-16</v>
      </c>
      <c r="U75" s="112">
        <f t="shared" ref="U75" si="456">(($B$46*COS(O75)-$B$47*COS(N75))^2)/(($B$46*COS(O75)+$B$47*COS(N75))^2)</f>
        <v>0.99999999999999944</v>
      </c>
      <c r="V75" s="112" t="e">
        <f t="shared" ref="V75" si="457">(1/(2*D75))*($B$15+$B$15)+(E75+E76)/(2*D75^2)*$B$16</f>
        <v>#DIV/0!</v>
      </c>
      <c r="W75" s="112">
        <f t="shared" ref="W75" si="458">(1/(2*F75))*($B$15+$B$15)+(G75+G76)/(2*F75^2)*$B$16</f>
        <v>0.12646101871691096</v>
      </c>
      <c r="X75" s="113" t="e">
        <f t="shared" si="397"/>
        <v>#DIV/0!</v>
      </c>
      <c r="Y75" s="112"/>
      <c r="Z75" s="111" t="e">
        <f t="shared" ref="Z75" si="459">X75/$Y$8</f>
        <v>#DIV/0!</v>
      </c>
      <c r="AA75" s="111" t="e">
        <f t="shared" ref="AA75" si="460">(1/$Y$8)*V75+(1/$Y$8)*W75+(X75)/($Y$8^2)*(1/$H$170*($B$17+$B$17)+ABS($G$170+$G$171)/($H$170^2)*$B$18)</f>
        <v>#DIV/0!</v>
      </c>
      <c r="AB75" s="107" t="e">
        <f t="shared" ref="AB75" si="461">AA75+Z75</f>
        <v>#DIV/0!</v>
      </c>
      <c r="AC75" s="107">
        <f>Q75-M75</f>
        <v>0.14727387764912347</v>
      </c>
      <c r="AD75" s="95"/>
      <c r="AE75" s="95"/>
      <c r="AJ75" s="150"/>
      <c r="AK75" s="26"/>
      <c r="AL75" s="138">
        <v>4.2999999999999997E-2</v>
      </c>
      <c r="AM75" s="37">
        <v>0.215</v>
      </c>
    </row>
    <row r="76" spans="2:39" ht="15.75" thickBot="1">
      <c r="B76" s="123"/>
      <c r="C76" s="123"/>
      <c r="D76" s="177"/>
      <c r="E76" s="18">
        <v>0</v>
      </c>
      <c r="F76" s="180"/>
      <c r="G76" s="18">
        <v>0.16400000000000001</v>
      </c>
      <c r="H76" s="138"/>
      <c r="I76" s="141"/>
      <c r="J76" s="116"/>
      <c r="K76" s="116"/>
      <c r="L76" s="140"/>
      <c r="M76" s="139"/>
      <c r="N76" s="207"/>
      <c r="O76" s="113"/>
      <c r="P76" s="113"/>
      <c r="Q76" s="112"/>
      <c r="R76" s="113"/>
      <c r="S76" s="113"/>
      <c r="T76" s="113"/>
      <c r="U76" s="112"/>
      <c r="V76" s="112"/>
      <c r="W76" s="112"/>
      <c r="X76" s="113"/>
      <c r="Y76" s="112"/>
      <c r="Z76" s="111"/>
      <c r="AA76" s="111"/>
      <c r="AB76" s="107"/>
      <c r="AC76" s="107"/>
      <c r="AD76" s="95"/>
      <c r="AE76" s="95"/>
      <c r="AJ76" s="150"/>
      <c r="AK76" s="26"/>
      <c r="AL76" s="138"/>
      <c r="AM76" s="37">
        <v>0.216</v>
      </c>
    </row>
    <row r="77" spans="2:39">
      <c r="B77" s="123"/>
      <c r="C77" s="123">
        <v>80</v>
      </c>
      <c r="D77" s="177">
        <v>0</v>
      </c>
      <c r="E77" s="18">
        <v>0</v>
      </c>
      <c r="F77" s="180">
        <v>2.9700000000000001E-2</v>
      </c>
      <c r="G77" s="18">
        <v>0.16819999999999999</v>
      </c>
      <c r="H77" s="138" t="e">
        <f>(AVERAGE(E77:E78)/D77)</f>
        <v>#DIV/0!</v>
      </c>
      <c r="I77" s="141">
        <f>(AVERAGE(G77:G78)/F77)</f>
        <v>5.6430976430976427</v>
      </c>
      <c r="J77" s="115" t="e">
        <f t="shared" ref="J77" si="462">V77/$H$173+((H77*$H$174)/$H$173^2)</f>
        <v>#DIV/0!</v>
      </c>
      <c r="K77" s="115">
        <f t="shared" ref="K77" si="463">W77/$H$173+((I77*$H$174)/$H$173^2)</f>
        <v>2.4241084196832158E-2</v>
      </c>
      <c r="L77" s="140" t="e">
        <f>H77/$J$173</f>
        <v>#DIV/0!</v>
      </c>
      <c r="M77" s="139">
        <f>I77/$J$173</f>
        <v>0.79955214798588281</v>
      </c>
      <c r="N77" s="207">
        <f t="shared" ref="N77" si="464">PI()/2</f>
        <v>1.5707963267948966</v>
      </c>
      <c r="O77" s="113">
        <f t="shared" ref="O77" si="465">C77*PI()/180</f>
        <v>1.3962634015954636</v>
      </c>
      <c r="P77" s="113">
        <f t="shared" ref="P77" si="466">S77*T77</f>
        <v>9.2305907783927588E-16</v>
      </c>
      <c r="Q77" s="112">
        <f>U77*R77*S77</f>
        <v>0.92822069522244677</v>
      </c>
      <c r="R77" s="113">
        <f t="shared" ref="R77" si="467">($B$47/$B$46)*((2*$B$46/($B$47+$B$46))^2)</f>
        <v>0.96344210787283313</v>
      </c>
      <c r="S77" s="113">
        <f t="shared" ref="S77" si="468">($B$46/$B$47)*((2*$B$47/($B$47+$B$46))^2)</f>
        <v>0.96344210787283291</v>
      </c>
      <c r="T77" s="113">
        <f t="shared" ref="T77" si="469">(($B$47*COS(N77))/($B$46*COS(O77)))*(((2*$B$46*COS(O77))^2)/(($B$46*COS(O77)+$B$47*COS(N77))^2))</f>
        <v>9.5808463248225885E-16</v>
      </c>
      <c r="U77" s="112">
        <f t="shared" ref="U77" si="470">(($B$46*COS(O77)-$B$47*COS(N77))^2)/(($B$46*COS(O77)+$B$47*COS(N77))^2)</f>
        <v>0.99999999999999911</v>
      </c>
      <c r="V77" s="112" t="e">
        <f t="shared" ref="V77" si="471">(1/(2*D77))*($B$15+$B$15)+(E77+E78)/(2*D77^2)*$B$16</f>
        <v>#DIV/0!</v>
      </c>
      <c r="W77" s="112">
        <f t="shared" ref="W77" si="472">(1/(2*F77))*($B$15+$B$15)+(G77+G78)/(2*F77^2)*$B$16</f>
        <v>0.12867167749322631</v>
      </c>
      <c r="X77" s="113" t="e">
        <f t="shared" ref="X77" si="473">H77/R71+I77/(R71*S71)</f>
        <v>#DIV/0!</v>
      </c>
      <c r="Y77" s="112"/>
      <c r="Z77" s="111" t="e">
        <f t="shared" ref="Z77" si="474">X77/$Y$8</f>
        <v>#DIV/0!</v>
      </c>
      <c r="AA77" s="111" t="e">
        <f t="shared" ref="AA77" si="475">(1/$Y$8)*V77+(1/$Y$8)*W77+(X77)/($Y$8^2)*(1/$H$170*($B$17+$B$17)+ABS($G$170+$G$171)/($H$170^2)*$B$18)</f>
        <v>#DIV/0!</v>
      </c>
      <c r="AB77" s="107" t="e">
        <f t="shared" ref="AB77" si="476">AA77+Z77</f>
        <v>#DIV/0!</v>
      </c>
      <c r="AC77" s="107">
        <f>Q77-M77</f>
        <v>0.12866854723656396</v>
      </c>
      <c r="AD77" s="95"/>
      <c r="AE77" s="95"/>
      <c r="AJ77" s="150"/>
      <c r="AK77" s="26"/>
      <c r="AL77" s="138">
        <v>4.2999999999999997E-2</v>
      </c>
      <c r="AM77" s="37">
        <v>0.20100000000000001</v>
      </c>
    </row>
    <row r="78" spans="2:39" ht="15.75" thickBot="1">
      <c r="B78" s="123"/>
      <c r="C78" s="123"/>
      <c r="D78" s="177"/>
      <c r="E78" s="18">
        <v>0</v>
      </c>
      <c r="F78" s="180"/>
      <c r="G78" s="18">
        <v>0.16700000000000001</v>
      </c>
      <c r="H78" s="138"/>
      <c r="I78" s="141"/>
      <c r="J78" s="116"/>
      <c r="K78" s="116"/>
      <c r="L78" s="140"/>
      <c r="M78" s="139"/>
      <c r="N78" s="207"/>
      <c r="O78" s="113"/>
      <c r="P78" s="113"/>
      <c r="Q78" s="112"/>
      <c r="R78" s="113"/>
      <c r="S78" s="113"/>
      <c r="T78" s="113"/>
      <c r="U78" s="112"/>
      <c r="V78" s="112"/>
      <c r="W78" s="112"/>
      <c r="X78" s="113"/>
      <c r="Y78" s="112"/>
      <c r="Z78" s="111"/>
      <c r="AA78" s="111"/>
      <c r="AB78" s="107"/>
      <c r="AC78" s="107"/>
      <c r="AD78" s="95"/>
      <c r="AE78" s="95"/>
      <c r="AJ78" s="151"/>
      <c r="AK78" s="27"/>
      <c r="AL78" s="179"/>
      <c r="AM78" s="38">
        <v>0.19900000000000001</v>
      </c>
    </row>
    <row r="79" spans="2:39">
      <c r="B79" s="123"/>
      <c r="C79" s="123">
        <v>85</v>
      </c>
      <c r="D79" s="177">
        <v>0</v>
      </c>
      <c r="E79" s="18">
        <v>0</v>
      </c>
      <c r="F79" s="180">
        <v>2.98E-2</v>
      </c>
      <c r="G79" s="18">
        <v>0.16</v>
      </c>
      <c r="H79" s="138" t="e">
        <f>(AVERAGE(E79:E80)/D79)</f>
        <v>#DIV/0!</v>
      </c>
      <c r="I79" s="141">
        <f>(AVERAGE(G79:G80)/F79)</f>
        <v>5.4026845637583891</v>
      </c>
      <c r="J79" s="115" t="e">
        <f t="shared" ref="J79" si="477">V79/$H$173+((H79*$H$174)/$H$173^2)</f>
        <v>#DIV/0!</v>
      </c>
      <c r="K79" s="115">
        <f t="shared" ref="K79" si="478">W79/$H$173+((I79*$H$174)/$H$173^2)</f>
        <v>2.3349162736127294E-2</v>
      </c>
      <c r="L79" s="181" t="e">
        <f>H79/$J$173</f>
        <v>#DIV/0!</v>
      </c>
      <c r="M79" s="182">
        <f>I79/$J$173</f>
        <v>0.76548880084094761</v>
      </c>
      <c r="N79" s="207">
        <f>PI()/2</f>
        <v>1.5707963267948966</v>
      </c>
      <c r="O79" s="113">
        <f t="shared" ref="O79" si="479">C79*PI()/180</f>
        <v>1.4835298641951802</v>
      </c>
      <c r="P79" s="113">
        <f t="shared" ref="P79" si="480">S79*T79</f>
        <v>1.839093118737886E-15</v>
      </c>
      <c r="Q79" s="112">
        <f t="shared" ref="Q79" si="481">U79*R79*S79</f>
        <v>0.9282206952224461</v>
      </c>
      <c r="R79" s="113">
        <f t="shared" ref="R79" si="482">($B$47/$B$46)*((2*$B$46/($B$47+$B$46))^2)</f>
        <v>0.96344210787283313</v>
      </c>
      <c r="S79" s="113">
        <f t="shared" ref="S79" si="483">($B$46/$B$47)*((2*$B$47/($B$47+$B$46))^2)</f>
        <v>0.96344210787283291</v>
      </c>
      <c r="T79" s="113">
        <f t="shared" ref="T79:T81" si="484">(($B$47*COS(N79))/($B$46*COS(O79)))*(((2*$B$46*COS(O79))^2)/(($B$46*COS(O79)+$B$47*COS(N79))^2))</f>
        <v>1.9088776624040106E-15</v>
      </c>
      <c r="U79" s="112">
        <f t="shared" ref="U79" si="485">(($B$46*COS(O79)-$B$47*COS(N79))^2)/(($B$46*COS(O79)+$B$47*COS(N79))^2)</f>
        <v>0.99999999999999833</v>
      </c>
      <c r="V79" s="112" t="e">
        <f t="shared" ref="V79" si="486">(1/(2*D79))*($B$15+$B$15)+(E79+E80)/(2*D79^2)*$B$16</f>
        <v>#DIV/0!</v>
      </c>
      <c r="W79" s="112">
        <f t="shared" ref="W79" si="487">(1/(2*F79))*($B$15+$B$15)+(G79+G80)/(2*F79^2)*$B$16</f>
        <v>0.12420611684158372</v>
      </c>
      <c r="X79" s="113" t="e">
        <f t="shared" si="366"/>
        <v>#DIV/0!</v>
      </c>
      <c r="Y79" s="112"/>
      <c r="Z79" s="111" t="e">
        <f t="shared" ref="Z79:Z81" si="488">X79/$Y$8</f>
        <v>#DIV/0!</v>
      </c>
      <c r="AA79" s="111" t="e">
        <f t="shared" ref="AA79" si="489">(1/$Y$8)*V79+(1/$Y$8)*W79+(X79)/($Y$8^2)*(1/$H$170*($B$17+$B$17)+ABS($G$170+$G$171)/($H$170^2)*$B$18)</f>
        <v>#DIV/0!</v>
      </c>
      <c r="AB79" s="107" t="e">
        <f t="shared" ref="AB79" si="490">AA79+Z79</f>
        <v>#DIV/0!</v>
      </c>
      <c r="AC79" s="107">
        <f>Q79-M79</f>
        <v>0.16273189438149849</v>
      </c>
      <c r="AD79" s="95"/>
      <c r="AE79" s="95"/>
    </row>
    <row r="80" spans="2:39" ht="15.75" thickBot="1">
      <c r="B80" s="123"/>
      <c r="C80" s="123"/>
      <c r="D80" s="177"/>
      <c r="E80" s="18">
        <v>0</v>
      </c>
      <c r="F80" s="180"/>
      <c r="G80" s="18">
        <v>0.16200000000000001</v>
      </c>
      <c r="H80" s="138"/>
      <c r="I80" s="141"/>
      <c r="J80" s="116"/>
      <c r="K80" s="116"/>
      <c r="L80" s="138"/>
      <c r="M80" s="141"/>
      <c r="N80" s="207"/>
      <c r="O80" s="113"/>
      <c r="P80" s="113"/>
      <c r="Q80" s="112"/>
      <c r="R80" s="113"/>
      <c r="S80" s="113"/>
      <c r="T80" s="113"/>
      <c r="U80" s="112"/>
      <c r="V80" s="112"/>
      <c r="W80" s="112"/>
      <c r="X80" s="113"/>
      <c r="Y80" s="112"/>
      <c r="Z80" s="111"/>
      <c r="AA80" s="111"/>
      <c r="AB80" s="107"/>
      <c r="AC80" s="107"/>
      <c r="AD80" s="95"/>
      <c r="AE80" s="95"/>
    </row>
    <row r="81" spans="1:38">
      <c r="C81" s="204">
        <v>20</v>
      </c>
      <c r="D81" s="177">
        <v>2.9600000000000001E-2</v>
      </c>
      <c r="E81" s="18">
        <v>0.16700000000000001</v>
      </c>
      <c r="F81" s="180">
        <v>2.9399999999999999E-2</v>
      </c>
      <c r="G81" s="18">
        <v>8.3599999999999994E-3</v>
      </c>
      <c r="H81" s="138">
        <f>(AVERAGE(E81:E82)/D81)</f>
        <v>5.6756756756756754</v>
      </c>
      <c r="I81" s="141">
        <f>(AVERAGE(G81:G82)/F81)</f>
        <v>0.28367346938775512</v>
      </c>
      <c r="J81" s="115">
        <f>V81/$H$173+((H81*$H$174)/$H$173^2)</f>
        <v>2.4414588333507257E-2</v>
      </c>
      <c r="K81" s="115">
        <f>W81/$H$173+((I81*$H$174)/$H$173^2)</f>
        <v>5.7041034489597603E-3</v>
      </c>
      <c r="L81" s="181">
        <f>H81/$J$173</f>
        <v>0.80416802344513183</v>
      </c>
      <c r="M81" s="182">
        <f>I81/$J$173</f>
        <v>4.0192771084337352E-2</v>
      </c>
      <c r="N81" s="207">
        <f>ASIN($B$46/$B$47*SIN(C81*PI()/180))</f>
        <v>0.52790914473639183</v>
      </c>
      <c r="O81" s="113">
        <f>C81*PI()/180</f>
        <v>0.3490658503988659</v>
      </c>
      <c r="P81" s="113">
        <f>S81*T81</f>
        <v>0.91185989694096825</v>
      </c>
      <c r="Q81" s="112">
        <f t="shared" ref="Q81" si="491">U81*R81*S81</f>
        <v>4.9696474028936795E-2</v>
      </c>
      <c r="R81" s="113">
        <f t="shared" ref="R81" si="492">($B$47/$B$46)*((2*$B$46/($B$47+$B$46))^2)</f>
        <v>0.96344210787283313</v>
      </c>
      <c r="S81" s="113">
        <f>($B$46/$B$47)*((2*$B$47/($B$47+$B$46))^2)</f>
        <v>0.96344210787283291</v>
      </c>
      <c r="T81" s="113">
        <f t="shared" si="484"/>
        <v>0.94646049771921203</v>
      </c>
      <c r="U81" s="112">
        <f>(($B$46*COS(O81)-$B$47*COS(N81))^2)/(($B$46*COS(O81)+$B$47*COS(N81))^2)</f>
        <v>5.3539502280787937E-2</v>
      </c>
      <c r="V81" s="112">
        <f t="shared" ref="V81" si="493">(1/(2*D81))*($B$15+$B$15)+(E81+E82)/(2*D81^2)*$B$16</f>
        <v>0.12965668371073777</v>
      </c>
      <c r="W81" s="112">
        <f t="shared" ref="W81" si="494">(1/(2*F81))*($B$15+$B$15)+(G81+G82)/(2*F81^2)*$B$16</f>
        <v>3.8837984173261147E-2</v>
      </c>
      <c r="X81" s="113">
        <f t="shared" ref="X81" si="495">H81/R75+I81</f>
        <v>6.1747131377772755</v>
      </c>
      <c r="Y81" s="112"/>
      <c r="Z81" s="111">
        <f t="shared" si="488"/>
        <v>0.85563882052056539</v>
      </c>
      <c r="AA81" s="111">
        <f t="shared" ref="AA81" si="496">(1/$Y$8)*(1/D81*($B$15+$B$15)+(E81+E82)/(D81^2)*$B$16)+(1/$Y$8)*W81+(X81)/($Y$8^2)*(1/$H$170*($B$17+$B$17)+ABS($G$170+$G$171)/($H$170^2)*$B$18)</f>
        <v>0.111463360354237</v>
      </c>
      <c r="AB81" s="107">
        <f t="shared" ref="AB81" si="497">AA81+Z81</f>
        <v>0.96710218087480238</v>
      </c>
      <c r="AC81" s="122">
        <f>MAX(AC53:AC80)</f>
        <v>0.16273189438149849</v>
      </c>
      <c r="AD81" s="94">
        <f>MAX(AD53:AD80)</f>
        <v>0.25097955130114619</v>
      </c>
      <c r="AE81" s="96"/>
    </row>
    <row r="82" spans="1:38" ht="15.75" thickBot="1">
      <c r="C82" s="205"/>
      <c r="D82" s="190"/>
      <c r="E82" s="19">
        <v>0.16900000000000001</v>
      </c>
      <c r="F82" s="206"/>
      <c r="G82" s="19">
        <v>8.3199999999999993E-3</v>
      </c>
      <c r="H82" s="138"/>
      <c r="I82" s="141"/>
      <c r="J82" s="116"/>
      <c r="K82" s="116"/>
      <c r="L82" s="138"/>
      <c r="M82" s="141"/>
      <c r="N82" s="207"/>
      <c r="O82" s="113"/>
      <c r="P82" s="113"/>
      <c r="Q82" s="112"/>
      <c r="R82" s="113"/>
      <c r="S82" s="113"/>
      <c r="T82" s="113"/>
      <c r="U82" s="112"/>
      <c r="V82" s="112"/>
      <c r="W82" s="112"/>
      <c r="X82" s="113"/>
      <c r="Y82" s="112"/>
      <c r="Z82" s="111"/>
      <c r="AA82" s="111"/>
      <c r="AB82" s="107"/>
      <c r="AC82" s="122"/>
      <c r="AD82" s="94"/>
      <c r="AE82" s="96"/>
    </row>
    <row r="83" spans="1:38" ht="15.75" thickBot="1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W83" s="121"/>
      <c r="X83" s="121"/>
      <c r="Y83" s="121"/>
      <c r="Z83" s="1" t="e">
        <f>MIN(Z53:Z80)</f>
        <v>#DIV/0!</v>
      </c>
    </row>
    <row r="84" spans="1:38" ht="15.75" thickBot="1"/>
    <row r="85" spans="1:38">
      <c r="C85" s="131" t="s">
        <v>8</v>
      </c>
      <c r="D85" s="132"/>
      <c r="E85" s="132"/>
      <c r="F85" s="132"/>
      <c r="G85" s="132"/>
      <c r="H85" s="132"/>
      <c r="I85" s="132"/>
      <c r="J85" s="132"/>
      <c r="K85" s="132"/>
      <c r="L85" s="132"/>
      <c r="M85" s="133"/>
    </row>
    <row r="86" spans="1:38" ht="15.75" thickBot="1">
      <c r="C86" s="134"/>
      <c r="D86" s="135"/>
      <c r="E86" s="135"/>
      <c r="F86" s="135"/>
      <c r="G86" s="135"/>
      <c r="H86" s="135"/>
      <c r="I86" s="135"/>
      <c r="J86" s="135"/>
      <c r="K86" s="135"/>
      <c r="L86" s="135"/>
      <c r="M86" s="136"/>
    </row>
    <row r="87" spans="1:38">
      <c r="R87">
        <f>($B$91/$B$90)*((2*$B$90/($B$91+$B$90))^2)</f>
        <v>0.96344210787283291</v>
      </c>
      <c r="S87">
        <f>($B$90/$B$91)*((2*$B$91/($B$91+$B$90))^2)</f>
        <v>0.96344210787283313</v>
      </c>
    </row>
    <row r="88" spans="1:38" ht="15.75" thickBot="1"/>
    <row r="89" spans="1:38" ht="15.75" thickBot="1">
      <c r="A89" t="s">
        <v>68</v>
      </c>
      <c r="C89" s="124" t="s">
        <v>7</v>
      </c>
      <c r="D89" s="124"/>
      <c r="E89" s="124"/>
      <c r="F89" s="124"/>
      <c r="G89" s="124"/>
      <c r="H89" s="124"/>
      <c r="I89" s="163"/>
      <c r="J89" s="119" t="s">
        <v>95</v>
      </c>
      <c r="K89" s="120"/>
      <c r="L89" s="8"/>
      <c r="M89" s="9"/>
      <c r="N89" s="108" t="s">
        <v>85</v>
      </c>
      <c r="O89" s="109"/>
      <c r="P89" s="109"/>
      <c r="Q89" s="109"/>
      <c r="R89" s="109"/>
      <c r="S89" s="109"/>
      <c r="T89" s="109"/>
      <c r="U89" s="109"/>
      <c r="V89" s="110" t="s">
        <v>74</v>
      </c>
      <c r="W89" s="110"/>
      <c r="X89" s="110"/>
      <c r="Y89" s="110"/>
      <c r="Z89" s="110"/>
      <c r="AA89" s="110"/>
      <c r="AD89" s="104" t="s">
        <v>77</v>
      </c>
      <c r="AE89" s="105"/>
      <c r="AF89" s="105"/>
    </row>
    <row r="90" spans="1:38" ht="15.75" thickBot="1">
      <c r="A90" t="s">
        <v>51</v>
      </c>
      <c r="B90">
        <v>1.0002914000000001</v>
      </c>
      <c r="C90" s="15" t="s">
        <v>2</v>
      </c>
      <c r="D90" s="129" t="s">
        <v>1</v>
      </c>
      <c r="E90" s="130"/>
      <c r="F90" s="130" t="s">
        <v>0</v>
      </c>
      <c r="G90" s="130"/>
      <c r="H90" s="15" t="s">
        <v>4</v>
      </c>
      <c r="I90" s="20" t="s">
        <v>3</v>
      </c>
      <c r="J90" s="101" t="s">
        <v>96</v>
      </c>
      <c r="K90" s="102" t="s">
        <v>97</v>
      </c>
      <c r="L90" s="15" t="s">
        <v>13</v>
      </c>
      <c r="M90" s="15" t="s">
        <v>14</v>
      </c>
      <c r="N90" s="92" t="s">
        <v>48</v>
      </c>
      <c r="O90" s="66" t="s">
        <v>58</v>
      </c>
      <c r="P90" s="66" t="s">
        <v>54</v>
      </c>
      <c r="Q90" s="67" t="s">
        <v>53</v>
      </c>
      <c r="R90" s="67" t="s">
        <v>55</v>
      </c>
      <c r="S90" s="79" t="s">
        <v>65</v>
      </c>
      <c r="T90" s="67" t="s">
        <v>56</v>
      </c>
      <c r="U90" s="67" t="s">
        <v>57</v>
      </c>
      <c r="V90" s="79" t="s">
        <v>93</v>
      </c>
      <c r="W90" s="79" t="s">
        <v>94</v>
      </c>
      <c r="X90" t="s">
        <v>76</v>
      </c>
      <c r="Y90" t="s">
        <v>75</v>
      </c>
      <c r="Z90" t="s">
        <v>86</v>
      </c>
      <c r="AA90" t="s">
        <v>87</v>
      </c>
      <c r="AD90" t="s">
        <v>78</v>
      </c>
      <c r="AE90" t="s">
        <v>79</v>
      </c>
    </row>
    <row r="91" spans="1:38" ht="15.75" thickBot="1">
      <c r="A91" t="s">
        <v>52</v>
      </c>
      <c r="B91">
        <f>C204</f>
        <v>1.473231998292388</v>
      </c>
      <c r="C91" s="124">
        <v>0</v>
      </c>
      <c r="D91" s="125">
        <v>4.3499999999999997E-2</v>
      </c>
      <c r="E91" s="31">
        <v>0.24249999999999999</v>
      </c>
      <c r="F91" s="127"/>
      <c r="G91" s="32"/>
      <c r="H91" s="174">
        <f>(AVERAGE(E91:E92)/D91)</f>
        <v>5.5574712643678161</v>
      </c>
      <c r="I91" s="195" t="e">
        <f>(AVERAGE(G91:G92)/F91)</f>
        <v>#DIV/0!</v>
      </c>
      <c r="J91" s="115">
        <f>V91/$J$173+((H91*$J$174)/$J$173^2)</f>
        <v>2.5254160892384057E-2</v>
      </c>
      <c r="K91" s="115" t="e">
        <f>W91/$J$173+((I91*$J$174)/$J$173^2)</f>
        <v>#DIV/0!</v>
      </c>
      <c r="L91" s="174">
        <f>H91/$D$173</f>
        <v>0.85669013104106395</v>
      </c>
      <c r="M91" s="178" t="e">
        <f>I91/$D$173</f>
        <v>#DIV/0!</v>
      </c>
      <c r="N91" s="207">
        <f>ASIN($B$90/$B$91*SIN(C91*PI()/180))</f>
        <v>0</v>
      </c>
      <c r="O91" s="113">
        <f>C91*PI()/180</f>
        <v>0</v>
      </c>
      <c r="P91" s="113">
        <f>S91*T91</f>
        <v>0.92822069522244766</v>
      </c>
      <c r="Q91" s="112">
        <f>U91</f>
        <v>3.6557892127167091E-2</v>
      </c>
      <c r="R91" s="113">
        <f>($B$91/$B$90)*((2*$B$90/($B$91+$B$90))^2)</f>
        <v>0.96344210787283291</v>
      </c>
      <c r="S91" s="113">
        <f>($B$90/$B$91)*((2*$B$91/($B$91+$B$90))^2)</f>
        <v>0.96344210787283313</v>
      </c>
      <c r="T91" s="113">
        <f>(($B$91*COS(N91))/($B$90*COS(O91)))*(((2*$B$90*COS(O91))^2)/(($B$91*COS(O91)+$B$90*COS(N91))^2))</f>
        <v>0.96344210787283291</v>
      </c>
      <c r="U91" s="112">
        <f>(($B$91*COS(O91)-$B$90*COS(N91))^2)/(($B$91*COS(O91)+$B$90*COS(N91))^2)</f>
        <v>3.6557892127167091E-2</v>
      </c>
      <c r="V91" s="112">
        <f>1/(2*D91)*($B$15+$B$15)+(E91+E92)/(2*D91^2)*$B$16</f>
        <v>8.6867485797331223E-2</v>
      </c>
      <c r="W91" s="112" t="e">
        <f>(1/(2*F91))*($B$15+$B$15)+(G91+G92)/(2*F91^2)*$B$16</f>
        <v>#DIV/0!</v>
      </c>
      <c r="X91" s="112"/>
      <c r="Y91" s="112">
        <f>D173</f>
        <v>6.4871428571428567</v>
      </c>
      <c r="Z91" s="111"/>
      <c r="AA91" s="111" t="e">
        <f>(1/$Y$8)*V91+(1/$Y$8)*W91+(X91)/($Y$8^2)*(1/$H$170*($B$17+$B$17)+ABS($G$170+$G$171)/($H$170^2)*$B$18)</f>
        <v>#DIV/0!</v>
      </c>
      <c r="AB91" s="107" t="e">
        <f>AA91+Z91</f>
        <v>#DIV/0!</v>
      </c>
      <c r="AD91" s="107"/>
      <c r="AE91" s="112">
        <f>P91-L91</f>
        <v>7.1530564181383705E-2</v>
      </c>
      <c r="AF91" s="95"/>
    </row>
    <row r="92" spans="1:38" ht="15.75" thickBot="1">
      <c r="A92" t="s">
        <v>69</v>
      </c>
      <c r="C92" s="124"/>
      <c r="D92" s="126"/>
      <c r="E92" s="33">
        <v>0.24099999999999999</v>
      </c>
      <c r="F92" s="128"/>
      <c r="G92" s="34"/>
      <c r="H92" s="138"/>
      <c r="I92" s="137"/>
      <c r="J92" s="116"/>
      <c r="K92" s="116"/>
      <c r="L92" s="138"/>
      <c r="M92" s="141"/>
      <c r="N92" s="207"/>
      <c r="O92" s="113"/>
      <c r="P92" s="113"/>
      <c r="Q92" s="112"/>
      <c r="R92" s="113"/>
      <c r="S92" s="113"/>
      <c r="T92" s="113"/>
      <c r="U92" s="112"/>
      <c r="V92" s="112"/>
      <c r="W92" s="112"/>
      <c r="X92" s="112"/>
      <c r="Y92" s="112"/>
      <c r="Z92" s="111"/>
      <c r="AA92" s="111"/>
      <c r="AB92" s="107"/>
      <c r="AD92" s="107"/>
      <c r="AE92" s="112"/>
      <c r="AF92" s="95"/>
      <c r="AI92" s="156">
        <v>6.0999999999999999E-2</v>
      </c>
      <c r="AJ92" s="24">
        <v>0.20200000000000001</v>
      </c>
      <c r="AK92" s="85"/>
      <c r="AL92" s="39"/>
    </row>
    <row r="93" spans="1:38" ht="15.75" thickBot="1">
      <c r="C93" s="124">
        <v>5</v>
      </c>
      <c r="D93" s="126">
        <v>4.2200000000000001E-2</v>
      </c>
      <c r="E93" s="34">
        <v>0.24199999999999999</v>
      </c>
      <c r="F93" s="128"/>
      <c r="G93" s="34"/>
      <c r="H93" s="138">
        <f>(AVERAGE(E93:E94)/D93)</f>
        <v>5.7227488151658763</v>
      </c>
      <c r="I93" s="137" t="e">
        <f>(AVERAGE(G93:G94)/F93)</f>
        <v>#DIV/0!</v>
      </c>
      <c r="J93" s="115">
        <f t="shared" ref="J93" si="498">V93/$J$173+((H93*$J$174)/$J$173^2)</f>
        <v>2.6295792425982879E-2</v>
      </c>
      <c r="K93" s="115" t="e">
        <f t="shared" ref="K93" si="499">W93/$J$173+((I93*$J$174)/$J$173^2)</f>
        <v>#DIV/0!</v>
      </c>
      <c r="L93" s="138">
        <f>H93/$D$173</f>
        <v>0.88216784202072529</v>
      </c>
      <c r="M93" s="141" t="e">
        <f>I93/$D$173</f>
        <v>#DIV/0!</v>
      </c>
      <c r="N93" s="207">
        <f t="shared" ref="N93" si="500">ASIN($B$90/$B$91*SIN(C93*PI()/180))</f>
        <v>5.9211382556360256E-2</v>
      </c>
      <c r="O93" s="113">
        <f t="shared" ref="O93" si="501">C93*PI()/180</f>
        <v>8.7266462599716474E-2</v>
      </c>
      <c r="P93" s="113">
        <f>S93*T93</f>
        <v>0.92858516274321268</v>
      </c>
      <c r="Q93" s="112">
        <f t="shared" ref="Q93" si="502">U93</f>
        <v>3.6179594855554553E-2</v>
      </c>
      <c r="R93" s="113">
        <f>($B$91/$B$90)*((2*$B$90/($B$91+$B$90))^2)</f>
        <v>0.96344210787283291</v>
      </c>
      <c r="S93" s="113">
        <f t="shared" ref="S93" si="503">($B$90/$B$91)*((2*$B$91/($B$91+$B$90))^2)</f>
        <v>0.96344210787283313</v>
      </c>
      <c r="T93" s="113">
        <f t="shared" ref="T93" si="504">(($B$91*COS(N93))/($B$90*COS(O93)))*(((2*$B$90*COS(O93))^2)/(($B$91*COS(O93)+$B$90*COS(N93))^2))</f>
        <v>0.96382040514444556</v>
      </c>
      <c r="U93" s="112">
        <f t="shared" ref="U93" si="505">(($B$91*COS(O93)-$B$90*COS(N93))^2)/(($B$91*COS(O93)+$B$90*COS(N93))^2)</f>
        <v>3.6179594855554553E-2</v>
      </c>
      <c r="V93" s="112">
        <f t="shared" ref="V93" si="506">1/(2*D93)*($B$15+$B$15)+(E93+E94)/(2*D93^2)*$B$16</f>
        <v>9.150176321286585E-2</v>
      </c>
      <c r="W93" s="112" t="e">
        <f t="shared" ref="W93" si="507">(1/(2*F93))*($B$15+$B$15)+(G93+G94)/(2*F93^2)*$B$16</f>
        <v>#DIV/0!</v>
      </c>
      <c r="X93" s="112"/>
      <c r="Y93" s="112"/>
      <c r="Z93" s="111"/>
      <c r="AA93" s="111" t="e">
        <f t="shared" ref="AA93" si="508">(1/$Y$8)*V93+(1/$Y$8)*W93+(X93)/($Y$8^2)*(1/$H$170*($B$17+$B$17)+ABS($G$170+$G$171)/($H$170^2)*$B$18)</f>
        <v>#DIV/0!</v>
      </c>
      <c r="AB93" s="107" t="e">
        <f t="shared" ref="AB93" si="509">AA93+Z93</f>
        <v>#DIV/0!</v>
      </c>
      <c r="AD93" s="107"/>
      <c r="AE93" s="112">
        <f>P93-L93</f>
        <v>4.6417320722487387E-2</v>
      </c>
      <c r="AF93" s="95"/>
      <c r="AI93" s="150"/>
      <c r="AJ93" s="25">
        <v>0.20599999999999999</v>
      </c>
      <c r="AK93" s="86"/>
      <c r="AL93" s="40"/>
    </row>
    <row r="94" spans="1:38" ht="15.75" thickBot="1">
      <c r="C94" s="124"/>
      <c r="D94" s="126"/>
      <c r="E94" s="34">
        <v>0.24099999999999999</v>
      </c>
      <c r="F94" s="128"/>
      <c r="G94" s="34"/>
      <c r="H94" s="138"/>
      <c r="I94" s="137"/>
      <c r="J94" s="116"/>
      <c r="K94" s="116"/>
      <c r="L94" s="138"/>
      <c r="M94" s="141"/>
      <c r="N94" s="207"/>
      <c r="O94" s="113"/>
      <c r="P94" s="113"/>
      <c r="Q94" s="112"/>
      <c r="R94" s="113"/>
      <c r="S94" s="113"/>
      <c r="T94" s="113"/>
      <c r="U94" s="112"/>
      <c r="V94" s="112"/>
      <c r="W94" s="112"/>
      <c r="X94" s="112"/>
      <c r="Y94" s="112"/>
      <c r="Z94" s="111"/>
      <c r="AA94" s="111"/>
      <c r="AB94" s="107"/>
      <c r="AD94" s="107"/>
      <c r="AE94" s="112"/>
      <c r="AF94" s="95"/>
      <c r="AI94" s="150">
        <v>6.5000000000000002E-2</v>
      </c>
      <c r="AJ94" s="26">
        <v>0.20699999999999999</v>
      </c>
      <c r="AK94" s="86"/>
      <c r="AL94" s="40"/>
    </row>
    <row r="95" spans="1:38" ht="15.75" thickBot="1">
      <c r="C95" s="124">
        <v>10</v>
      </c>
      <c r="D95" s="126">
        <v>4.2000000000000003E-2</v>
      </c>
      <c r="E95" s="34">
        <v>0.24</v>
      </c>
      <c r="F95" s="128"/>
      <c r="G95" s="34"/>
      <c r="H95" s="138">
        <f>(AVERAGE(E95:E96)/D95)</f>
        <v>5.7142857142857135</v>
      </c>
      <c r="I95" s="137" t="e">
        <f>(AVERAGE(G95:G96)/F95)</f>
        <v>#DIV/0!</v>
      </c>
      <c r="J95" s="115">
        <f t="shared" ref="J95" si="510">V95/$J$173+((H95*$J$174)/$J$173^2)</f>
        <v>2.632353856043796E-2</v>
      </c>
      <c r="K95" s="115" t="e">
        <f t="shared" ref="K95" si="511">W95/$J$173+((I95*$J$174)/$J$173^2)</f>
        <v>#DIV/0!</v>
      </c>
      <c r="L95" s="138">
        <f>H95/$D$173</f>
        <v>0.88086324598106136</v>
      </c>
      <c r="M95" s="141" t="e">
        <f>I95/$D$173</f>
        <v>#DIV/0!</v>
      </c>
      <c r="N95" s="207">
        <f t="shared" ref="N95" si="512">ASIN($B$90/$B$91*SIN(C95*PI()/180))</f>
        <v>0.11817809643357079</v>
      </c>
      <c r="O95" s="113">
        <f t="shared" ref="O95" si="513">C95*PI()/180</f>
        <v>0.17453292519943295</v>
      </c>
      <c r="P95" s="113">
        <f t="shared" ref="P95" si="514">S95*T95</f>
        <v>0.92968113934735008</v>
      </c>
      <c r="Q95" s="112">
        <f t="shared" ref="Q95" si="515">U95</f>
        <v>3.5042031326639113E-2</v>
      </c>
      <c r="R95" s="113">
        <f t="shared" ref="R95" si="516">($B$91/$B$90)*((2*$B$90/($B$91+$B$90))^2)</f>
        <v>0.96344210787283291</v>
      </c>
      <c r="S95" s="113">
        <f t="shared" ref="S95" si="517">($B$90/$B$91)*((2*$B$91/($B$91+$B$90))^2)</f>
        <v>0.96344210787283313</v>
      </c>
      <c r="T95" s="113">
        <f t="shared" ref="T95" si="518">(($B$91*COS(N95))/($B$90*COS(O95)))*(((2*$B$90*COS(O95))^2)/(($B$91*COS(O95)+$B$90*COS(N95))^2))</f>
        <v>0.96495796867336092</v>
      </c>
      <c r="U95" s="112">
        <f t="shared" ref="U95" si="519">(($B$91*COS(O95)-$B$90*COS(N95))^2)/(($B$91*COS(O95)+$B$90*COS(N95))^2)</f>
        <v>3.5042031326639113E-2</v>
      </c>
      <c r="V95" s="112">
        <f t="shared" ref="V95" si="520">1/(2*D95)*($B$15+$B$15)+(E95+E96)/(2*D95^2)*$B$16</f>
        <v>9.1836734693877542E-2</v>
      </c>
      <c r="W95" s="112" t="e">
        <f t="shared" ref="W95" si="521">(1/(2*F95))*($B$15+$B$15)+(G95+G96)/(2*F95^2)*$B$16</f>
        <v>#DIV/0!</v>
      </c>
      <c r="X95" s="112"/>
      <c r="Y95" s="112"/>
      <c r="Z95" s="111"/>
      <c r="AA95" s="111" t="e">
        <f t="shared" ref="AA95" si="522">(1/$Y$8)*V95+(1/$Y$8)*W95+(X95)/($Y$8^2)*(1/$H$170*($B$17+$B$17)+ABS($G$170+$G$171)/($H$170^2)*$B$18)</f>
        <v>#DIV/0!</v>
      </c>
      <c r="AB95" s="107" t="e">
        <f t="shared" ref="AB95" si="523">AA95+Z95</f>
        <v>#DIV/0!</v>
      </c>
      <c r="AD95" s="107"/>
      <c r="AE95" s="112">
        <f>P95-L95</f>
        <v>4.8817893366288723E-2</v>
      </c>
      <c r="AF95" s="95"/>
      <c r="AI95" s="150"/>
      <c r="AJ95" s="26">
        <v>0.21199999999999999</v>
      </c>
      <c r="AK95" s="86"/>
      <c r="AL95" s="40"/>
    </row>
    <row r="96" spans="1:38" ht="15.75" thickBot="1">
      <c r="C96" s="124"/>
      <c r="D96" s="126"/>
      <c r="E96" s="34">
        <v>0.24</v>
      </c>
      <c r="F96" s="128"/>
      <c r="G96" s="34"/>
      <c r="H96" s="138"/>
      <c r="I96" s="137"/>
      <c r="J96" s="116"/>
      <c r="K96" s="116"/>
      <c r="L96" s="138"/>
      <c r="M96" s="141"/>
      <c r="N96" s="207"/>
      <c r="O96" s="113"/>
      <c r="P96" s="113"/>
      <c r="Q96" s="112"/>
      <c r="R96" s="113"/>
      <c r="S96" s="113"/>
      <c r="T96" s="113"/>
      <c r="U96" s="112"/>
      <c r="V96" s="112"/>
      <c r="W96" s="112"/>
      <c r="X96" s="112"/>
      <c r="Y96" s="112"/>
      <c r="Z96" s="111"/>
      <c r="AA96" s="111"/>
      <c r="AB96" s="107"/>
      <c r="AD96" s="107"/>
      <c r="AE96" s="112"/>
      <c r="AF96" s="95"/>
      <c r="AI96" s="150">
        <v>6.6000000000000003E-2</v>
      </c>
      <c r="AJ96" s="26">
        <v>0.21299999999999999</v>
      </c>
      <c r="AK96" s="86"/>
      <c r="AL96" s="40"/>
    </row>
    <row r="97" spans="3:38" ht="15.75" thickBot="1">
      <c r="C97" s="124">
        <v>15</v>
      </c>
      <c r="D97" s="126">
        <v>4.2099999999999999E-2</v>
      </c>
      <c r="E97" s="34">
        <v>0.23799999999999999</v>
      </c>
      <c r="F97" s="128"/>
      <c r="G97" s="34"/>
      <c r="H97" s="138">
        <f>(AVERAGE(E97:E98)/D97)</f>
        <v>5.6532066508313541</v>
      </c>
      <c r="I97" s="137" t="e">
        <f>(AVERAGE(G97:G98)/F97)</f>
        <v>#DIV/0!</v>
      </c>
      <c r="J97" s="115">
        <f t="shared" ref="J97" si="524">V97/$J$173+((H97*$J$174)/$J$173^2)</f>
        <v>2.6047566532179375E-2</v>
      </c>
      <c r="K97" s="115" t="e">
        <f t="shared" ref="K97" si="525">W97/$J$173+((I97*$J$174)/$J$173^2)</f>
        <v>#DIV/0!</v>
      </c>
      <c r="L97" s="138">
        <f>H97/$D$173</f>
        <v>0.87144784311428058</v>
      </c>
      <c r="M97" s="141" t="e">
        <f>I97/$D$173</f>
        <v>#DIV/0!</v>
      </c>
      <c r="N97" s="207">
        <f t="shared" ref="N97" si="526">ASIN($B$90/$B$91*SIN(C97*PI()/180))</f>
        <v>0.17664960710914493</v>
      </c>
      <c r="O97" s="113">
        <f t="shared" ref="O97" si="527">C97*PI()/180</f>
        <v>0.26179938779914941</v>
      </c>
      <c r="P97" s="113">
        <f t="shared" ref="P97" si="528">S97*T97</f>
        <v>0.93151505559280812</v>
      </c>
      <c r="Q97" s="112">
        <f t="shared" ref="Q97" si="529">U97</f>
        <v>3.3138526974408458E-2</v>
      </c>
      <c r="R97" s="113">
        <f t="shared" ref="R97" si="530">($B$91/$B$90)*((2*$B$90/($B$91+$B$90))^2)</f>
        <v>0.96344210787283291</v>
      </c>
      <c r="S97" s="113">
        <f t="shared" ref="S97" si="531">($B$90/$B$91)*((2*$B$91/($B$91+$B$90))^2)</f>
        <v>0.96344210787283313</v>
      </c>
      <c r="T97" s="113">
        <f t="shared" ref="T97" si="532">(($B$91*COS(N97))/($B$90*COS(O97)))*(((2*$B$90*COS(O97))^2)/(($B$91*COS(O97)+$B$90*COS(N97))^2))</f>
        <v>0.96686147302559133</v>
      </c>
      <c r="U97" s="112">
        <f t="shared" ref="U97" si="533">(($B$91*COS(O97)-$B$90*COS(N97))^2)/(($B$91*COS(O97)+$B$90*COS(N97))^2)</f>
        <v>3.3138526974408458E-2</v>
      </c>
      <c r="V97" s="112">
        <f t="shared" ref="V97" si="534">1/(2*D97)*($B$15+$B$15)+(E97+E98)/(2*D97^2)*$B$16</f>
        <v>9.0893190627450771E-2</v>
      </c>
      <c r="W97" s="112" t="e">
        <f t="shared" ref="W97" si="535">(1/(2*F97))*($B$15+$B$15)+(G97+G98)/(2*F97^2)*$B$16</f>
        <v>#DIV/0!</v>
      </c>
      <c r="X97" s="113" t="e">
        <f>H97/R91+I97</f>
        <v>#DIV/0!</v>
      </c>
      <c r="Y97" s="112"/>
      <c r="Z97" s="111" t="e">
        <f>X97/$Y$8</f>
        <v>#DIV/0!</v>
      </c>
      <c r="AA97" s="111" t="e">
        <f t="shared" ref="AA97" si="536">(1/$Y$8)*V97+(1/$Y$8)*W97+(X97)/($Y$8^2)*(1/$H$170*($B$17+$B$17)+ABS($G$170+$G$171)/($H$170^2)*$B$18)</f>
        <v>#DIV/0!</v>
      </c>
      <c r="AB97" s="107" t="e">
        <f t="shared" ref="AB97" si="537">AA97+Z97</f>
        <v>#DIV/0!</v>
      </c>
      <c r="AD97" s="107"/>
      <c r="AE97" s="112">
        <f>P97-L97</f>
        <v>6.0067212478527532E-2</v>
      </c>
      <c r="AF97" s="95"/>
      <c r="AI97" s="150"/>
      <c r="AJ97" s="26">
        <v>0.215</v>
      </c>
      <c r="AK97" s="86"/>
      <c r="AL97" s="40"/>
    </row>
    <row r="98" spans="3:38" ht="15.75" thickBot="1">
      <c r="C98" s="124"/>
      <c r="D98" s="126"/>
      <c r="E98" s="34">
        <v>0.23799999999999999</v>
      </c>
      <c r="F98" s="128"/>
      <c r="G98" s="34"/>
      <c r="H98" s="138"/>
      <c r="I98" s="137"/>
      <c r="J98" s="116"/>
      <c r="K98" s="116"/>
      <c r="L98" s="138"/>
      <c r="M98" s="141"/>
      <c r="N98" s="207"/>
      <c r="O98" s="113"/>
      <c r="P98" s="113"/>
      <c r="Q98" s="112"/>
      <c r="R98" s="113"/>
      <c r="S98" s="113"/>
      <c r="T98" s="113"/>
      <c r="U98" s="112"/>
      <c r="V98" s="112"/>
      <c r="W98" s="112"/>
      <c r="X98" s="113"/>
      <c r="Y98" s="112"/>
      <c r="Z98" s="111"/>
      <c r="AA98" s="111"/>
      <c r="AB98" s="107"/>
      <c r="AD98" s="107"/>
      <c r="AE98" s="112"/>
      <c r="AF98" s="95"/>
      <c r="AI98" s="150">
        <v>6.7000000000000004E-2</v>
      </c>
      <c r="AJ98" s="26">
        <v>0.215</v>
      </c>
      <c r="AK98" s="82">
        <v>6.8000000000000005E-2</v>
      </c>
      <c r="AL98" s="37">
        <v>8.0000000000000002E-3</v>
      </c>
    </row>
    <row r="99" spans="3:38" ht="15.75" customHeight="1" thickBot="1">
      <c r="C99" s="124">
        <v>20</v>
      </c>
      <c r="D99" s="126">
        <v>4.1799999999999997E-2</v>
      </c>
      <c r="E99" s="34">
        <v>0.23200000000000001</v>
      </c>
      <c r="F99" s="128">
        <v>4.1799999999999997E-2</v>
      </c>
      <c r="G99" s="34">
        <v>8.26E-3</v>
      </c>
      <c r="H99" s="138">
        <f>(AVERAGE(E99:E100)/D99)</f>
        <v>5.5502392344497613</v>
      </c>
      <c r="I99" s="137">
        <f>(AVERAGE(G99:G100)/F99)</f>
        <v>0.19772727272727272</v>
      </c>
      <c r="J99" s="115">
        <f t="shared" ref="J99" si="538">V99/$J$173+((H99*$J$174)/$J$173^2)</f>
        <v>2.5725620262733746E-2</v>
      </c>
      <c r="K99" s="115">
        <f t="shared" ref="K99" si="539">W99/$J$173+((I99*$J$174)/$J$173^2)</f>
        <v>4.185354566991613E-3</v>
      </c>
      <c r="L99" s="138">
        <f>H99/$D$173</f>
        <v>0.85557530590505027</v>
      </c>
      <c r="M99" s="141">
        <f>I99/$D$173</f>
        <v>3.0479870272867412E-2</v>
      </c>
      <c r="N99" s="207">
        <f t="shared" ref="N99" si="540">ASIN($B$90/$B$91*SIN(C99*PI()/180))</f>
        <v>0.23436355521169944</v>
      </c>
      <c r="O99" s="113">
        <f t="shared" ref="O99" si="541">C99*PI()/180</f>
        <v>0.3490658503988659</v>
      </c>
      <c r="P99" s="113">
        <f t="shared" ref="P99" si="542">S99*T99</f>
        <v>0.93409289996771572</v>
      </c>
      <c r="Q99" s="112">
        <f t="shared" ref="Q99" si="543">U99</f>
        <v>3.0462866077046267E-2</v>
      </c>
      <c r="R99" s="113">
        <f t="shared" ref="R99" si="544">($B$91/$B$90)*((2*$B$90/($B$91+$B$90))^2)</f>
        <v>0.96344210787283291</v>
      </c>
      <c r="S99" s="113">
        <f t="shared" ref="S99" si="545">($B$90/$B$91)*((2*$B$91/($B$91+$B$90))^2)</f>
        <v>0.96344210787283313</v>
      </c>
      <c r="T99" s="113">
        <f t="shared" ref="T99" si="546">(($B$91*COS(N99))/($B$90*COS(O99)))*(((2*$B$90*COS(O99))^2)/(($B$91*COS(O99)+$B$90*COS(N99))^2))</f>
        <v>0.9695371339229536</v>
      </c>
      <c r="U99" s="112">
        <f t="shared" ref="U99" si="547">(($B$91*COS(O99)-$B$90*COS(N99))^2)/(($B$91*COS(O99)+$B$90*COS(N99))^2)</f>
        <v>3.0462866077046267E-2</v>
      </c>
      <c r="V99" s="112">
        <f t="shared" ref="V99" si="548">1/(2*D99)*($B$15+$B$15)+(E99+E100)/(2*D99^2)*$B$16</f>
        <v>9.0313866440786636E-2</v>
      </c>
      <c r="W99" s="112">
        <f t="shared" ref="W99" si="549">(1/(2*F99))*($B$15+$B$15)+(G99+G100)/(2*F99^2)*$B$16</f>
        <v>2.6288603740756856E-2</v>
      </c>
      <c r="X99" s="113">
        <f t="shared" ref="X99" si="550">H99/R93+I99</f>
        <v>5.9585708035378966</v>
      </c>
      <c r="Y99" s="112"/>
      <c r="Z99" s="111">
        <f t="shared" ref="Z99" si="551">X99/$Y$8</f>
        <v>0.82568766849025144</v>
      </c>
      <c r="AA99" s="111">
        <f t="shared" ref="AA99" si="552">(1/$Y$8)*V99+(1/$Y$8)*W99+(X99)/($Y$8^2)*(1/$H$170*($B$17+$B$17)+ABS($G$170+$G$171)/($H$170^2)*$B$18)</f>
        <v>8.3850377955825381E-2</v>
      </c>
      <c r="AB99" s="107">
        <f t="shared" ref="AB99" si="553">AA99+Z99</f>
        <v>0.90953804644607683</v>
      </c>
      <c r="AD99" s="107">
        <f>Q99-M99</f>
        <v>-1.7004195821145041E-5</v>
      </c>
      <c r="AE99" s="112">
        <f>P99-L99</f>
        <v>7.8517594062665452E-2</v>
      </c>
      <c r="AF99" s="95"/>
      <c r="AI99" s="150"/>
      <c r="AJ99" s="26">
        <v>0.217</v>
      </c>
      <c r="AK99" s="82"/>
      <c r="AL99" s="37">
        <v>8.0000000000000002E-3</v>
      </c>
    </row>
    <row r="100" spans="3:38" ht="15.75" thickBot="1">
      <c r="C100" s="124"/>
      <c r="D100" s="126"/>
      <c r="E100" s="34">
        <v>0.23200000000000001</v>
      </c>
      <c r="F100" s="128"/>
      <c r="G100" s="34">
        <v>8.2699999999999996E-3</v>
      </c>
      <c r="H100" s="138"/>
      <c r="I100" s="137"/>
      <c r="J100" s="116"/>
      <c r="K100" s="116"/>
      <c r="L100" s="138"/>
      <c r="M100" s="141"/>
      <c r="N100" s="207"/>
      <c r="O100" s="113"/>
      <c r="P100" s="113"/>
      <c r="Q100" s="112"/>
      <c r="R100" s="113"/>
      <c r="S100" s="113"/>
      <c r="T100" s="113"/>
      <c r="U100" s="112"/>
      <c r="V100" s="112"/>
      <c r="W100" s="112"/>
      <c r="X100" s="113"/>
      <c r="Y100" s="112"/>
      <c r="Z100" s="111"/>
      <c r="AA100" s="111"/>
      <c r="AB100" s="107"/>
      <c r="AD100" s="107"/>
      <c r="AE100" s="112"/>
      <c r="AF100" s="95"/>
      <c r="AI100" s="150">
        <v>6.7000000000000004E-2</v>
      </c>
      <c r="AJ100" s="26">
        <v>0.223</v>
      </c>
      <c r="AK100" s="82">
        <v>6.7000000000000004E-2</v>
      </c>
      <c r="AL100" s="37">
        <v>7.0000000000000001E-3</v>
      </c>
    </row>
    <row r="101" spans="3:38" ht="15.75" thickBot="1">
      <c r="C101" s="124">
        <v>25</v>
      </c>
      <c r="D101" s="126">
        <v>4.1200000000000001E-2</v>
      </c>
      <c r="E101" s="34">
        <v>0.23</v>
      </c>
      <c r="F101" s="128">
        <v>4.1200000000000001E-2</v>
      </c>
      <c r="G101" s="34">
        <v>7.5199999999999998E-3</v>
      </c>
      <c r="H101" s="138">
        <f>(AVERAGE(E101:E102)/D101)</f>
        <v>5.5825242718446599</v>
      </c>
      <c r="I101" s="137">
        <f>(AVERAGE(G101:G102)/F101)</f>
        <v>0.18240291262135921</v>
      </c>
      <c r="J101" s="115">
        <f t="shared" ref="J101" si="554">V101/$J$173+((H101*$J$174)/$J$173^2)</f>
        <v>2.6042696269806334E-2</v>
      </c>
      <c r="K101" s="115">
        <f t="shared" ref="K101" si="555">W101/$J$173+((I101*$J$174)/$J$173^2)</f>
        <v>4.1775499617221776E-3</v>
      </c>
      <c r="L101" s="138">
        <f>H101/$D$173</f>
        <v>0.86055207890140106</v>
      </c>
      <c r="M101" s="141">
        <f>I101/$D$173</f>
        <v>2.811760379540882E-2</v>
      </c>
      <c r="N101" s="207">
        <f t="shared" ref="N101" si="556">ASIN($B$90/$B$91*SIN(C101*PI()/180))</f>
        <v>0.29103963764956881</v>
      </c>
      <c r="O101" s="113">
        <f t="shared" ref="O101" si="557">C101*PI()/180</f>
        <v>0.43633231299858238</v>
      </c>
      <c r="P101" s="113">
        <f t="shared" ref="P101" si="558">S101*T101</f>
        <v>0.93741150657149219</v>
      </c>
      <c r="Q101" s="112">
        <f>U101</f>
        <v>2.7018334665497735E-2</v>
      </c>
      <c r="R101" s="113">
        <f t="shared" ref="R101" si="559">($B$91/$B$90)*((2*$B$90/($B$91+$B$90))^2)</f>
        <v>0.96344210787283291</v>
      </c>
      <c r="S101" s="113">
        <f t="shared" ref="S101" si="560">($B$90/$B$91)*((2*$B$91/($B$91+$B$90))^2)</f>
        <v>0.96344210787283313</v>
      </c>
      <c r="T101" s="113">
        <f t="shared" ref="T101" si="561">(($B$91*COS(N101))/($B$90*COS(O101)))*(((2*$B$90*COS(O101))^2)/(($B$91*COS(O101)+$B$90*COS(N101))^2))</f>
        <v>0.97298166533450214</v>
      </c>
      <c r="U101" s="112">
        <f t="shared" ref="U101" si="562">(($B$91*COS(O101)-$B$90*COS(N101))^2)/(($B$91*COS(O101)+$B$90*COS(N101))^2)</f>
        <v>2.7018334665497735E-2</v>
      </c>
      <c r="V101" s="112">
        <f t="shared" ref="V101" si="563">1/(2*D101)*($B$15+$B$15)+(E101+E102)/(2*D101^2)*$B$16</f>
        <v>9.2020925629182779E-2</v>
      </c>
      <c r="W101" s="112">
        <f t="shared" ref="W101" si="564">(1/(2*F101))*($B$15+$B$15)+(G101+G102)/(2*F101^2)*$B$16</f>
        <v>2.6485472240550475E-2</v>
      </c>
      <c r="X101" s="113">
        <f t="shared" ref="X101" si="565">H101/R95+I101</f>
        <v>5.9767565392966748</v>
      </c>
      <c r="Y101" s="112"/>
      <c r="Z101" s="111">
        <f t="shared" ref="Z101" si="566">X101/$Y$8</f>
        <v>0.82820769187396792</v>
      </c>
      <c r="AA101" s="111">
        <f t="shared" ref="AA101" si="567">(1/$Y$8)*V101+(1/$Y$8)*W101+(X101)/($Y$8^2)*(1/$H$170*($B$17+$B$17)+ABS($G$170+$G$171)/($H$170^2)*$B$18)</f>
        <v>8.4320807790693314E-2</v>
      </c>
      <c r="AB101" s="107">
        <f t="shared" ref="AB101" si="568">AA101+Z101</f>
        <v>0.91252849966466121</v>
      </c>
      <c r="AD101" s="107">
        <f>R101-N101</f>
        <v>0.67240247022326405</v>
      </c>
      <c r="AE101" s="112">
        <f>P101-L101</f>
        <v>7.6859427670091129E-2</v>
      </c>
      <c r="AF101" s="95"/>
      <c r="AI101" s="150"/>
      <c r="AJ101" s="26">
        <v>0.223</v>
      </c>
      <c r="AK101" s="82"/>
      <c r="AL101" s="37">
        <v>7.0000000000000001E-3</v>
      </c>
    </row>
    <row r="102" spans="3:38" ht="15.75" thickBot="1">
      <c r="C102" s="124"/>
      <c r="D102" s="126"/>
      <c r="E102" s="34">
        <v>0.23</v>
      </c>
      <c r="F102" s="128"/>
      <c r="G102" s="34">
        <v>7.5100000000000002E-3</v>
      </c>
      <c r="H102" s="138"/>
      <c r="I102" s="137"/>
      <c r="J102" s="116"/>
      <c r="K102" s="116"/>
      <c r="L102" s="138"/>
      <c r="M102" s="141"/>
      <c r="N102" s="207"/>
      <c r="O102" s="113"/>
      <c r="P102" s="113"/>
      <c r="Q102" s="112"/>
      <c r="R102" s="113"/>
      <c r="S102" s="113"/>
      <c r="T102" s="113"/>
      <c r="U102" s="112"/>
      <c r="V102" s="112"/>
      <c r="W102" s="112"/>
      <c r="X102" s="113"/>
      <c r="Y102" s="112"/>
      <c r="Z102" s="111"/>
      <c r="AA102" s="111"/>
      <c r="AB102" s="107"/>
      <c r="AD102" s="107"/>
      <c r="AE102" s="112"/>
      <c r="AF102" s="95"/>
      <c r="AI102" s="150">
        <v>6.7000000000000004E-2</v>
      </c>
      <c r="AJ102" s="26">
        <v>0.222</v>
      </c>
      <c r="AK102" s="82">
        <v>6.8000000000000005E-2</v>
      </c>
      <c r="AL102" s="37">
        <v>6.3E-3</v>
      </c>
    </row>
    <row r="103" spans="3:38" ht="15.75" thickBot="1">
      <c r="C103" s="124">
        <v>30</v>
      </c>
      <c r="D103" s="126">
        <v>4.1700000000000001E-2</v>
      </c>
      <c r="E103" s="34">
        <v>0.23080000000000001</v>
      </c>
      <c r="F103" s="128">
        <v>4.1799999999999997E-2</v>
      </c>
      <c r="G103" s="34">
        <v>6.2300000000000003E-3</v>
      </c>
      <c r="H103" s="138">
        <f>(AVERAGE(E103:E104)/D103)</f>
        <v>5.5359712230215825</v>
      </c>
      <c r="I103" s="137">
        <f>(AVERAGE(G103:G104)/F103)</f>
        <v>0.14904306220095695</v>
      </c>
      <c r="J103" s="115">
        <f t="shared" ref="J103" si="569">V103/$J$173+((H103*$J$174)/$J$173^2)</f>
        <v>2.5698829627893396E-2</v>
      </c>
      <c r="K103" s="115">
        <f t="shared" ref="K103" si="570">W103/$J$173+((I103*$J$174)/$J$173^2)</f>
        <v>3.9894333177868165E-3</v>
      </c>
      <c r="L103" s="138">
        <f>H103/$D$173</f>
        <v>0.85337587670449422</v>
      </c>
      <c r="M103" s="141">
        <f>I103/$D$173</f>
        <v>2.2975147223226133E-2</v>
      </c>
      <c r="N103" s="207">
        <f t="shared" ref="N103" si="571">ASIN($B$90/$B$91*SIN(C103*PI()/180))</f>
        <v>0.3463733215148535</v>
      </c>
      <c r="O103" s="113">
        <f t="shared" ref="O103" si="572">C103*PI()/180</f>
        <v>0.52359877559829882</v>
      </c>
      <c r="P103" s="113">
        <f t="shared" ref="P103" si="573">S103*T103</f>
        <v>0.94144258589359064</v>
      </c>
      <c r="Q103" s="112">
        <f>U103</f>
        <v>2.2834295698176289E-2</v>
      </c>
      <c r="R103" s="113">
        <f t="shared" ref="R103" si="574">($B$91/$B$90)*((2*$B$90/($B$91+$B$90))^2)</f>
        <v>0.96344210787283291</v>
      </c>
      <c r="S103" s="113">
        <f t="shared" ref="S103" si="575">($B$90/$B$91)*((2*$B$91/($B$91+$B$90))^2)</f>
        <v>0.96344210787283313</v>
      </c>
      <c r="T103" s="113">
        <f t="shared" ref="T103" si="576">(($B$91*COS(N103))/($B$90*COS(O103)))*(((2*$B$90*COS(O103))^2)/(($B$91*COS(O103)+$B$90*COS(N103))^2))</f>
        <v>0.9771657043018237</v>
      </c>
      <c r="U103" s="112">
        <f t="shared" ref="U103" si="577">(($B$91*COS(O103)-$B$90*COS(N103))^2)/(($B$91*COS(O103)+$B$90*COS(N103))^2)</f>
        <v>2.2834295698176289E-2</v>
      </c>
      <c r="V103" s="112">
        <f t="shared" ref="V103" si="578">1/(2*D103)*($B$15+$B$15)+(E103+E104)/(2*D103^2)*$B$16</f>
        <v>9.0359367182512987E-2</v>
      </c>
      <c r="W103" s="112">
        <f t="shared" ref="W103" si="579">(1/(2*F103))*($B$15+$B$15)+(G103+G104)/(2*F103^2)*$B$16</f>
        <v>2.5706256724891834E-2</v>
      </c>
      <c r="X103" s="113">
        <f t="shared" ref="X103" si="580">H103/R97+I103</f>
        <v>5.8950771806851048</v>
      </c>
      <c r="Y103" s="112"/>
      <c r="Z103" s="111">
        <f t="shared" ref="Z103" si="581">X103/$Y$8</f>
        <v>0.81688926646636462</v>
      </c>
      <c r="AA103" s="111">
        <f>(1/$Y$8)*V103+(1/$Y$8)*W103+(X103)/($Y$8^2)*(1/$H$170*($B$17+$B$17)+ABS($G$170+$G$171)/($H$170^2)*$B$18)</f>
        <v>8.3054664290734451E-2</v>
      </c>
      <c r="AB103" s="107">
        <f t="shared" ref="AB103" si="582">AA103+Z103</f>
        <v>0.89994393075709911</v>
      </c>
      <c r="AD103" s="107">
        <f>R103-N103</f>
        <v>0.61706878635797935</v>
      </c>
      <c r="AE103" s="112">
        <f>P103-L103</f>
        <v>8.8066709189096426E-2</v>
      </c>
      <c r="AF103" s="95"/>
      <c r="AI103" s="150"/>
      <c r="AJ103" s="26">
        <v>0.223</v>
      </c>
      <c r="AK103" s="82"/>
      <c r="AL103" s="37">
        <v>6.3E-3</v>
      </c>
    </row>
    <row r="104" spans="3:38" ht="15.75" thickBot="1">
      <c r="C104" s="124"/>
      <c r="D104" s="126"/>
      <c r="E104" s="34">
        <v>0.23089999999999999</v>
      </c>
      <c r="F104" s="128"/>
      <c r="G104" s="34">
        <v>6.2300000000000003E-3</v>
      </c>
      <c r="H104" s="138"/>
      <c r="I104" s="137"/>
      <c r="J104" s="116"/>
      <c r="K104" s="116"/>
      <c r="L104" s="138"/>
      <c r="M104" s="141"/>
      <c r="N104" s="207"/>
      <c r="O104" s="113"/>
      <c r="P104" s="113"/>
      <c r="Q104" s="112"/>
      <c r="R104" s="113"/>
      <c r="S104" s="113"/>
      <c r="T104" s="113"/>
      <c r="U104" s="112"/>
      <c r="V104" s="112"/>
      <c r="W104" s="112"/>
      <c r="X104" s="113"/>
      <c r="Y104" s="112"/>
      <c r="Z104" s="111"/>
      <c r="AA104" s="111"/>
      <c r="AB104" s="107"/>
      <c r="AD104" s="107"/>
      <c r="AE104" s="112"/>
      <c r="AF104" s="95"/>
      <c r="AI104" s="150">
        <v>0.05</v>
      </c>
      <c r="AJ104" s="26">
        <v>0.17299999999999999</v>
      </c>
      <c r="AK104" s="82">
        <v>0.05</v>
      </c>
      <c r="AL104" s="37">
        <v>3.8E-3</v>
      </c>
    </row>
    <row r="105" spans="3:38" ht="15.75" thickBot="1">
      <c r="C105" s="124">
        <v>35</v>
      </c>
      <c r="D105" s="126">
        <v>4.19E-2</v>
      </c>
      <c r="E105" s="34">
        <v>0.2263</v>
      </c>
      <c r="F105" s="128">
        <v>4.19E-2</v>
      </c>
      <c r="G105" s="34">
        <v>4.8999999999999998E-3</v>
      </c>
      <c r="H105" s="138">
        <f>(AVERAGE(E105:E106)/D105)</f>
        <v>5.4081145584725538</v>
      </c>
      <c r="I105" s="137">
        <f>(AVERAGE(G105:G106)/F105)</f>
        <v>0.11706443914081145</v>
      </c>
      <c r="J105" s="115">
        <f t="shared" ref="J105" si="583">V105/$J$173+((H105*$J$174)/$J$173^2)</f>
        <v>2.5123698737037271E-2</v>
      </c>
      <c r="K105" s="115">
        <f t="shared" ref="K105" si="584">W105/$J$173+((I105*$J$174)/$J$173^2)</f>
        <v>3.8521775016041328E-3</v>
      </c>
      <c r="L105" s="138">
        <f>H105/$D$173</f>
        <v>0.83366663530737461</v>
      </c>
      <c r="M105" s="141">
        <f>I105/$D$173</f>
        <v>1.8045608323842329E-2</v>
      </c>
      <c r="N105" s="207">
        <f t="shared" ref="N105" si="585">ASIN($B$90/$B$91*SIN(C105*PI()/180))</f>
        <v>0.40002948860327259</v>
      </c>
      <c r="O105" s="113">
        <f t="shared" ref="O105" si="586">C105*PI()/180</f>
        <v>0.6108652381980153</v>
      </c>
      <c r="P105" s="113">
        <f t="shared" ref="P105" si="587">S105*T105</f>
        <v>0.94610428154273196</v>
      </c>
      <c r="Q105" s="112">
        <f t="shared" ref="Q105" si="588">U105</f>
        <v>1.7995711614038973E-2</v>
      </c>
      <c r="R105" s="113">
        <f t="shared" ref="R105" si="589">($B$91/$B$90)*((2*$B$90/($B$91+$B$90))^2)</f>
        <v>0.96344210787283291</v>
      </c>
      <c r="S105" s="113">
        <f t="shared" ref="S105" si="590">($B$90/$B$91)*((2*$B$91/($B$91+$B$90))^2)</f>
        <v>0.96344210787283313</v>
      </c>
      <c r="T105" s="113">
        <f t="shared" ref="T105" si="591">(($B$91*COS(N105))/($B$90*COS(O105)))*(((2*$B$90*COS(O105))^2)/(($B$91*COS(O105)+$B$90*COS(N105))^2))</f>
        <v>0.98200428838596121</v>
      </c>
      <c r="U105" s="112">
        <f t="shared" ref="U105" si="592">(($B$91*COS(O105)-$B$90*COS(N105))^2)/(($B$91*COS(O105)+$B$90*COS(N105))^2)</f>
        <v>1.7995711614038973E-2</v>
      </c>
      <c r="V105" s="112">
        <f t="shared" ref="V105" si="593">1/(2*D105)*($B$15+$B$15)+(E105+E106)/(2*D105^2)*$B$16</f>
        <v>8.8402321700149805E-2</v>
      </c>
      <c r="W105" s="112">
        <f t="shared" ref="W105" si="594">(1/(2*F105))*($B$15+$B$15)+(G105+G106)/(2*F105^2)*$B$16</f>
        <v>2.5263298796429731E-2</v>
      </c>
      <c r="X105" s="113">
        <f t="shared" ref="X105" si="595">H105/R99+I105</f>
        <v>5.730390361144611</v>
      </c>
      <c r="Y105" s="112"/>
      <c r="Z105" s="111">
        <f t="shared" ref="Z105" si="596">X105/$Y$8</f>
        <v>0.7940683786157533</v>
      </c>
      <c r="AA105" s="111">
        <f t="shared" ref="AA105" si="597">(1/$Y$8)*(1/D105*($B$15+$B$15)+(E105+E106)/(D105^2)*$B$16)+(1/$Y$8)*W105+(X105)/($Y$8^2)*(1/$H$170*($B$17+$B$17)+ABS($G$170+$G$171)/($H$170^2)*$B$18)</f>
        <v>9.3101196501080813E-2</v>
      </c>
      <c r="AB105" s="107">
        <f t="shared" ref="AB105" si="598">AA105+Z105</f>
        <v>0.88716957511683414</v>
      </c>
      <c r="AD105" s="107">
        <f>R105-N105</f>
        <v>0.56341261926956032</v>
      </c>
      <c r="AE105" s="112">
        <f>P105-L105</f>
        <v>0.11243764623535735</v>
      </c>
      <c r="AF105" s="95"/>
      <c r="AI105" s="150"/>
      <c r="AJ105" s="26">
        <v>0.17399999999999999</v>
      </c>
      <c r="AK105" s="82"/>
      <c r="AL105" s="37">
        <v>3.8E-3</v>
      </c>
    </row>
    <row r="106" spans="3:38" ht="15.75" thickBot="1">
      <c r="C106" s="124"/>
      <c r="D106" s="126"/>
      <c r="E106" s="34">
        <v>0.22689999999999999</v>
      </c>
      <c r="F106" s="128"/>
      <c r="G106" s="34">
        <v>4.9100000000000003E-3</v>
      </c>
      <c r="H106" s="138"/>
      <c r="I106" s="137"/>
      <c r="J106" s="116"/>
      <c r="K106" s="116"/>
      <c r="L106" s="138"/>
      <c r="M106" s="141"/>
      <c r="N106" s="207"/>
      <c r="O106" s="113"/>
      <c r="P106" s="113"/>
      <c r="Q106" s="112"/>
      <c r="R106" s="113"/>
      <c r="S106" s="113"/>
      <c r="T106" s="113"/>
      <c r="U106" s="112"/>
      <c r="V106" s="112"/>
      <c r="W106" s="112"/>
      <c r="X106" s="113"/>
      <c r="Y106" s="112"/>
      <c r="Z106" s="111"/>
      <c r="AA106" s="111"/>
      <c r="AB106" s="107"/>
      <c r="AD106" s="107"/>
      <c r="AE106" s="112"/>
      <c r="AF106" s="95"/>
      <c r="AI106" s="150">
        <v>5.6000000000000001E-2</v>
      </c>
      <c r="AJ106" s="26">
        <v>0.191</v>
      </c>
      <c r="AK106" s="82">
        <v>0.06</v>
      </c>
      <c r="AL106" s="37">
        <v>2E-3</v>
      </c>
    </row>
    <row r="107" spans="3:38" ht="15.75" customHeight="1" thickBot="1">
      <c r="C107" s="124">
        <v>40</v>
      </c>
      <c r="D107" s="126">
        <v>4.1300000000000003E-2</v>
      </c>
      <c r="E107" s="34">
        <v>0.21909999999999999</v>
      </c>
      <c r="F107" s="128">
        <v>4.1399999999999999E-2</v>
      </c>
      <c r="G107" s="34">
        <v>3.5599999999999998E-3</v>
      </c>
      <c r="H107" s="138">
        <f>(AVERAGE(E107:E108)/D107)</f>
        <v>5.2990314769975777</v>
      </c>
      <c r="I107" s="137">
        <f>(AVERAGE(G107:G108)/F107)</f>
        <v>8.5990338164251209E-2</v>
      </c>
      <c r="J107" s="115">
        <f t="shared" ref="J107" si="599">V107/$J$173+((H107*$J$174)/$J$173^2)</f>
        <v>2.4864442004549823E-2</v>
      </c>
      <c r="K107" s="115">
        <f t="shared" ref="K107" si="600">W107/$J$173+((I107*$J$174)/$J$173^2)</f>
        <v>3.7698466456630823E-3</v>
      </c>
      <c r="L107" s="138">
        <f>H107/$D$173</f>
        <v>0.81685136179218332</v>
      </c>
      <c r="M107" s="141">
        <f>I107/$D$173</f>
        <v>1.3255502469715007E-2</v>
      </c>
      <c r="N107" s="207">
        <f t="shared" ref="N107" si="601">ASIN($B$90/$B$91*SIN(C107*PI()/180))</f>
        <v>0.45163627846440357</v>
      </c>
      <c r="O107" s="113">
        <f t="shared" ref="O107" si="602">C107*PI()/180</f>
        <v>0.69813170079773179</v>
      </c>
      <c r="P107" s="113">
        <f t="shared" ref="P107" si="603">S107*T107</f>
        <v>0.95121088798894526</v>
      </c>
      <c r="Q107" s="112">
        <f t="shared" ref="Q107" si="604">U107</f>
        <v>1.2695334555070725E-2</v>
      </c>
      <c r="R107" s="113">
        <f t="shared" ref="R107" si="605">($B$91/$B$90)*((2*$B$90/($B$91+$B$90))^2)</f>
        <v>0.96344210787283291</v>
      </c>
      <c r="S107" s="113">
        <f t="shared" ref="S107" si="606">($B$90/$B$91)*((2*$B$91/($B$91+$B$90))^2)</f>
        <v>0.96344210787283313</v>
      </c>
      <c r="T107" s="113">
        <f t="shared" ref="T107" si="607">(($B$91*COS(N107))/($B$90*COS(O107)))*(((2*$B$90*COS(O107))^2)/(($B$91*COS(O107)+$B$90*COS(N107))^2))</f>
        <v>0.98730466544492956</v>
      </c>
      <c r="U107" s="112">
        <f t="shared" ref="U107" si="608">(($B$91*COS(O107)-$B$90*COS(N107))^2)/(($B$91*COS(O107)+$B$90*COS(N107))^2)</f>
        <v>1.2695334555070725E-2</v>
      </c>
      <c r="V107" s="112">
        <f t="shared" ref="V107" si="609">1/(2*D107)*($B$15+$B$15)+(E107+E108)/(2*D107^2)*$B$16</f>
        <v>8.8365998510866545E-2</v>
      </c>
      <c r="W107" s="112">
        <f t="shared" ref="W107" si="610">(1/(2*F107))*($B$15+$B$15)+(G107+G108)/(2*F107^2)*$B$16</f>
        <v>2.5193120026138299E-2</v>
      </c>
      <c r="X107" s="113">
        <f t="shared" ref="X107" si="611">H107/R101+I107</f>
        <v>5.5860940119565639</v>
      </c>
      <c r="Y107" s="112"/>
      <c r="Z107" s="111">
        <f t="shared" ref="Z107" si="612">X107/$Y$8</f>
        <v>0.77407302737112393</v>
      </c>
      <c r="AA107" s="111">
        <f t="shared" ref="AA107" si="613">(1/$Y$8)*(1/D107*($B$15+$B$15)+(E107+E108)/(D107^2)*$B$16)+(1/$Y$8)*W107+(X107)/($Y$8^2)*(1/$H$170*($B$17+$B$17)+ABS($G$170+$G$171)/($H$170^2)*$B$18)</f>
        <v>9.1442119960766011E-2</v>
      </c>
      <c r="AB107" s="107">
        <f t="shared" ref="AB107" si="614">AA107+Z107</f>
        <v>0.86551514733188994</v>
      </c>
      <c r="AD107" s="107">
        <f>R107-N107</f>
        <v>0.51180582940842934</v>
      </c>
      <c r="AE107" s="112">
        <f>P107-L107</f>
        <v>0.13435952619676195</v>
      </c>
      <c r="AF107" s="95"/>
      <c r="AI107" s="150"/>
      <c r="AJ107" s="26">
        <v>0.19600000000000001</v>
      </c>
      <c r="AK107" s="82"/>
      <c r="AL107" s="37">
        <v>3.2000000000000002E-3</v>
      </c>
    </row>
    <row r="108" spans="3:38" ht="15.75" thickBot="1">
      <c r="C108" s="124"/>
      <c r="D108" s="126"/>
      <c r="E108" s="34">
        <v>0.21859999999999999</v>
      </c>
      <c r="F108" s="128"/>
      <c r="G108" s="34">
        <v>3.5599999999999998E-3</v>
      </c>
      <c r="H108" s="138"/>
      <c r="I108" s="137"/>
      <c r="J108" s="116"/>
      <c r="K108" s="116"/>
      <c r="L108" s="138"/>
      <c r="M108" s="141"/>
      <c r="N108" s="207"/>
      <c r="O108" s="113"/>
      <c r="P108" s="113"/>
      <c r="Q108" s="112"/>
      <c r="R108" s="113"/>
      <c r="S108" s="113"/>
      <c r="T108" s="113"/>
      <c r="U108" s="112"/>
      <c r="V108" s="112"/>
      <c r="W108" s="112"/>
      <c r="X108" s="113"/>
      <c r="Y108" s="112"/>
      <c r="Z108" s="111"/>
      <c r="AA108" s="111"/>
      <c r="AB108" s="107"/>
      <c r="AD108" s="107"/>
      <c r="AE108" s="112"/>
      <c r="AF108" s="95"/>
      <c r="AI108" s="150">
        <v>6.2E-2</v>
      </c>
      <c r="AJ108" s="26">
        <v>0.219</v>
      </c>
      <c r="AK108" s="82">
        <v>6.2E-2</v>
      </c>
      <c r="AL108" s="37">
        <v>2E-3</v>
      </c>
    </row>
    <row r="109" spans="3:38" ht="15.75" thickBot="1">
      <c r="C109" s="124">
        <v>45</v>
      </c>
      <c r="D109" s="126">
        <v>4.1500000000000002E-2</v>
      </c>
      <c r="E109" s="34">
        <v>0.217</v>
      </c>
      <c r="F109" s="128">
        <v>4.1399999999999999E-2</v>
      </c>
      <c r="G109" s="34">
        <v>2.1900000000000001E-3</v>
      </c>
      <c r="H109" s="138">
        <f>(AVERAGE(E109:E110)/D109)</f>
        <v>5.2313253012048193</v>
      </c>
      <c r="I109" s="137">
        <f>(AVERAGE(G109:G110)/F109)</f>
        <v>5.2898550724637686E-2</v>
      </c>
      <c r="J109" s="115">
        <f t="shared" ref="J109" si="615">V109/$J$173+((H109*$J$174)/$J$173^2)</f>
        <v>2.4530801854536738E-2</v>
      </c>
      <c r="K109" s="115">
        <f t="shared" ref="K109" si="616">W109/$J$173+((I109*$J$174)/$J$173^2)</f>
        <v>3.6361325472858857E-3</v>
      </c>
      <c r="L109" s="138">
        <f>H109/$D$173</f>
        <v>0.806414382480373</v>
      </c>
      <c r="M109" s="141">
        <f>I109/$D$173</f>
        <v>8.154368092324683E-3</v>
      </c>
      <c r="N109" s="207">
        <f t="shared" ref="N109" si="617">ASIN($B$90/$B$91*SIN(C109*PI()/180))</f>
        <v>0.50077965510221556</v>
      </c>
      <c r="O109" s="113">
        <f t="shared" ref="O109" si="618">C109*PI()/180</f>
        <v>0.78539816339744828</v>
      </c>
      <c r="P109" s="113">
        <f t="shared" ref="P109" si="619">S109*T109</f>
        <v>0.95638391049960103</v>
      </c>
      <c r="Q109" s="112">
        <f t="shared" ref="Q109" si="620">U109</f>
        <v>7.326021268487035E-3</v>
      </c>
      <c r="R109" s="113">
        <f t="shared" ref="R109" si="621">($B$91/$B$90)*((2*$B$90/($B$91+$B$90))^2)</f>
        <v>0.96344210787283291</v>
      </c>
      <c r="S109" s="113">
        <f t="shared" ref="S109" si="622">($B$90/$B$91)*((2*$B$91/($B$91+$B$90))^2)</f>
        <v>0.96344210787283313</v>
      </c>
      <c r="T109" s="113">
        <f t="shared" ref="T109" si="623">(($B$91*COS(N109))/($B$90*COS(O109)))*(((2*$B$90*COS(O109))^2)/(($B$91*COS(O109)+$B$90*COS(N109))^2))</f>
        <v>0.9926739787315132</v>
      </c>
      <c r="U109" s="112">
        <f t="shared" ref="U109" si="624">(($B$91*COS(O109)-$B$90*COS(N109))^2)/(($B$91*COS(O109)+$B$90*COS(N109))^2)</f>
        <v>7.326021268487035E-3</v>
      </c>
      <c r="V109" s="112">
        <f t="shared" ref="V109" si="625">1/(2*D109)*($B$15+$B$15)+(E109+E110)/(2*D109^2)*$B$16</f>
        <v>8.7124401219335165E-2</v>
      </c>
      <c r="W109" s="112">
        <f t="shared" ref="W109" si="626">(1/(2*F109))*($B$15+$B$15)+(G109+G110)/(2*F109^2)*$B$16</f>
        <v>2.4793460757543934E-2</v>
      </c>
      <c r="X109" s="113">
        <f t="shared" ref="X109" si="627">H109/R103+I109</f>
        <v>5.4827269321672665</v>
      </c>
      <c r="Y109" s="112"/>
      <c r="Z109" s="111">
        <f t="shared" ref="Z109" si="628">X109/$Y$8</f>
        <v>0.75974930345746416</v>
      </c>
      <c r="AA109" s="111">
        <f>(1/$Y$8)*(1/D109*($B$15+$B$15)+(E109+E110)/(D109^2)*$B$16)+(1/$Y$8)*W109+(X109)/($Y$8^2)*(1/$H$170*($B$17+$B$17)+ABS($G$170+$G$171)/($H$170^2)*$B$18)</f>
        <v>8.9868332503579743E-2</v>
      </c>
      <c r="AB109" s="107">
        <f t="shared" ref="AB109" si="629">AA109+Z109</f>
        <v>0.84961763596104389</v>
      </c>
      <c r="AD109" s="107">
        <f>R109-N109</f>
        <v>0.46266245277061735</v>
      </c>
      <c r="AE109" s="112">
        <f>P109-L109</f>
        <v>0.14996952801922803</v>
      </c>
      <c r="AF109" s="95"/>
      <c r="AI109" s="150"/>
      <c r="AJ109" s="26">
        <v>0.21299999999999999</v>
      </c>
      <c r="AK109" s="82"/>
      <c r="AL109" s="37">
        <v>2E-3</v>
      </c>
    </row>
    <row r="110" spans="3:38" ht="15.75" thickBot="1">
      <c r="C110" s="124"/>
      <c r="D110" s="126"/>
      <c r="E110" s="34">
        <v>0.2172</v>
      </c>
      <c r="F110" s="128"/>
      <c r="G110" s="34">
        <v>2.1900000000000001E-3</v>
      </c>
      <c r="H110" s="138"/>
      <c r="I110" s="137"/>
      <c r="J110" s="116"/>
      <c r="K110" s="116"/>
      <c r="L110" s="138"/>
      <c r="M110" s="141"/>
      <c r="N110" s="207"/>
      <c r="O110" s="113"/>
      <c r="P110" s="113"/>
      <c r="Q110" s="112"/>
      <c r="R110" s="113"/>
      <c r="S110" s="113"/>
      <c r="T110" s="113"/>
      <c r="U110" s="112"/>
      <c r="V110" s="112"/>
      <c r="W110" s="112"/>
      <c r="X110" s="113"/>
      <c r="Y110" s="112"/>
      <c r="Z110" s="111"/>
      <c r="AA110" s="111"/>
      <c r="AB110" s="107"/>
      <c r="AD110" s="107"/>
      <c r="AE110" s="112"/>
      <c r="AF110" s="95"/>
      <c r="AI110" s="150">
        <v>6.2E-2</v>
      </c>
      <c r="AJ110" s="26">
        <v>0.21199999999999999</v>
      </c>
      <c r="AK110" s="82">
        <v>6.2300000000000001E-2</v>
      </c>
      <c r="AL110" s="37">
        <v>9.2000000000000003E-4</v>
      </c>
    </row>
    <row r="111" spans="3:38" ht="15.75" thickBot="1">
      <c r="C111" s="124">
        <v>50</v>
      </c>
      <c r="D111" s="126">
        <v>4.1700000000000001E-2</v>
      </c>
      <c r="E111" s="34">
        <v>0.21440000000000001</v>
      </c>
      <c r="F111" s="128">
        <v>4.1500000000000002E-2</v>
      </c>
      <c r="G111" s="34">
        <v>9.7999999999999997E-4</v>
      </c>
      <c r="H111" s="138">
        <f>(AVERAGE(E111:E112)/D111)</f>
        <v>5.1426858513189444</v>
      </c>
      <c r="I111" s="137">
        <f>(AVERAGE(G111:G112)/F111)</f>
        <v>2.3614457831325299E-2</v>
      </c>
      <c r="J111" s="115">
        <f t="shared" ref="J111" si="630">V111/$J$173+((H111*$J$174)/$J$173^2)</f>
        <v>2.4114521718242292E-2</v>
      </c>
      <c r="K111" s="115">
        <f t="shared" ref="K111" si="631">W111/$J$173+((I111*$J$174)/$J$173^2)</f>
        <v>3.5094601311327469E-3</v>
      </c>
      <c r="L111" s="138">
        <f>H111/$D$173</f>
        <v>0.79275051660939466</v>
      </c>
      <c r="M111" s="141">
        <f>I111/$D$173</f>
        <v>3.6401938960422178E-3</v>
      </c>
      <c r="N111" s="207">
        <f t="shared" ref="N111" si="632">ASIN($B$90/$B$91*SIN(C111*PI()/180))</f>
        <v>0.54699958391276826</v>
      </c>
      <c r="O111" s="113">
        <f t="shared" ref="O111" si="633">C111*PI()/180</f>
        <v>0.87266462599716477</v>
      </c>
      <c r="P111" s="113">
        <f t="shared" ref="P111" si="634">S111*T111</f>
        <v>0.96089398590226927</v>
      </c>
      <c r="Q111" s="112">
        <f t="shared" ref="Q111" si="635">U111</f>
        <v>2.6448106738761355E-3</v>
      </c>
      <c r="R111" s="113">
        <f t="shared" ref="R111" si="636">($B$91/$B$90)*((2*$B$90/($B$91+$B$90))^2)</f>
        <v>0.96344210787283291</v>
      </c>
      <c r="S111" s="113">
        <f t="shared" ref="S111" si="637">($B$90/$B$91)*((2*$B$91/($B$91+$B$90))^2)</f>
        <v>0.96344210787283313</v>
      </c>
      <c r="T111" s="113">
        <f t="shared" ref="T111" si="638">(($B$91*COS(N111))/($B$90*COS(O111)))*(((2*$B$90*COS(O111))^2)/(($B$91*COS(O111)+$B$90*COS(N111))^2))</f>
        <v>0.99735518932612377</v>
      </c>
      <c r="U111" s="112">
        <f t="shared" ref="U111" si="639">(($B$91*COS(O111)-$B$90*COS(N111))^2)/(($B$91*COS(O111)+$B$90*COS(N111))^2)</f>
        <v>2.6448106738761355E-3</v>
      </c>
      <c r="V111" s="112">
        <f t="shared" ref="V111" si="640">1/(2*D111)*($B$15+$B$15)+(E111+E112)/(2*D111^2)*$B$16</f>
        <v>8.5643715243632429E-2</v>
      </c>
      <c r="W111" s="112">
        <f t="shared" ref="W111" si="641">(1/(2*F111))*($B$15+$B$15)+(G111+G112)/(2*F111^2)*$B$16</f>
        <v>2.4380897082305123E-2</v>
      </c>
      <c r="X111" s="113">
        <f t="shared" ref="X111" si="642">H111/R105+I111</f>
        <v>5.3614399579782841</v>
      </c>
      <c r="Y111" s="112"/>
      <c r="Z111" s="111">
        <f t="shared" ref="Z111" si="643">X111/$Y$8</f>
        <v>0.74294239417699093</v>
      </c>
      <c r="AA111" s="111">
        <f t="shared" ref="AA111" si="644">(1/$Y$8)*(1/D111*($B$15+$B$15)+(E111+E112)/(D111^2)*$B$16)+(1/$Y$8)*W111+(X111)/($Y$8^2)*(1/$H$170*($B$17+$B$17)+ABS($G$170+$G$171)/($H$170^2)*$B$18)</f>
        <v>8.8022915390584211E-2</v>
      </c>
      <c r="AB111" s="107">
        <f t="shared" ref="AB111" si="645">AA111+Z111</f>
        <v>0.83096530956757508</v>
      </c>
      <c r="AD111" s="107">
        <f>R111-N111</f>
        <v>0.41644252396006465</v>
      </c>
      <c r="AE111" s="112">
        <f>P111-L111</f>
        <v>0.1681434692928746</v>
      </c>
      <c r="AF111" s="95"/>
      <c r="AI111" s="150"/>
      <c r="AJ111" s="26">
        <v>0.21299999999999999</v>
      </c>
      <c r="AK111" s="82"/>
      <c r="AL111" s="37">
        <v>9.3000000000000005E-4</v>
      </c>
    </row>
    <row r="112" spans="3:38" ht="15.75" thickBot="1">
      <c r="C112" s="124"/>
      <c r="D112" s="126"/>
      <c r="E112" s="34">
        <v>0.2145</v>
      </c>
      <c r="F112" s="128"/>
      <c r="G112" s="34">
        <v>9.7999999999999997E-4</v>
      </c>
      <c r="H112" s="138"/>
      <c r="I112" s="137"/>
      <c r="J112" s="116"/>
      <c r="K112" s="116"/>
      <c r="L112" s="138"/>
      <c r="M112" s="141"/>
      <c r="N112" s="207"/>
      <c r="O112" s="113"/>
      <c r="P112" s="113"/>
      <c r="Q112" s="112"/>
      <c r="R112" s="113"/>
      <c r="S112" s="113"/>
      <c r="T112" s="113"/>
      <c r="U112" s="112"/>
      <c r="V112" s="112"/>
      <c r="W112" s="112"/>
      <c r="X112" s="113"/>
      <c r="Y112" s="112"/>
      <c r="Z112" s="111"/>
      <c r="AA112" s="111"/>
      <c r="AB112" s="107"/>
      <c r="AD112" s="107"/>
      <c r="AE112" s="112"/>
      <c r="AF112" s="95"/>
      <c r="AI112" s="150">
        <v>6.5000000000000002E-2</v>
      </c>
      <c r="AJ112" s="26">
        <v>0.215</v>
      </c>
      <c r="AK112" s="82">
        <v>6.5000000000000002E-2</v>
      </c>
      <c r="AL112" s="37">
        <v>2.4000000000000001E-4</v>
      </c>
    </row>
    <row r="113" spans="2:39" ht="15.75" thickBot="1">
      <c r="B113" s="196" t="s">
        <v>31</v>
      </c>
      <c r="C113" s="124">
        <v>55</v>
      </c>
      <c r="D113" s="126">
        <v>4.2299999999999997E-2</v>
      </c>
      <c r="E113" s="34">
        <v>0.22090000000000001</v>
      </c>
      <c r="F113" s="128">
        <v>4.2700000000000002E-2</v>
      </c>
      <c r="G113" s="34">
        <v>2.5000000000000001E-4</v>
      </c>
      <c r="H113" s="138">
        <f>(AVERAGE(E113:E114)/D113)</f>
        <v>5.2234042553191493</v>
      </c>
      <c r="I113" s="137">
        <f>(AVERAGE(G113:G114)/F113)</f>
        <v>5.8548009367681494E-3</v>
      </c>
      <c r="J113" s="115">
        <f t="shared" ref="J113" si="646">V113/$J$173+((H113*$J$174)/$J$173^2)</f>
        <v>2.4265620330646546E-2</v>
      </c>
      <c r="K113" s="115">
        <f t="shared" ref="K113" si="647">W113/$J$173+((I113*$J$174)/$J$173^2)</f>
        <v>3.3415432913590998E-3</v>
      </c>
      <c r="L113" s="138">
        <f>H113/$D$173</f>
        <v>0.80519334479705018</v>
      </c>
      <c r="M113" s="141">
        <f>I113/$D$173</f>
        <v>9.0252381760354652E-4</v>
      </c>
      <c r="N113" s="207">
        <f t="shared" ref="N113" si="648">ASIN($B$90/$B$91*SIN(C113*PI()/180))</f>
        <v>0.58978916450689078</v>
      </c>
      <c r="O113" s="113">
        <f t="shared" ref="O113" si="649">C113*PI()/180</f>
        <v>0.95993108859688125</v>
      </c>
      <c r="P113" s="113">
        <f t="shared" ref="P113" si="650">S113*T113</f>
        <v>0.96337765291719668</v>
      </c>
      <c r="Q113" s="112">
        <f t="shared" ref="Q113" si="651">U113</f>
        <v>6.6900704370043276E-5</v>
      </c>
      <c r="R113" s="113">
        <f t="shared" ref="R113" si="652">($B$91/$B$90)*((2*$B$90/($B$91+$B$90))^2)</f>
        <v>0.96344210787283291</v>
      </c>
      <c r="S113" s="113">
        <f t="shared" ref="S113" si="653">($B$90/$B$91)*((2*$B$91/($B$91+$B$90))^2)</f>
        <v>0.96344210787283313</v>
      </c>
      <c r="T113" s="113">
        <f t="shared" ref="T113" si="654">(($B$91*COS(N113))/($B$90*COS(O113)))*(((2*$B$90*COS(O113))^2)/(($B$91*COS(O113)+$B$90*COS(N113))^2))</f>
        <v>0.99993309929563001</v>
      </c>
      <c r="U113" s="112">
        <f t="shared" ref="U113" si="655">(($B$91*COS(O113)-$B$90*COS(N113))^2)/(($B$91*COS(O113)+$B$90*COS(N113))^2)</f>
        <v>6.6900704370043276E-5</v>
      </c>
      <c r="V113" s="112">
        <f t="shared" ref="V113" si="656">1/(2*D113)*($B$15+$B$15)+(E113+E114)/(2*D113^2)*$B$16</f>
        <v>8.5383029022684992E-2</v>
      </c>
      <c r="W113" s="112">
        <f t="shared" ref="W113" si="657">(1/(2*F113))*($B$15+$B$15)+(G113+G114)/(2*F113^2)*$B$16</f>
        <v>2.3487761135090959E-2</v>
      </c>
      <c r="X113" s="113">
        <f t="shared" ref="X113" si="658">H113/R107+I113</f>
        <v>5.4274615717388173</v>
      </c>
      <c r="Y113" s="112"/>
      <c r="Z113" s="111">
        <f t="shared" ref="Z113" si="659">X113/$Y$8</f>
        <v>0.75209110351237907</v>
      </c>
      <c r="AA113" s="111">
        <f t="shared" ref="AA113" si="660">(1/$Y$8)*(1/D113*($B$15+$B$15)+(E113+E114)/(D113^2)*$B$16)+(1/$Y$8)*W113+(X113)/($Y$8^2)*(1/$H$170*($B$17+$B$17)+ABS($G$170+$G$171)/($H$170^2)*$B$18)</f>
        <v>8.8576946404828688E-2</v>
      </c>
      <c r="AB113" s="107">
        <f t="shared" ref="AB113" si="661">AA113+Z113</f>
        <v>0.84066804991720778</v>
      </c>
      <c r="AD113" s="107">
        <f>R113-N113</f>
        <v>0.37365294336594213</v>
      </c>
      <c r="AE113" s="112">
        <f>P113-L113</f>
        <v>0.1581843081201465</v>
      </c>
      <c r="AF113" s="95"/>
      <c r="AI113" s="150"/>
      <c r="AJ113" s="26">
        <v>0.216</v>
      </c>
      <c r="AK113" s="82"/>
      <c r="AL113" s="37">
        <v>2.3000000000000001E-4</v>
      </c>
    </row>
    <row r="114" spans="2:39" ht="15.75" thickBot="1">
      <c r="B114" s="196"/>
      <c r="C114" s="124"/>
      <c r="D114" s="126"/>
      <c r="E114" s="34">
        <v>0.221</v>
      </c>
      <c r="F114" s="128"/>
      <c r="G114" s="34">
        <v>2.5000000000000001E-4</v>
      </c>
      <c r="H114" s="138"/>
      <c r="I114" s="137"/>
      <c r="J114" s="116"/>
      <c r="K114" s="116"/>
      <c r="L114" s="138"/>
      <c r="M114" s="141"/>
      <c r="N114" s="207"/>
      <c r="O114" s="113"/>
      <c r="P114" s="113"/>
      <c r="Q114" s="112"/>
      <c r="R114" s="113"/>
      <c r="S114" s="113"/>
      <c r="T114" s="113"/>
      <c r="U114" s="112"/>
      <c r="V114" s="112"/>
      <c r="W114" s="112"/>
      <c r="X114" s="113"/>
      <c r="Y114" s="112"/>
      <c r="Z114" s="111"/>
      <c r="AA114" s="111"/>
      <c r="AB114" s="107"/>
      <c r="AD114" s="107"/>
      <c r="AE114" s="112"/>
      <c r="AF114" s="95"/>
      <c r="AI114" s="150">
        <v>6.5000000000000002E-2</v>
      </c>
      <c r="AJ114" s="26">
        <v>0.219</v>
      </c>
      <c r="AK114" s="82">
        <v>6.5000000000000002E-2</v>
      </c>
      <c r="AL114" s="37">
        <v>6.8999999999999997E-4</v>
      </c>
    </row>
    <row r="115" spans="2:39" ht="15.75" thickBot="1">
      <c r="C115" s="124">
        <v>60</v>
      </c>
      <c r="D115" s="126">
        <v>4.2900000000000001E-2</v>
      </c>
      <c r="E115" s="34">
        <v>0.22220000000000001</v>
      </c>
      <c r="F115" s="128">
        <v>3.2500000000000001E-2</v>
      </c>
      <c r="G115" s="34">
        <v>5.1999999999999995E-4</v>
      </c>
      <c r="H115" s="138">
        <f>(AVERAGE(E115:E116)/D115)</f>
        <v>5.1806526806526803</v>
      </c>
      <c r="I115" s="137">
        <f>(AVERAGE(G115:G116)/F115)</f>
        <v>1.5999999999999997E-2</v>
      </c>
      <c r="J115" s="115">
        <f t="shared" ref="J115" si="662">V115/$J$173+((H115*$J$174)/$J$173^2)</f>
        <v>2.3926233992387899E-2</v>
      </c>
      <c r="K115" s="115">
        <f t="shared" ref="K115" si="663">W115/$J$173+((I115*$J$174)/$J$173^2)</f>
        <v>4.4317411257634798E-3</v>
      </c>
      <c r="L115" s="138">
        <f>H115/$D$173</f>
        <v>0.79860314390153631</v>
      </c>
      <c r="M115" s="141">
        <f>I115/$D$173</f>
        <v>2.4664170887469718E-3</v>
      </c>
      <c r="N115" s="207">
        <f t="shared" ref="N115" si="664">ASIN($B$90/$B$91*SIN(C115*PI()/180))</f>
        <v>0.6285985577501676</v>
      </c>
      <c r="O115" s="113">
        <f t="shared" ref="O115" si="665">C115*PI()/180</f>
        <v>1.0471975511965976</v>
      </c>
      <c r="P115" s="113">
        <f t="shared" ref="P115" si="666">S115*T115</f>
        <v>0.96132416508003082</v>
      </c>
      <c r="Q115" s="112">
        <f t="shared" ref="Q115" si="667">U115</f>
        <v>2.1983083108941546E-3</v>
      </c>
      <c r="R115" s="113">
        <f t="shared" ref="R115" si="668">($B$91/$B$90)*((2*$B$90/($B$91+$B$90))^2)</f>
        <v>0.96344210787283291</v>
      </c>
      <c r="S115" s="113">
        <f t="shared" ref="S115" si="669">($B$90/$B$91)*((2*$B$91/($B$91+$B$90))^2)</f>
        <v>0.96344210787283313</v>
      </c>
      <c r="T115" s="113">
        <f t="shared" ref="T115" si="670">(($B$91*COS(N115))/($B$90*COS(O115)))*(((2*$B$90*COS(O115))^2)/(($B$91*COS(O115)+$B$90*COS(N115))^2))</f>
        <v>0.99780169168910582</v>
      </c>
      <c r="U115" s="112">
        <f t="shared" ref="U115" si="671">(($B$91*COS(O115)-$B$90*COS(N115))^2)/(($B$91*COS(O115)+$B$90*COS(N115))^2)</f>
        <v>2.1983083108941546E-3</v>
      </c>
      <c r="V115" s="112">
        <f t="shared" ref="V115" si="672">1/(2*D115)*($B$15+$B$15)+(E115+E116)/(2*D115^2)*$B$16</f>
        <v>8.3690590683597688E-2</v>
      </c>
      <c r="W115" s="112">
        <f t="shared" ref="W115" si="673">(1/(2*F115))*($B$15+$B$15)+(G115+G116)/(2*F115^2)*$B$16</f>
        <v>3.1015384615384615E-2</v>
      </c>
      <c r="X115" s="113">
        <f t="shared" ref="X115" si="674">H115/R109+I115</f>
        <v>5.3932329840253228</v>
      </c>
      <c r="Y115" s="112"/>
      <c r="Z115" s="111">
        <f t="shared" ref="Z115" si="675">X115/$Y$8</f>
        <v>0.74734799921493766</v>
      </c>
      <c r="AA115" s="111">
        <f t="shared" ref="AA115" si="676">(1/$Y$8)*(1/D115*($B$15+$B$15)+(E115+E116)/(D115^2)*$B$16)+(1/$Y$8)*W115+(X115)/($Y$8^2)*(1/$H$170*($B$17+$B$17)+ABS($G$170+$G$171)/($H$170^2)*$B$18)</f>
        <v>8.8762157363179897E-2</v>
      </c>
      <c r="AB115" s="107">
        <f t="shared" ref="AB115" si="677">AA115+Z115</f>
        <v>0.8361101565781176</v>
      </c>
      <c r="AD115" s="107">
        <f>R115-N115</f>
        <v>0.33484355012266531</v>
      </c>
      <c r="AE115" s="112">
        <f>P115-L115</f>
        <v>0.16272102117849452</v>
      </c>
      <c r="AF115" s="95"/>
      <c r="AI115" s="150"/>
      <c r="AJ115" s="26">
        <v>0.22</v>
      </c>
      <c r="AK115" s="82"/>
      <c r="AL115" s="37">
        <v>6.9999999999999999E-4</v>
      </c>
    </row>
    <row r="116" spans="2:39" ht="15.75" thickBot="1">
      <c r="C116" s="124"/>
      <c r="D116" s="126"/>
      <c r="E116" s="34">
        <v>0.2223</v>
      </c>
      <c r="F116" s="128"/>
      <c r="G116" s="34">
        <v>5.1999999999999995E-4</v>
      </c>
      <c r="H116" s="138"/>
      <c r="I116" s="137"/>
      <c r="J116" s="116"/>
      <c r="K116" s="116"/>
      <c r="L116" s="138"/>
      <c r="M116" s="141"/>
      <c r="N116" s="207"/>
      <c r="O116" s="113"/>
      <c r="P116" s="113"/>
      <c r="Q116" s="112"/>
      <c r="R116" s="113"/>
      <c r="S116" s="113"/>
      <c r="T116" s="113"/>
      <c r="U116" s="112"/>
      <c r="V116" s="112"/>
      <c r="W116" s="112"/>
      <c r="X116" s="113"/>
      <c r="Y116" s="112"/>
      <c r="Z116" s="111"/>
      <c r="AA116" s="111"/>
      <c r="AB116" s="107"/>
      <c r="AD116" s="107"/>
      <c r="AE116" s="112"/>
      <c r="AF116" s="95"/>
      <c r="AI116" s="150">
        <v>6.6000000000000003E-2</v>
      </c>
      <c r="AJ116" s="26">
        <v>0.21099999999999999</v>
      </c>
      <c r="AK116" s="82">
        <v>6.5000000000000002E-2</v>
      </c>
      <c r="AL116" s="37">
        <v>3.5000000000000001E-3</v>
      </c>
    </row>
    <row r="117" spans="2:39" ht="15.75" thickBot="1">
      <c r="C117" s="124">
        <v>65</v>
      </c>
      <c r="D117" s="126">
        <v>3.3500000000000002E-2</v>
      </c>
      <c r="E117" s="34">
        <v>0.15279999999999999</v>
      </c>
      <c r="F117" s="128">
        <v>3.3500000000000002E-2</v>
      </c>
      <c r="G117" s="34">
        <v>2.7200000000000002E-3</v>
      </c>
      <c r="H117" s="138">
        <f>(AVERAGE(E117:E118)/D117)</f>
        <v>4.5686567164179097</v>
      </c>
      <c r="I117" s="137">
        <f>(AVERAGE(G117:G118)/F117)</f>
        <v>8.1194029850746266E-2</v>
      </c>
      <c r="J117" s="115">
        <f t="shared" ref="J117" si="678">V117/$J$173+((H117*$J$174)/$J$173^2)</f>
        <v>2.4533654664176271E-2</v>
      </c>
      <c r="K117" s="115">
        <f t="shared" ref="K117" si="679">W117/$J$173+((I117*$J$174)/$J$173^2)</f>
        <v>4.590300757765931E-3</v>
      </c>
      <c r="L117" s="138">
        <f>H117/$D$173</f>
        <v>0.70426331237448514</v>
      </c>
      <c r="M117" s="141">
        <f>I117/$D$173</f>
        <v>1.2516146420507022E-2</v>
      </c>
      <c r="N117" s="207">
        <f t="shared" ref="N117" si="680">ASIN($B$90/$B$91*SIN(C117*PI()/180))</f>
        <v>0.66284590424630652</v>
      </c>
      <c r="O117" s="113">
        <f t="shared" ref="O117" si="681">C117*PI()/180</f>
        <v>1.1344640137963142</v>
      </c>
      <c r="P117" s="113">
        <f t="shared" ref="P117" si="682">S117*T117</f>
        <v>0.95013156645658448</v>
      </c>
      <c r="Q117" s="112">
        <f t="shared" ref="Q117" si="683">U117</f>
        <v>1.3815611034103933E-2</v>
      </c>
      <c r="R117" s="113">
        <f t="shared" ref="R117" si="684">($B$91/$B$90)*((2*$B$90/($B$91+$B$90))^2)</f>
        <v>0.96344210787283291</v>
      </c>
      <c r="S117" s="113">
        <f t="shared" ref="S117" si="685">($B$90/$B$91)*((2*$B$91/($B$91+$B$90))^2)</f>
        <v>0.96344210787283313</v>
      </c>
      <c r="T117" s="113">
        <f t="shared" ref="T117" si="686">(($B$91*COS(N117))/($B$90*COS(O117)))*(((2*$B$90*COS(O117))^2)/(($B$91*COS(O117)+$B$90*COS(N117))^2))</f>
        <v>0.98618438896589566</v>
      </c>
      <c r="U117" s="112">
        <f t="shared" ref="U117" si="687">(($B$91*COS(O117)-$B$90*COS(N117))^2)/(($B$91*COS(O117)+$B$90*COS(N117))^2)</f>
        <v>1.3815611034103933E-2</v>
      </c>
      <c r="V117" s="112">
        <f t="shared" ref="V117" si="688">1/(2*D117)*($B$15+$B$15)+(E117+E118)/(2*D117^2)*$B$16</f>
        <v>9.8039652483849396E-2</v>
      </c>
      <c r="W117" s="112">
        <f t="shared" ref="W117" si="689">(1/(2*F117))*($B$15+$B$15)+(G117+G118)/(2*F117^2)*$B$16</f>
        <v>3.1062597460458898E-2</v>
      </c>
      <c r="X117" s="113">
        <f t="shared" ref="X117" si="690">H117/R111+I117</f>
        <v>4.8232088111072633</v>
      </c>
      <c r="Y117" s="112"/>
      <c r="Z117" s="111">
        <f t="shared" ref="Z117" si="691">X117/$Y$8</f>
        <v>0.66835893525343515</v>
      </c>
      <c r="AA117" s="111">
        <f t="shared" ref="AA117" si="692">(1/$Y$8)*(1/D117*($B$15+$B$15)+(E117+E118)/(D117^2)*$B$16)+(1/$Y$8)*W117+(X117)/($Y$8^2)*(1/$H$170*($B$17+$B$17)+ABS($G$170+$G$171)/($H$170^2)*$B$18)</f>
        <v>8.6269654877623836E-2</v>
      </c>
      <c r="AB117" s="107">
        <f t="shared" ref="AB117" si="693">AA117+Z117</f>
        <v>0.75462859013105898</v>
      </c>
      <c r="AD117" s="107">
        <f>R117-N117</f>
        <v>0.30059620362652639</v>
      </c>
      <c r="AE117" s="112">
        <f>P117-L117</f>
        <v>0.24586825408209934</v>
      </c>
      <c r="AF117" s="95"/>
      <c r="AI117" s="150"/>
      <c r="AJ117" s="26">
        <v>0.21199999999999999</v>
      </c>
      <c r="AK117" s="82"/>
      <c r="AL117" s="37">
        <v>3.5000000000000001E-3</v>
      </c>
    </row>
    <row r="118" spans="2:39" ht="15.75" thickBot="1">
      <c r="C118" s="124"/>
      <c r="D118" s="126"/>
      <c r="E118" s="34">
        <v>0.15329999999999999</v>
      </c>
      <c r="F118" s="128"/>
      <c r="G118" s="34">
        <v>2.7200000000000002E-3</v>
      </c>
      <c r="H118" s="138"/>
      <c r="I118" s="137"/>
      <c r="J118" s="116"/>
      <c r="K118" s="116"/>
      <c r="L118" s="138"/>
      <c r="M118" s="141"/>
      <c r="N118" s="207"/>
      <c r="O118" s="113"/>
      <c r="P118" s="113"/>
      <c r="Q118" s="112"/>
      <c r="R118" s="113"/>
      <c r="S118" s="113"/>
      <c r="T118" s="113"/>
      <c r="U118" s="112"/>
      <c r="V118" s="112"/>
      <c r="W118" s="112"/>
      <c r="X118" s="113"/>
      <c r="Y118" s="112"/>
      <c r="Z118" s="111"/>
      <c r="AA118" s="111"/>
      <c r="AB118" s="107"/>
      <c r="AD118" s="107"/>
      <c r="AE118" s="112"/>
      <c r="AF118" s="95"/>
      <c r="AI118" s="150">
        <v>6.6000000000000003E-2</v>
      </c>
      <c r="AJ118" s="26">
        <v>0.189</v>
      </c>
      <c r="AK118" s="82">
        <v>6.6000000000000003E-2</v>
      </c>
      <c r="AL118" s="37">
        <v>1.0999999999999999E-2</v>
      </c>
    </row>
    <row r="119" spans="2:39" ht="15.75" thickBot="1">
      <c r="C119" s="124">
        <v>70</v>
      </c>
      <c r="D119" s="126">
        <v>3.3399999999999999E-2</v>
      </c>
      <c r="E119" s="34">
        <v>0.14099999999999999</v>
      </c>
      <c r="F119" s="128">
        <v>3.3700000000000001E-2</v>
      </c>
      <c r="G119" s="34">
        <v>8.8299999999999993E-3</v>
      </c>
      <c r="H119" s="138">
        <f>(AVERAGE(E119:E120)/D119)</f>
        <v>4.2215568862275443</v>
      </c>
      <c r="I119" s="137">
        <f>(AVERAGE(G119:G120)/F119)</f>
        <v>0.26201780415430265</v>
      </c>
      <c r="J119" s="115">
        <f t="shared" ref="J119" si="694">V119/$J$173+((H119*$J$174)/$J$173^2)</f>
        <v>2.303045218644359E-2</v>
      </c>
      <c r="K119" s="115">
        <f t="shared" ref="K119" si="695">W119/$J$173+((I119*$J$174)/$J$173^2)</f>
        <v>5.365535686657678E-3</v>
      </c>
      <c r="L119" s="138">
        <f>H119/$D$173</f>
        <v>0.6507575028318171</v>
      </c>
      <c r="M119" s="141">
        <f>I119/$D$173</f>
        <v>4.0390324357633088E-2</v>
      </c>
      <c r="N119" s="207">
        <f t="shared" ref="N119" si="696">ASIN($B$90/$B$91*SIN(C119*PI()/180))</f>
        <v>0.69193734942617258</v>
      </c>
      <c r="O119" s="113">
        <f t="shared" ref="O119" si="697">C119*PI()/180</f>
        <v>1.2217304763960306</v>
      </c>
      <c r="P119" s="113">
        <f t="shared" ref="P119" si="698">S119*T119</f>
        <v>0.92133536402953142</v>
      </c>
      <c r="Q119" s="112">
        <f t="shared" ref="Q119" si="699">U119</f>
        <v>4.3704487793530498E-2</v>
      </c>
      <c r="R119" s="113">
        <f t="shared" ref="R119" si="700">($B$91/$B$90)*((2*$B$90/($B$91+$B$90))^2)</f>
        <v>0.96344210787283291</v>
      </c>
      <c r="S119" s="113">
        <f t="shared" ref="S119" si="701">($B$90/$B$91)*((2*$B$91/($B$91+$B$90))^2)</f>
        <v>0.96344210787283313</v>
      </c>
      <c r="T119" s="113">
        <f t="shared" ref="T119" si="702">(($B$91*COS(N119))/($B$90*COS(O119)))*(((2*$B$90*COS(O119))^2)/(($B$91*COS(O119)+$B$90*COS(N119))^2))</f>
        <v>0.95629551220646936</v>
      </c>
      <c r="U119" s="112">
        <f t="shared" ref="U119" si="703">(($B$91*COS(O119)-$B$90*COS(N119))^2)/(($B$91*COS(O119)+$B$90*COS(N119))^2)</f>
        <v>4.3704487793530498E-2</v>
      </c>
      <c r="V119" s="112">
        <f t="shared" ref="V119" si="704">1/(2*D119)*($B$15+$B$15)+(E119+E120)/(2*D119^2)*$B$16</f>
        <v>9.3137079135142881E-2</v>
      </c>
      <c r="W119" s="112">
        <f t="shared" ref="W119" si="705">(1/(2*F119))*($B$15+$B$15)+(G119+G120)/(2*F119^2)*$B$16</f>
        <v>3.3561095017126154E-2</v>
      </c>
      <c r="X119" s="113">
        <f>H119/R113+I119</f>
        <v>4.6437620228580565</v>
      </c>
      <c r="Y119" s="112"/>
      <c r="Z119" s="111">
        <f t="shared" ref="Z119" si="706">X119/$Y$8</f>
        <v>0.64349273745318791</v>
      </c>
      <c r="AA119" s="111">
        <f t="shared" ref="AA119" si="707">(1/$Y$8)*(1/D119*($B$15+$B$15)+(E119+E120)/(D119^2)*$B$16)+(1/$Y$8)*W119+(X119)/($Y$8^2)*(1/$H$170*($B$17+$B$17)+ABS($G$170+$G$171)/($H$170^2)*$B$18)</f>
        <v>8.3218548895493447E-2</v>
      </c>
      <c r="AB119" s="107">
        <f t="shared" ref="AB119" si="708">AA119+Z119</f>
        <v>0.72671128634868132</v>
      </c>
      <c r="AD119" s="107">
        <f>R119-N119</f>
        <v>0.27150475844666033</v>
      </c>
      <c r="AE119" s="112">
        <f>P119-L119</f>
        <v>0.27057786119771432</v>
      </c>
      <c r="AF119" s="95"/>
      <c r="AI119" s="150"/>
      <c r="AJ119" s="26">
        <v>0.189</v>
      </c>
      <c r="AK119" s="82"/>
      <c r="AL119" s="37">
        <v>1.0999999999999999E-2</v>
      </c>
    </row>
    <row r="120" spans="2:39" ht="15.75" thickBot="1">
      <c r="C120" s="124"/>
      <c r="D120" s="126"/>
      <c r="E120" s="34">
        <v>0.14099999999999999</v>
      </c>
      <c r="F120" s="128"/>
      <c r="G120" s="34">
        <v>8.8299999999999993E-3</v>
      </c>
      <c r="H120" s="138"/>
      <c r="I120" s="137"/>
      <c r="J120" s="116"/>
      <c r="K120" s="116"/>
      <c r="L120" s="138"/>
      <c r="M120" s="141"/>
      <c r="N120" s="207"/>
      <c r="O120" s="113"/>
      <c r="P120" s="113"/>
      <c r="Q120" s="112"/>
      <c r="R120" s="113"/>
      <c r="S120" s="113"/>
      <c r="T120" s="113"/>
      <c r="U120" s="112"/>
      <c r="V120" s="112"/>
      <c r="W120" s="112"/>
      <c r="X120" s="113"/>
      <c r="Y120" s="112"/>
      <c r="Z120" s="111"/>
      <c r="AA120" s="111"/>
      <c r="AB120" s="107"/>
      <c r="AD120" s="107"/>
      <c r="AE120" s="112"/>
      <c r="AF120" s="95"/>
      <c r="AI120" s="150">
        <v>6.5000000000000002E-2</v>
      </c>
      <c r="AJ120" s="26">
        <v>0.14399999999999999</v>
      </c>
      <c r="AK120" s="82">
        <v>6.6000000000000003E-2</v>
      </c>
      <c r="AL120" s="37">
        <v>2.7E-2</v>
      </c>
    </row>
    <row r="121" spans="2:39" ht="15.75" thickBot="1">
      <c r="C121" s="124">
        <v>75</v>
      </c>
      <c r="D121" s="126">
        <v>3.3599999999999998E-2</v>
      </c>
      <c r="E121" s="34">
        <v>0.10199999999999999</v>
      </c>
      <c r="F121" s="128">
        <v>3.3599999999999998E-2</v>
      </c>
      <c r="G121" s="34">
        <v>2.1399999999999999E-2</v>
      </c>
      <c r="H121" s="138">
        <f>(AVERAGE(E121:E122)/D121)</f>
        <v>3.0357142857142856</v>
      </c>
      <c r="I121" s="137">
        <f>(AVERAGE(G121:G122)/F121)</f>
        <v>0.63586309523809526</v>
      </c>
      <c r="J121" s="115">
        <f t="shared" ref="J121" si="709">V121/$J$173+((H121*$J$174)/$J$173^2)</f>
        <v>1.7689199137341099E-2</v>
      </c>
      <c r="K121" s="115">
        <f t="shared" ref="K121" si="710">W121/$J$173+((I121*$J$174)/$J$173^2)</f>
        <v>7.0387926274806632E-3</v>
      </c>
      <c r="L121" s="138">
        <f>H121/$D$173</f>
        <v>0.46795859942743889</v>
      </c>
      <c r="M121" s="141">
        <f>I121/$D$173</f>
        <v>9.8018975262423855E-2</v>
      </c>
      <c r="N121" s="207">
        <f t="shared" ref="N121" si="711">ASIN($B$90/$B$91*SIN(C121*PI()/180))</f>
        <v>0.71529735228317659</v>
      </c>
      <c r="O121" s="113">
        <f t="shared" ref="O121" si="712">C121*PI()/180</f>
        <v>1.3089969389957472</v>
      </c>
      <c r="P121" s="113">
        <f t="shared" ref="P121" si="713">S121*T121</f>
        <v>0.8591938846867424</v>
      </c>
      <c r="Q121" s="112">
        <f t="shared" ref="Q121" si="714">U121</f>
        <v>0.10820393081662018</v>
      </c>
      <c r="R121" s="113">
        <f t="shared" ref="R121" si="715">($B$91/$B$90)*((2*$B$90/($B$91+$B$90))^2)</f>
        <v>0.96344210787283291</v>
      </c>
      <c r="S121" s="113">
        <f t="shared" ref="S121" si="716">($B$90/$B$91)*((2*$B$91/($B$91+$B$90))^2)</f>
        <v>0.96344210787283313</v>
      </c>
      <c r="T121" s="113">
        <f t="shared" ref="T121" si="717">(($B$91*COS(N121))/($B$90*COS(O121)))*(((2*$B$90*COS(O121))^2)/(($B$91*COS(O121)+$B$90*COS(N121))^2))</f>
        <v>0.89179606918337984</v>
      </c>
      <c r="U121" s="112">
        <f t="shared" ref="U121" si="718">(($B$91*COS(O121)-$B$90*COS(N121))^2)/(($B$91*COS(O121)+$B$90*COS(N121))^2)</f>
        <v>0.10820393081662018</v>
      </c>
      <c r="V121" s="112">
        <f t="shared" ref="V121" si="719">1/(2*D121)*($B$15+$B$15)+(E121+E122)/(2*D121^2)*$B$16</f>
        <v>7.4936224489795922E-2</v>
      </c>
      <c r="W121" s="112">
        <f t="shared" ref="W121" si="720">(1/(2*F121))*($B$15+$B$15)+(G121+G122)/(2*F121^2)*$B$16</f>
        <v>3.9224153202947851E-2</v>
      </c>
      <c r="X121" s="113">
        <f t="shared" ref="X121" si="721">H121/R115+I121</f>
        <v>3.7867678158307903</v>
      </c>
      <c r="Y121" s="112"/>
      <c r="Z121" s="111">
        <f t="shared" ref="Z121" si="722">X121/$Y$8</f>
        <v>0.52473782590798101</v>
      </c>
      <c r="AA121" s="111">
        <f t="shared" ref="AA121" si="723">(1/$Y$8)*(1/D121*($B$15+$B$15)+(E121+E122)/(D121^2)*$B$16)+(1/$Y$8)*W121+(X121)/($Y$8^2)*(1/$H$170*($B$17+$B$17)+ABS($G$170+$G$171)/($H$170^2)*$B$18)</f>
        <v>6.9223129516297652E-2</v>
      </c>
      <c r="AB121" s="107">
        <f t="shared" ref="AB121" si="724">AA121+Z121</f>
        <v>0.59396095542427862</v>
      </c>
      <c r="AD121" s="107">
        <f>R121-N121</f>
        <v>0.24814475558965632</v>
      </c>
      <c r="AE121" s="112">
        <f>P121-L121</f>
        <v>0.39123528525930351</v>
      </c>
      <c r="AF121" s="95"/>
      <c r="AI121" s="150"/>
      <c r="AJ121" s="26">
        <v>0.14399999999999999</v>
      </c>
      <c r="AK121" s="82"/>
      <c r="AL121" s="37">
        <v>2.7E-2</v>
      </c>
    </row>
    <row r="122" spans="2:39" ht="15.75" thickBot="1">
      <c r="C122" s="124"/>
      <c r="D122" s="126"/>
      <c r="E122" s="34">
        <v>0.10199999999999999</v>
      </c>
      <c r="F122" s="128"/>
      <c r="G122" s="34">
        <v>2.1329999999999998E-2</v>
      </c>
      <c r="H122" s="138"/>
      <c r="I122" s="137"/>
      <c r="J122" s="116"/>
      <c r="K122" s="116"/>
      <c r="L122" s="138"/>
      <c r="M122" s="141"/>
      <c r="N122" s="207"/>
      <c r="O122" s="113"/>
      <c r="P122" s="113"/>
      <c r="Q122" s="112"/>
      <c r="R122" s="113"/>
      <c r="S122" s="113"/>
      <c r="T122" s="113"/>
      <c r="U122" s="112"/>
      <c r="V122" s="112"/>
      <c r="W122" s="112"/>
      <c r="X122" s="113"/>
      <c r="Y122" s="112"/>
      <c r="Z122" s="111"/>
      <c r="AA122" s="111"/>
      <c r="AB122" s="107"/>
      <c r="AD122" s="107"/>
      <c r="AE122" s="112"/>
      <c r="AF122" s="95"/>
      <c r="AI122" s="150">
        <v>6.5000000000000002E-2</v>
      </c>
      <c r="AJ122" s="26">
        <v>8.5999999999999993E-2</v>
      </c>
      <c r="AK122" s="82">
        <v>6.4000000000000001E-2</v>
      </c>
      <c r="AL122" s="37">
        <v>5.8000000000000003E-2</v>
      </c>
    </row>
    <row r="123" spans="2:39" ht="15.75" thickBot="1">
      <c r="C123" s="124">
        <v>80</v>
      </c>
      <c r="D123" s="126">
        <v>3.44E-2</v>
      </c>
      <c r="E123" s="34">
        <v>6.2549999999999994E-2</v>
      </c>
      <c r="F123" s="128">
        <v>3.4599999999999999E-2</v>
      </c>
      <c r="G123" s="34">
        <v>4.8899999999999999E-2</v>
      </c>
      <c r="H123" s="138">
        <f>(AVERAGE(E123:E124)/D123)</f>
        <v>1.8167151162790696</v>
      </c>
      <c r="I123" s="137">
        <f>(AVERAGE(G123:G124)/F123)</f>
        <v>1.4118497109826591</v>
      </c>
      <c r="J123" s="115">
        <f t="shared" ref="J123" si="725">V123/$J$173+((H123*$J$174)/$J$173^2)</f>
        <v>1.2092202117585656E-2</v>
      </c>
      <c r="K123" s="115">
        <f t="shared" ref="K123" si="726">W123/$J$173+((I123*$J$174)/$J$173^2)</f>
        <v>1.0274668978643079E-2</v>
      </c>
      <c r="L123" s="138">
        <f>H123/$D$173</f>
        <v>0.2800485755109775</v>
      </c>
      <c r="M123" s="141">
        <f>I123/$D$173</f>
        <v>0.21763814086938152</v>
      </c>
      <c r="N123" s="207">
        <f t="shared" ref="N123" si="727">ASIN($B$90/$B$91*SIN(C123*PI()/180))</f>
        <v>0.73240832311372606</v>
      </c>
      <c r="O123" s="113">
        <f t="shared" ref="O123" si="728">C123*PI()/180</f>
        <v>1.3962634015954636</v>
      </c>
      <c r="P123" s="113">
        <f t="shared" ref="P123" si="729">S123*T123</f>
        <v>0.73386241779502204</v>
      </c>
      <c r="Q123" s="112">
        <f t="shared" ref="Q123:Q125" si="730">U123</f>
        <v>0.23829111080134971</v>
      </c>
      <c r="R123" s="113">
        <f t="shared" ref="R123" si="731">($B$91/$B$90)*((2*$B$90/($B$91+$B$90))^2)</f>
        <v>0.96344210787283291</v>
      </c>
      <c r="S123" s="113">
        <f t="shared" ref="S123" si="732">($B$90/$B$91)*((2*$B$91/($B$91+$B$90))^2)</f>
        <v>0.96344210787283313</v>
      </c>
      <c r="T123" s="113">
        <f t="shared" ref="T123" si="733">(($B$91*COS(N123))/($B$90*COS(O123)))*(((2*$B$90*COS(O123))^2)/(($B$91*COS(O123)+$B$90*COS(N123))^2))</f>
        <v>0.76170888919865043</v>
      </c>
      <c r="U123" s="112">
        <f t="shared" ref="U123" si="734">(($B$91*COS(O123)-$B$90*COS(N123))^2)/(($B$91*COS(O123)+$B$90*COS(N123))^2)</f>
        <v>0.23829111080134971</v>
      </c>
      <c r="V123" s="112">
        <f t="shared" ref="V123" si="735">1/(2*D123)*($B$15+$B$15)+(E123+E124)/(2*D123^2)*$B$16</f>
        <v>5.5475510411032991E-2</v>
      </c>
      <c r="W123" s="112">
        <f t="shared" ref="W123" si="736">(1/(2*F123))*($B$15+$B$15)+(G123+G124)/(2*F123^2)*$B$16</f>
        <v>4.9304186574893924E-2</v>
      </c>
      <c r="X123" s="113">
        <f t="shared" ref="X123:X125" si="737">H123/R117+I123</f>
        <v>3.2975002357351668</v>
      </c>
      <c r="Y123" s="112"/>
      <c r="Z123" s="111">
        <f t="shared" ref="Z123:Z125" si="738">X123/$Y$8</f>
        <v>0.4569393183804446</v>
      </c>
      <c r="AA123" s="111">
        <f t="shared" ref="AA123:AA125" si="739">(1/$Y$8)*(1/D123*($B$15+$B$15)+(E123+E124)/(D123^2)*$B$16)+(1/$Y$8)*W123+(X123)/($Y$8^2)*(1/$H$170*($B$17+$B$17)+ABS($G$170+$G$171)/($H$170^2)*$B$18)</f>
        <v>5.9668190260910227E-2</v>
      </c>
      <c r="AB123" s="107">
        <f t="shared" ref="AB123" si="740">AA123+Z123</f>
        <v>0.51660750864135485</v>
      </c>
      <c r="AD123" s="107">
        <f>R123-N123</f>
        <v>0.23103378475910685</v>
      </c>
      <c r="AE123" s="112">
        <f>P123-L123</f>
        <v>0.45381384228404453</v>
      </c>
      <c r="AF123" s="95"/>
      <c r="AI123" s="150"/>
      <c r="AJ123" s="26">
        <v>8.5999999999999993E-2</v>
      </c>
      <c r="AK123" s="82"/>
      <c r="AL123" s="37">
        <v>5.8000000000000003E-2</v>
      </c>
    </row>
    <row r="124" spans="2:39" ht="15.75" thickBot="1">
      <c r="C124" s="124"/>
      <c r="D124" s="154"/>
      <c r="E124" s="63">
        <v>6.2440000000000002E-2</v>
      </c>
      <c r="F124" s="155"/>
      <c r="G124" s="63">
        <v>4.8800000000000003E-2</v>
      </c>
      <c r="H124" s="188"/>
      <c r="I124" s="198"/>
      <c r="J124" s="116"/>
      <c r="K124" s="116"/>
      <c r="L124" s="138"/>
      <c r="M124" s="141"/>
      <c r="N124" s="207"/>
      <c r="O124" s="113"/>
      <c r="P124" s="113"/>
      <c r="Q124" s="112"/>
      <c r="R124" s="113"/>
      <c r="S124" s="113"/>
      <c r="T124" s="113"/>
      <c r="U124" s="112"/>
      <c r="V124" s="112"/>
      <c r="W124" s="112"/>
      <c r="X124" s="113"/>
      <c r="Y124" s="112"/>
      <c r="Z124" s="111"/>
      <c r="AA124" s="111"/>
      <c r="AB124" s="107"/>
      <c r="AD124" s="107"/>
      <c r="AE124" s="112"/>
      <c r="AF124" s="95"/>
      <c r="AI124" s="150">
        <v>6.6000000000000003E-2</v>
      </c>
      <c r="AJ124" s="26">
        <v>2.5999999999999999E-2</v>
      </c>
      <c r="AK124" s="82">
        <v>6.6000000000000003E-2</v>
      </c>
      <c r="AL124" s="37">
        <v>0.115</v>
      </c>
    </row>
    <row r="125" spans="2:39" ht="15.75" thickBot="1">
      <c r="C125" s="201">
        <v>85</v>
      </c>
      <c r="D125" s="126">
        <v>3.4799999999999998E-2</v>
      </c>
      <c r="E125" s="34">
        <v>2.0080000000000001E-2</v>
      </c>
      <c r="F125" s="128">
        <v>3.4299999999999997E-2</v>
      </c>
      <c r="G125" s="34">
        <v>1.0449999999999999E-2</v>
      </c>
      <c r="H125" s="138">
        <f>(AVERAGE(E125:E126)/D125)</f>
        <v>0.57686781609195414</v>
      </c>
      <c r="I125" s="141">
        <f>(AVERAGE(G125:G126)/F125)</f>
        <v>0.30437317784256562</v>
      </c>
      <c r="J125" s="115">
        <f>V125/$J$173+((H125*$J$174)/$J$173^2)</f>
        <v>6.589624676376955E-3</v>
      </c>
      <c r="K125" s="115">
        <f>W125/$J$173+((I125*$J$174)/$J$173^2)</f>
        <v>5.4685032830649686E-3</v>
      </c>
      <c r="L125" s="138">
        <f>H125/$D$173</f>
        <v>8.8924789972333829E-2</v>
      </c>
      <c r="M125" s="141">
        <f>I125/$D$173</f>
        <v>4.6919450449195321E-2</v>
      </c>
      <c r="N125" s="207">
        <f t="shared" ref="N125" si="741">ASIN($B$90/$B$91*SIN(C125*PI()/180))</f>
        <v>0.74285542266524007</v>
      </c>
      <c r="O125" s="113">
        <f t="shared" ref="O125" si="742">C125*PI()/180</f>
        <v>1.4835298641951802</v>
      </c>
      <c r="P125" s="113">
        <f t="shared" ref="P125" si="743">S125*T125</f>
        <v>0.48706560783088282</v>
      </c>
      <c r="Q125" s="112">
        <f t="shared" si="730"/>
        <v>0.49445264655676496</v>
      </c>
      <c r="R125" s="113">
        <f t="shared" ref="R125" si="744">($B$91/$B$90)*((2*$B$90/($B$91+$B$90))^2)</f>
        <v>0.96344210787283291</v>
      </c>
      <c r="S125" s="113">
        <f t="shared" ref="S125" si="745">($B$90/$B$91)*((2*$B$91/($B$91+$B$90))^2)</f>
        <v>0.96344210787283313</v>
      </c>
      <c r="T125" s="113">
        <f t="shared" ref="T125" si="746">(($B$91*COS(N125))/($B$90*COS(O125)))*(((2*$B$90*COS(O125))^2)/(($B$91*COS(O125)+$B$90*COS(N125))^2))</f>
        <v>0.50554735344323531</v>
      </c>
      <c r="U125" s="112">
        <f t="shared" ref="U125" si="747">(($B$91*COS(O125)-$B$90*COS(N125))^2)/(($B$91*COS(O125)+$B$90*COS(N125))^2)</f>
        <v>0.49445264655676496</v>
      </c>
      <c r="V125" s="112">
        <f t="shared" ref="V125" si="748">1/(2*D125)*($B$15+$B$15)+(E125+E126)/(2*D125^2)*$B$16</f>
        <v>3.7023962874884402E-2</v>
      </c>
      <c r="W125" s="112">
        <f t="shared" ref="W125" si="749">(1/(2*F125))*($B$15+$B$15)+(G125+G126)/(2*F125^2)*$B$16</f>
        <v>3.3591445741145275E-2</v>
      </c>
      <c r="X125" s="113">
        <f t="shared" si="737"/>
        <v>0.90313029192138727</v>
      </c>
      <c r="Y125" s="112"/>
      <c r="Z125" s="111">
        <f t="shared" si="738"/>
        <v>0.12514805473767796</v>
      </c>
      <c r="AA125" s="111">
        <f t="shared" si="739"/>
        <v>2.5175793093732225E-2</v>
      </c>
      <c r="AB125" s="107">
        <f t="shared" ref="AB125" si="750">AA125+Z125</f>
        <v>0.15032384783141017</v>
      </c>
      <c r="AD125" s="107">
        <f>MAX(AD97:AD124)</f>
        <v>0.67240247022326405</v>
      </c>
      <c r="AE125" s="107">
        <f>MAX(AE97:AE124)</f>
        <v>0.45381384228404453</v>
      </c>
      <c r="AF125" s="96" t="s">
        <v>80</v>
      </c>
      <c r="AI125" s="151"/>
      <c r="AJ125" s="27">
        <v>2.5999999999999999E-2</v>
      </c>
      <c r="AK125" s="84"/>
      <c r="AL125" s="38">
        <v>0.114</v>
      </c>
    </row>
    <row r="126" spans="2:39" ht="15.75" thickBot="1">
      <c r="C126" s="202"/>
      <c r="D126" s="203"/>
      <c r="E126" s="35">
        <v>2.0070000000000001E-2</v>
      </c>
      <c r="F126" s="199"/>
      <c r="G126" s="35">
        <v>1.043E-2</v>
      </c>
      <c r="H126" s="179"/>
      <c r="I126" s="194"/>
      <c r="J126" s="116"/>
      <c r="K126" s="116"/>
      <c r="L126" s="179"/>
      <c r="M126" s="194"/>
      <c r="N126" s="207"/>
      <c r="O126" s="113"/>
      <c r="P126" s="113"/>
      <c r="Q126" s="112"/>
      <c r="R126" s="113"/>
      <c r="S126" s="113"/>
      <c r="T126" s="113"/>
      <c r="U126" s="112"/>
      <c r="V126" s="112"/>
      <c r="W126" s="112"/>
      <c r="X126" s="113"/>
      <c r="Y126" s="112"/>
      <c r="Z126" s="111"/>
      <c r="AA126" s="111"/>
      <c r="AB126" s="107"/>
      <c r="AD126" s="107"/>
      <c r="AE126" s="107"/>
      <c r="AF126" s="96"/>
    </row>
    <row r="127" spans="2:39" ht="15.75" thickBot="1">
      <c r="E127" s="1"/>
      <c r="F127" s="1"/>
      <c r="G127" s="1"/>
      <c r="J127" s="103"/>
      <c r="K127" s="103"/>
    </row>
    <row r="128" spans="2:39" ht="15.75" thickBot="1">
      <c r="C128" s="130" t="s">
        <v>30</v>
      </c>
      <c r="D128" s="130"/>
      <c r="E128" s="130"/>
      <c r="F128" s="130"/>
      <c r="G128" s="130"/>
      <c r="H128" s="130"/>
      <c r="I128" s="130"/>
      <c r="J128" s="117" t="s">
        <v>95</v>
      </c>
      <c r="K128" s="118"/>
      <c r="L128" s="8"/>
      <c r="M128" s="9"/>
      <c r="N128" s="208" t="s">
        <v>84</v>
      </c>
      <c r="O128" s="209"/>
      <c r="P128" s="209"/>
      <c r="Q128" s="209"/>
      <c r="R128" s="209"/>
      <c r="S128" s="209"/>
      <c r="T128" s="209"/>
      <c r="U128" s="210"/>
      <c r="V128" s="114" t="s">
        <v>74</v>
      </c>
      <c r="W128" s="110"/>
      <c r="X128" s="110"/>
      <c r="Y128" s="110"/>
      <c r="Z128" s="110"/>
      <c r="AA128" s="110"/>
      <c r="AC128" s="104" t="s">
        <v>77</v>
      </c>
      <c r="AD128" s="105"/>
      <c r="AE128" s="105"/>
      <c r="AJ128" s="119">
        <v>6.6000000000000003E-2</v>
      </c>
      <c r="AK128" s="30">
        <v>0.21199999999999999</v>
      </c>
      <c r="AL128" s="152"/>
      <c r="AM128" s="41"/>
    </row>
    <row r="129" spans="1:40" ht="15.75" thickBot="1">
      <c r="A129" t="s">
        <v>67</v>
      </c>
      <c r="C129" s="15" t="s">
        <v>2</v>
      </c>
      <c r="D129" s="129" t="s">
        <v>1</v>
      </c>
      <c r="E129" s="130"/>
      <c r="F129" s="130" t="s">
        <v>0</v>
      </c>
      <c r="G129" s="130"/>
      <c r="H129" s="15" t="s">
        <v>4</v>
      </c>
      <c r="I129" s="15" t="s">
        <v>3</v>
      </c>
      <c r="J129" s="101" t="s">
        <v>96</v>
      </c>
      <c r="K129" s="102" t="s">
        <v>97</v>
      </c>
      <c r="L129" s="15" t="s">
        <v>13</v>
      </c>
      <c r="M129" s="15" t="s">
        <v>14</v>
      </c>
      <c r="N129" s="92" t="s">
        <v>48</v>
      </c>
      <c r="O129" s="66" t="s">
        <v>58</v>
      </c>
      <c r="P129" s="66" t="s">
        <v>54</v>
      </c>
      <c r="Q129" s="67" t="s">
        <v>53</v>
      </c>
      <c r="R129" s="67" t="s">
        <v>55</v>
      </c>
      <c r="S129" s="79" t="s">
        <v>65</v>
      </c>
      <c r="T129" s="67" t="s">
        <v>56</v>
      </c>
      <c r="U129" s="67" t="s">
        <v>57</v>
      </c>
      <c r="V129" s="79" t="s">
        <v>93</v>
      </c>
      <c r="W129" s="79" t="s">
        <v>94</v>
      </c>
      <c r="X129" t="s">
        <v>76</v>
      </c>
      <c r="Y129" t="s">
        <v>75</v>
      </c>
      <c r="Z129" t="s">
        <v>86</v>
      </c>
      <c r="AA129" t="s">
        <v>87</v>
      </c>
      <c r="AC129" t="s">
        <v>78</v>
      </c>
      <c r="AD129" t="s">
        <v>79</v>
      </c>
      <c r="AJ129" s="113"/>
      <c r="AK129" s="12">
        <v>0.21099999999999999</v>
      </c>
      <c r="AL129" s="153"/>
      <c r="AM129" s="42"/>
    </row>
    <row r="130" spans="1:40" ht="15.75" thickBot="1">
      <c r="A130" t="s">
        <v>51</v>
      </c>
      <c r="B130">
        <f>C204</f>
        <v>1.473231998292388</v>
      </c>
      <c r="C130" s="124">
        <v>0</v>
      </c>
      <c r="D130" s="125">
        <v>3.2500000000000001E-2</v>
      </c>
      <c r="E130" s="31">
        <v>0.17</v>
      </c>
      <c r="F130" s="127"/>
      <c r="G130" s="32"/>
      <c r="H130" s="174">
        <f>(AVERAGE(E130:E131)/D130)</f>
        <v>5.2307692307692308</v>
      </c>
      <c r="I130" s="178" t="e">
        <f>(AVERAGE(G130:G131)/F130)</f>
        <v>#DIV/0!</v>
      </c>
      <c r="J130" s="115">
        <f>V130/$J$173+((H130*$J$174)/$J$173^2)</f>
        <v>2.7946736113914558E-2</v>
      </c>
      <c r="K130" s="115" t="e">
        <f>W130/$J$173+((I130*$J$174)/$J$173^2)</f>
        <v>#DIV/0!</v>
      </c>
      <c r="L130" s="174">
        <f>H130/$F$173</f>
        <v>0.80632866362881783</v>
      </c>
      <c r="M130" s="178" t="e">
        <f>I130/$F$173</f>
        <v>#DIV/0!</v>
      </c>
      <c r="N130" s="207">
        <f>ASIN($B$130/$B$131*SIN(C130*PI()/180))</f>
        <v>0</v>
      </c>
      <c r="O130" s="113">
        <f>C130*PI()/180</f>
        <v>0</v>
      </c>
      <c r="P130" s="113">
        <f>S130*T130</f>
        <v>0.92822069522244777</v>
      </c>
      <c r="Q130" s="112">
        <f>U130*R130*S130</f>
        <v>3.3933792046146292E-2</v>
      </c>
      <c r="R130" s="113">
        <f>($B$131/$B$130)*((2*$B$130/($B$131+$B$130))^2)</f>
        <v>0.96344210787283313</v>
      </c>
      <c r="S130" s="113">
        <f>($B$131/$B$130)*((2*$B$130/($B$130+$B$131))^2)</f>
        <v>0.96344210787283313</v>
      </c>
      <c r="T130" s="113">
        <f>(($B$131*COS(N130))/($B$130*COS(O130)))*(((2*$B$130*COS(O130))^2)/(($B$131*COS(O130)+$B$130*COS(N130))^2))</f>
        <v>0.96344210787283302</v>
      </c>
      <c r="U130" s="112">
        <f>(($B$131*COS(O130)-$B$130*COS(N130))^2)/(($B$131*COS(O130)+$B$130*COS(N130))^2)</f>
        <v>3.6557892127167091E-2</v>
      </c>
      <c r="V130" s="112">
        <f>1/(2*D130)*($B$15+$B$15)+(E130+E131)/(2*D130^2)*$B$16</f>
        <v>0.11124260355029586</v>
      </c>
      <c r="W130" s="112" t="e">
        <f>(1/(2*F130))*($B$15+$B$15)+(G130+G131)/(2*F130^2)*$B$16</f>
        <v>#DIV/0!</v>
      </c>
      <c r="X130" s="112"/>
      <c r="Y130" s="112">
        <f>D173</f>
        <v>6.4871428571428567</v>
      </c>
      <c r="Z130" s="111"/>
      <c r="AA130" s="111" t="e">
        <f>(1/$Y$8)*V130+(1/$Y$8)*W130+(X130)/($Y$8^2)*(1/$H$170*($B$17+$B$17)+ABS($G$170+$G$171)/($H$170^2)*$B$18)</f>
        <v>#DIV/0!</v>
      </c>
      <c r="AB130" s="107" t="e">
        <f t="shared" ref="AB130:AB164" si="751">AA130+Z130</f>
        <v>#DIV/0!</v>
      </c>
      <c r="AC130" s="107"/>
      <c r="AD130" s="112" t="e">
        <f>O130-K130</f>
        <v>#DIV/0!</v>
      </c>
      <c r="AE130" s="95"/>
      <c r="AJ130" s="113">
        <v>6.7000000000000004E-2</v>
      </c>
      <c r="AK130" s="3">
        <v>0.218</v>
      </c>
      <c r="AL130" s="153"/>
      <c r="AM130" s="42"/>
    </row>
    <row r="131" spans="1:40" ht="15.75" thickBot="1">
      <c r="A131" t="s">
        <v>52</v>
      </c>
      <c r="B131">
        <v>1.0002914000000001</v>
      </c>
      <c r="C131" s="124"/>
      <c r="D131" s="126"/>
      <c r="E131" s="33">
        <v>0.17</v>
      </c>
      <c r="F131" s="128"/>
      <c r="G131" s="34"/>
      <c r="H131" s="138"/>
      <c r="I131" s="141"/>
      <c r="J131" s="116"/>
      <c r="K131" s="116"/>
      <c r="L131" s="138"/>
      <c r="M131" s="141"/>
      <c r="N131" s="207"/>
      <c r="O131" s="113"/>
      <c r="P131" s="113"/>
      <c r="Q131" s="112"/>
      <c r="R131" s="113"/>
      <c r="S131" s="113"/>
      <c r="T131" s="113"/>
      <c r="U131" s="112"/>
      <c r="V131" s="112"/>
      <c r="W131" s="112"/>
      <c r="X131" s="112"/>
      <c r="Y131" s="112"/>
      <c r="Z131" s="111"/>
      <c r="AA131" s="111"/>
      <c r="AB131" s="107"/>
      <c r="AC131" s="107"/>
      <c r="AD131" s="112"/>
      <c r="AE131" s="95"/>
      <c r="AJ131" s="113"/>
      <c r="AK131" s="3">
        <v>0.218</v>
      </c>
      <c r="AL131" s="153"/>
      <c r="AM131" s="42"/>
    </row>
    <row r="132" spans="1:40" ht="15.75" thickBot="1">
      <c r="A132" t="s">
        <v>66</v>
      </c>
      <c r="C132" s="124">
        <v>5</v>
      </c>
      <c r="D132" s="126">
        <v>3.3300000000000003E-2</v>
      </c>
      <c r="E132" s="34">
        <v>0.16819999999999999</v>
      </c>
      <c r="F132" s="128"/>
      <c r="G132" s="34"/>
      <c r="H132" s="138">
        <f>(AVERAGE(E132:E133)/D132)</f>
        <v>5.0510510510510498</v>
      </c>
      <c r="I132" s="141" t="e">
        <f>(AVERAGE(G132:G133)/F132)</f>
        <v>#DIV/0!</v>
      </c>
      <c r="J132" s="115">
        <f t="shared" ref="J132" si="752">V132/$J$173+((H132*$J$174)/$J$173^2)</f>
        <v>2.6767085949158418E-2</v>
      </c>
      <c r="K132" s="115" t="e">
        <f t="shared" ref="K132" si="753">W132/$J$173+((I132*$J$174)/$J$173^2)</f>
        <v>#DIV/0!</v>
      </c>
      <c r="L132" s="138">
        <f>H132/$F$173</f>
        <v>0.77862491427785407</v>
      </c>
      <c r="M132" s="141" t="e">
        <f>I132/$F$173</f>
        <v>#DIV/0!</v>
      </c>
      <c r="N132" s="207">
        <f t="shared" ref="N132" si="754">ASIN($B$130/$B$131*SIN(C132*PI()/180))</f>
        <v>0.1287183730013042</v>
      </c>
      <c r="O132" s="113">
        <f t="shared" ref="O132" si="755">C132*PI()/180</f>
        <v>8.7266462599716474E-2</v>
      </c>
      <c r="P132" s="113">
        <f t="shared" ref="P132" si="756">S132*T132</f>
        <v>0.92901420881998253</v>
      </c>
      <c r="Q132" s="112">
        <f t="shared" ref="Q132" si="757">U132*R132*S132</f>
        <v>3.3169287633111735E-2</v>
      </c>
      <c r="R132" s="113">
        <f t="shared" ref="R132" si="758">($B$131/$B$130)*((2*$B$130/($B$131+$B$130))^2)</f>
        <v>0.96344210787283313</v>
      </c>
      <c r="S132" s="113">
        <f t="shared" ref="S132" si="759">($B$131/$B$130)*((2*$B$130/($B$130+$B$131))^2)</f>
        <v>0.96344210787283313</v>
      </c>
      <c r="T132" s="113">
        <f t="shared" ref="T132" si="760">(($B$131*COS(N132))/($B$130*COS(O132)))*(((2*$B$130*COS(O132))^2)/(($B$131*COS(O132)+$B$130*COS(N132))^2))</f>
        <v>0.96426573141082306</v>
      </c>
      <c r="U132" s="112">
        <f t="shared" ref="U132" si="761">(($B$131*COS(O132)-$B$130*COS(N132))^2)/(($B$131*COS(O132)+$B$130*COS(N132))^2)</f>
        <v>3.5734268589177193E-2</v>
      </c>
      <c r="V132" s="112">
        <f t="shared" ref="V132" si="762">1/(2*D132)*($B$15+$B$15)+(E132+E133)/(2*D132^2)*$B$16</f>
        <v>0.10587163740316891</v>
      </c>
      <c r="W132" s="112" t="e">
        <f t="shared" ref="W132" si="763">(1/(2*F132))*($B$15+$B$15)+(G132+G133)/(2*F132^2)*$B$16</f>
        <v>#DIV/0!</v>
      </c>
      <c r="X132" s="112"/>
      <c r="Y132" s="112"/>
      <c r="Z132" s="111"/>
      <c r="AA132" s="111" t="e">
        <f t="shared" ref="AA132" si="764">(1/$Y$8)*V132+(1/$Y$8)*W132+(X132)/($Y$8^2)*(1/$H$170*($B$17+$B$17)+ABS($G$170+$G$171)/($H$170^2)*$B$18)</f>
        <v>#DIV/0!</v>
      </c>
      <c r="AB132" s="107" t="e">
        <f t="shared" si="751"/>
        <v>#DIV/0!</v>
      </c>
      <c r="AC132" s="107"/>
      <c r="AD132" s="112" t="e">
        <f>O132-K132</f>
        <v>#DIV/0!</v>
      </c>
      <c r="AE132" s="95"/>
      <c r="AJ132" s="113">
        <v>6.7000000000000004E-2</v>
      </c>
      <c r="AK132" s="3">
        <v>0.221</v>
      </c>
      <c r="AL132" s="153"/>
      <c r="AM132" s="42"/>
    </row>
    <row r="133" spans="1:40" ht="15.75" thickBot="1">
      <c r="C133" s="124"/>
      <c r="D133" s="126"/>
      <c r="E133" s="34">
        <v>0.16819999999999999</v>
      </c>
      <c r="F133" s="128"/>
      <c r="G133" s="34"/>
      <c r="H133" s="138"/>
      <c r="I133" s="141"/>
      <c r="J133" s="116"/>
      <c r="K133" s="116"/>
      <c r="L133" s="138"/>
      <c r="M133" s="141"/>
      <c r="N133" s="207"/>
      <c r="O133" s="113"/>
      <c r="P133" s="113"/>
      <c r="Q133" s="112"/>
      <c r="R133" s="113"/>
      <c r="S133" s="113"/>
      <c r="T133" s="113"/>
      <c r="U133" s="112"/>
      <c r="V133" s="112"/>
      <c r="W133" s="112"/>
      <c r="X133" s="112"/>
      <c r="Y133" s="112"/>
      <c r="Z133" s="111"/>
      <c r="AA133" s="111"/>
      <c r="AB133" s="107"/>
      <c r="AC133" s="107"/>
      <c r="AD133" s="112"/>
      <c r="AE133" s="95"/>
      <c r="AJ133" s="113"/>
      <c r="AK133" s="3">
        <v>0.22</v>
      </c>
      <c r="AL133" s="153"/>
      <c r="AM133" s="42"/>
    </row>
    <row r="134" spans="1:40" ht="15.75" thickBot="1">
      <c r="C134" s="124">
        <v>10</v>
      </c>
      <c r="D134" s="126">
        <v>3.4299999999999997E-2</v>
      </c>
      <c r="E134" s="34">
        <v>0.16800000000000001</v>
      </c>
      <c r="F134" s="128"/>
      <c r="G134" s="34"/>
      <c r="H134" s="138">
        <f>(AVERAGE(E134:E135)/D134)</f>
        <v>4.9125364431486886</v>
      </c>
      <c r="I134" s="141" t="e">
        <f>(AVERAGE(G134:G135)/F134)</f>
        <v>#DIV/0!</v>
      </c>
      <c r="J134" s="115">
        <f t="shared" ref="J134" si="765">V134/$J$173+((H134*$J$174)/$J$173^2)</f>
        <v>2.5720990473739928E-2</v>
      </c>
      <c r="K134" s="115" t="e">
        <f t="shared" ref="K134" si="766">W134/$J$173+((I134*$J$174)/$J$173^2)</f>
        <v>#DIV/0!</v>
      </c>
      <c r="L134" s="138">
        <f>H134/$F$173</f>
        <v>0.75727273952963714</v>
      </c>
      <c r="M134" s="141" t="e">
        <f>I134/$F$173</f>
        <v>#DIV/0!</v>
      </c>
      <c r="N134" s="207">
        <f t="shared" ref="N134" si="767">ASIN($B$130/$B$131*SIN(C134*PI()/180))</f>
        <v>0.25862293461365621</v>
      </c>
      <c r="O134" s="113">
        <f t="shared" ref="O134" si="768">C134*PI()/180</f>
        <v>0.17453292519943295</v>
      </c>
      <c r="P134" s="113">
        <f t="shared" ref="P134" si="769">S134*T134</f>
        <v>0.93143527851571728</v>
      </c>
      <c r="Q134" s="112">
        <f t="shared" ref="Q134" si="770">U134*R134*S134</f>
        <v>3.0836727142145699E-2</v>
      </c>
      <c r="R134" s="113">
        <f t="shared" ref="R134" si="771">($B$131/$B$130)*((2*$B$130/($B$131+$B$130))^2)</f>
        <v>0.96344210787283313</v>
      </c>
      <c r="S134" s="113">
        <f t="shared" ref="S134" si="772">($B$131/$B$130)*((2*$B$130/($B$130+$B$131))^2)</f>
        <v>0.96344210787283313</v>
      </c>
      <c r="T134" s="113">
        <f t="shared" ref="T134" si="773">(($B$131*COS(N134))/($B$130*COS(O134)))*(((2*$B$130*COS(O134))^2)/(($B$131*COS(O134)+$B$130*COS(N134))^2))</f>
        <v>0.96677866880057473</v>
      </c>
      <c r="U134" s="112">
        <f t="shared" ref="U134" si="774">(($B$131*COS(O134)-$B$130*COS(N134))^2)/(($B$131*COS(O134)+$B$130*COS(N134))^2)</f>
        <v>3.3221331199425247E-2</v>
      </c>
      <c r="V134" s="112">
        <f t="shared" ref="V134" si="775">1/(2*D134)*($B$15+$B$15)+(E134+E135)/(2*D134^2)*$B$16</f>
        <v>0.10076583736368352</v>
      </c>
      <c r="W134" s="112" t="e">
        <f t="shared" ref="W134" si="776">(1/(2*F134))*($B$15+$B$15)+(G134+G135)/(2*F134^2)*$B$16</f>
        <v>#DIV/0!</v>
      </c>
      <c r="X134" s="112"/>
      <c r="Y134" s="112"/>
      <c r="Z134" s="111"/>
      <c r="AA134" s="111" t="e">
        <f t="shared" ref="AA134" si="777">(1/$Y$8)*V134+(1/$Y$8)*W134+(X134)/($Y$8^2)*(1/$H$170*($B$17+$B$17)+ABS($G$170+$G$171)/($H$170^2)*$B$18)</f>
        <v>#DIV/0!</v>
      </c>
      <c r="AB134" s="107" t="e">
        <f t="shared" si="751"/>
        <v>#DIV/0!</v>
      </c>
      <c r="AC134" s="107"/>
      <c r="AD134" s="112" t="e">
        <f>O134-K134</f>
        <v>#DIV/0!</v>
      </c>
      <c r="AE134" s="95"/>
      <c r="AJ134" s="113">
        <v>6.7000000000000004E-2</v>
      </c>
      <c r="AK134" s="3">
        <v>0.224</v>
      </c>
      <c r="AL134" s="140">
        <v>6.7000000000000004E-2</v>
      </c>
      <c r="AM134" s="43">
        <v>5.5999999999999999E-3</v>
      </c>
    </row>
    <row r="135" spans="1:40" ht="15.75" thickBot="1">
      <c r="C135" s="124"/>
      <c r="D135" s="126"/>
      <c r="E135" s="34">
        <v>0.16900000000000001</v>
      </c>
      <c r="F135" s="128"/>
      <c r="G135" s="34"/>
      <c r="H135" s="138"/>
      <c r="I135" s="141"/>
      <c r="J135" s="116"/>
      <c r="K135" s="116"/>
      <c r="L135" s="138"/>
      <c r="M135" s="141"/>
      <c r="N135" s="207"/>
      <c r="O135" s="113"/>
      <c r="P135" s="113"/>
      <c r="Q135" s="112"/>
      <c r="R135" s="113"/>
      <c r="S135" s="113"/>
      <c r="T135" s="113"/>
      <c r="U135" s="112"/>
      <c r="V135" s="112"/>
      <c r="W135" s="112"/>
      <c r="X135" s="112"/>
      <c r="Y135" s="112"/>
      <c r="Z135" s="111"/>
      <c r="AA135" s="111"/>
      <c r="AB135" s="107"/>
      <c r="AC135" s="107"/>
      <c r="AD135" s="112"/>
      <c r="AE135" s="95"/>
      <c r="AJ135" s="113"/>
      <c r="AK135" s="3">
        <v>0.22500000000000001</v>
      </c>
      <c r="AL135" s="140"/>
      <c r="AM135" s="11">
        <v>4.9199999999999999E-3</v>
      </c>
    </row>
    <row r="136" spans="1:40" ht="15.75" thickBot="1">
      <c r="C136" s="124">
        <v>15</v>
      </c>
      <c r="D136" s="126">
        <v>3.5099999999999999E-2</v>
      </c>
      <c r="E136" s="34">
        <v>0.17299999999999999</v>
      </c>
      <c r="F136" s="128"/>
      <c r="G136" s="44"/>
      <c r="H136" s="138">
        <f>(AVERAGE(E136:E137)/D136)</f>
        <v>4.9287749287749287</v>
      </c>
      <c r="I136" s="141" t="e">
        <f>(AVERAGE(G136:G137)/F136)</f>
        <v>#DIV/0!</v>
      </c>
      <c r="J136" s="115">
        <f t="shared" ref="J136" si="778">V136/$J$173+((H136*$J$174)/$J$173^2)</f>
        <v>2.5466186923533148E-2</v>
      </c>
      <c r="K136" s="115" t="e">
        <f t="shared" ref="K136" si="779">W136/$J$173+((I136*$J$174)/$J$173^2)</f>
        <v>#DIV/0!</v>
      </c>
      <c r="L136" s="138">
        <f>H136/$F$173</f>
        <v>0.75977591943238276</v>
      </c>
      <c r="M136" s="141" t="e">
        <f>I136/$F$173</f>
        <v>#DIV/0!</v>
      </c>
      <c r="N136" s="207">
        <f t="shared" ref="N136" si="780">ASIN($B$130/$B$131*SIN(C136*PI()/180))</f>
        <v>0.39108251534244659</v>
      </c>
      <c r="O136" s="113">
        <f t="shared" ref="O136" si="781">C136*PI()/180</f>
        <v>0.26179938779914941</v>
      </c>
      <c r="P136" s="113">
        <f t="shared" ref="P136" si="782">S136*T136</f>
        <v>0.93559916301048773</v>
      </c>
      <c r="Q136" s="112">
        <f t="shared" ref="Q136" si="783">U136*R136*S136</f>
        <v>2.6825065487564793E-2</v>
      </c>
      <c r="R136" s="113">
        <f t="shared" ref="R136" si="784">($B$131/$B$130)*((2*$B$130/($B$131+$B$130))^2)</f>
        <v>0.96344210787283313</v>
      </c>
      <c r="S136" s="113">
        <f t="shared" ref="S136" si="785">($B$131/$B$130)*((2*$B$130/($B$130+$B$131))^2)</f>
        <v>0.96344210787283313</v>
      </c>
      <c r="T136" s="113">
        <f t="shared" ref="T136" si="786">(($B$131*COS(N136))/($B$130*COS(O136)))*(((2*$B$130*COS(O136))^2)/(($B$131*COS(O136)+$B$130*COS(N136))^2))</f>
        <v>0.97110055224405822</v>
      </c>
      <c r="U136" s="112">
        <f t="shared" ref="U136" si="787">(($B$131*COS(O136)-$B$130*COS(N136))^2)/(($B$131*COS(O136)+$B$130*COS(N136))^2)</f>
        <v>2.889944775594146E-2</v>
      </c>
      <c r="V136" s="112">
        <f t="shared" ref="V136" si="788">1/(2*D136)*($B$15+$B$15)+(E136+E137)/(2*D136^2)*$B$16</f>
        <v>9.8700497560896425E-2</v>
      </c>
      <c r="W136" s="112" t="e">
        <f t="shared" ref="W136" si="789">(1/(2*F136))*($B$15+$B$15)+(G136+G137)/(2*F136^2)*$B$16</f>
        <v>#DIV/0!</v>
      </c>
      <c r="X136" s="113" t="e">
        <f>H136/R130+I136</f>
        <v>#DIV/0!</v>
      </c>
      <c r="Y136" s="112"/>
      <c r="Z136" s="111" t="e">
        <f>X136/$Y$8</f>
        <v>#DIV/0!</v>
      </c>
      <c r="AA136" s="111" t="e">
        <f t="shared" ref="AA136" si="790">(1/$Y$8)*V136+(1/$Y$8)*W136+(X136)/($Y$8^2)*(1/$H$170*($B$17+$B$17)+ABS($G$170+$G$171)/($H$170^2)*$B$18)</f>
        <v>#DIV/0!</v>
      </c>
      <c r="AB136" s="107" t="e">
        <f t="shared" si="751"/>
        <v>#DIV/0!</v>
      </c>
      <c r="AC136" s="107"/>
      <c r="AD136" s="112" t="e">
        <f>O136-K136</f>
        <v>#DIV/0!</v>
      </c>
      <c r="AE136" s="95"/>
      <c r="AJ136" s="113">
        <v>6.7000000000000004E-2</v>
      </c>
      <c r="AK136" s="3">
        <v>0.22500000000000001</v>
      </c>
      <c r="AL136" s="140">
        <v>6.8000000000000005E-2</v>
      </c>
      <c r="AM136" s="11">
        <v>3.2000000000000002E-3</v>
      </c>
    </row>
    <row r="137" spans="1:40" ht="15.75" thickBot="1">
      <c r="C137" s="124"/>
      <c r="D137" s="126"/>
      <c r="E137" s="34">
        <v>0.17299999999999999</v>
      </c>
      <c r="F137" s="128"/>
      <c r="G137" s="34"/>
      <c r="H137" s="138"/>
      <c r="I137" s="141"/>
      <c r="J137" s="116"/>
      <c r="K137" s="116"/>
      <c r="L137" s="138"/>
      <c r="M137" s="141"/>
      <c r="N137" s="207"/>
      <c r="O137" s="113"/>
      <c r="P137" s="113"/>
      <c r="Q137" s="112"/>
      <c r="R137" s="113"/>
      <c r="S137" s="113"/>
      <c r="T137" s="113"/>
      <c r="U137" s="112"/>
      <c r="V137" s="112"/>
      <c r="W137" s="112"/>
      <c r="X137" s="113"/>
      <c r="Y137" s="112"/>
      <c r="Z137" s="111"/>
      <c r="AA137" s="111"/>
      <c r="AB137" s="107"/>
      <c r="AC137" s="107"/>
      <c r="AD137" s="112"/>
      <c r="AE137" s="95"/>
      <c r="AJ137" s="113"/>
      <c r="AK137" s="3">
        <v>0.22700000000000001</v>
      </c>
      <c r="AL137" s="140"/>
      <c r="AM137" s="11">
        <v>3.16E-3</v>
      </c>
    </row>
    <row r="138" spans="1:40" ht="15.75" customHeight="1" thickBot="1">
      <c r="C138" s="124">
        <v>20</v>
      </c>
      <c r="D138" s="126">
        <v>3.8899999999999997E-2</v>
      </c>
      <c r="E138" s="34">
        <v>0.185</v>
      </c>
      <c r="F138" s="128">
        <v>3.9600000000000003E-2</v>
      </c>
      <c r="G138" s="34">
        <v>4.1599999999999996E-3</v>
      </c>
      <c r="H138" s="138">
        <f>(AVERAGE(E138:E139)/D138)</f>
        <v>4.7814910025706947</v>
      </c>
      <c r="I138" s="141">
        <f>(AVERAGE(G138:G139)/F138)</f>
        <v>0.10492424242424241</v>
      </c>
      <c r="J138" s="115">
        <f t="shared" ref="J138" si="791">V138/$J$173+((H138*$J$174)/$J$173^2)</f>
        <v>2.3488758648038812E-2</v>
      </c>
      <c r="K138" s="115">
        <f t="shared" ref="K138" si="792">W138/$J$173+((I138*$J$174)/$J$173^2)</f>
        <v>4.0100770635397636E-3</v>
      </c>
      <c r="L138" s="138">
        <f>H138/$F$173</f>
        <v>0.73707194490189087</v>
      </c>
      <c r="M138" s="141">
        <f>I138/$F$173</f>
        <v>1.6174184033686343E-2</v>
      </c>
      <c r="N138" s="207">
        <f t="shared" ref="N138" si="793">ASIN($B$130/$B$131*SIN(C138*PI()/180))</f>
        <v>0.52790914473639183</v>
      </c>
      <c r="O138" s="113">
        <f t="shared" ref="O138" si="794">C138*PI()/180</f>
        <v>0.3490658503988659</v>
      </c>
      <c r="P138" s="113">
        <f t="shared" ref="P138" si="795">S138*T138</f>
        <v>0.94165903917421334</v>
      </c>
      <c r="Q138" s="112">
        <f t="shared" ref="Q138" si="796">U138*R138*S138</f>
        <v>2.0986725622936939E-2</v>
      </c>
      <c r="R138" s="113">
        <f t="shared" ref="R138" si="797">($B$131/$B$130)*((2*$B$130/($B$131+$B$130))^2)</f>
        <v>0.96344210787283313</v>
      </c>
      <c r="S138" s="113">
        <f t="shared" ref="S138" si="798">($B$131/$B$130)*((2*$B$130/($B$130+$B$131))^2)</f>
        <v>0.96344210787283313</v>
      </c>
      <c r="T138" s="113">
        <f t="shared" ref="T138" si="799">(($B$131*COS(N138))/($B$130*COS(O138)))*(((2*$B$130*COS(O138))^2)/(($B$131*COS(O138)+$B$130*COS(N138))^2))</f>
        <v>0.977390370920455</v>
      </c>
      <c r="U138" s="112">
        <f t="shared" ref="U138" si="800">(($B$131*COS(O138)-$B$130*COS(N138))^2)/(($B$131*COS(O138)+$B$130*COS(N138))^2)</f>
        <v>2.2609629079545005E-2</v>
      </c>
      <c r="V138" s="112">
        <f t="shared" ref="V138" si="801">1/(2*D138)*($B$15+$B$15)+(E138+E139)/(2*D138^2)*$B$16</f>
        <v>8.7165694120445947E-2</v>
      </c>
      <c r="W138" s="112">
        <f t="shared" ref="W138" si="802">(1/(2*F138))*($B$15+$B$15)+(G138+G139)/(2*F138^2)*$B$16</f>
        <v>2.6577326293235379E-2</v>
      </c>
      <c r="X138" s="113">
        <f t="shared" ref="X138" si="803">H138/R132+I138</f>
        <v>5.0678493247913234</v>
      </c>
      <c r="Y138" s="112"/>
      <c r="Z138" s="111">
        <f>X138/$Y$8</f>
        <v>0.70225912072108343</v>
      </c>
      <c r="AA138" s="111">
        <f>(1/$Y$8)*V138+(1/$Y$8)*W138+(X138)/($Y$8^2)*(1/$H$170*($B$17+$B$17)+ABS($G$170+$G$171)/($H$170^2)*$B$18)</f>
        <v>7.3335059171620406E-2</v>
      </c>
      <c r="AB138" s="107">
        <f t="shared" si="751"/>
        <v>0.77559417989270385</v>
      </c>
      <c r="AC138" s="107">
        <f>P138-L138</f>
        <v>0.20458709427232247</v>
      </c>
      <c r="AD138" s="112">
        <f>O138-K138</f>
        <v>0.34505577333532611</v>
      </c>
      <c r="AE138" s="97" t="s">
        <v>82</v>
      </c>
      <c r="AF138" s="98"/>
      <c r="AJ138" s="113">
        <v>6.6000000000000003E-2</v>
      </c>
      <c r="AK138" s="3">
        <v>0.22500000000000001</v>
      </c>
      <c r="AL138" s="140">
        <v>6.6000000000000003E-2</v>
      </c>
      <c r="AM138" s="11">
        <v>1.1000000000000001E-3</v>
      </c>
    </row>
    <row r="139" spans="1:40" ht="15.75" thickBot="1">
      <c r="C139" s="124"/>
      <c r="D139" s="126"/>
      <c r="E139" s="34">
        <v>0.187</v>
      </c>
      <c r="F139" s="128"/>
      <c r="G139" s="34">
        <v>4.15E-3</v>
      </c>
      <c r="H139" s="138"/>
      <c r="I139" s="141"/>
      <c r="J139" s="116"/>
      <c r="K139" s="116"/>
      <c r="L139" s="138"/>
      <c r="M139" s="141"/>
      <c r="N139" s="207"/>
      <c r="O139" s="113"/>
      <c r="P139" s="113"/>
      <c r="Q139" s="112"/>
      <c r="R139" s="113"/>
      <c r="S139" s="113"/>
      <c r="T139" s="113"/>
      <c r="U139" s="112"/>
      <c r="V139" s="112"/>
      <c r="W139" s="112"/>
      <c r="X139" s="113"/>
      <c r="Y139" s="112"/>
      <c r="Z139" s="111"/>
      <c r="AA139" s="111"/>
      <c r="AB139" s="107"/>
      <c r="AC139" s="107"/>
      <c r="AD139" s="112"/>
      <c r="AE139" s="97"/>
      <c r="AF139" s="98"/>
      <c r="AJ139" s="113"/>
      <c r="AK139" s="3">
        <v>0.22600000000000001</v>
      </c>
      <c r="AL139" s="140"/>
      <c r="AM139" s="11">
        <v>1.1000000000000001E-3</v>
      </c>
    </row>
    <row r="140" spans="1:40" ht="15.75" thickBot="1">
      <c r="C140" s="124">
        <v>25</v>
      </c>
      <c r="D140" s="126">
        <v>4.0099999999999997E-2</v>
      </c>
      <c r="E140" s="34">
        <v>0.188</v>
      </c>
      <c r="F140" s="128">
        <v>4.0500000000000001E-2</v>
      </c>
      <c r="G140" s="34">
        <v>2.7000000000000001E-3</v>
      </c>
      <c r="H140" s="138">
        <f>(AVERAGE(E140:E141)/D140)</f>
        <v>4.6882793017456361</v>
      </c>
      <c r="I140" s="141">
        <f>(AVERAGE(G140:G141)/F140)</f>
        <v>6.6666666666666666E-2</v>
      </c>
      <c r="J140" s="115">
        <f t="shared" ref="J140" si="804">V140/$J$173+((H140*$J$174)/$J$173^2)</f>
        <v>2.2737364132215335E-2</v>
      </c>
      <c r="K140" s="115">
        <f t="shared" ref="K140" si="805">W140/$J$173+((I140*$J$174)/$J$173^2)</f>
        <v>3.7703535247639373E-3</v>
      </c>
      <c r="L140" s="138">
        <f>H140/$F$173</f>
        <v>0.72270326166526</v>
      </c>
      <c r="M140" s="141">
        <f>I140/$F$173</f>
        <v>1.027673786977905E-2</v>
      </c>
      <c r="N140" s="207">
        <f t="shared" ref="N140" si="806">ASIN($B$130/$B$131*SIN(C140*PI()/180))</f>
        <v>0.6718479244770551</v>
      </c>
      <c r="O140" s="113">
        <f t="shared" ref="O140" si="807">C140*PI()/180</f>
        <v>0.43633231299858238</v>
      </c>
      <c r="P140" s="113">
        <f t="shared" ref="P140" si="808">S140*T140</f>
        <v>0.94964353907829691</v>
      </c>
      <c r="Q140" s="112">
        <f t="shared" ref="Q140" si="809">U140*R140*S140</f>
        <v>1.3294122205036243E-2</v>
      </c>
      <c r="R140" s="113">
        <f t="shared" ref="R140" si="810">($B$131/$B$130)*((2*$B$130/($B$131+$B$130))^2)</f>
        <v>0.96344210787283313</v>
      </c>
      <c r="S140" s="113">
        <f t="shared" ref="S140" si="811">($B$131/$B$130)*((2*$B$130/($B$130+$B$131))^2)</f>
        <v>0.96344210787283313</v>
      </c>
      <c r="T140" s="113">
        <f t="shared" ref="T140" si="812">(($B$131*COS(N140))/($B$130*COS(O140)))*(((2*$B$130*COS(O140))^2)/(($B$131*COS(O140)+$B$130*COS(N140))^2))</f>
        <v>0.98567784334753461</v>
      </c>
      <c r="U140" s="112">
        <f t="shared" ref="U140" si="813">(($B$131*COS(O140)-$B$130*COS(N140))^2)/(($B$131*COS(O140)+$B$130*COS(N140))^2)</f>
        <v>1.4322156652465404E-2</v>
      </c>
      <c r="V140" s="112">
        <f t="shared" ref="V140" si="814">1/(2*D140)*($B$15+$B$15)+(E140+E141)/(2*D140^2)*$B$16</f>
        <v>8.3395003762414432E-2</v>
      </c>
      <c r="W140" s="112">
        <f t="shared" ref="W140" si="815">(1/(2*F140))*($B$15+$B$15)+(G140+G141)/(2*F140^2)*$B$16</f>
        <v>2.5514403292181069E-2</v>
      </c>
      <c r="X140" s="113">
        <f t="shared" ref="X140" si="816">H140/R134+I140</f>
        <v>4.9328431223509686</v>
      </c>
      <c r="Y140" s="112"/>
      <c r="Z140" s="111">
        <f t="shared" ref="Z140" si="817">X140/$Y$8</f>
        <v>0.68355111838292004</v>
      </c>
      <c r="AA140" s="111">
        <f>(1/$Y$8)*V140+(1/$Y$8)*W140+(X140)/($Y$8^2)*(1/$H$170*($B$17+$B$17)+ABS($G$170+$G$171)/($H$170^2)*$B$18)</f>
        <v>7.1131514530804282E-2</v>
      </c>
      <c r="AB140" s="107">
        <f t="shared" si="751"/>
        <v>0.75468263291372428</v>
      </c>
      <c r="AC140" s="107">
        <f>Q140-M140</f>
        <v>3.0173843352571932E-3</v>
      </c>
      <c r="AD140" s="112">
        <f>O140-K140</f>
        <v>0.43256195947381842</v>
      </c>
      <c r="AE140" s="97"/>
      <c r="AF140" s="98"/>
      <c r="AJ140" s="113">
        <v>6.5000000000000002E-2</v>
      </c>
      <c r="AK140" s="3">
        <v>0.20499999999999999</v>
      </c>
      <c r="AL140" s="140">
        <v>6.6000000000000003E-2</v>
      </c>
      <c r="AM140" s="11">
        <v>3.5E-4</v>
      </c>
    </row>
    <row r="141" spans="1:40" ht="15.75" thickBot="1">
      <c r="C141" s="124"/>
      <c r="D141" s="126"/>
      <c r="E141" s="34">
        <v>0.188</v>
      </c>
      <c r="F141" s="128"/>
      <c r="G141" s="34">
        <v>2.7000000000000001E-3</v>
      </c>
      <c r="H141" s="138"/>
      <c r="I141" s="141"/>
      <c r="J141" s="116"/>
      <c r="K141" s="116"/>
      <c r="L141" s="138"/>
      <c r="M141" s="141"/>
      <c r="N141" s="207"/>
      <c r="O141" s="113"/>
      <c r="P141" s="113"/>
      <c r="Q141" s="112"/>
      <c r="R141" s="113"/>
      <c r="S141" s="113"/>
      <c r="T141" s="113"/>
      <c r="U141" s="112"/>
      <c r="V141" s="112"/>
      <c r="W141" s="112"/>
      <c r="X141" s="113"/>
      <c r="Y141" s="112"/>
      <c r="Z141" s="111"/>
      <c r="AA141" s="111"/>
      <c r="AB141" s="107"/>
      <c r="AC141" s="107"/>
      <c r="AD141" s="112"/>
      <c r="AE141" s="97"/>
      <c r="AF141" s="98"/>
      <c r="AJ141" s="113"/>
      <c r="AK141" s="3">
        <v>0.20399999999999999</v>
      </c>
      <c r="AL141" s="140"/>
      <c r="AM141" s="11">
        <v>3.5E-4</v>
      </c>
      <c r="AN141">
        <f>$B$130/$B$131*SIN(C148*PI()/180)</f>
        <v>1.0414288638826201</v>
      </c>
    </row>
    <row r="142" spans="1:40" ht="15.75" thickBot="1">
      <c r="B142" t="s">
        <v>9</v>
      </c>
      <c r="C142" s="124">
        <v>30</v>
      </c>
      <c r="D142" s="126">
        <v>4.0300000000000002E-2</v>
      </c>
      <c r="E142" s="34">
        <v>0.17399999999999999</v>
      </c>
      <c r="F142" s="128">
        <v>4.1500000000000002E-2</v>
      </c>
      <c r="G142" s="34">
        <v>1.09E-3</v>
      </c>
      <c r="H142" s="138">
        <f>(AVERAGE(E142:E143)/D142)</f>
        <v>4.3176178660049622</v>
      </c>
      <c r="I142" s="141">
        <f>(AVERAGE(G142:G143)/F142)</f>
        <v>2.6265060240963856E-2</v>
      </c>
      <c r="J142" s="115">
        <f t="shared" ref="J142" si="818">V142/$J$173+((H142*$J$174)/$J$173^2)</f>
        <v>2.1163678505435754E-2</v>
      </c>
      <c r="K142" s="115">
        <f t="shared" ref="K142" si="819">W142/$J$173+((I142*$J$174)/$J$173^2)</f>
        <v>3.5201594999536541E-3</v>
      </c>
      <c r="L142" s="138">
        <f>H142/$F$173</f>
        <v>0.66556540546211707</v>
      </c>
      <c r="M142" s="141">
        <f>I142/$F$173</f>
        <v>4.0487870884551198E-3</v>
      </c>
      <c r="N142" s="207">
        <f t="shared" ref="N142" si="820">ASIN($B$130/$B$131*SIN(C142*PI()/180))</f>
        <v>0.82773577722908398</v>
      </c>
      <c r="O142" s="113">
        <f t="shared" ref="O142" si="821">C142*PI()/180</f>
        <v>0.52359877559829882</v>
      </c>
      <c r="P142" s="113">
        <f t="shared" ref="P142" si="822">S142*T142</f>
        <v>0.95871973441421721</v>
      </c>
      <c r="Q142" s="112">
        <f t="shared" ref="Q142" si="823">U142*R142*S142</f>
        <v>4.5497334391319958E-3</v>
      </c>
      <c r="R142" s="113">
        <f t="shared" ref="R142" si="824">($B$131/$B$130)*((2*$B$130/($B$131+$B$130))^2)</f>
        <v>0.96344210787283313</v>
      </c>
      <c r="S142" s="113">
        <f t="shared" ref="S142" si="825">($B$131/$B$130)*((2*$B$130/($B$130+$B$131))^2)</f>
        <v>0.96344210787283313</v>
      </c>
      <c r="T142" s="113">
        <f t="shared" ref="T142" si="826">(($B$131*COS(N142))/($B$130*COS(O142)))*(((2*$B$130*COS(O142))^2)/(($B$131*COS(O142)+$B$130*COS(N142))^2))</f>
        <v>0.99509843568178435</v>
      </c>
      <c r="U142" s="112">
        <f t="shared" ref="U142" si="827">(($B$131*COS(O142)-$B$130*COS(N142))^2)/(($B$131*COS(O142)+$B$130*COS(N142))^2)</f>
        <v>4.9015643182159967E-3</v>
      </c>
      <c r="V142" s="112">
        <f t="shared" ref="V142" si="828">1/(2*D142)*($B$15+$B$15)+(E142+E143)/(2*D142^2)*$B$16</f>
        <v>7.8382355657629799E-2</v>
      </c>
      <c r="W142" s="112">
        <f t="shared" ref="W142" si="829">(1/(2*F142))*($B$15+$B$15)+(G142+G143)/(2*F142^2)*$B$16</f>
        <v>2.4412832051095949E-2</v>
      </c>
      <c r="X142" s="113">
        <f t="shared" ref="X142" si="830">H142/R136+I142</f>
        <v>4.5077153007102693</v>
      </c>
      <c r="Y142" s="112"/>
      <c r="Z142" s="111">
        <f t="shared" ref="Z142" si="831">X142/$Y$8</f>
        <v>0.62464054881270881</v>
      </c>
      <c r="AA142" s="111">
        <f t="shared" ref="AA142" si="832">(1/$Y$8)*V142+(1/$Y$8)*W142+(X142)/($Y$8^2)*(1/$H$170*($B$17+$B$17)+ABS($G$170+$G$171)/($H$170^2)*$B$18)</f>
        <v>6.5454575005529897E-2</v>
      </c>
      <c r="AB142" s="107">
        <f t="shared" si="751"/>
        <v>0.69009512381823868</v>
      </c>
      <c r="AC142" s="107">
        <f>Q142-M142</f>
        <v>5.0094635067687594E-4</v>
      </c>
      <c r="AD142" s="112">
        <f>O142-K142</f>
        <v>0.52007861609834516</v>
      </c>
      <c r="AE142" s="97"/>
      <c r="AF142" s="98"/>
      <c r="AJ142" s="113">
        <v>6.6000000000000003E-2</v>
      </c>
      <c r="AK142" s="3">
        <v>0.155</v>
      </c>
      <c r="AL142" s="140">
        <v>6.6000000000000003E-2</v>
      </c>
      <c r="AM142" s="11">
        <v>1.4999999999999999E-2</v>
      </c>
    </row>
    <row r="143" spans="1:40" ht="15.75" thickBot="1">
      <c r="C143" s="124"/>
      <c r="D143" s="126"/>
      <c r="E143" s="34">
        <v>0.17399999999999999</v>
      </c>
      <c r="F143" s="128"/>
      <c r="G143" s="34">
        <v>1.09E-3</v>
      </c>
      <c r="H143" s="138"/>
      <c r="I143" s="141"/>
      <c r="J143" s="116"/>
      <c r="K143" s="116"/>
      <c r="L143" s="138"/>
      <c r="M143" s="141"/>
      <c r="N143" s="207"/>
      <c r="O143" s="113"/>
      <c r="P143" s="113"/>
      <c r="Q143" s="112"/>
      <c r="R143" s="113"/>
      <c r="S143" s="113"/>
      <c r="T143" s="113"/>
      <c r="U143" s="112"/>
      <c r="V143" s="112"/>
      <c r="W143" s="112"/>
      <c r="X143" s="113"/>
      <c r="Y143" s="112"/>
      <c r="Z143" s="111"/>
      <c r="AA143" s="111"/>
      <c r="AB143" s="107"/>
      <c r="AC143" s="107"/>
      <c r="AD143" s="112"/>
      <c r="AE143" s="97"/>
      <c r="AF143" s="98"/>
      <c r="AJ143" s="113"/>
      <c r="AK143" s="3">
        <v>0.154</v>
      </c>
      <c r="AL143" s="140"/>
      <c r="AM143" s="11">
        <v>1.6E-2</v>
      </c>
    </row>
    <row r="144" spans="1:40" ht="15.75" thickBot="1">
      <c r="B144">
        <f>SIN(C148*PI()/180)</f>
        <v>0.70710678118654746</v>
      </c>
      <c r="C144" s="124">
        <v>35</v>
      </c>
      <c r="D144" s="126">
        <v>4.1500000000000002E-2</v>
      </c>
      <c r="E144" s="34">
        <v>0.191</v>
      </c>
      <c r="F144" s="128">
        <v>4.36E-2</v>
      </c>
      <c r="G144" s="34">
        <v>2.7E-4</v>
      </c>
      <c r="H144" s="138">
        <f>(AVERAGE(E144:E145)/D144)</f>
        <v>4.6144578313253009</v>
      </c>
      <c r="I144" s="141">
        <f>(AVERAGE(G144:G145)/F144)</f>
        <v>6.1926605504587159E-3</v>
      </c>
      <c r="J144" s="115">
        <f t="shared" ref="J144" si="833">V144/$J$173+((H144*$J$174)/$J$173^2)</f>
        <v>2.2040766928943818E-2</v>
      </c>
      <c r="K144" s="115">
        <f t="shared" ref="K144" si="834">W144/$J$173+((I144*$J$174)/$J$173^2)</f>
        <v>3.2741840337642577E-3</v>
      </c>
      <c r="L144" s="138">
        <f>H144/$F$173</f>
        <v>0.7113236031551885</v>
      </c>
      <c r="M144" s="141">
        <f>I144/$F$173</f>
        <v>9.54605237903788E-4</v>
      </c>
      <c r="N144" s="207">
        <f t="shared" ref="N144" si="835">ASIN($B$130/$B$131*SIN(C144*PI()/180))</f>
        <v>1.0061258658435575</v>
      </c>
      <c r="O144" s="113">
        <f t="shared" ref="O144" si="836">C144*PI()/180</f>
        <v>0.6108652381980153</v>
      </c>
      <c r="P144" s="113">
        <f t="shared" ref="P144" si="837">S144*T144</f>
        <v>0.96308371845703622</v>
      </c>
      <c r="Q144" s="112">
        <f t="shared" ref="Q144" si="838">U144*R144*S144</f>
        <v>3.4528745419458684E-4</v>
      </c>
      <c r="R144" s="113">
        <f t="shared" ref="R144" si="839">($B$131/$B$130)*((2*$B$130/($B$131+$B$130))^2)</f>
        <v>0.96344210787283313</v>
      </c>
      <c r="S144" s="113">
        <f t="shared" ref="S144" si="840">($B$131/$B$130)*((2*$B$130/($B$130+$B$131))^2)</f>
        <v>0.96344210787283313</v>
      </c>
      <c r="T144" s="113">
        <f t="shared" ref="T144" si="841">(($B$131*COS(N144))/($B$130*COS(O144)))*(((2*$B$130*COS(O144))^2)/(($B$131*COS(O144)+$B$130*COS(N144))^2))</f>
        <v>0.99962801146756164</v>
      </c>
      <c r="U144" s="112">
        <f t="shared" ref="U144" si="842">(($B$131*COS(O144)-$B$130*COS(N144))^2)/(($B$131*COS(O144)+$B$130*COS(N144))^2)</f>
        <v>3.7198853243822449E-4</v>
      </c>
      <c r="V144" s="112">
        <f t="shared" ref="V144" si="843">1/(2*D144)*($B$15+$B$15)+(E144+E145)/(2*D144^2)*$B$16</f>
        <v>7.9692263028015672E-2</v>
      </c>
      <c r="W144" s="112">
        <f t="shared" ref="W144" si="844">(1/(2*F144))*($B$15+$B$15)+(G144+G145)/(2*F144^2)*$B$16</f>
        <v>2.300679656594563E-2</v>
      </c>
      <c r="X144" s="113">
        <f t="shared" ref="X144" si="845">H144/R138+I144</f>
        <v>4.7957464838865391</v>
      </c>
      <c r="Y144" s="112"/>
      <c r="Z144" s="111">
        <f t="shared" ref="Z144" si="846">X144/$Y$8</f>
        <v>0.66455344133856331</v>
      </c>
      <c r="AA144" s="111">
        <f t="shared" ref="AA144" si="847">(1/$Y$8)*V144+(1/$Y$8)*W144+(X144)/($Y$8^2)*(1/$H$170*($B$17+$B$17)+ABS($G$170+$G$171)/($H$170^2)*$B$18)</f>
        <v>6.8713445387887845E-2</v>
      </c>
      <c r="AB144" s="107">
        <f t="shared" si="751"/>
        <v>0.73326688672645113</v>
      </c>
      <c r="AC144" s="107">
        <f>Q144-M144</f>
        <v>-6.0931778370920111E-4</v>
      </c>
      <c r="AD144" s="112">
        <f>O144-K144</f>
        <v>0.60759105416425108</v>
      </c>
      <c r="AE144" s="95">
        <f>AVERAGE(AC138:AC147)</f>
        <v>3.7960457864296651E-2</v>
      </c>
      <c r="AJ144" s="147"/>
      <c r="AK144" s="2"/>
      <c r="AL144" s="140">
        <v>6.5000000000000002E-2</v>
      </c>
      <c r="AM144" s="11">
        <v>0.20399999999999999</v>
      </c>
      <c r="AN144">
        <f>(59*PI()/180)</f>
        <v>1.0297442586766543</v>
      </c>
    </row>
    <row r="145" spans="3:40" ht="15.75" thickBot="1">
      <c r="C145" s="124"/>
      <c r="D145" s="126"/>
      <c r="E145" s="34">
        <v>0.192</v>
      </c>
      <c r="F145" s="128"/>
      <c r="G145" s="34">
        <v>2.7E-4</v>
      </c>
      <c r="H145" s="138"/>
      <c r="I145" s="141"/>
      <c r="J145" s="116"/>
      <c r="K145" s="116"/>
      <c r="L145" s="138"/>
      <c r="M145" s="141"/>
      <c r="N145" s="207"/>
      <c r="O145" s="113"/>
      <c r="P145" s="113"/>
      <c r="Q145" s="112"/>
      <c r="R145" s="113"/>
      <c r="S145" s="113"/>
      <c r="T145" s="113"/>
      <c r="U145" s="112"/>
      <c r="V145" s="112"/>
      <c r="W145" s="112"/>
      <c r="X145" s="113"/>
      <c r="Y145" s="112"/>
      <c r="Z145" s="111"/>
      <c r="AA145" s="111"/>
      <c r="AB145" s="107"/>
      <c r="AC145" s="107"/>
      <c r="AD145" s="112"/>
      <c r="AE145" s="95"/>
      <c r="AJ145" s="147"/>
      <c r="AK145" s="2"/>
      <c r="AL145" s="140"/>
      <c r="AM145" s="11">
        <v>0.20399999999999999</v>
      </c>
      <c r="AN145" t="e">
        <f>ASIN(59*PI()/180)</f>
        <v>#NUM!</v>
      </c>
    </row>
    <row r="146" spans="3:40" ht="15.75" customHeight="1" thickBot="1">
      <c r="C146" s="124">
        <v>40</v>
      </c>
      <c r="D146" s="126">
        <v>4.3499999999999997E-2</v>
      </c>
      <c r="E146" s="34">
        <v>0.15490000000000001</v>
      </c>
      <c r="F146" s="128">
        <v>4.36E-2</v>
      </c>
      <c r="G146" s="34">
        <v>2.64E-2</v>
      </c>
      <c r="H146" s="138">
        <f>(AVERAGE(E146:E147)/D146)</f>
        <v>3.5586206896551724</v>
      </c>
      <c r="I146" s="141">
        <f>(AVERAGE(G146:G147)/F146)</f>
        <v>0.44759174311926608</v>
      </c>
      <c r="J146" s="115">
        <f t="shared" ref="J146" si="848">V146/$J$173+((H146*$J$174)/$J$173^2)</f>
        <v>1.7342522199739748E-2</v>
      </c>
      <c r="K146" s="115">
        <f t="shared" ref="K146" si="849">W146/$J$173+((I146*$J$174)/$J$173^2)</f>
        <v>5.0196343935882586E-3</v>
      </c>
      <c r="L146" s="138">
        <f>H146/$F$173</f>
        <v>0.54856518008337829</v>
      </c>
      <c r="M146" s="141">
        <f>I146/$F$173</f>
        <v>6.8996745250712685E-2</v>
      </c>
      <c r="N146" s="207">
        <f t="shared" ref="N146" si="850">ASIN($B$130/$B$131*SIN(C146*PI()/180))</f>
        <v>1.2428300686818063</v>
      </c>
      <c r="O146" s="113">
        <f t="shared" ref="O146" si="851">C146*PI()/180</f>
        <v>0.69813170079773179</v>
      </c>
      <c r="P146" s="113">
        <f t="shared" ref="P146" si="852">S146*T146</f>
        <v>0.91019248656354712</v>
      </c>
      <c r="Q146" s="112">
        <f t="shared" ref="Q146" si="853">U146*R146*S146</f>
        <v>5.1302927397648607E-2</v>
      </c>
      <c r="R146" s="113">
        <f t="shared" ref="R146" si="854">($B$131/$B$130)*((2*$B$130/($B$131+$B$130))^2)</f>
        <v>0.96344210787283313</v>
      </c>
      <c r="S146" s="113">
        <f t="shared" ref="S146" si="855">($B$131/$B$130)*((2*$B$130/($B$130+$B$131))^2)</f>
        <v>0.96344210787283313</v>
      </c>
      <c r="T146" s="113">
        <f t="shared" ref="T146" si="856">(($B$131*COS(N146))/($B$130*COS(O146)))*(((2*$B$130*COS(O146))^2)/(($B$131*COS(O146)+$B$130*COS(N146))^2))</f>
        <v>0.94472981731423911</v>
      </c>
      <c r="U146" s="112">
        <f t="shared" ref="U146" si="857">(($B$131*COS(O146)-$B$130*COS(N146))^2)/(($B$131*COS(O146)+$B$130*COS(N146))^2)</f>
        <v>5.5270182685760817E-2</v>
      </c>
      <c r="V146" s="112">
        <f t="shared" ref="V146" si="858">1/(2*D146)*($B$15+$B$15)+(E146+E147)/(2*D146^2)*$B$16</f>
        <v>6.3892191835116921E-2</v>
      </c>
      <c r="W146" s="112">
        <f t="shared" ref="W146" si="859">(1/(2*F146))*($B$15+$B$15)+(G146+G147)/(2*F146^2)*$B$16</f>
        <v>2.80687126504503E-2</v>
      </c>
      <c r="X146" s="113">
        <f t="shared" ref="X146" si="860">H146/R140+I146</f>
        <v>4.1412445952996508</v>
      </c>
      <c r="Y146" s="112"/>
      <c r="Z146" s="111">
        <f t="shared" ref="Z146" si="861">X146/$Y$8</f>
        <v>0.57385817963438024</v>
      </c>
      <c r="AA146" s="111">
        <f t="shared" ref="AA146" si="862">(1/$Y$8)*V146+(1/$Y$8)*W146+(X146)/($Y$8^2)*(1/$H$170*($B$17+$B$17)+ABS($G$170+$G$171)/($H$170^2)*$B$18)</f>
        <v>5.9789946248445053E-2</v>
      </c>
      <c r="AB146" s="107">
        <f t="shared" si="751"/>
        <v>0.63364812588282526</v>
      </c>
      <c r="AC146" s="107">
        <f>Q146-M146</f>
        <v>-1.7693817853064078E-2</v>
      </c>
      <c r="AD146" s="112">
        <f>O146-K146</f>
        <v>0.69311206640414358</v>
      </c>
      <c r="AE146" s="97" t="s">
        <v>83</v>
      </c>
      <c r="AF146" s="98"/>
      <c r="AJ146" s="147"/>
      <c r="AK146" s="2"/>
      <c r="AL146" s="140">
        <v>6.7000000000000004E-2</v>
      </c>
      <c r="AM146" s="11">
        <v>0.20499999999999999</v>
      </c>
    </row>
    <row r="147" spans="3:40" ht="15.75" thickBot="1">
      <c r="C147" s="124"/>
      <c r="D147" s="126"/>
      <c r="E147" s="34">
        <v>0.1547</v>
      </c>
      <c r="F147" s="128"/>
      <c r="G147" s="34">
        <v>1.2630000000000001E-2</v>
      </c>
      <c r="H147" s="138"/>
      <c r="I147" s="141"/>
      <c r="J147" s="116"/>
      <c r="K147" s="116"/>
      <c r="L147" s="138"/>
      <c r="M147" s="141"/>
      <c r="N147" s="207"/>
      <c r="O147" s="113"/>
      <c r="P147" s="113"/>
      <c r="Q147" s="112"/>
      <c r="R147" s="113"/>
      <c r="S147" s="113"/>
      <c r="T147" s="113"/>
      <c r="U147" s="112"/>
      <c r="V147" s="112"/>
      <c r="W147" s="112"/>
      <c r="X147" s="113"/>
      <c r="Y147" s="112"/>
      <c r="Z147" s="111"/>
      <c r="AA147" s="111"/>
      <c r="AB147" s="107"/>
      <c r="AC147" s="107"/>
      <c r="AD147" s="112"/>
      <c r="AE147" s="97"/>
      <c r="AF147" s="98"/>
      <c r="AJ147" s="147"/>
      <c r="AK147" s="2"/>
      <c r="AL147" s="140"/>
      <c r="AM147" s="11">
        <v>0.20599999999999999</v>
      </c>
    </row>
    <row r="148" spans="3:40" ht="15.75" thickBot="1">
      <c r="C148" s="124">
        <v>45</v>
      </c>
      <c r="D148" s="126"/>
      <c r="E148" s="34"/>
      <c r="F148" s="128">
        <v>4.36E-2</v>
      </c>
      <c r="G148" s="34">
        <v>0.1981</v>
      </c>
      <c r="H148" s="138" t="e">
        <f>(AVERAGE(E148:E149)/D148)</f>
        <v>#DIV/0!</v>
      </c>
      <c r="I148" s="141">
        <f>(AVERAGE(G148:G149)/F148)</f>
        <v>4.5366972477064218</v>
      </c>
      <c r="J148" s="115" t="e">
        <f t="shared" ref="J148" si="863">V148/$J$173+((H148*$J$174)/$J$173^2)</f>
        <v>#DIV/0!</v>
      </c>
      <c r="K148" s="115">
        <f t="shared" ref="K148" si="864">W148/$J$173+((I148*$J$174)/$J$173^2)</f>
        <v>2.1189424853511454E-2</v>
      </c>
      <c r="L148" s="138" t="e">
        <f>H148/$F$173</f>
        <v>#DIV/0!</v>
      </c>
      <c r="M148" s="141">
        <f>I148/$F$173</f>
        <v>0.6993367261384047</v>
      </c>
      <c r="N148" s="207">
        <f>PI()/2</f>
        <v>1.5707963267948966</v>
      </c>
      <c r="O148" s="113">
        <f t="shared" ref="O148" si="865">C148*PI()/180</f>
        <v>0.78539816339744828</v>
      </c>
      <c r="P148" s="113">
        <f t="shared" ref="P148" si="866">S148*T148</f>
        <v>4.917042269854008E-16</v>
      </c>
      <c r="Q148" s="112">
        <f t="shared" ref="Q148" si="867">U148*R148*S148</f>
        <v>0.92822069522244721</v>
      </c>
      <c r="R148" s="113">
        <f t="shared" ref="R148" si="868">($B$131/$B$130)*((2*$B$130/($B$131+$B$130))^2)</f>
        <v>0.96344210787283313</v>
      </c>
      <c r="S148" s="113">
        <f t="shared" ref="S148" si="869">($B$131/$B$130)*((2*$B$130/($B$130+$B$131))^2)</f>
        <v>0.96344210787283313</v>
      </c>
      <c r="T148" s="113">
        <f>(($B$131*COS(N148))/($B$130*COS(O148)))*(((2*$B$130*COS(O148))^2)/(($B$131*COS(O148)+$B$130*COS(N148))^2))</f>
        <v>5.1036198539321256E-16</v>
      </c>
      <c r="U148" s="112">
        <f t="shared" ref="U148" si="870">(($B$131*COS(O148)-$B$130*COS(N148))^2)/(($B$131*COS(O148)+$B$130*COS(N148))^2)</f>
        <v>0.99999999999999933</v>
      </c>
      <c r="V148" s="112" t="e">
        <f t="shared" ref="V148" si="871">1/(2*D148)*($B$15+$B$15)+(E148+E149)/(2*D148^2)*$B$16</f>
        <v>#DIV/0!</v>
      </c>
      <c r="W148" s="112">
        <f t="shared" ref="W148" si="872">(1/(2*F148))*($B$15+$B$15)+(G148+G149)/(2*F148^2)*$B$16</f>
        <v>7.4962124400303004E-2</v>
      </c>
      <c r="X148" s="113" t="e">
        <f t="shared" ref="X148" si="873">H148/R142+I148</f>
        <v>#DIV/0!</v>
      </c>
      <c r="Y148" s="112"/>
      <c r="Z148" s="111" t="e">
        <f t="shared" ref="Z148" si="874">X148/$Y$8</f>
        <v>#DIV/0!</v>
      </c>
      <c r="AA148" s="111" t="e">
        <f t="shared" ref="AA148" si="875">(1/$Y$8)*V148+(1/$Y$8)*W148+(X148)/($Y$8^2)*(1/$H$170*($B$17+$B$17)+ABS($G$170+$G$171)/($H$170^2)*$B$18)</f>
        <v>#DIV/0!</v>
      </c>
      <c r="AB148" s="107" t="e">
        <f>AA148+Z148</f>
        <v>#DIV/0!</v>
      </c>
      <c r="AC148" s="107">
        <f>Q148-M148</f>
        <v>0.22888396908404252</v>
      </c>
      <c r="AD148" s="112">
        <f>O148-K148</f>
        <v>0.76420873854393678</v>
      </c>
      <c r="AE148" s="97"/>
      <c r="AF148" s="98"/>
      <c r="AJ148" s="147"/>
      <c r="AK148" s="2"/>
      <c r="AL148" s="140">
        <v>6.8000000000000005E-2</v>
      </c>
      <c r="AM148" s="11">
        <v>0.20200000000000001</v>
      </c>
      <c r="AN148" s="83">
        <f>($B$130/$B$131*SIN(C148*PI()/180))*180/PI()</f>
        <v>59.669478563578423</v>
      </c>
    </row>
    <row r="149" spans="3:40" ht="15.75" thickBot="1">
      <c r="C149" s="124"/>
      <c r="D149" s="126"/>
      <c r="E149" s="34"/>
      <c r="F149" s="128"/>
      <c r="G149" s="34">
        <v>0.19750000000000001</v>
      </c>
      <c r="H149" s="138"/>
      <c r="I149" s="141"/>
      <c r="J149" s="116"/>
      <c r="K149" s="116"/>
      <c r="L149" s="138"/>
      <c r="M149" s="141"/>
      <c r="N149" s="207"/>
      <c r="O149" s="113"/>
      <c r="P149" s="113"/>
      <c r="Q149" s="112"/>
      <c r="R149" s="113"/>
      <c r="S149" s="113"/>
      <c r="T149" s="113"/>
      <c r="U149" s="112"/>
      <c r="V149" s="112"/>
      <c r="W149" s="112"/>
      <c r="X149" s="113"/>
      <c r="Y149" s="112"/>
      <c r="Z149" s="111"/>
      <c r="AA149" s="111"/>
      <c r="AB149" s="107"/>
      <c r="AC149" s="107"/>
      <c r="AD149" s="112"/>
      <c r="AE149" s="97"/>
      <c r="AF149" s="98"/>
      <c r="AJ149" s="147"/>
      <c r="AK149" s="2"/>
      <c r="AL149" s="140"/>
      <c r="AM149" s="11">
        <v>0.20100000000000001</v>
      </c>
      <c r="AN149" s="83"/>
    </row>
    <row r="150" spans="3:40" ht="15.75" thickBot="1">
      <c r="C150" s="124">
        <v>50</v>
      </c>
      <c r="D150" s="126"/>
      <c r="E150" s="34"/>
      <c r="F150" s="128">
        <v>4.3799999999999999E-2</v>
      </c>
      <c r="G150" s="34">
        <v>0.20399999999999999</v>
      </c>
      <c r="H150" s="138" t="e">
        <f>(AVERAGE(E150:E151)/D150)</f>
        <v>#DIV/0!</v>
      </c>
      <c r="I150" s="141">
        <f>(AVERAGE(G150:G151)/F150)</f>
        <v>4.6575342465753424</v>
      </c>
      <c r="J150" s="115" t="e">
        <f t="shared" ref="J150" si="876">V150/$J$173+((H150*$J$174)/$J$173^2)</f>
        <v>#DIV/0!</v>
      </c>
      <c r="K150" s="115">
        <f t="shared" ref="K150" si="877">W150/$J$173+((I150*$J$174)/$J$173^2)</f>
        <v>2.1617862815177628E-2</v>
      </c>
      <c r="L150" s="138" t="e">
        <f>H150/$F$173</f>
        <v>#DIV/0!</v>
      </c>
      <c r="M150" s="141">
        <f t="shared" ref="M150" si="878">I150/$F$173</f>
        <v>0.71796387857360489</v>
      </c>
      <c r="N150" s="207">
        <f t="shared" ref="N150" si="879">PI()/2</f>
        <v>1.5707963267948966</v>
      </c>
      <c r="O150" s="113">
        <f t="shared" ref="O150" si="880">C150*PI()/180</f>
        <v>0.87266462599716477</v>
      </c>
      <c r="P150" s="113">
        <f t="shared" ref="P150" si="881">S150*T150</f>
        <v>5.4090556196162359E-16</v>
      </c>
      <c r="Q150" s="112">
        <f t="shared" ref="Q150" si="882">U150*R150*S150</f>
        <v>0.92822069522244721</v>
      </c>
      <c r="R150" s="113">
        <f t="shared" ref="R150" si="883">($B$131/$B$130)*((2*$B$130/($B$131+$B$130))^2)</f>
        <v>0.96344210787283313</v>
      </c>
      <c r="S150" s="113">
        <f t="shared" ref="S150" si="884">($B$131/$B$130)*((2*$B$130/($B$130+$B$131))^2)</f>
        <v>0.96344210787283313</v>
      </c>
      <c r="T150" s="113">
        <f t="shared" ref="T150" si="885">(($B$131*COS(N150))/($B$130*COS(O150)))*(((2*$B$130*COS(O150))^2)/(($B$131*COS(O150)+$B$130*COS(N150))^2))</f>
        <v>5.6143026917920313E-16</v>
      </c>
      <c r="U150" s="112">
        <f t="shared" ref="U150" si="886">(($B$131*COS(O150)-$B$130*COS(N150))^2)/(($B$131*COS(O150)+$B$130*COS(N150))^2)</f>
        <v>0.99999999999999933</v>
      </c>
      <c r="V150" s="112" t="e">
        <f t="shared" ref="V150" si="887">1/(2*D150)*($B$15+$B$15)+(E150+E151)/(2*D150^2)*$B$16</f>
        <v>#DIV/0!</v>
      </c>
      <c r="W150" s="112">
        <f t="shared" ref="W150" si="888">(1/(2*F150))*($B$15+$B$15)+(G150+G151)/(2*F150^2)*$B$16</f>
        <v>7.5999249390129475E-2</v>
      </c>
      <c r="X150" s="113" t="e">
        <f t="shared" ref="X150" si="889">H150/R144+I150</f>
        <v>#DIV/0!</v>
      </c>
      <c r="Y150" s="112"/>
      <c r="Z150" s="111" t="e">
        <f t="shared" ref="Z150" si="890">X150/$Y$8</f>
        <v>#DIV/0!</v>
      </c>
      <c r="AA150" s="111" t="e">
        <f t="shared" ref="AA150" si="891">(1/$Y$8)*V150+(1/$Y$8)*W150+(X150)/($Y$8^2)*(1/$H$170*($B$17+$B$17)+ABS($G$170+$G$171)/($H$170^2)*$B$18)</f>
        <v>#DIV/0!</v>
      </c>
      <c r="AB150" s="107" t="e">
        <f t="shared" si="751"/>
        <v>#DIV/0!</v>
      </c>
      <c r="AC150" s="107">
        <f>Q150-M150</f>
        <v>0.21025681664884233</v>
      </c>
      <c r="AD150" s="112">
        <f>O150-K150</f>
        <v>0.85104676318198713</v>
      </c>
      <c r="AE150" s="97"/>
      <c r="AF150" s="98"/>
      <c r="AJ150" s="147"/>
      <c r="AK150" s="2"/>
      <c r="AL150" s="140">
        <v>6.8000000000000005E-2</v>
      </c>
      <c r="AM150" s="11">
        <v>0.19900000000000001</v>
      </c>
      <c r="AN150" s="83">
        <f>180*$B$130/$B$131*B144/PI()</f>
        <v>59.66947856357843</v>
      </c>
    </row>
    <row r="151" spans="3:40" ht="15.75" thickBot="1">
      <c r="C151" s="124"/>
      <c r="D151" s="126"/>
      <c r="E151" s="34"/>
      <c r="F151" s="128"/>
      <c r="G151" s="34">
        <v>0.20399999999999999</v>
      </c>
      <c r="H151" s="138"/>
      <c r="I151" s="141"/>
      <c r="J151" s="116"/>
      <c r="K151" s="116"/>
      <c r="L151" s="138"/>
      <c r="M151" s="141"/>
      <c r="N151" s="207"/>
      <c r="O151" s="113"/>
      <c r="P151" s="113"/>
      <c r="Q151" s="112"/>
      <c r="R151" s="113"/>
      <c r="S151" s="113"/>
      <c r="T151" s="113"/>
      <c r="U151" s="112"/>
      <c r="V151" s="112"/>
      <c r="W151" s="112"/>
      <c r="X151" s="113"/>
      <c r="Y151" s="112"/>
      <c r="Z151" s="111"/>
      <c r="AA151" s="111"/>
      <c r="AB151" s="107"/>
      <c r="AC151" s="107"/>
      <c r="AD151" s="112"/>
      <c r="AE151" s="97"/>
      <c r="AF151" s="98"/>
      <c r="AJ151" s="147"/>
      <c r="AK151" s="2"/>
      <c r="AL151" s="140"/>
      <c r="AM151" s="11">
        <v>0.19800000000000001</v>
      </c>
      <c r="AN151" s="83"/>
    </row>
    <row r="152" spans="3:40" ht="15.75" thickBot="1">
      <c r="C152" s="124">
        <v>55</v>
      </c>
      <c r="D152" s="126"/>
      <c r="E152" s="34"/>
      <c r="F152" s="128">
        <v>4.5999999999999999E-2</v>
      </c>
      <c r="G152" s="34">
        <v>0.2127</v>
      </c>
      <c r="H152" s="138" t="e">
        <f>(AVERAGE(E152:E153)/D152)</f>
        <v>#DIV/0!</v>
      </c>
      <c r="I152" s="141">
        <f>(AVERAGE(G152:G153)/F152)</f>
        <v>4.6228260869565219</v>
      </c>
      <c r="J152" s="115" t="e">
        <f t="shared" ref="J152" si="892">V152/$J$173+((H152*$J$174)/$J$173^2)</f>
        <v>#DIV/0!</v>
      </c>
      <c r="K152" s="115">
        <f t="shared" ref="K152" si="893">W152/$J$173+((I152*$J$174)/$J$173^2)</f>
        <v>2.0968561233340677E-2</v>
      </c>
      <c r="L152" s="138" t="e">
        <f>H152/$F$173</f>
        <v>#DIV/0!</v>
      </c>
      <c r="M152" s="141">
        <f t="shared" ref="M152" si="894">I152/$F$173</f>
        <v>0.7126135786984289</v>
      </c>
      <c r="N152" s="207">
        <f t="shared" ref="N152" si="895">PI()/2</f>
        <v>1.5707963267948966</v>
      </c>
      <c r="O152" s="113">
        <f t="shared" ref="O152" si="896">C152*PI()/180</f>
        <v>0.95993108859688125</v>
      </c>
      <c r="P152" s="113">
        <f t="shared" ref="P152" si="897">S152*T152</f>
        <v>6.0617447162120001E-16</v>
      </c>
      <c r="Q152" s="112">
        <f t="shared" ref="Q152" si="898">U152*R152*S152</f>
        <v>0.92822069522244699</v>
      </c>
      <c r="R152" s="113">
        <f t="shared" ref="R152" si="899">($B$131/$B$130)*((2*$B$130/($B$131+$B$130))^2)</f>
        <v>0.96344210787283313</v>
      </c>
      <c r="S152" s="113">
        <f t="shared" ref="S152" si="900">($B$131/$B$130)*((2*$B$130/($B$130+$B$131))^2)</f>
        <v>0.96344210787283313</v>
      </c>
      <c r="T152" s="113">
        <f t="shared" ref="T152" si="901">(($B$131*COS(N152))/($B$130*COS(O152)))*(((2*$B$130*COS(O152))^2)/(($B$131*COS(O152)+$B$130*COS(N152))^2))</f>
        <v>6.2917581312650117E-16</v>
      </c>
      <c r="U152" s="112">
        <f t="shared" ref="U152" si="902">(($B$131*COS(O152)-$B$130*COS(N152))^2)/(($B$131*COS(O152)+$B$130*COS(N152))^2)</f>
        <v>0.99999999999999911</v>
      </c>
      <c r="V152" s="112" t="e">
        <f t="shared" ref="V152" si="903">1/(2*D152)*($B$15+$B$15)+(E152+E153)/(2*D152^2)*$B$16</f>
        <v>#DIV/0!</v>
      </c>
      <c r="W152" s="112">
        <f t="shared" ref="W152" si="904">(1/(2*F152))*($B$15+$B$15)+(G152+G153)/(2*F152^2)*$B$16</f>
        <v>7.198724007561437E-2</v>
      </c>
      <c r="X152" s="113" t="e">
        <f t="shared" ref="X152" si="905">H152/R146+I152</f>
        <v>#DIV/0!</v>
      </c>
      <c r="Y152" s="112"/>
      <c r="Z152" s="111" t="e">
        <f t="shared" ref="Z152" si="906">X152/$Y$8</f>
        <v>#DIV/0!</v>
      </c>
      <c r="AA152" s="111" t="e">
        <f t="shared" ref="AA152" si="907">(1/$Y$8)*V152+(1/$Y$8)*W152+(X152)/($Y$8^2)*(1/$H$170*($B$17+$B$17)+ABS($G$170+$G$171)/($H$170^2)*$B$18)</f>
        <v>#DIV/0!</v>
      </c>
      <c r="AB152" s="107" t="e">
        <f t="shared" si="751"/>
        <v>#DIV/0!</v>
      </c>
      <c r="AC152" s="107">
        <f>Q152-M152</f>
        <v>0.21560711652401809</v>
      </c>
      <c r="AD152" s="112">
        <f>O152-K152</f>
        <v>0.93896252736354058</v>
      </c>
      <c r="AE152" s="95">
        <f>AVERAGE(AC148:AC163)</f>
        <v>0.18119586995666645</v>
      </c>
      <c r="AJ152" s="147"/>
      <c r="AK152" s="2"/>
      <c r="AL152" s="140">
        <v>6.8000000000000005E-2</v>
      </c>
      <c r="AM152" s="11">
        <v>0.184</v>
      </c>
      <c r="AN152" s="83">
        <f>180*$B$130/$B$131*B148/PI()</f>
        <v>0</v>
      </c>
    </row>
    <row r="153" spans="3:40" ht="15.75" thickBot="1">
      <c r="C153" s="124"/>
      <c r="D153" s="126"/>
      <c r="E153" s="34"/>
      <c r="F153" s="128"/>
      <c r="G153" s="34">
        <v>0.21260000000000001</v>
      </c>
      <c r="H153" s="138"/>
      <c r="I153" s="141"/>
      <c r="J153" s="116"/>
      <c r="K153" s="116"/>
      <c r="L153" s="138"/>
      <c r="M153" s="141"/>
      <c r="N153" s="207"/>
      <c r="O153" s="113"/>
      <c r="P153" s="113"/>
      <c r="Q153" s="112"/>
      <c r="R153" s="113"/>
      <c r="S153" s="113"/>
      <c r="T153" s="113"/>
      <c r="U153" s="112"/>
      <c r="V153" s="112"/>
      <c r="W153" s="112"/>
      <c r="X153" s="113"/>
      <c r="Y153" s="112"/>
      <c r="Z153" s="111"/>
      <c r="AA153" s="111"/>
      <c r="AB153" s="107"/>
      <c r="AC153" s="107"/>
      <c r="AD153" s="112"/>
      <c r="AE153" s="95"/>
      <c r="AJ153" s="147"/>
      <c r="AK153" s="2"/>
      <c r="AL153" s="140"/>
      <c r="AM153" s="11">
        <v>0.184</v>
      </c>
      <c r="AN153" s="83"/>
    </row>
    <row r="154" spans="3:40" ht="15.75" thickBot="1">
      <c r="C154" s="124">
        <v>60</v>
      </c>
      <c r="D154" s="126"/>
      <c r="E154" s="34"/>
      <c r="F154" s="128">
        <v>4.36E-2</v>
      </c>
      <c r="G154" s="34">
        <v>0.21479999999999999</v>
      </c>
      <c r="H154" s="138" t="e">
        <f>(AVERAGE(E154:E155)/D154)</f>
        <v>#DIV/0!</v>
      </c>
      <c r="I154" s="141">
        <f>(AVERAGE(G154:G155)/F154)</f>
        <v>4.9254587155963305</v>
      </c>
      <c r="J154" s="115" t="e">
        <f t="shared" ref="J154" si="908">V154/$J$173+((H154*$J$174)/$J$173^2)</f>
        <v>#DIV/0!</v>
      </c>
      <c r="K154" s="115">
        <f t="shared" ref="K154" si="909">W154/$J$173+((I154*$J$174)/$J$173^2)</f>
        <v>2.27267271969262E-2</v>
      </c>
      <c r="L154" s="138" t="e">
        <f>H154/$F$173</f>
        <v>#DIV/0!</v>
      </c>
      <c r="M154" s="141">
        <f t="shared" ref="M154" si="910">I154/$F$173</f>
        <v>0.75926472162903136</v>
      </c>
      <c r="N154" s="207">
        <f t="shared" ref="N154" si="911">PI()/2</f>
        <v>1.5707963267948966</v>
      </c>
      <c r="O154" s="113">
        <f t="shared" ref="O154" si="912">C154*PI()/180</f>
        <v>1.0471975511965976</v>
      </c>
      <c r="P154" s="113">
        <f t="shared" ref="P154" si="913">S154*T154</f>
        <v>6.9537478647893229E-16</v>
      </c>
      <c r="Q154" s="112">
        <f t="shared" ref="Q154" si="914">U154*R154*S154</f>
        <v>0.92822069522244699</v>
      </c>
      <c r="R154" s="113">
        <f t="shared" ref="R154" si="915">($B$131/$B$130)*((2*$B$130/($B$131+$B$130))^2)</f>
        <v>0.96344210787283313</v>
      </c>
      <c r="S154" s="113">
        <f t="shared" ref="S154" si="916">($B$131/$B$130)*((2*$B$130/($B$130+$B$131))^2)</f>
        <v>0.96344210787283313</v>
      </c>
      <c r="T154" s="113">
        <f t="shared" ref="T154" si="917">(($B$131*COS(N154))/($B$130*COS(O154)))*(((2*$B$130*COS(O154))^2)/(($B$131*COS(O154)+$B$130*COS(N154))^2))</f>
        <v>7.2176084146274037E-16</v>
      </c>
      <c r="U154" s="112">
        <f t="shared" ref="U154" si="918">(($B$131*COS(O154)-$B$130*COS(N154))^2)/(($B$131*COS(O154)+$B$130*COS(N154))^2)</f>
        <v>0.99999999999999911</v>
      </c>
      <c r="V154" s="112" t="e">
        <f t="shared" ref="V154" si="919">1/(2*D154)*($B$15+$B$15)+(E154+E155)/(2*D154^2)*$B$16</f>
        <v>#DIV/0!</v>
      </c>
      <c r="W154" s="112">
        <f t="shared" ref="W154" si="920">(1/(2*F154))*($B$15+$B$15)+(G154+G155)/(2*F154^2)*$B$16</f>
        <v>7.9420398114636817E-2</v>
      </c>
      <c r="X154" s="113" t="e">
        <f t="shared" ref="X154" si="921">H154/R148+I154</f>
        <v>#DIV/0!</v>
      </c>
      <c r="Y154" s="112"/>
      <c r="Z154" s="111" t="e">
        <f t="shared" ref="Z154" si="922">X154/$Y$8</f>
        <v>#DIV/0!</v>
      </c>
      <c r="AA154" s="111" t="e">
        <f t="shared" ref="AA154" si="923">(1/$Y$8)*V154+(1/$Y$8)*W154+(X154)/($Y$8^2)*(1/$H$170*($B$17+$B$17)+ABS($G$170+$G$171)/($H$170^2)*$B$18)</f>
        <v>#DIV/0!</v>
      </c>
      <c r="AB154" s="107" t="e">
        <f t="shared" si="751"/>
        <v>#DIV/0!</v>
      </c>
      <c r="AC154" s="107">
        <f>Q154-M154</f>
        <v>0.16895597359341563</v>
      </c>
      <c r="AD154" s="112">
        <f>O154-K154</f>
        <v>1.0244708239996714</v>
      </c>
      <c r="AE154" s="95"/>
      <c r="AJ154" s="147"/>
      <c r="AK154" s="2"/>
      <c r="AL154" s="140">
        <v>6.7000000000000004E-2</v>
      </c>
      <c r="AM154" s="11">
        <v>0.187</v>
      </c>
      <c r="AN154" s="83">
        <f>180*$B$130/$B$131*B150/PI()</f>
        <v>0</v>
      </c>
    </row>
    <row r="155" spans="3:40" ht="15.75" thickBot="1">
      <c r="C155" s="124"/>
      <c r="D155" s="126"/>
      <c r="E155" s="34"/>
      <c r="F155" s="128"/>
      <c r="G155" s="34">
        <v>0.2147</v>
      </c>
      <c r="H155" s="138"/>
      <c r="I155" s="141"/>
      <c r="J155" s="116"/>
      <c r="K155" s="116"/>
      <c r="L155" s="138"/>
      <c r="M155" s="141"/>
      <c r="N155" s="207"/>
      <c r="O155" s="113"/>
      <c r="P155" s="113"/>
      <c r="Q155" s="112"/>
      <c r="R155" s="113"/>
      <c r="S155" s="113"/>
      <c r="T155" s="113"/>
      <c r="U155" s="112"/>
      <c r="V155" s="112"/>
      <c r="W155" s="112"/>
      <c r="X155" s="113"/>
      <c r="Y155" s="112"/>
      <c r="Z155" s="111"/>
      <c r="AA155" s="111"/>
      <c r="AB155" s="107"/>
      <c r="AC155" s="107"/>
      <c r="AD155" s="112"/>
      <c r="AE155" s="95"/>
      <c r="AJ155" s="147"/>
      <c r="AK155" s="2"/>
      <c r="AL155" s="140"/>
      <c r="AM155" s="11">
        <v>0.187</v>
      </c>
      <c r="AN155" s="83"/>
    </row>
    <row r="156" spans="3:40" ht="15.75" thickBot="1">
      <c r="C156" s="124">
        <v>65</v>
      </c>
      <c r="D156" s="126"/>
      <c r="E156" s="34"/>
      <c r="F156" s="128">
        <v>4.3999999999999997E-2</v>
      </c>
      <c r="G156" s="34">
        <v>0.21640000000000001</v>
      </c>
      <c r="H156" s="138" t="e">
        <f>(AVERAGE(E156:E157)/D156)</f>
        <v>#DIV/0!</v>
      </c>
      <c r="I156" s="141">
        <f>(AVERAGE(G156:G157)/F156)</f>
        <v>4.9102272727272736</v>
      </c>
      <c r="J156" s="115" t="e">
        <f t="shared" ref="J156" si="924">V156/$J$173+((H156*$J$174)/$J$173^2)</f>
        <v>#DIV/0!</v>
      </c>
      <c r="K156" s="115">
        <f t="shared" ref="K156" si="925">W156/$J$173+((I156*$J$174)/$J$173^2)</f>
        <v>2.2564423251104589E-2</v>
      </c>
      <c r="L156" s="138" t="e">
        <f>H156/$F$173</f>
        <v>#DIV/0!</v>
      </c>
      <c r="M156" s="141">
        <f t="shared" ref="M156" si="926">I156/$F$173</f>
        <v>0.75691677844287419</v>
      </c>
      <c r="N156" s="207">
        <f t="shared" ref="N156" si="927">PI()/2</f>
        <v>1.5707963267948966</v>
      </c>
      <c r="O156" s="113">
        <f t="shared" ref="O156" si="928">C156*PI()/180</f>
        <v>1.1344640137963142</v>
      </c>
      <c r="P156" s="113">
        <f t="shared" ref="P156" si="929">S156*T156</f>
        <v>8.2269846032539045E-16</v>
      </c>
      <c r="Q156" s="112">
        <f t="shared" ref="Q156" si="930">U156*R156*S156</f>
        <v>0.92822069522244677</v>
      </c>
      <c r="R156" s="113">
        <f t="shared" ref="R156" si="931">($B$131/$B$130)*((2*$B$130/($B$131+$B$130))^2)</f>
        <v>0.96344210787283313</v>
      </c>
      <c r="S156" s="113">
        <f t="shared" ref="S156" si="932">($B$131/$B$130)*((2*$B$130/($B$130+$B$131))^2)</f>
        <v>0.96344210787283313</v>
      </c>
      <c r="T156" s="113">
        <f t="shared" ref="T156" si="933">(($B$131*COS(N156))/($B$130*COS(O156)))*(((2*$B$130*COS(O156))^2)/(($B$131*COS(O156)+$B$130*COS(N156))^2))</f>
        <v>8.5391582286330816E-16</v>
      </c>
      <c r="U156" s="112">
        <f t="shared" ref="U156" si="934">(($B$131*COS(O156)-$B$130*COS(N156))^2)/(($B$131*COS(O156)+$B$130*COS(N156))^2)</f>
        <v>0.99999999999999889</v>
      </c>
      <c r="V156" s="112" t="e">
        <f t="shared" ref="V156" si="935">1/(2*D156)*($B$15+$B$15)+(E156+E157)/(2*D156^2)*$B$16</f>
        <v>#DIV/0!</v>
      </c>
      <c r="W156" s="112">
        <f t="shared" ref="W156" si="936">(1/(2*F156))*($B$15+$B$15)+(G156+G157)/(2*F156^2)*$B$16</f>
        <v>7.8525309917355388E-2</v>
      </c>
      <c r="X156" s="113" t="e">
        <f t="shared" ref="X156" si="937">H156/R150+I156</f>
        <v>#DIV/0!</v>
      </c>
      <c r="Y156" s="112"/>
      <c r="Z156" s="111" t="e">
        <f t="shared" ref="Z156" si="938">X156/$Y$8</f>
        <v>#DIV/0!</v>
      </c>
      <c r="AA156" s="111" t="e">
        <f t="shared" ref="AA156" si="939">(1/$Y$8)*V156+(1/$Y$8)*W156+(X156)/($Y$8^2)*(1/$H$170*($B$17+$B$17)+ABS($G$170+$G$171)/($H$170^2)*$B$18)</f>
        <v>#DIV/0!</v>
      </c>
      <c r="AB156" s="107" t="e">
        <f t="shared" si="751"/>
        <v>#DIV/0!</v>
      </c>
      <c r="AC156" s="107">
        <f>Q156-M156</f>
        <v>0.17130391677957257</v>
      </c>
      <c r="AD156" s="112">
        <f>O156-K156</f>
        <v>1.1118995905452096</v>
      </c>
      <c r="AE156" s="95"/>
      <c r="AJ156" s="147"/>
      <c r="AK156" s="2"/>
      <c r="AL156" s="140">
        <v>6.7000000000000004E-2</v>
      </c>
      <c r="AM156" s="11">
        <v>0.19900000000000001</v>
      </c>
      <c r="AN156" s="83">
        <f>180*$B$130/$B$131*B152/PI()</f>
        <v>0</v>
      </c>
    </row>
    <row r="157" spans="3:40" ht="15.75" thickBot="1">
      <c r="C157" s="124"/>
      <c r="D157" s="126"/>
      <c r="E157" s="34"/>
      <c r="F157" s="128"/>
      <c r="G157" s="34">
        <v>0.2157</v>
      </c>
      <c r="H157" s="138"/>
      <c r="I157" s="141"/>
      <c r="J157" s="116"/>
      <c r="K157" s="116"/>
      <c r="L157" s="138"/>
      <c r="M157" s="141"/>
      <c r="N157" s="207"/>
      <c r="O157" s="113"/>
      <c r="P157" s="113"/>
      <c r="Q157" s="112"/>
      <c r="R157" s="113"/>
      <c r="S157" s="113"/>
      <c r="T157" s="113"/>
      <c r="U157" s="112"/>
      <c r="V157" s="112"/>
      <c r="W157" s="112"/>
      <c r="X157" s="113"/>
      <c r="Y157" s="112"/>
      <c r="Z157" s="111"/>
      <c r="AA157" s="111"/>
      <c r="AB157" s="107"/>
      <c r="AC157" s="107"/>
      <c r="AD157" s="112"/>
      <c r="AE157" s="95"/>
      <c r="AJ157" s="147"/>
      <c r="AK157" s="2"/>
      <c r="AL157" s="140"/>
      <c r="AM157" s="11">
        <v>0.2</v>
      </c>
      <c r="AN157" s="83"/>
    </row>
    <row r="158" spans="3:40" ht="15.75" thickBot="1">
      <c r="C158" s="124">
        <v>70</v>
      </c>
      <c r="D158" s="126"/>
      <c r="E158" s="34"/>
      <c r="F158" s="128">
        <v>4.3700000000000003E-2</v>
      </c>
      <c r="G158" s="34">
        <v>0.2203</v>
      </c>
      <c r="H158" s="138" t="e">
        <f>(AVERAGE(E158:E159)/D158)</f>
        <v>#DIV/0!</v>
      </c>
      <c r="I158" s="141">
        <f>(AVERAGE(G158:G159)/F158)</f>
        <v>5.0446224256292895</v>
      </c>
      <c r="J158" s="115" t="e">
        <f t="shared" ref="J158" si="940">V158/$J$173+((H158*$J$174)/$J$173^2)</f>
        <v>#DIV/0!</v>
      </c>
      <c r="K158" s="115">
        <f t="shared" ref="K158" si="941">W158/$J$173+((I158*$J$174)/$J$173^2)</f>
        <v>2.31717500376321E-2</v>
      </c>
      <c r="L158" s="138" t="e">
        <f>H158/$F$173</f>
        <v>#DIV/0!</v>
      </c>
      <c r="M158" s="141">
        <f t="shared" ref="M158" si="942">I158/$F$173</f>
        <v>0.77763393480301757</v>
      </c>
      <c r="N158" s="207">
        <f t="shared" ref="N158" si="943">PI()/2</f>
        <v>1.5707963267948966</v>
      </c>
      <c r="O158" s="113">
        <f t="shared" ref="O158" si="944">C158*PI()/180</f>
        <v>1.2217304763960306</v>
      </c>
      <c r="P158" s="113">
        <f t="shared" ref="P158" si="945">S158*T158</f>
        <v>1.0165699302347848E-15</v>
      </c>
      <c r="Q158" s="112">
        <f t="shared" ref="Q158" si="946">U158*R158*S158</f>
        <v>0.92822069522244655</v>
      </c>
      <c r="R158" s="113">
        <f t="shared" ref="R158" si="947">($B$131/$B$130)*((2*$B$130/($B$131+$B$130))^2)</f>
        <v>0.96344210787283313</v>
      </c>
      <c r="S158" s="113">
        <f t="shared" ref="S158" si="948">($B$131/$B$130)*((2*$B$130/($B$130+$B$131))^2)</f>
        <v>0.96344210787283313</v>
      </c>
      <c r="T158" s="113">
        <f t="shared" ref="T158" si="949">(($B$131*COS(N158))/($B$130*COS(O158)))*(((2*$B$130*COS(O158))^2)/(($B$131*COS(O158)+$B$130*COS(N158))^2))</f>
        <v>1.0551437620670863E-15</v>
      </c>
      <c r="U158" s="112">
        <f t="shared" ref="U158" si="950">(($B$131*COS(O158)-$B$130*COS(N158))^2)/(($B$131*COS(O158)+$B$130*COS(N158))^2)</f>
        <v>0.99999999999999867</v>
      </c>
      <c r="V158" s="112" t="e">
        <f t="shared" ref="V158" si="951">1/(2*D158)*($B$15+$B$15)+(E158+E159)/(2*D158^2)*$B$16</f>
        <v>#DIV/0!</v>
      </c>
      <c r="W158" s="112">
        <f t="shared" ref="W158" si="952">(1/(2*F158))*($B$15+$B$15)+(G158+G159)/(2*F158^2)*$B$16</f>
        <v>8.0602087249763033E-2</v>
      </c>
      <c r="X158" s="113" t="e">
        <f>H158/R152+I158</f>
        <v>#DIV/0!</v>
      </c>
      <c r="Y158" s="112"/>
      <c r="Z158" s="111" t="e">
        <f t="shared" ref="Z158" si="953">X158/$Y$8</f>
        <v>#DIV/0!</v>
      </c>
      <c r="AA158" s="111" t="e">
        <f t="shared" ref="AA158" si="954">(1/$Y$8)*V158+(1/$Y$8)*W158+(X158)/($Y$8^2)*(1/$H$170*($B$17+$B$17)+ABS($G$170+$G$171)/($H$170^2)*$B$18)</f>
        <v>#DIV/0!</v>
      </c>
      <c r="AB158" s="107" t="e">
        <f t="shared" si="751"/>
        <v>#DIV/0!</v>
      </c>
      <c r="AC158" s="107">
        <f>Q158-M158</f>
        <v>0.15058676041942898</v>
      </c>
      <c r="AD158" s="112">
        <f>O158-K158</f>
        <v>1.1985587263583986</v>
      </c>
      <c r="AE158" s="95"/>
      <c r="AJ158" s="147"/>
      <c r="AK158" s="2"/>
      <c r="AL158" s="140">
        <v>6.6000000000000003E-2</v>
      </c>
      <c r="AM158" s="11">
        <v>0.19500000000000001</v>
      </c>
      <c r="AN158" s="83">
        <f>180*$B$130/$B$131*B154/PI()</f>
        <v>0</v>
      </c>
    </row>
    <row r="159" spans="3:40" ht="15.75" thickBot="1">
      <c r="C159" s="124"/>
      <c r="D159" s="126"/>
      <c r="E159" s="34"/>
      <c r="F159" s="128"/>
      <c r="G159" s="34">
        <v>0.22059999999999999</v>
      </c>
      <c r="H159" s="138"/>
      <c r="I159" s="141"/>
      <c r="J159" s="116"/>
      <c r="K159" s="116"/>
      <c r="L159" s="138"/>
      <c r="M159" s="141"/>
      <c r="N159" s="207"/>
      <c r="O159" s="113"/>
      <c r="P159" s="113"/>
      <c r="Q159" s="112"/>
      <c r="R159" s="113"/>
      <c r="S159" s="113"/>
      <c r="T159" s="113"/>
      <c r="U159" s="112"/>
      <c r="V159" s="112"/>
      <c r="W159" s="112"/>
      <c r="X159" s="113"/>
      <c r="Y159" s="112"/>
      <c r="Z159" s="111"/>
      <c r="AA159" s="111"/>
      <c r="AB159" s="107"/>
      <c r="AC159" s="107"/>
      <c r="AD159" s="112"/>
      <c r="AE159" s="95"/>
      <c r="AJ159" s="147"/>
      <c r="AK159" s="2"/>
      <c r="AL159" s="140"/>
      <c r="AM159" s="11">
        <v>0.19500000000000001</v>
      </c>
      <c r="AN159" s="83"/>
    </row>
    <row r="160" spans="3:40" ht="15.75" thickBot="1">
      <c r="C160" s="124">
        <v>75</v>
      </c>
      <c r="D160" s="126"/>
      <c r="E160" s="34"/>
      <c r="F160" s="128">
        <v>4.2700000000000002E-2</v>
      </c>
      <c r="G160" s="34">
        <v>0.21260000000000001</v>
      </c>
      <c r="H160" s="138" t="e">
        <f>(AVERAGE(E160:E161)/D160)</f>
        <v>#DIV/0!</v>
      </c>
      <c r="I160" s="141">
        <f>(AVERAGE(G160:G161)/F160)</f>
        <v>4.9824355971896956</v>
      </c>
      <c r="J160" s="115" t="e">
        <f t="shared" ref="J160" si="955">V160/$J$173+((H160*$J$174)/$J$173^2)</f>
        <v>#DIV/0!</v>
      </c>
      <c r="K160" s="115">
        <f t="shared" ref="K160" si="956">W160/$J$173+((I160*$J$174)/$J$173^2)</f>
        <v>2.3191164371441215E-2</v>
      </c>
      <c r="L160" s="138" t="e">
        <f>H160/$F$173</f>
        <v>#DIV/0!</v>
      </c>
      <c r="M160" s="141">
        <f t="shared" ref="M160" si="957">I160/$F$173</f>
        <v>0.7680477687806182</v>
      </c>
      <c r="N160" s="207">
        <f t="shared" ref="N160" si="958">PI()/2</f>
        <v>1.5707963267948966</v>
      </c>
      <c r="O160" s="113">
        <f t="shared" ref="O160" si="959">C160*PI()/180</f>
        <v>1.3089969389957472</v>
      </c>
      <c r="P160" s="113">
        <f t="shared" ref="P160" si="960">S160*T160</f>
        <v>1.3433609304204943E-15</v>
      </c>
      <c r="Q160" s="112">
        <f t="shared" ref="Q160" si="961">U160*R160*S160</f>
        <v>0.92822069522244632</v>
      </c>
      <c r="R160" s="113">
        <f t="shared" ref="R160" si="962">($B$131/$B$130)*((2*$B$130/($B$131+$B$130))^2)</f>
        <v>0.96344210787283313</v>
      </c>
      <c r="S160" s="113">
        <f t="shared" ref="S160" si="963">($B$131/$B$130)*((2*$B$130/($B$130+$B$131))^2)</f>
        <v>0.96344210787283313</v>
      </c>
      <c r="T160" s="113">
        <f t="shared" ref="T160" si="964">(($B$131*COS(N160))/($B$130*COS(O160)))*(((2*$B$130*COS(O160))^2)/(($B$131*COS(O160)+$B$130*COS(N160))^2))</f>
        <v>1.3943348743459815E-15</v>
      </c>
      <c r="U160" s="112">
        <f t="shared" ref="U160" si="965">(($B$131*COS(O160)-$B$130*COS(N160))^2)/(($B$131*COS(O160)+$B$130*COS(N160))^2)</f>
        <v>0.99999999999999833</v>
      </c>
      <c r="V160" s="112" t="e">
        <f t="shared" ref="V160" si="966">1/(2*D160)*($B$15+$B$15)+(E160+E161)/(2*D160^2)*$B$16</f>
        <v>#DIV/0!</v>
      </c>
      <c r="W160" s="112">
        <f t="shared" ref="W160" si="967">(1/(2*F160))*($B$15+$B$15)+(G160+G161)/(2*F160^2)*$B$16</f>
        <v>8.1761540950699013E-2</v>
      </c>
      <c r="X160" s="113" t="e">
        <f t="shared" ref="X160" si="968">H160/R154+I160</f>
        <v>#DIV/0!</v>
      </c>
      <c r="Y160" s="112"/>
      <c r="Z160" s="111" t="e">
        <f t="shared" ref="Z160" si="969">X160/$Y$8</f>
        <v>#DIV/0!</v>
      </c>
      <c r="AA160" s="111" t="e">
        <f t="shared" ref="AA160" si="970">(1/$Y$8)*V160+(1/$Y$8)*W160+(X160)/($Y$8^2)*(1/$H$170*($B$17+$B$17)+ABS($G$170+$G$171)/($H$170^2)*$B$18)</f>
        <v>#DIV/0!</v>
      </c>
      <c r="AB160" s="107" t="e">
        <f t="shared" si="751"/>
        <v>#DIV/0!</v>
      </c>
      <c r="AC160" s="107">
        <f>Q160-M160</f>
        <v>0.16017292644182812</v>
      </c>
      <c r="AD160" s="112">
        <f>O160-K160</f>
        <v>1.2858057746243059</v>
      </c>
      <c r="AE160" s="95"/>
      <c r="AJ160" s="147"/>
      <c r="AK160" s="2"/>
      <c r="AL160" s="140">
        <v>6.6000000000000003E-2</v>
      </c>
      <c r="AM160" s="11">
        <v>0.19600000000000001</v>
      </c>
      <c r="AN160" s="83"/>
    </row>
    <row r="161" spans="1:40" ht="15.75" thickBot="1">
      <c r="C161" s="124"/>
      <c r="D161" s="126"/>
      <c r="E161" s="34"/>
      <c r="F161" s="128"/>
      <c r="G161" s="34">
        <v>0.21290000000000001</v>
      </c>
      <c r="H161" s="138"/>
      <c r="I161" s="141"/>
      <c r="J161" s="116"/>
      <c r="K161" s="116"/>
      <c r="L161" s="138"/>
      <c r="M161" s="141"/>
      <c r="N161" s="207"/>
      <c r="O161" s="113"/>
      <c r="P161" s="113"/>
      <c r="Q161" s="112"/>
      <c r="R161" s="113"/>
      <c r="S161" s="113"/>
      <c r="T161" s="113"/>
      <c r="U161" s="112"/>
      <c r="V161" s="112"/>
      <c r="W161" s="112"/>
      <c r="X161" s="113"/>
      <c r="Y161" s="112"/>
      <c r="Z161" s="111"/>
      <c r="AA161" s="111"/>
      <c r="AB161" s="107"/>
      <c r="AC161" s="107"/>
      <c r="AD161" s="112"/>
      <c r="AE161" s="95"/>
      <c r="AJ161" s="148"/>
      <c r="AK161" s="29"/>
      <c r="AL161" s="149"/>
      <c r="AM161" s="22">
        <v>0.19500000000000001</v>
      </c>
      <c r="AN161" s="83"/>
    </row>
    <row r="162" spans="1:40" ht="15.75" thickBot="1">
      <c r="C162" s="124">
        <v>80</v>
      </c>
      <c r="D162" s="126"/>
      <c r="E162" s="34"/>
      <c r="F162" s="128">
        <v>4.2299999999999997E-2</v>
      </c>
      <c r="G162" s="34">
        <v>0.21529999999999999</v>
      </c>
      <c r="H162" s="138" t="e">
        <f>(AVERAGE(E162:E163)/D162)</f>
        <v>#DIV/0!</v>
      </c>
      <c r="I162" s="141">
        <f>(AVERAGE(G162:G163)/F162)</f>
        <v>5.0886524822695041</v>
      </c>
      <c r="J162" s="115" t="e">
        <f t="shared" ref="J162" si="971">V162/$J$173+((H162*$J$174)/$J$173^2)</f>
        <v>#DIV/0!</v>
      </c>
      <c r="K162" s="115">
        <f t="shared" ref="K162" si="972">W162/$J$173+((I162*$J$174)/$J$173^2)</f>
        <v>2.3726034471807794E-2</v>
      </c>
      <c r="L162" s="192" t="e">
        <f>H162/$F$173</f>
        <v>#DIV/0!</v>
      </c>
      <c r="M162" s="141">
        <f t="shared" ref="M162" si="973">I162/$F$173</f>
        <v>0.78442121506026274</v>
      </c>
      <c r="N162" s="207">
        <f t="shared" ref="N162" si="974">PI()/2</f>
        <v>1.5707963267948966</v>
      </c>
      <c r="O162" s="113">
        <f t="shared" ref="O162" si="975">C162*PI()/180</f>
        <v>1.3962634015954636</v>
      </c>
      <c r="P162" s="113">
        <f t="shared" ref="P162" si="976">S162*T162</f>
        <v>2.0022518975485901E-15</v>
      </c>
      <c r="Q162" s="112">
        <f t="shared" ref="Q162" si="977">U162*R162*S162</f>
        <v>0.9282206952224461</v>
      </c>
      <c r="R162" s="113">
        <f t="shared" ref="R162" si="978">($B$131/$B$130)*((2*$B$130/($B$131+$B$130))^2)</f>
        <v>0.96344210787283313</v>
      </c>
      <c r="S162" s="113">
        <f t="shared" ref="S162" si="979">($B$131/$B$130)*((2*$B$130/($B$130+$B$131))^2)</f>
        <v>0.96344210787283313</v>
      </c>
      <c r="T162" s="113">
        <f t="shared" ref="T162" si="980">(($B$131*COS(N162))/($B$130*COS(O162)))*(((2*$B$130*COS(O162))^2)/(($B$131*COS(O162)+$B$130*COS(N162))^2))</f>
        <v>2.0782275148522695E-15</v>
      </c>
      <c r="U162" s="112">
        <f t="shared" ref="U162" si="981">(($B$131*COS(O162)-$B$130*COS(N162))^2)/(($B$131*COS(O162)+$B$130*COS(N162))^2)</f>
        <v>0.99999999999999811</v>
      </c>
      <c r="V162" s="112" t="e">
        <f t="shared" ref="V162" si="982">1/(2*D162)*($B$15+$B$15)+(E162+E163)/(2*D162^2)*$B$16</f>
        <v>#DIV/0!</v>
      </c>
      <c r="W162" s="112">
        <f t="shared" ref="W162" si="983">(1/(2*F162))*($B$15+$B$15)+(G162+G163)/(2*F162^2)*$B$16</f>
        <v>8.3790218466542596E-2</v>
      </c>
      <c r="X162" s="113" t="e">
        <f t="shared" ref="X162:X164" si="984">H162/R156+I162</f>
        <v>#DIV/0!</v>
      </c>
      <c r="Y162" s="112"/>
      <c r="Z162" s="111" t="e">
        <f t="shared" ref="Z162:Z164" si="985">X162/$Y$8</f>
        <v>#DIV/0!</v>
      </c>
      <c r="AA162" s="111" t="e">
        <f t="shared" ref="AA162" si="986">(1/$Y$8)*V162+(1/$Y$8)*W162+(X162)/($Y$8^2)*(1/$H$170*($B$17+$B$17)+ABS($G$170+$G$171)/($H$170^2)*$B$18)</f>
        <v>#DIV/0!</v>
      </c>
      <c r="AB162" s="107" t="e">
        <f t="shared" si="751"/>
        <v>#DIV/0!</v>
      </c>
      <c r="AC162" s="107">
        <f>Q162-M162</f>
        <v>0.14379948016218336</v>
      </c>
      <c r="AD162" s="112">
        <f>O162-K162</f>
        <v>1.3725373671236558</v>
      </c>
      <c r="AE162" s="95"/>
      <c r="AN162" s="83"/>
    </row>
    <row r="163" spans="1:40" ht="15.75" thickBot="1">
      <c r="C163" s="197"/>
      <c r="D163" s="126"/>
      <c r="E163" s="34"/>
      <c r="F163" s="128"/>
      <c r="G163" s="34">
        <v>0.2152</v>
      </c>
      <c r="H163" s="138"/>
      <c r="I163" s="141"/>
      <c r="J163" s="116"/>
      <c r="K163" s="116"/>
      <c r="L163" s="200"/>
      <c r="M163" s="141"/>
      <c r="N163" s="207"/>
      <c r="O163" s="113"/>
      <c r="P163" s="113"/>
      <c r="Q163" s="112"/>
      <c r="R163" s="113"/>
      <c r="S163" s="113"/>
      <c r="T163" s="113"/>
      <c r="U163" s="112"/>
      <c r="V163" s="112"/>
      <c r="W163" s="112"/>
      <c r="X163" s="113"/>
      <c r="Y163" s="112"/>
      <c r="Z163" s="111"/>
      <c r="AA163" s="111"/>
      <c r="AB163" s="107"/>
      <c r="AC163" s="107"/>
      <c r="AD163" s="112"/>
      <c r="AE163" s="95"/>
      <c r="AN163" s="83"/>
    </row>
    <row r="164" spans="1:40">
      <c r="C164" s="201">
        <v>85</v>
      </c>
      <c r="D164" s="126"/>
      <c r="E164" s="34"/>
      <c r="F164" s="128">
        <v>4.24E-2</v>
      </c>
      <c r="G164" s="34">
        <v>0.19420000000000001</v>
      </c>
      <c r="H164" s="138" t="e">
        <f>(AVERAGE(E164:E165)/D164)</f>
        <v>#DIV/0!</v>
      </c>
      <c r="I164" s="141">
        <f>(AVERAGE(G164:G165)/F164)</f>
        <v>4.5589622641509431</v>
      </c>
      <c r="J164" s="115" t="e">
        <f t="shared" ref="J164" si="987">V164/$J$173+((H164*$J$174)/$J$173^2)</f>
        <v>#DIV/0!</v>
      </c>
      <c r="K164" s="115">
        <f t="shared" ref="K164" si="988">W164/$J$173+((I164*$J$174)/$J$173^2)</f>
        <v>2.1579090892084679E-2</v>
      </c>
      <c r="L164" s="192" t="e">
        <f>H164/$F$173</f>
        <v>#DIV/0!</v>
      </c>
      <c r="M164" s="141">
        <f t="shared" ref="M164" si="989">I164/$F$173</f>
        <v>0.7027689022034046</v>
      </c>
      <c r="N164" s="207">
        <f t="shared" ref="N164" si="990">PI()/2</f>
        <v>1.5707963267948966</v>
      </c>
      <c r="O164" s="113">
        <f t="shared" ref="O164" si="991">C164*PI()/180</f>
        <v>1.4835298641951802</v>
      </c>
      <c r="P164" s="113">
        <f t="shared" ref="P164" si="992">S164*T164</f>
        <v>3.9892654491640822E-15</v>
      </c>
      <c r="Q164" s="112">
        <f t="shared" ref="Q164" si="993">U164*R164*S164</f>
        <v>0.92822069522244366</v>
      </c>
      <c r="R164" s="113">
        <f t="shared" ref="R164" si="994">($B$131/$B$130)*((2*$B$130/($B$131+$B$130))^2)</f>
        <v>0.96344210787283313</v>
      </c>
      <c r="S164" s="113">
        <f t="shared" ref="S164" si="995">($B$131/$B$130)*((2*$B$130/($B$130+$B$131))^2)</f>
        <v>0.96344210787283313</v>
      </c>
      <c r="T164" s="113">
        <f t="shared" ref="T164" si="996">(($B$131*COS(N164))/($B$130*COS(O164)))*(((2*$B$130*COS(O164))^2)/(($B$131*COS(O164)+$B$130*COS(N164))^2))</f>
        <v>4.1406384634484278E-15</v>
      </c>
      <c r="U164" s="112">
        <f t="shared" ref="U164" si="997">(($B$131*COS(O164)-$B$130*COS(N164))^2)/(($B$131*COS(O164)+$B$130*COS(N164))^2)</f>
        <v>0.99999999999999556</v>
      </c>
      <c r="V164" s="112" t="e">
        <f t="shared" ref="V164" si="998">1/(2*D164)*($B$15+$B$15)+(E164+E165)/(2*D164^2)*$B$16</f>
        <v>#DIV/0!</v>
      </c>
      <c r="W164" s="112">
        <f t="shared" ref="W164" si="999">(1/(2*F164))*($B$15+$B$15)+(G164+G165)/(2*F164^2)*$B$16</f>
        <v>7.7346253114987551E-2</v>
      </c>
      <c r="X164" s="113" t="e">
        <f t="shared" si="984"/>
        <v>#DIV/0!</v>
      </c>
      <c r="Y164" s="112"/>
      <c r="Z164" s="111" t="e">
        <f t="shared" si="985"/>
        <v>#DIV/0!</v>
      </c>
      <c r="AA164" s="111" t="e">
        <f t="shared" ref="AA164" si="1000">(1/$Y$8)*V164+(1/$Y$8)*W164+(X164)/($Y$8^2)*(1/$H$170*($B$17+$B$17)+ABS($G$170+$G$171)/($H$170^2)*$B$18)</f>
        <v>#DIV/0!</v>
      </c>
      <c r="AB164" s="107" t="e">
        <f t="shared" si="751"/>
        <v>#DIV/0!</v>
      </c>
      <c r="AC164" s="107">
        <f>MAX(AC136:AC163)</f>
        <v>0.22888396908404252</v>
      </c>
      <c r="AD164" s="107" t="e">
        <f>MAX(AD136:AD163)</f>
        <v>#DIV/0!</v>
      </c>
      <c r="AE164" s="96" t="s">
        <v>80</v>
      </c>
      <c r="AN164" s="87"/>
    </row>
    <row r="165" spans="1:40" ht="15.75" thickBot="1">
      <c r="C165" s="202"/>
      <c r="D165" s="203"/>
      <c r="E165" s="35"/>
      <c r="F165" s="199"/>
      <c r="G165" s="35">
        <v>0.19239999999999999</v>
      </c>
      <c r="H165" s="138"/>
      <c r="I165" s="141"/>
      <c r="J165" s="116"/>
      <c r="K165" s="116"/>
      <c r="L165" s="200"/>
      <c r="M165" s="141"/>
      <c r="N165" s="207"/>
      <c r="O165" s="113"/>
      <c r="P165" s="113"/>
      <c r="Q165" s="112"/>
      <c r="R165" s="113"/>
      <c r="S165" s="113"/>
      <c r="T165" s="113"/>
      <c r="U165" s="112"/>
      <c r="V165" s="112"/>
      <c r="W165" s="112"/>
      <c r="X165" s="113"/>
      <c r="Y165" s="112"/>
      <c r="Z165" s="111"/>
      <c r="AA165" s="111"/>
      <c r="AB165" s="107"/>
      <c r="AC165" s="107"/>
      <c r="AD165" s="107"/>
      <c r="AE165" s="96"/>
      <c r="AN165" s="89"/>
    </row>
    <row r="166" spans="1:40" ht="15.75" thickBot="1">
      <c r="C166" s="59"/>
      <c r="D166" s="64"/>
      <c r="F166" s="59"/>
      <c r="G166" s="65"/>
      <c r="H166" s="60"/>
      <c r="I166" s="60"/>
      <c r="K166" s="59"/>
      <c r="L166" s="60"/>
      <c r="M166" s="60"/>
    </row>
    <row r="167" spans="1:40" ht="15.75" thickBot="1">
      <c r="D167" t="s">
        <v>32</v>
      </c>
      <c r="V167" s="142"/>
      <c r="W167" s="129"/>
      <c r="Z167" s="142"/>
      <c r="AA167" s="129"/>
    </row>
    <row r="168" spans="1:40" ht="15.75" thickBot="1">
      <c r="C168" s="142" t="s">
        <v>11</v>
      </c>
      <c r="D168" s="129"/>
      <c r="E168" s="142" t="s">
        <v>11</v>
      </c>
      <c r="F168" s="129"/>
      <c r="G168" s="142" t="s">
        <v>33</v>
      </c>
      <c r="H168" s="129"/>
      <c r="I168" s="142" t="s">
        <v>33</v>
      </c>
      <c r="J168" s="129"/>
      <c r="V168" s="10"/>
      <c r="W168" s="11"/>
      <c r="Z168" s="10"/>
      <c r="AA168" s="11"/>
    </row>
    <row r="169" spans="1:40" ht="15.75" thickBot="1">
      <c r="C169" s="10"/>
      <c r="D169" s="11"/>
      <c r="E169" s="10"/>
      <c r="F169" s="11"/>
      <c r="G169" s="10" t="s">
        <v>45</v>
      </c>
      <c r="H169" s="11"/>
      <c r="I169" s="10" t="s">
        <v>46</v>
      </c>
      <c r="J169" s="11"/>
      <c r="V169" s="46"/>
      <c r="W169" s="47"/>
      <c r="Z169" s="50"/>
      <c r="AA169" s="51"/>
    </row>
    <row r="170" spans="1:40" ht="15.75" thickBot="1">
      <c r="C170" s="50">
        <v>0.22689999999999999</v>
      </c>
      <c r="D170" s="51">
        <v>3.5000000000000003E-2</v>
      </c>
      <c r="E170" s="50">
        <v>0.22689999999999999</v>
      </c>
      <c r="F170" s="51">
        <v>3.5000000000000003E-2</v>
      </c>
      <c r="G170" s="46">
        <v>0.21</v>
      </c>
      <c r="H170" s="47">
        <v>2.9100000000000001E-2</v>
      </c>
      <c r="I170" s="46">
        <v>0.20799999999999999</v>
      </c>
      <c r="J170" s="47">
        <v>2.9399999999999999E-2</v>
      </c>
      <c r="V170" s="48"/>
      <c r="W170" s="49"/>
      <c r="Z170" s="52"/>
      <c r="AA170" s="53"/>
    </row>
    <row r="171" spans="1:40" ht="15.75" thickBot="1">
      <c r="C171" s="52">
        <v>0.22720000000000001</v>
      </c>
      <c r="D171" s="53"/>
      <c r="E171" s="52">
        <v>0.22720000000000001</v>
      </c>
      <c r="F171" s="53"/>
      <c r="G171" s="48">
        <v>0.21</v>
      </c>
      <c r="H171" s="61"/>
      <c r="I171" s="48">
        <v>0.20699999999999999</v>
      </c>
      <c r="J171" s="55"/>
      <c r="V171" s="10"/>
      <c r="W171" s="11"/>
      <c r="Z171" s="10"/>
      <c r="AA171" s="11"/>
    </row>
    <row r="172" spans="1:40" ht="15.75" thickBot="1">
      <c r="C172" s="10"/>
      <c r="D172" s="11"/>
      <c r="E172" s="10"/>
      <c r="F172" s="11"/>
      <c r="G172" s="10"/>
      <c r="H172" s="11"/>
      <c r="I172" s="10"/>
      <c r="J172" s="11"/>
      <c r="V172" s="45"/>
      <c r="W172" s="22"/>
      <c r="Z172" s="20"/>
      <c r="AA172" s="21"/>
    </row>
    <row r="173" spans="1:40" ht="15.75" thickBot="1">
      <c r="C173" s="45" t="s">
        <v>10</v>
      </c>
      <c r="D173" s="22">
        <f>AVERAGE(C170:C171)/D170</f>
        <v>6.4871428571428567</v>
      </c>
      <c r="E173" s="45" t="s">
        <v>10</v>
      </c>
      <c r="F173" s="22">
        <f>AVERAGE(E170:E171)/F170</f>
        <v>6.4871428571428567</v>
      </c>
      <c r="G173" s="20" t="s">
        <v>10</v>
      </c>
      <c r="H173" s="21">
        <f>AVERAGE(G170:G171)/H170</f>
        <v>7.216494845360824</v>
      </c>
      <c r="I173" s="20" t="s">
        <v>10</v>
      </c>
      <c r="J173" s="21">
        <f>AVERAGE(I170:I171)/J170</f>
        <v>7.0578231292517009</v>
      </c>
    </row>
    <row r="174" spans="1:40">
      <c r="H174">
        <f>1/(2*$H$170)*(0.001+0.001)+ABS($G$170+$G$171)/(2*$H$170^2)*0.0001</f>
        <v>5.9163212527013148E-2</v>
      </c>
      <c r="J174">
        <f>1/($J$170)*(0.001+0.001)+ABS($I$170+$I$171)/($J$170^2)*0.0001</f>
        <v>0.11603961312416122</v>
      </c>
    </row>
    <row r="175" spans="1:40" ht="15.75" thickBot="1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</row>
    <row r="176" spans="1:40" ht="15.75" thickBot="1"/>
    <row r="177" spans="3:17" ht="15.75" thickBot="1">
      <c r="C177" s="142" t="s">
        <v>47</v>
      </c>
      <c r="D177" s="143"/>
      <c r="E177" s="143"/>
      <c r="F177" s="143"/>
      <c r="G177" s="143"/>
      <c r="H177" s="143"/>
      <c r="I177" s="129"/>
      <c r="K177" s="121" t="s">
        <v>35</v>
      </c>
      <c r="L177" s="121"/>
      <c r="M177" s="121"/>
      <c r="N177" s="121"/>
      <c r="O177" s="121"/>
      <c r="P177" s="121"/>
      <c r="Q177" s="121"/>
    </row>
    <row r="179" spans="3:17" ht="15.75" thickBot="1"/>
    <row r="180" spans="3:17" ht="15.75" thickBot="1">
      <c r="C180" s="144" t="s">
        <v>41</v>
      </c>
      <c r="D180" s="145"/>
      <c r="E180" s="145"/>
      <c r="F180" s="145"/>
      <c r="G180" s="145"/>
      <c r="H180" s="145"/>
      <c r="I180" s="146"/>
    </row>
    <row r="181" spans="3:17" ht="15.75" thickBot="1">
      <c r="C181" s="10"/>
      <c r="D181" s="3"/>
      <c r="E181" s="3"/>
      <c r="F181" s="3"/>
      <c r="G181" s="3"/>
      <c r="H181" s="3" t="s">
        <v>102</v>
      </c>
      <c r="I181" s="11">
        <v>1111111</v>
      </c>
      <c r="J181">
        <v>56.766666665999999</v>
      </c>
      <c r="L181" s="121" t="s">
        <v>42</v>
      </c>
      <c r="M181" s="121"/>
      <c r="N181" s="121"/>
      <c r="O181" s="121"/>
      <c r="P181" s="121"/>
      <c r="Q181" s="121"/>
    </row>
    <row r="182" spans="3:17">
      <c r="C182" s="10" t="s">
        <v>36</v>
      </c>
      <c r="D182" s="3"/>
      <c r="E182" s="3"/>
      <c r="F182" s="14" t="s">
        <v>38</v>
      </c>
      <c r="G182" s="8">
        <v>56.766666665999999</v>
      </c>
      <c r="H182" s="8" t="s">
        <v>39</v>
      </c>
      <c r="I182" s="9" t="s">
        <v>103</v>
      </c>
      <c r="L182" s="121"/>
      <c r="M182" s="121"/>
      <c r="N182" s="121"/>
      <c r="O182" s="121"/>
      <c r="P182" s="121"/>
      <c r="Q182" s="121"/>
    </row>
    <row r="183" spans="3:17" ht="15.75" thickBot="1">
      <c r="C183" s="45"/>
      <c r="D183" s="13"/>
      <c r="E183" s="13"/>
      <c r="F183" s="45" t="s">
        <v>37</v>
      </c>
      <c r="G183" s="13">
        <f>TAN(G182*(PI()/180))</f>
        <v>1.5262215185120676</v>
      </c>
      <c r="H183" s="13"/>
      <c r="I183" s="22">
        <f>(1/(1+(G182*PI()/180)^2))*I181</f>
        <v>560709.6105230411</v>
      </c>
    </row>
    <row r="184" spans="3:17" ht="15.75" thickBot="1"/>
    <row r="185" spans="3:17" ht="15.75" thickBot="1">
      <c r="C185" s="144" t="s">
        <v>40</v>
      </c>
      <c r="D185" s="145"/>
      <c r="E185" s="145"/>
      <c r="F185" s="145"/>
      <c r="G185" s="145"/>
      <c r="H185" s="145"/>
      <c r="I185" s="146"/>
    </row>
    <row r="186" spans="3:17" ht="15.75" thickBot="1">
      <c r="C186" s="10"/>
      <c r="D186" s="3"/>
      <c r="E186" s="3"/>
      <c r="F186" s="3"/>
      <c r="G186" s="3"/>
      <c r="H186" s="3" t="s">
        <v>102</v>
      </c>
      <c r="I186" s="11">
        <v>1111111</v>
      </c>
      <c r="M186" t="s">
        <v>43</v>
      </c>
    </row>
    <row r="187" spans="3:17">
      <c r="C187" s="10" t="s">
        <v>36</v>
      </c>
      <c r="D187" s="3"/>
      <c r="E187" s="3"/>
      <c r="F187" s="14" t="s">
        <v>38</v>
      </c>
      <c r="G187">
        <v>34.200000000000003</v>
      </c>
      <c r="H187" s="8" t="s">
        <v>39</v>
      </c>
      <c r="I187" s="9" t="s">
        <v>103</v>
      </c>
      <c r="J187">
        <v>34.200000000000003</v>
      </c>
    </row>
    <row r="188" spans="3:17" ht="15.75" thickBot="1">
      <c r="C188" s="45"/>
      <c r="D188" s="13"/>
      <c r="E188" s="13"/>
      <c r="F188" s="45" t="s">
        <v>37</v>
      </c>
      <c r="G188" s="13">
        <f>1/(TAN(G187*(PI()/180)))</f>
        <v>1.4714553158199688</v>
      </c>
      <c r="H188" s="13"/>
      <c r="I188" s="22">
        <f>(1/(1+(G187*PI()/180)^2))*I186</f>
        <v>819226.54640370409</v>
      </c>
    </row>
    <row r="189" spans="3:17">
      <c r="F189" t="s">
        <v>73</v>
      </c>
      <c r="H189">
        <f>(G183+G188)/2</f>
        <v>1.4988384171660183</v>
      </c>
    </row>
    <row r="192" spans="3:17">
      <c r="F192">
        <v>1</v>
      </c>
      <c r="G192">
        <v>60</v>
      </c>
    </row>
    <row r="193" spans="3:11">
      <c r="E193" t="s">
        <v>49</v>
      </c>
      <c r="F193">
        <f>G193/G192</f>
        <v>0.76666666666666672</v>
      </c>
      <c r="G193">
        <v>46</v>
      </c>
    </row>
    <row r="194" spans="3:11" ht="15.75" thickBot="1">
      <c r="E194" t="s">
        <v>50</v>
      </c>
      <c r="F194">
        <f>G194/G192</f>
        <v>0.2</v>
      </c>
      <c r="G194">
        <v>12</v>
      </c>
    </row>
    <row r="195" spans="3:11">
      <c r="C195" s="119" t="s">
        <v>99</v>
      </c>
      <c r="D195" s="120"/>
      <c r="E195" s="120"/>
      <c r="F195" s="120"/>
      <c r="G195" s="120"/>
      <c r="H195" s="120"/>
      <c r="I195" s="212"/>
    </row>
    <row r="196" spans="3:11" ht="15.75" thickBot="1">
      <c r="C196" s="213"/>
      <c r="D196" s="214"/>
      <c r="E196" s="214"/>
      <c r="F196" s="214"/>
      <c r="G196" s="214"/>
      <c r="H196" s="214"/>
      <c r="I196" s="215"/>
    </row>
    <row r="197" spans="3:11">
      <c r="C197" s="216" t="s">
        <v>100</v>
      </c>
      <c r="D197" s="192"/>
      <c r="E197" s="137" t="s">
        <v>101</v>
      </c>
      <c r="F197" s="192"/>
      <c r="G197" s="137" t="s">
        <v>103</v>
      </c>
      <c r="H197" s="220"/>
      <c r="I197" s="221"/>
      <c r="J197" s="119" t="s">
        <v>104</v>
      </c>
      <c r="K197" s="212"/>
    </row>
    <row r="198" spans="3:11">
      <c r="C198" s="217">
        <f>42+42/60</f>
        <v>42.7</v>
      </c>
      <c r="D198" s="200"/>
      <c r="E198" s="198">
        <f>B131/SIN(C198*PI()/180)</f>
        <v>1.4750086807648073</v>
      </c>
      <c r="F198" s="200"/>
      <c r="G198" s="198">
        <f>J198*B131/(SQRT(1+(C198*PI()/180)^2))</f>
        <v>89.02821038389277</v>
      </c>
      <c r="H198" s="222"/>
      <c r="I198" s="223"/>
      <c r="J198" s="113">
        <v>111</v>
      </c>
      <c r="K198" s="139"/>
    </row>
    <row r="199" spans="3:11" ht="15.75" thickBot="1">
      <c r="C199" s="184"/>
      <c r="D199" s="218"/>
      <c r="E199" s="219"/>
      <c r="F199" s="218"/>
      <c r="G199" s="219"/>
      <c r="H199" s="149"/>
      <c r="I199" s="224"/>
      <c r="J199" s="184"/>
      <c r="K199" s="224"/>
    </row>
    <row r="201" spans="3:11" ht="15.75" thickBot="1"/>
    <row r="202" spans="3:11">
      <c r="C202" s="227" t="s">
        <v>105</v>
      </c>
      <c r="D202" s="228"/>
      <c r="E202" s="228"/>
      <c r="F202" s="229"/>
      <c r="G202" s="100"/>
      <c r="H202" s="100"/>
      <c r="I202" s="100"/>
      <c r="J202" s="100"/>
    </row>
    <row r="203" spans="3:11">
      <c r="C203" s="216" t="s">
        <v>105</v>
      </c>
      <c r="D203" s="192"/>
      <c r="E203" s="137" t="s">
        <v>103</v>
      </c>
      <c r="F203" s="221"/>
      <c r="G203" s="100"/>
      <c r="H203" s="100"/>
      <c r="I203" s="100"/>
      <c r="J203" s="3"/>
    </row>
    <row r="204" spans="3:11">
      <c r="C204" s="217">
        <f>(E198+G188)/2</f>
        <v>1.473231998292388</v>
      </c>
      <c r="D204" s="200"/>
      <c r="E204" s="198">
        <f>G198/2+I188/2</f>
        <v>409657.78730704397</v>
      </c>
      <c r="F204" s="223"/>
      <c r="G204" s="100"/>
      <c r="H204" s="100"/>
      <c r="I204" s="100"/>
      <c r="J204" s="3"/>
    </row>
    <row r="205" spans="3:11">
      <c r="C205" s="113"/>
      <c r="D205" s="225"/>
      <c r="E205" s="226"/>
      <c r="F205" s="139"/>
      <c r="G205" s="100"/>
      <c r="H205" s="100"/>
      <c r="I205" s="100"/>
      <c r="J205" s="3"/>
    </row>
    <row r="206" spans="3:11" ht="15.75" thickBot="1">
      <c r="C206" s="184"/>
      <c r="D206" s="218"/>
      <c r="E206" s="219"/>
      <c r="F206" s="224"/>
      <c r="G206" s="100"/>
      <c r="H206" s="100"/>
      <c r="I206" s="100"/>
      <c r="J206" s="3"/>
    </row>
  </sheetData>
  <mergeCells count="1940">
    <mergeCell ref="C195:I196"/>
    <mergeCell ref="C197:D197"/>
    <mergeCell ref="C198:D199"/>
    <mergeCell ref="E197:F197"/>
    <mergeCell ref="E198:F199"/>
    <mergeCell ref="G197:I197"/>
    <mergeCell ref="G198:I199"/>
    <mergeCell ref="J198:K199"/>
    <mergeCell ref="J197:K197"/>
    <mergeCell ref="C203:D203"/>
    <mergeCell ref="C204:D206"/>
    <mergeCell ref="E203:F203"/>
    <mergeCell ref="E204:F206"/>
    <mergeCell ref="C202:F202"/>
    <mergeCell ref="A14:B14"/>
    <mergeCell ref="AA8:AA9"/>
    <mergeCell ref="AA10:AA11"/>
    <mergeCell ref="AA12:AA13"/>
    <mergeCell ref="AA14:AA15"/>
    <mergeCell ref="AA16:AA17"/>
    <mergeCell ref="AA18:AA19"/>
    <mergeCell ref="AA20:AA21"/>
    <mergeCell ref="AA22:AA23"/>
    <mergeCell ref="AA24:AA25"/>
    <mergeCell ref="AA26:AA27"/>
    <mergeCell ref="AA28:AA29"/>
    <mergeCell ref="AA30:AA31"/>
    <mergeCell ref="AA32:AA33"/>
    <mergeCell ref="AA34:AA35"/>
    <mergeCell ref="AA36:AA37"/>
    <mergeCell ref="AA38:AA39"/>
    <mergeCell ref="W20:W21"/>
    <mergeCell ref="W22:W23"/>
    <mergeCell ref="V8:V9"/>
    <mergeCell ref="V10:V11"/>
    <mergeCell ref="V12:V13"/>
    <mergeCell ref="V14:V15"/>
    <mergeCell ref="V16:V17"/>
    <mergeCell ref="V18:V19"/>
    <mergeCell ref="V20:V21"/>
    <mergeCell ref="U14:U15"/>
    <mergeCell ref="U16:U17"/>
    <mergeCell ref="U18:U19"/>
    <mergeCell ref="U20:U21"/>
    <mergeCell ref="U22:U23"/>
    <mergeCell ref="R30:R31"/>
    <mergeCell ref="AB6:AD6"/>
    <mergeCell ref="N164:N165"/>
    <mergeCell ref="O164:O165"/>
    <mergeCell ref="P164:P165"/>
    <mergeCell ref="Q164:Q165"/>
    <mergeCell ref="R164:R165"/>
    <mergeCell ref="S164:S165"/>
    <mergeCell ref="T164:T165"/>
    <mergeCell ref="U164:U165"/>
    <mergeCell ref="T158:T159"/>
    <mergeCell ref="U158:U159"/>
    <mergeCell ref="N152:N153"/>
    <mergeCell ref="O152:O153"/>
    <mergeCell ref="P152:P153"/>
    <mergeCell ref="Q152:Q153"/>
    <mergeCell ref="R152:R153"/>
    <mergeCell ref="S152:S153"/>
    <mergeCell ref="T152:T153"/>
    <mergeCell ref="AJ22:AJ23"/>
    <mergeCell ref="AJ24:AJ25"/>
    <mergeCell ref="N160:N161"/>
    <mergeCell ref="O160:O161"/>
    <mergeCell ref="P160:P161"/>
    <mergeCell ref="Q160:Q161"/>
    <mergeCell ref="R160:R161"/>
    <mergeCell ref="S160:S161"/>
    <mergeCell ref="T160:T161"/>
    <mergeCell ref="U160:U161"/>
    <mergeCell ref="N162:N163"/>
    <mergeCell ref="O162:O163"/>
    <mergeCell ref="P162:P163"/>
    <mergeCell ref="Q162:Q163"/>
    <mergeCell ref="R162:R163"/>
    <mergeCell ref="S162:S163"/>
    <mergeCell ref="T162:T163"/>
    <mergeCell ref="U162:U163"/>
    <mergeCell ref="N156:N157"/>
    <mergeCell ref="O156:O157"/>
    <mergeCell ref="P156:P157"/>
    <mergeCell ref="Q156:Q157"/>
    <mergeCell ref="R156:R157"/>
    <mergeCell ref="S156:S157"/>
    <mergeCell ref="T156:T157"/>
    <mergeCell ref="U156:U157"/>
    <mergeCell ref="N158:N159"/>
    <mergeCell ref="O158:O159"/>
    <mergeCell ref="P158:P159"/>
    <mergeCell ref="Q158:Q159"/>
    <mergeCell ref="R158:R159"/>
    <mergeCell ref="S158:S159"/>
    <mergeCell ref="U152:U153"/>
    <mergeCell ref="N154:N155"/>
    <mergeCell ref="O154:O155"/>
    <mergeCell ref="P154:P155"/>
    <mergeCell ref="Q154:Q155"/>
    <mergeCell ref="R154:R155"/>
    <mergeCell ref="S154:S155"/>
    <mergeCell ref="T154:T155"/>
    <mergeCell ref="U154:U155"/>
    <mergeCell ref="N148:N149"/>
    <mergeCell ref="O148:O149"/>
    <mergeCell ref="P148:P149"/>
    <mergeCell ref="Q148:Q149"/>
    <mergeCell ref="R148:R149"/>
    <mergeCell ref="S148:S149"/>
    <mergeCell ref="T148:T149"/>
    <mergeCell ref="U148:U149"/>
    <mergeCell ref="N150:N151"/>
    <mergeCell ref="O150:O151"/>
    <mergeCell ref="P150:P151"/>
    <mergeCell ref="Q150:Q151"/>
    <mergeCell ref="R150:R151"/>
    <mergeCell ref="S150:S151"/>
    <mergeCell ref="T150:T151"/>
    <mergeCell ref="U150:U151"/>
    <mergeCell ref="N144:N145"/>
    <mergeCell ref="O144:O145"/>
    <mergeCell ref="P144:P145"/>
    <mergeCell ref="Q144:Q145"/>
    <mergeCell ref="R144:R145"/>
    <mergeCell ref="S144:S145"/>
    <mergeCell ref="T144:T145"/>
    <mergeCell ref="U144:U145"/>
    <mergeCell ref="N146:N147"/>
    <mergeCell ref="O146:O147"/>
    <mergeCell ref="P146:P147"/>
    <mergeCell ref="Q146:Q147"/>
    <mergeCell ref="R146:R147"/>
    <mergeCell ref="S146:S147"/>
    <mergeCell ref="T146:T147"/>
    <mergeCell ref="U146:U147"/>
    <mergeCell ref="N140:N141"/>
    <mergeCell ref="O140:O141"/>
    <mergeCell ref="P140:P141"/>
    <mergeCell ref="Q140:Q141"/>
    <mergeCell ref="R140:R141"/>
    <mergeCell ref="S140:S141"/>
    <mergeCell ref="T140:T141"/>
    <mergeCell ref="U140:U141"/>
    <mergeCell ref="N142:N143"/>
    <mergeCell ref="O142:O143"/>
    <mergeCell ref="P142:P143"/>
    <mergeCell ref="Q142:Q143"/>
    <mergeCell ref="R142:R143"/>
    <mergeCell ref="S142:S143"/>
    <mergeCell ref="T142:T143"/>
    <mergeCell ref="U142:U143"/>
    <mergeCell ref="N136:N137"/>
    <mergeCell ref="O136:O137"/>
    <mergeCell ref="P136:P137"/>
    <mergeCell ref="Q136:Q137"/>
    <mergeCell ref="R136:R137"/>
    <mergeCell ref="S136:S137"/>
    <mergeCell ref="T136:T137"/>
    <mergeCell ref="U136:U137"/>
    <mergeCell ref="N138:N139"/>
    <mergeCell ref="O138:O139"/>
    <mergeCell ref="P138:P139"/>
    <mergeCell ref="Q138:Q139"/>
    <mergeCell ref="R138:R139"/>
    <mergeCell ref="S138:S139"/>
    <mergeCell ref="T138:T139"/>
    <mergeCell ref="U138:U139"/>
    <mergeCell ref="N132:N133"/>
    <mergeCell ref="O132:O133"/>
    <mergeCell ref="P132:P133"/>
    <mergeCell ref="Q132:Q133"/>
    <mergeCell ref="R132:R133"/>
    <mergeCell ref="S132:S133"/>
    <mergeCell ref="T132:T133"/>
    <mergeCell ref="U132:U133"/>
    <mergeCell ref="N134:N135"/>
    <mergeCell ref="O134:O135"/>
    <mergeCell ref="P134:P135"/>
    <mergeCell ref="Q134:Q135"/>
    <mergeCell ref="R134:R135"/>
    <mergeCell ref="S134:S135"/>
    <mergeCell ref="T134:T135"/>
    <mergeCell ref="U134:U135"/>
    <mergeCell ref="N128:U128"/>
    <mergeCell ref="N130:N131"/>
    <mergeCell ref="O130:O131"/>
    <mergeCell ref="P130:P131"/>
    <mergeCell ref="Q130:Q131"/>
    <mergeCell ref="R130:R131"/>
    <mergeCell ref="S130:S131"/>
    <mergeCell ref="T130:T131"/>
    <mergeCell ref="U130:U131"/>
    <mergeCell ref="N125:N126"/>
    <mergeCell ref="O125:O126"/>
    <mergeCell ref="P125:P126"/>
    <mergeCell ref="Q125:Q126"/>
    <mergeCell ref="R125:R126"/>
    <mergeCell ref="S125:S126"/>
    <mergeCell ref="T125:T126"/>
    <mergeCell ref="U125:U126"/>
    <mergeCell ref="V125:V126"/>
    <mergeCell ref="N123:N124"/>
    <mergeCell ref="O123:O124"/>
    <mergeCell ref="P123:P124"/>
    <mergeCell ref="Q123:Q124"/>
    <mergeCell ref="R123:R124"/>
    <mergeCell ref="S123:S124"/>
    <mergeCell ref="T123:T124"/>
    <mergeCell ref="U123:U124"/>
    <mergeCell ref="V123:V124"/>
    <mergeCell ref="N121:N122"/>
    <mergeCell ref="O121:O122"/>
    <mergeCell ref="P121:P122"/>
    <mergeCell ref="Q121:Q122"/>
    <mergeCell ref="R121:R122"/>
    <mergeCell ref="S121:S122"/>
    <mergeCell ref="T121:T122"/>
    <mergeCell ref="U121:U122"/>
    <mergeCell ref="V121:V122"/>
    <mergeCell ref="N119:N120"/>
    <mergeCell ref="O119:O120"/>
    <mergeCell ref="P119:P120"/>
    <mergeCell ref="Q119:Q120"/>
    <mergeCell ref="R119:R120"/>
    <mergeCell ref="S119:S120"/>
    <mergeCell ref="T119:T120"/>
    <mergeCell ref="U119:U120"/>
    <mergeCell ref="V119:V120"/>
    <mergeCell ref="O117:O118"/>
    <mergeCell ref="P117:P118"/>
    <mergeCell ref="Q117:Q118"/>
    <mergeCell ref="R117:R118"/>
    <mergeCell ref="S117:S118"/>
    <mergeCell ref="T117:T118"/>
    <mergeCell ref="U117:U118"/>
    <mergeCell ref="V117:V118"/>
    <mergeCell ref="N117:N118"/>
    <mergeCell ref="N115:N116"/>
    <mergeCell ref="O115:O116"/>
    <mergeCell ref="P115:P116"/>
    <mergeCell ref="Q115:Q116"/>
    <mergeCell ref="R115:R116"/>
    <mergeCell ref="S115:S116"/>
    <mergeCell ref="T115:T116"/>
    <mergeCell ref="U115:U116"/>
    <mergeCell ref="V115:V116"/>
    <mergeCell ref="O113:O114"/>
    <mergeCell ref="P113:P114"/>
    <mergeCell ref="Q113:Q114"/>
    <mergeCell ref="R113:R114"/>
    <mergeCell ref="S113:S114"/>
    <mergeCell ref="T113:T114"/>
    <mergeCell ref="U113:U114"/>
    <mergeCell ref="V113:V114"/>
    <mergeCell ref="N111:N112"/>
    <mergeCell ref="O111:O112"/>
    <mergeCell ref="P111:P112"/>
    <mergeCell ref="Q111:Q112"/>
    <mergeCell ref="R111:R112"/>
    <mergeCell ref="S111:S112"/>
    <mergeCell ref="T111:T112"/>
    <mergeCell ref="U111:U112"/>
    <mergeCell ref="V111:V112"/>
    <mergeCell ref="O109:O110"/>
    <mergeCell ref="P109:P110"/>
    <mergeCell ref="Q109:Q110"/>
    <mergeCell ref="R109:R110"/>
    <mergeCell ref="S109:S110"/>
    <mergeCell ref="T109:T110"/>
    <mergeCell ref="U109:U110"/>
    <mergeCell ref="V109:V110"/>
    <mergeCell ref="N107:N108"/>
    <mergeCell ref="O107:O108"/>
    <mergeCell ref="P107:P108"/>
    <mergeCell ref="Q107:Q108"/>
    <mergeCell ref="R107:R108"/>
    <mergeCell ref="S107:S108"/>
    <mergeCell ref="T107:T108"/>
    <mergeCell ref="U107:U108"/>
    <mergeCell ref="V107:V108"/>
    <mergeCell ref="O105:O106"/>
    <mergeCell ref="P105:P106"/>
    <mergeCell ref="Q105:Q106"/>
    <mergeCell ref="R105:R106"/>
    <mergeCell ref="S105:S106"/>
    <mergeCell ref="T105:T106"/>
    <mergeCell ref="U105:U106"/>
    <mergeCell ref="V105:V106"/>
    <mergeCell ref="N103:N104"/>
    <mergeCell ref="O103:O104"/>
    <mergeCell ref="P103:P104"/>
    <mergeCell ref="Q103:Q104"/>
    <mergeCell ref="R103:R104"/>
    <mergeCell ref="S103:S104"/>
    <mergeCell ref="T103:T104"/>
    <mergeCell ref="U103:U104"/>
    <mergeCell ref="V103:V104"/>
    <mergeCell ref="O101:O102"/>
    <mergeCell ref="P101:P102"/>
    <mergeCell ref="Q101:Q102"/>
    <mergeCell ref="R101:R102"/>
    <mergeCell ref="S101:S102"/>
    <mergeCell ref="T101:T102"/>
    <mergeCell ref="U101:U102"/>
    <mergeCell ref="V101:V102"/>
    <mergeCell ref="N99:N100"/>
    <mergeCell ref="O99:O100"/>
    <mergeCell ref="P99:P100"/>
    <mergeCell ref="Q99:Q100"/>
    <mergeCell ref="R99:R100"/>
    <mergeCell ref="S99:S100"/>
    <mergeCell ref="T99:T100"/>
    <mergeCell ref="U99:U100"/>
    <mergeCell ref="V99:V100"/>
    <mergeCell ref="O97:O98"/>
    <mergeCell ref="P97:P98"/>
    <mergeCell ref="Q97:Q98"/>
    <mergeCell ref="R97:R98"/>
    <mergeCell ref="S97:S98"/>
    <mergeCell ref="T97:T98"/>
    <mergeCell ref="U97:U98"/>
    <mergeCell ref="V97:V98"/>
    <mergeCell ref="N95:N96"/>
    <mergeCell ref="O95:O96"/>
    <mergeCell ref="P95:P96"/>
    <mergeCell ref="Q95:Q96"/>
    <mergeCell ref="R95:R96"/>
    <mergeCell ref="S95:S96"/>
    <mergeCell ref="T95:T96"/>
    <mergeCell ref="U95:U96"/>
    <mergeCell ref="V95:V96"/>
    <mergeCell ref="O93:O94"/>
    <mergeCell ref="P93:P94"/>
    <mergeCell ref="Q93:Q94"/>
    <mergeCell ref="R93:R94"/>
    <mergeCell ref="S93:S94"/>
    <mergeCell ref="T93:T94"/>
    <mergeCell ref="U93:U94"/>
    <mergeCell ref="V93:V94"/>
    <mergeCell ref="N91:N92"/>
    <mergeCell ref="O91:O92"/>
    <mergeCell ref="P91:P92"/>
    <mergeCell ref="Q91:Q92"/>
    <mergeCell ref="R91:R92"/>
    <mergeCell ref="S91:S92"/>
    <mergeCell ref="T91:T92"/>
    <mergeCell ref="U91:U92"/>
    <mergeCell ref="V91:V92"/>
    <mergeCell ref="O81:O82"/>
    <mergeCell ref="P81:P82"/>
    <mergeCell ref="Q81:Q82"/>
    <mergeCell ref="R81:R82"/>
    <mergeCell ref="S81:S82"/>
    <mergeCell ref="T81:T82"/>
    <mergeCell ref="U81:U82"/>
    <mergeCell ref="V81:V82"/>
    <mergeCell ref="N89:U89"/>
    <mergeCell ref="V89:AA89"/>
    <mergeCell ref="N79:N80"/>
    <mergeCell ref="O79:O80"/>
    <mergeCell ref="P79:P80"/>
    <mergeCell ref="Q79:Q80"/>
    <mergeCell ref="R79:R80"/>
    <mergeCell ref="S79:S80"/>
    <mergeCell ref="T79:T80"/>
    <mergeCell ref="U79:U80"/>
    <mergeCell ref="V79:V80"/>
    <mergeCell ref="O77:O78"/>
    <mergeCell ref="P77:P78"/>
    <mergeCell ref="Q77:Q78"/>
    <mergeCell ref="R77:R78"/>
    <mergeCell ref="S77:S78"/>
    <mergeCell ref="T77:T78"/>
    <mergeCell ref="U77:U78"/>
    <mergeCell ref="V77:V78"/>
    <mergeCell ref="N75:N76"/>
    <mergeCell ref="O75:O76"/>
    <mergeCell ref="P75:P76"/>
    <mergeCell ref="Q75:Q76"/>
    <mergeCell ref="R75:R76"/>
    <mergeCell ref="S75:S76"/>
    <mergeCell ref="T75:T76"/>
    <mergeCell ref="U75:U76"/>
    <mergeCell ref="V75:V76"/>
    <mergeCell ref="O73:O74"/>
    <mergeCell ref="P73:P74"/>
    <mergeCell ref="Q73:Q74"/>
    <mergeCell ref="R73:R74"/>
    <mergeCell ref="S73:S74"/>
    <mergeCell ref="T73:T74"/>
    <mergeCell ref="U73:U74"/>
    <mergeCell ref="V73:V74"/>
    <mergeCell ref="P67:P68"/>
    <mergeCell ref="Q67:Q68"/>
    <mergeCell ref="R67:R68"/>
    <mergeCell ref="S67:S68"/>
    <mergeCell ref="T67:T68"/>
    <mergeCell ref="U67:U68"/>
    <mergeCell ref="V67:V68"/>
    <mergeCell ref="O65:O66"/>
    <mergeCell ref="P65:P66"/>
    <mergeCell ref="Q65:Q66"/>
    <mergeCell ref="R65:R66"/>
    <mergeCell ref="S65:S66"/>
    <mergeCell ref="T65:T66"/>
    <mergeCell ref="U65:U66"/>
    <mergeCell ref="V65:V66"/>
    <mergeCell ref="N71:N72"/>
    <mergeCell ref="O71:O72"/>
    <mergeCell ref="P71:P72"/>
    <mergeCell ref="Q71:Q72"/>
    <mergeCell ref="R71:R72"/>
    <mergeCell ref="S71:S72"/>
    <mergeCell ref="T71:T72"/>
    <mergeCell ref="U71:U72"/>
    <mergeCell ref="V71:V72"/>
    <mergeCell ref="O69:O70"/>
    <mergeCell ref="P69:P70"/>
    <mergeCell ref="Q69:Q70"/>
    <mergeCell ref="R69:R70"/>
    <mergeCell ref="S69:S70"/>
    <mergeCell ref="T69:T70"/>
    <mergeCell ref="U69:U70"/>
    <mergeCell ref="V69:V70"/>
    <mergeCell ref="R63:R64"/>
    <mergeCell ref="S63:S64"/>
    <mergeCell ref="T63:T64"/>
    <mergeCell ref="U63:U64"/>
    <mergeCell ref="V63:V64"/>
    <mergeCell ref="Q57:Q58"/>
    <mergeCell ref="R57:R58"/>
    <mergeCell ref="S57:S58"/>
    <mergeCell ref="T57:T58"/>
    <mergeCell ref="U57:U58"/>
    <mergeCell ref="V57:V58"/>
    <mergeCell ref="N55:N56"/>
    <mergeCell ref="O55:O56"/>
    <mergeCell ref="P55:P56"/>
    <mergeCell ref="Q55:Q56"/>
    <mergeCell ref="R55:R56"/>
    <mergeCell ref="S55:S56"/>
    <mergeCell ref="T55:T56"/>
    <mergeCell ref="U55:U56"/>
    <mergeCell ref="V55:V56"/>
    <mergeCell ref="O61:O62"/>
    <mergeCell ref="P61:P62"/>
    <mergeCell ref="Q61:Q62"/>
    <mergeCell ref="R61:R62"/>
    <mergeCell ref="S61:S62"/>
    <mergeCell ref="T61:T62"/>
    <mergeCell ref="U61:U62"/>
    <mergeCell ref="V61:V62"/>
    <mergeCell ref="R59:R60"/>
    <mergeCell ref="S59:S60"/>
    <mergeCell ref="T59:T60"/>
    <mergeCell ref="U59:U60"/>
    <mergeCell ref="V59:V60"/>
    <mergeCell ref="V42:V43"/>
    <mergeCell ref="U38:U39"/>
    <mergeCell ref="U40:U41"/>
    <mergeCell ref="U42:U43"/>
    <mergeCell ref="U26:U27"/>
    <mergeCell ref="U28:U29"/>
    <mergeCell ref="U30:U31"/>
    <mergeCell ref="U32:U33"/>
    <mergeCell ref="N53:N54"/>
    <mergeCell ref="O53:O54"/>
    <mergeCell ref="P53:P54"/>
    <mergeCell ref="Q53:Q54"/>
    <mergeCell ref="R53:R54"/>
    <mergeCell ref="S53:S54"/>
    <mergeCell ref="T53:T54"/>
    <mergeCell ref="U53:U54"/>
    <mergeCell ref="V53:V54"/>
    <mergeCell ref="N51:N52"/>
    <mergeCell ref="O51:O52"/>
    <mergeCell ref="P51:P52"/>
    <mergeCell ref="Q51:Q52"/>
    <mergeCell ref="R51:R52"/>
    <mergeCell ref="S51:S52"/>
    <mergeCell ref="Q38:Q39"/>
    <mergeCell ref="R38:R39"/>
    <mergeCell ref="S38:S39"/>
    <mergeCell ref="T38:T39"/>
    <mergeCell ref="T51:T52"/>
    <mergeCell ref="U51:U52"/>
    <mergeCell ref="V51:V52"/>
    <mergeCell ref="O49:O50"/>
    <mergeCell ref="W24:W25"/>
    <mergeCell ref="W26:W27"/>
    <mergeCell ref="W28:W29"/>
    <mergeCell ref="N47:N48"/>
    <mergeCell ref="O47:O48"/>
    <mergeCell ref="P47:P48"/>
    <mergeCell ref="Q47:Q48"/>
    <mergeCell ref="R47:R48"/>
    <mergeCell ref="S47:S48"/>
    <mergeCell ref="T47:T48"/>
    <mergeCell ref="U47:U48"/>
    <mergeCell ref="V47:V48"/>
    <mergeCell ref="V38:V39"/>
    <mergeCell ref="U34:U35"/>
    <mergeCell ref="U36:U37"/>
    <mergeCell ref="U24:U25"/>
    <mergeCell ref="V34:V35"/>
    <mergeCell ref="V36:V37"/>
    <mergeCell ref="O42:O43"/>
    <mergeCell ref="P42:P43"/>
    <mergeCell ref="R42:R43"/>
    <mergeCell ref="S42:S43"/>
    <mergeCell ref="T42:T43"/>
    <mergeCell ref="O40:O41"/>
    <mergeCell ref="P40:P41"/>
    <mergeCell ref="Q40:Q41"/>
    <mergeCell ref="V40:V41"/>
    <mergeCell ref="R40:R41"/>
    <mergeCell ref="S40:S41"/>
    <mergeCell ref="T40:T41"/>
    <mergeCell ref="O38:O39"/>
    <mergeCell ref="P38:P39"/>
    <mergeCell ref="P49:P50"/>
    <mergeCell ref="Q49:Q50"/>
    <mergeCell ref="R49:R50"/>
    <mergeCell ref="S49:S50"/>
    <mergeCell ref="T49:T50"/>
    <mergeCell ref="U49:U50"/>
    <mergeCell ref="V49:V50"/>
    <mergeCell ref="R36:R37"/>
    <mergeCell ref="S24:S25"/>
    <mergeCell ref="T24:T25"/>
    <mergeCell ref="S36:S37"/>
    <mergeCell ref="T36:T37"/>
    <mergeCell ref="O34:O35"/>
    <mergeCell ref="P34:P35"/>
    <mergeCell ref="Q34:Q35"/>
    <mergeCell ref="R34:R35"/>
    <mergeCell ref="S34:S35"/>
    <mergeCell ref="T34:T35"/>
    <mergeCell ref="O32:O33"/>
    <mergeCell ref="P32:P33"/>
    <mergeCell ref="Q32:Q33"/>
    <mergeCell ref="R32:R33"/>
    <mergeCell ref="S32:S33"/>
    <mergeCell ref="T32:T33"/>
    <mergeCell ref="O30:O31"/>
    <mergeCell ref="P30:P31"/>
    <mergeCell ref="Q30:Q31"/>
    <mergeCell ref="T30:T31"/>
    <mergeCell ref="T22:T23"/>
    <mergeCell ref="O20:O21"/>
    <mergeCell ref="P20:P21"/>
    <mergeCell ref="Q20:Q21"/>
    <mergeCell ref="R20:R21"/>
    <mergeCell ref="S20:S21"/>
    <mergeCell ref="T20:T21"/>
    <mergeCell ref="O18:O19"/>
    <mergeCell ref="P18:P19"/>
    <mergeCell ref="Q18:Q19"/>
    <mergeCell ref="R18:R19"/>
    <mergeCell ref="S18:S19"/>
    <mergeCell ref="T18:T19"/>
    <mergeCell ref="O28:O29"/>
    <mergeCell ref="P28:P29"/>
    <mergeCell ref="Q28:Q29"/>
    <mergeCell ref="R28:R29"/>
    <mergeCell ref="S28:S29"/>
    <mergeCell ref="T28:T29"/>
    <mergeCell ref="O26:O27"/>
    <mergeCell ref="P26:P27"/>
    <mergeCell ref="Q26:Q27"/>
    <mergeCell ref="R26:R27"/>
    <mergeCell ref="S26:S27"/>
    <mergeCell ref="T26:T27"/>
    <mergeCell ref="O24:O25"/>
    <mergeCell ref="P24:P25"/>
    <mergeCell ref="Q24:Q25"/>
    <mergeCell ref="R24:R25"/>
    <mergeCell ref="R16:R17"/>
    <mergeCell ref="S16:S17"/>
    <mergeCell ref="T16:T17"/>
    <mergeCell ref="U8:U9"/>
    <mergeCell ref="U10:U11"/>
    <mergeCell ref="U12:U13"/>
    <mergeCell ref="N32:N33"/>
    <mergeCell ref="N34:N35"/>
    <mergeCell ref="N36:N37"/>
    <mergeCell ref="N38:N39"/>
    <mergeCell ref="N40:N41"/>
    <mergeCell ref="O10:O11"/>
    <mergeCell ref="P10:P11"/>
    <mergeCell ref="Q10:Q11"/>
    <mergeCell ref="R10:R11"/>
    <mergeCell ref="S10:S11"/>
    <mergeCell ref="T10:T11"/>
    <mergeCell ref="R8:R9"/>
    <mergeCell ref="S8:S9"/>
    <mergeCell ref="T8:T9"/>
    <mergeCell ref="Q8:Q9"/>
    <mergeCell ref="O8:O9"/>
    <mergeCell ref="P8:P9"/>
    <mergeCell ref="O14:O15"/>
    <mergeCell ref="P14:P15"/>
    <mergeCell ref="Q14:Q15"/>
    <mergeCell ref="S30:S31"/>
    <mergeCell ref="O22:O23"/>
    <mergeCell ref="P22:P23"/>
    <mergeCell ref="Q22:Q23"/>
    <mergeCell ref="R22:R23"/>
    <mergeCell ref="S22:S23"/>
    <mergeCell ref="K119:K120"/>
    <mergeCell ref="L119:L120"/>
    <mergeCell ref="M119:M120"/>
    <mergeCell ref="K121:K122"/>
    <mergeCell ref="K115:K116"/>
    <mergeCell ref="L115:L116"/>
    <mergeCell ref="M115:M116"/>
    <mergeCell ref="K107:K108"/>
    <mergeCell ref="L107:L108"/>
    <mergeCell ref="M107:M108"/>
    <mergeCell ref="K109:K110"/>
    <mergeCell ref="L105:L106"/>
    <mergeCell ref="M105:M106"/>
    <mergeCell ref="K99:K100"/>
    <mergeCell ref="O16:O17"/>
    <mergeCell ref="P16:P17"/>
    <mergeCell ref="Q16:Q17"/>
    <mergeCell ref="O36:O37"/>
    <mergeCell ref="P36:P37"/>
    <mergeCell ref="Q36:Q37"/>
    <mergeCell ref="Q42:Q43"/>
    <mergeCell ref="N49:N50"/>
    <mergeCell ref="N59:N60"/>
    <mergeCell ref="O59:O60"/>
    <mergeCell ref="P59:P60"/>
    <mergeCell ref="Q59:Q60"/>
    <mergeCell ref="N63:N64"/>
    <mergeCell ref="O63:O64"/>
    <mergeCell ref="P63:P64"/>
    <mergeCell ref="Q63:Q64"/>
    <mergeCell ref="N67:N68"/>
    <mergeCell ref="O67:O68"/>
    <mergeCell ref="O57:O58"/>
    <mergeCell ref="K152:K153"/>
    <mergeCell ref="L152:L153"/>
    <mergeCell ref="M152:M153"/>
    <mergeCell ref="K154:K155"/>
    <mergeCell ref="N42:N43"/>
    <mergeCell ref="N20:N21"/>
    <mergeCell ref="N22:N23"/>
    <mergeCell ref="N24:N25"/>
    <mergeCell ref="N26:N27"/>
    <mergeCell ref="N28:N29"/>
    <mergeCell ref="N30:N31"/>
    <mergeCell ref="N8:N9"/>
    <mergeCell ref="N10:N11"/>
    <mergeCell ref="N12:N13"/>
    <mergeCell ref="N14:N15"/>
    <mergeCell ref="N16:N17"/>
    <mergeCell ref="N18:N19"/>
    <mergeCell ref="M148:M149"/>
    <mergeCell ref="N57:N58"/>
    <mergeCell ref="N61:N62"/>
    <mergeCell ref="N65:N66"/>
    <mergeCell ref="N69:N70"/>
    <mergeCell ref="N73:N74"/>
    <mergeCell ref="N77:N78"/>
    <mergeCell ref="N81:N82"/>
    <mergeCell ref="N93:N94"/>
    <mergeCell ref="N97:N98"/>
    <mergeCell ref="N101:N102"/>
    <mergeCell ref="N105:N106"/>
    <mergeCell ref="N109:N110"/>
    <mergeCell ref="N113:N114"/>
    <mergeCell ref="M81:M82"/>
    <mergeCell ref="K125:K126"/>
    <mergeCell ref="C125:C126"/>
    <mergeCell ref="D125:D126"/>
    <mergeCell ref="F125:F126"/>
    <mergeCell ref="H125:H126"/>
    <mergeCell ref="I125:I126"/>
    <mergeCell ref="M154:M155"/>
    <mergeCell ref="K150:K151"/>
    <mergeCell ref="K138:K139"/>
    <mergeCell ref="L138:L139"/>
    <mergeCell ref="M138:M139"/>
    <mergeCell ref="H81:H82"/>
    <mergeCell ref="I81:I82"/>
    <mergeCell ref="L146:L147"/>
    <mergeCell ref="C164:C165"/>
    <mergeCell ref="D164:D165"/>
    <mergeCell ref="H164:H165"/>
    <mergeCell ref="I164:I165"/>
    <mergeCell ref="K164:K165"/>
    <mergeCell ref="L160:L161"/>
    <mergeCell ref="M160:M161"/>
    <mergeCell ref="K162:K163"/>
    <mergeCell ref="L162:L163"/>
    <mergeCell ref="M162:M163"/>
    <mergeCell ref="C81:C82"/>
    <mergeCell ref="K81:K82"/>
    <mergeCell ref="J81:J82"/>
    <mergeCell ref="F81:F82"/>
    <mergeCell ref="D81:D82"/>
    <mergeCell ref="K123:K124"/>
    <mergeCell ref="K136:K137"/>
    <mergeCell ref="E168:F168"/>
    <mergeCell ref="F164:F165"/>
    <mergeCell ref="I168:J168"/>
    <mergeCell ref="K158:K159"/>
    <mergeCell ref="L158:L159"/>
    <mergeCell ref="M158:M159"/>
    <mergeCell ref="K160:K161"/>
    <mergeCell ref="L150:L151"/>
    <mergeCell ref="M150:M151"/>
    <mergeCell ref="K140:K141"/>
    <mergeCell ref="L140:L141"/>
    <mergeCell ref="M140:M141"/>
    <mergeCell ref="K142:K143"/>
    <mergeCell ref="L142:L143"/>
    <mergeCell ref="M142:M143"/>
    <mergeCell ref="K144:K145"/>
    <mergeCell ref="L144:L145"/>
    <mergeCell ref="K156:K157"/>
    <mergeCell ref="J154:J155"/>
    <mergeCell ref="J156:J157"/>
    <mergeCell ref="J158:J159"/>
    <mergeCell ref="J160:J161"/>
    <mergeCell ref="J162:J163"/>
    <mergeCell ref="J164:J165"/>
    <mergeCell ref="L156:L157"/>
    <mergeCell ref="M156:M157"/>
    <mergeCell ref="K146:K147"/>
    <mergeCell ref="L164:L165"/>
    <mergeCell ref="M164:M165"/>
    <mergeCell ref="F148:F149"/>
    <mergeCell ref="H148:H149"/>
    <mergeCell ref="L101:L102"/>
    <mergeCell ref="M101:M102"/>
    <mergeCell ref="M121:M122"/>
    <mergeCell ref="L123:L124"/>
    <mergeCell ref="M123:M124"/>
    <mergeCell ref="K111:K112"/>
    <mergeCell ref="L111:L112"/>
    <mergeCell ref="M111:M112"/>
    <mergeCell ref="K113:K114"/>
    <mergeCell ref="L113:L114"/>
    <mergeCell ref="M113:M114"/>
    <mergeCell ref="K95:K96"/>
    <mergeCell ref="L95:L96"/>
    <mergeCell ref="M95:M96"/>
    <mergeCell ref="L154:L155"/>
    <mergeCell ref="M144:M145"/>
    <mergeCell ref="M146:M147"/>
    <mergeCell ref="K148:K149"/>
    <mergeCell ref="L148:L149"/>
    <mergeCell ref="L130:L131"/>
    <mergeCell ref="K130:K131"/>
    <mergeCell ref="K134:K135"/>
    <mergeCell ref="L134:L135"/>
    <mergeCell ref="M134:M135"/>
    <mergeCell ref="L136:L137"/>
    <mergeCell ref="M136:M137"/>
    <mergeCell ref="K132:K133"/>
    <mergeCell ref="L132:L133"/>
    <mergeCell ref="M132:M133"/>
    <mergeCell ref="M130:M131"/>
    <mergeCell ref="L121:L122"/>
    <mergeCell ref="M117:M118"/>
    <mergeCell ref="L125:L126"/>
    <mergeCell ref="M125:M126"/>
    <mergeCell ref="K117:K118"/>
    <mergeCell ref="L117:L118"/>
    <mergeCell ref="K97:K98"/>
    <mergeCell ref="L97:L98"/>
    <mergeCell ref="M97:M98"/>
    <mergeCell ref="K77:K78"/>
    <mergeCell ref="L77:L78"/>
    <mergeCell ref="M77:M78"/>
    <mergeCell ref="K93:K94"/>
    <mergeCell ref="L93:L94"/>
    <mergeCell ref="M93:M94"/>
    <mergeCell ref="K73:K74"/>
    <mergeCell ref="L73:L74"/>
    <mergeCell ref="M73:M74"/>
    <mergeCell ref="K75:K76"/>
    <mergeCell ref="L75:L76"/>
    <mergeCell ref="M75:M76"/>
    <mergeCell ref="K91:K92"/>
    <mergeCell ref="L91:L92"/>
    <mergeCell ref="M91:M92"/>
    <mergeCell ref="L81:L82"/>
    <mergeCell ref="L109:L110"/>
    <mergeCell ref="M109:M110"/>
    <mergeCell ref="K103:K104"/>
    <mergeCell ref="L103:L104"/>
    <mergeCell ref="M103:M104"/>
    <mergeCell ref="K105:K106"/>
    <mergeCell ref="L99:L100"/>
    <mergeCell ref="M99:M100"/>
    <mergeCell ref="K101:K102"/>
    <mergeCell ref="L53:L54"/>
    <mergeCell ref="M53:M54"/>
    <mergeCell ref="K55:K56"/>
    <mergeCell ref="L55:L56"/>
    <mergeCell ref="M55:M56"/>
    <mergeCell ref="K49:K50"/>
    <mergeCell ref="L49:L50"/>
    <mergeCell ref="M49:M50"/>
    <mergeCell ref="K51:K52"/>
    <mergeCell ref="L51:L52"/>
    <mergeCell ref="M51:M52"/>
    <mergeCell ref="K69:K70"/>
    <mergeCell ref="L69:L70"/>
    <mergeCell ref="M69:M70"/>
    <mergeCell ref="K71:K72"/>
    <mergeCell ref="L71:L72"/>
    <mergeCell ref="M71:M72"/>
    <mergeCell ref="K65:K66"/>
    <mergeCell ref="L65:L66"/>
    <mergeCell ref="M65:M66"/>
    <mergeCell ref="K67:K68"/>
    <mergeCell ref="L67:L68"/>
    <mergeCell ref="M67:M68"/>
    <mergeCell ref="K61:K62"/>
    <mergeCell ref="L61:L62"/>
    <mergeCell ref="M61:M62"/>
    <mergeCell ref="K63:K64"/>
    <mergeCell ref="L63:L64"/>
    <mergeCell ref="M63:M64"/>
    <mergeCell ref="M47:M48"/>
    <mergeCell ref="K22:K23"/>
    <mergeCell ref="K24:K25"/>
    <mergeCell ref="K26:K27"/>
    <mergeCell ref="K28:K29"/>
    <mergeCell ref="K30:K31"/>
    <mergeCell ref="K32:K33"/>
    <mergeCell ref="K34:K35"/>
    <mergeCell ref="L24:L25"/>
    <mergeCell ref="L26:L27"/>
    <mergeCell ref="L28:L29"/>
    <mergeCell ref="L30:L31"/>
    <mergeCell ref="L32:L33"/>
    <mergeCell ref="L34:L35"/>
    <mergeCell ref="M34:M35"/>
    <mergeCell ref="M36:M37"/>
    <mergeCell ref="M40:M41"/>
    <mergeCell ref="M38:M39"/>
    <mergeCell ref="L36:L37"/>
    <mergeCell ref="L38:L39"/>
    <mergeCell ref="L40:L41"/>
    <mergeCell ref="K40:K41"/>
    <mergeCell ref="K36:K37"/>
    <mergeCell ref="M32:M33"/>
    <mergeCell ref="K47:K48"/>
    <mergeCell ref="L47:L48"/>
    <mergeCell ref="K42:K43"/>
    <mergeCell ref="L42:L43"/>
    <mergeCell ref="M42:M43"/>
    <mergeCell ref="D146:D147"/>
    <mergeCell ref="F146:F147"/>
    <mergeCell ref="H146:H147"/>
    <mergeCell ref="I146:I147"/>
    <mergeCell ref="H121:H122"/>
    <mergeCell ref="I121:I122"/>
    <mergeCell ref="C134:C135"/>
    <mergeCell ref="D134:D135"/>
    <mergeCell ref="F134:F135"/>
    <mergeCell ref="H134:H135"/>
    <mergeCell ref="I134:I135"/>
    <mergeCell ref="H123:H124"/>
    <mergeCell ref="I123:I124"/>
    <mergeCell ref="C119:C120"/>
    <mergeCell ref="D119:D120"/>
    <mergeCell ref="F119:F120"/>
    <mergeCell ref="H119:H120"/>
    <mergeCell ref="D132:D133"/>
    <mergeCell ref="F132:F133"/>
    <mergeCell ref="H132:H133"/>
    <mergeCell ref="I132:I133"/>
    <mergeCell ref="C128:I128"/>
    <mergeCell ref="I119:I120"/>
    <mergeCell ref="C121:C122"/>
    <mergeCell ref="D121:D122"/>
    <mergeCell ref="F121:F122"/>
    <mergeCell ref="D129:E129"/>
    <mergeCell ref="F129:G129"/>
    <mergeCell ref="C130:C131"/>
    <mergeCell ref="D130:D131"/>
    <mergeCell ref="F130:F131"/>
    <mergeCell ref="L18:L19"/>
    <mergeCell ref="L20:L21"/>
    <mergeCell ref="L22:L23"/>
    <mergeCell ref="C168:D168"/>
    <mergeCell ref="C162:C163"/>
    <mergeCell ref="D162:D163"/>
    <mergeCell ref="F162:F163"/>
    <mergeCell ref="H162:H163"/>
    <mergeCell ref="I162:I163"/>
    <mergeCell ref="I152:I153"/>
    <mergeCell ref="I150:I151"/>
    <mergeCell ref="C152:C153"/>
    <mergeCell ref="D152:D153"/>
    <mergeCell ref="F152:F153"/>
    <mergeCell ref="H152:H153"/>
    <mergeCell ref="C140:C141"/>
    <mergeCell ref="D140:D141"/>
    <mergeCell ref="F140:F141"/>
    <mergeCell ref="H140:H141"/>
    <mergeCell ref="I140:I141"/>
    <mergeCell ref="H32:H33"/>
    <mergeCell ref="F160:F161"/>
    <mergeCell ref="H160:H161"/>
    <mergeCell ref="I160:I161"/>
    <mergeCell ref="C154:C155"/>
    <mergeCell ref="D154:D155"/>
    <mergeCell ref="H156:H157"/>
    <mergeCell ref="I156:I157"/>
    <mergeCell ref="C132:C133"/>
    <mergeCell ref="C146:C147"/>
    <mergeCell ref="C115:C116"/>
    <mergeCell ref="D115:D116"/>
    <mergeCell ref="B113:B114"/>
    <mergeCell ref="C158:C159"/>
    <mergeCell ref="D158:D159"/>
    <mergeCell ref="F158:F159"/>
    <mergeCell ref="H158:H159"/>
    <mergeCell ref="I158:I159"/>
    <mergeCell ref="C150:C151"/>
    <mergeCell ref="D150:D151"/>
    <mergeCell ref="F150:F151"/>
    <mergeCell ref="H150:H151"/>
    <mergeCell ref="I142:I143"/>
    <mergeCell ref="C144:C145"/>
    <mergeCell ref="D144:D145"/>
    <mergeCell ref="F144:F145"/>
    <mergeCell ref="H144:H145"/>
    <mergeCell ref="I144:I145"/>
    <mergeCell ref="C148:C149"/>
    <mergeCell ref="D142:D143"/>
    <mergeCell ref="F142:F143"/>
    <mergeCell ref="H142:H143"/>
    <mergeCell ref="C136:C137"/>
    <mergeCell ref="D136:D137"/>
    <mergeCell ref="F136:F137"/>
    <mergeCell ref="H136:H137"/>
    <mergeCell ref="I136:I137"/>
    <mergeCell ref="C138:C139"/>
    <mergeCell ref="D138:D139"/>
    <mergeCell ref="F138:F139"/>
    <mergeCell ref="H138:H139"/>
    <mergeCell ref="I138:I139"/>
    <mergeCell ref="H130:H131"/>
    <mergeCell ref="I130:I131"/>
    <mergeCell ref="F115:F116"/>
    <mergeCell ref="H115:H116"/>
    <mergeCell ref="I115:I116"/>
    <mergeCell ref="H117:H118"/>
    <mergeCell ref="I117:I118"/>
    <mergeCell ref="C117:C118"/>
    <mergeCell ref="D117:D118"/>
    <mergeCell ref="F117:F118"/>
    <mergeCell ref="C111:C112"/>
    <mergeCell ref="D111:D112"/>
    <mergeCell ref="F111:F112"/>
    <mergeCell ref="H111:H112"/>
    <mergeCell ref="I111:I112"/>
    <mergeCell ref="C113:C114"/>
    <mergeCell ref="D113:D114"/>
    <mergeCell ref="F113:F114"/>
    <mergeCell ref="C105:C106"/>
    <mergeCell ref="D105:D106"/>
    <mergeCell ref="F105:F106"/>
    <mergeCell ref="H105:H106"/>
    <mergeCell ref="I105:I106"/>
    <mergeCell ref="C107:C108"/>
    <mergeCell ref="D107:D108"/>
    <mergeCell ref="F107:F108"/>
    <mergeCell ref="H107:H108"/>
    <mergeCell ref="I107:I108"/>
    <mergeCell ref="H113:H114"/>
    <mergeCell ref="I113:I114"/>
    <mergeCell ref="C103:C104"/>
    <mergeCell ref="D103:D104"/>
    <mergeCell ref="F103:F104"/>
    <mergeCell ref="H103:H104"/>
    <mergeCell ref="I103:I104"/>
    <mergeCell ref="H109:H110"/>
    <mergeCell ref="I109:I110"/>
    <mergeCell ref="C109:C110"/>
    <mergeCell ref="D109:D110"/>
    <mergeCell ref="F109:F110"/>
    <mergeCell ref="F101:F102"/>
    <mergeCell ref="C93:C94"/>
    <mergeCell ref="D93:D94"/>
    <mergeCell ref="F93:F94"/>
    <mergeCell ref="H93:H94"/>
    <mergeCell ref="I93:I94"/>
    <mergeCell ref="C95:C96"/>
    <mergeCell ref="D95:D96"/>
    <mergeCell ref="F95:F96"/>
    <mergeCell ref="H95:H96"/>
    <mergeCell ref="C99:C100"/>
    <mergeCell ref="D99:D100"/>
    <mergeCell ref="F99:F100"/>
    <mergeCell ref="H99:H100"/>
    <mergeCell ref="I99:I100"/>
    <mergeCell ref="H101:H102"/>
    <mergeCell ref="I101:I102"/>
    <mergeCell ref="C101:C102"/>
    <mergeCell ref="D101:D102"/>
    <mergeCell ref="H91:H92"/>
    <mergeCell ref="I91:I92"/>
    <mergeCell ref="D65:D66"/>
    <mergeCell ref="F65:F66"/>
    <mergeCell ref="C79:C80"/>
    <mergeCell ref="D79:D80"/>
    <mergeCell ref="F79:F80"/>
    <mergeCell ref="C77:C78"/>
    <mergeCell ref="D77:D78"/>
    <mergeCell ref="F77:F78"/>
    <mergeCell ref="H65:H66"/>
    <mergeCell ref="I65:I66"/>
    <mergeCell ref="H67:H68"/>
    <mergeCell ref="I67:I68"/>
    <mergeCell ref="H69:H70"/>
    <mergeCell ref="I69:I70"/>
    <mergeCell ref="H71:H72"/>
    <mergeCell ref="I71:I72"/>
    <mergeCell ref="H79:H80"/>
    <mergeCell ref="C75:C76"/>
    <mergeCell ref="D75:D76"/>
    <mergeCell ref="F75:F76"/>
    <mergeCell ref="C71:C72"/>
    <mergeCell ref="D71:D72"/>
    <mergeCell ref="F71:F72"/>
    <mergeCell ref="C73:C74"/>
    <mergeCell ref="H61:H62"/>
    <mergeCell ref="I61:I62"/>
    <mergeCell ref="D73:D74"/>
    <mergeCell ref="F73:F74"/>
    <mergeCell ref="C69:C70"/>
    <mergeCell ref="D69:D70"/>
    <mergeCell ref="F69:F70"/>
    <mergeCell ref="I79:I80"/>
    <mergeCell ref="D42:D43"/>
    <mergeCell ref="F42:F43"/>
    <mergeCell ref="I53:I54"/>
    <mergeCell ref="H55:H56"/>
    <mergeCell ref="I55:I56"/>
    <mergeCell ref="H57:H58"/>
    <mergeCell ref="I38:I39"/>
    <mergeCell ref="I40:I41"/>
    <mergeCell ref="H42:H43"/>
    <mergeCell ref="I42:I43"/>
    <mergeCell ref="I22:I23"/>
    <mergeCell ref="I24:I25"/>
    <mergeCell ref="I26:I27"/>
    <mergeCell ref="H40:H41"/>
    <mergeCell ref="I36:I37"/>
    <mergeCell ref="H73:H74"/>
    <mergeCell ref="I73:I74"/>
    <mergeCell ref="H75:H76"/>
    <mergeCell ref="H77:H78"/>
    <mergeCell ref="I77:I78"/>
    <mergeCell ref="D47:D48"/>
    <mergeCell ref="F47:F48"/>
    <mergeCell ref="C61:C62"/>
    <mergeCell ref="D61:D62"/>
    <mergeCell ref="F61:F62"/>
    <mergeCell ref="C67:C68"/>
    <mergeCell ref="D67:D68"/>
    <mergeCell ref="F67:F68"/>
    <mergeCell ref="F51:F52"/>
    <mergeCell ref="C53:C54"/>
    <mergeCell ref="D53:D54"/>
    <mergeCell ref="F53:F54"/>
    <mergeCell ref="C49:C50"/>
    <mergeCell ref="H34:H35"/>
    <mergeCell ref="I34:I35"/>
    <mergeCell ref="I28:I29"/>
    <mergeCell ref="I30:I31"/>
    <mergeCell ref="H28:H29"/>
    <mergeCell ref="H30:H31"/>
    <mergeCell ref="I32:I33"/>
    <mergeCell ref="C65:C66"/>
    <mergeCell ref="C34:C35"/>
    <mergeCell ref="C36:C37"/>
    <mergeCell ref="C38:C39"/>
    <mergeCell ref="C40:C41"/>
    <mergeCell ref="D36:D37"/>
    <mergeCell ref="D38:D39"/>
    <mergeCell ref="D40:D41"/>
    <mergeCell ref="H36:H37"/>
    <mergeCell ref="H38:H39"/>
    <mergeCell ref="H51:H52"/>
    <mergeCell ref="I51:I52"/>
    <mergeCell ref="F34:F35"/>
    <mergeCell ref="F36:F37"/>
    <mergeCell ref="F38:F39"/>
    <mergeCell ref="F40:F41"/>
    <mergeCell ref="F57:F58"/>
    <mergeCell ref="C12:C13"/>
    <mergeCell ref="C14:C15"/>
    <mergeCell ref="C16:C17"/>
    <mergeCell ref="C18:C19"/>
    <mergeCell ref="C20:C21"/>
    <mergeCell ref="C22:C23"/>
    <mergeCell ref="F28:F29"/>
    <mergeCell ref="F30:F31"/>
    <mergeCell ref="F32:F33"/>
    <mergeCell ref="C24:C25"/>
    <mergeCell ref="C26:C27"/>
    <mergeCell ref="C28:C29"/>
    <mergeCell ref="C30:C31"/>
    <mergeCell ref="C32:C33"/>
    <mergeCell ref="D28:D29"/>
    <mergeCell ref="D30:D31"/>
    <mergeCell ref="F16:F17"/>
    <mergeCell ref="F18:F19"/>
    <mergeCell ref="F20:F21"/>
    <mergeCell ref="D46:E46"/>
    <mergeCell ref="F46:G46"/>
    <mergeCell ref="C42:C43"/>
    <mergeCell ref="D49:D50"/>
    <mergeCell ref="F49:F50"/>
    <mergeCell ref="C51:C52"/>
    <mergeCell ref="D51:D52"/>
    <mergeCell ref="C47:C48"/>
    <mergeCell ref="I20:I21"/>
    <mergeCell ref="H14:H15"/>
    <mergeCell ref="H16:H17"/>
    <mergeCell ref="H18:H19"/>
    <mergeCell ref="D8:D9"/>
    <mergeCell ref="F26:F27"/>
    <mergeCell ref="D24:D25"/>
    <mergeCell ref="D26:D27"/>
    <mergeCell ref="D10:D11"/>
    <mergeCell ref="D12:D13"/>
    <mergeCell ref="D14:D15"/>
    <mergeCell ref="D16:D17"/>
    <mergeCell ref="D18:D19"/>
    <mergeCell ref="D20:D21"/>
    <mergeCell ref="F22:F23"/>
    <mergeCell ref="F24:F25"/>
    <mergeCell ref="D22:D23"/>
    <mergeCell ref="I10:I11"/>
    <mergeCell ref="I12:I13"/>
    <mergeCell ref="I14:I15"/>
    <mergeCell ref="I16:I17"/>
    <mergeCell ref="I18:I19"/>
    <mergeCell ref="H20:H21"/>
    <mergeCell ref="H22:H23"/>
    <mergeCell ref="H24:H25"/>
    <mergeCell ref="H26:H27"/>
    <mergeCell ref="M20:M21"/>
    <mergeCell ref="K8:K9"/>
    <mergeCell ref="K10:K11"/>
    <mergeCell ref="K12:K13"/>
    <mergeCell ref="K14:K15"/>
    <mergeCell ref="K16:K17"/>
    <mergeCell ref="K18:K19"/>
    <mergeCell ref="AE18:AE19"/>
    <mergeCell ref="AF18:AF19"/>
    <mergeCell ref="K20:K21"/>
    <mergeCell ref="L16:L17"/>
    <mergeCell ref="M8:M9"/>
    <mergeCell ref="M10:M11"/>
    <mergeCell ref="M12:M13"/>
    <mergeCell ref="M14:M15"/>
    <mergeCell ref="M16:M17"/>
    <mergeCell ref="M18:M19"/>
    <mergeCell ref="L8:L9"/>
    <mergeCell ref="L10:L11"/>
    <mergeCell ref="L12:L13"/>
    <mergeCell ref="L14:L15"/>
    <mergeCell ref="R14:R15"/>
    <mergeCell ref="S14:S15"/>
    <mergeCell ref="T14:T15"/>
    <mergeCell ref="Z16:Z17"/>
    <mergeCell ref="Z18:Z19"/>
    <mergeCell ref="Z20:Z21"/>
    <mergeCell ref="AE20:AE21"/>
    <mergeCell ref="AE16:AE17"/>
    <mergeCell ref="AF16:AF17"/>
    <mergeCell ref="AF20:AF21"/>
    <mergeCell ref="D7:E7"/>
    <mergeCell ref="F7:G7"/>
    <mergeCell ref="H8:H9"/>
    <mergeCell ref="I8:I9"/>
    <mergeCell ref="H10:H11"/>
    <mergeCell ref="H12:H13"/>
    <mergeCell ref="AE14:AE15"/>
    <mergeCell ref="AF14:AF15"/>
    <mergeCell ref="F8:F9"/>
    <mergeCell ref="F10:F11"/>
    <mergeCell ref="F12:F13"/>
    <mergeCell ref="F14:F15"/>
    <mergeCell ref="O12:O13"/>
    <mergeCell ref="P12:P13"/>
    <mergeCell ref="Q12:Q13"/>
    <mergeCell ref="R12:R13"/>
    <mergeCell ref="S12:S13"/>
    <mergeCell ref="T12:T13"/>
    <mergeCell ref="AF9:AG9"/>
    <mergeCell ref="AE10:AE11"/>
    <mergeCell ref="AF10:AF11"/>
    <mergeCell ref="AE12:AE13"/>
    <mergeCell ref="AF12:AF13"/>
    <mergeCell ref="Z8:Z9"/>
    <mergeCell ref="Z10:Z11"/>
    <mergeCell ref="Z12:Z13"/>
    <mergeCell ref="Z14:Z15"/>
    <mergeCell ref="W8:W9"/>
    <mergeCell ref="W10:W11"/>
    <mergeCell ref="W12:W13"/>
    <mergeCell ref="W14:W15"/>
    <mergeCell ref="J8:J9"/>
    <mergeCell ref="L79:L80"/>
    <mergeCell ref="M79:M80"/>
    <mergeCell ref="K57:K58"/>
    <mergeCell ref="L57:L58"/>
    <mergeCell ref="W55:W56"/>
    <mergeCell ref="AE22:AE23"/>
    <mergeCell ref="AF22:AF23"/>
    <mergeCell ref="AE24:AE25"/>
    <mergeCell ref="AF24:AF25"/>
    <mergeCell ref="AE26:AE27"/>
    <mergeCell ref="AF26:AF27"/>
    <mergeCell ref="AE38:AE39"/>
    <mergeCell ref="AF38:AF39"/>
    <mergeCell ref="AE28:AE29"/>
    <mergeCell ref="AF28:AF29"/>
    <mergeCell ref="AE30:AE31"/>
    <mergeCell ref="AF30:AF31"/>
    <mergeCell ref="AE32:AE33"/>
    <mergeCell ref="AE34:AE35"/>
    <mergeCell ref="AF34:AF35"/>
    <mergeCell ref="AE36:AE37"/>
    <mergeCell ref="AF36:AF37"/>
    <mergeCell ref="AF32:AF33"/>
    <mergeCell ref="K38:K39"/>
    <mergeCell ref="M22:M23"/>
    <mergeCell ref="M24:M25"/>
    <mergeCell ref="M26:M27"/>
    <mergeCell ref="M28:M29"/>
    <mergeCell ref="M30:M31"/>
    <mergeCell ref="AJ75:AJ76"/>
    <mergeCell ref="AL75:AL76"/>
    <mergeCell ref="AJ77:AJ78"/>
    <mergeCell ref="AL77:AL78"/>
    <mergeCell ref="C55:C56"/>
    <mergeCell ref="D55:D56"/>
    <mergeCell ref="F55:F56"/>
    <mergeCell ref="C57:C58"/>
    <mergeCell ref="D57:D58"/>
    <mergeCell ref="AJ65:AJ66"/>
    <mergeCell ref="AL65:AL66"/>
    <mergeCell ref="AJ67:AJ68"/>
    <mergeCell ref="AL67:AL68"/>
    <mergeCell ref="AJ69:AJ70"/>
    <mergeCell ref="AL69:AL70"/>
    <mergeCell ref="AJ71:AJ72"/>
    <mergeCell ref="AL71:AL72"/>
    <mergeCell ref="AJ73:AJ74"/>
    <mergeCell ref="C59:C60"/>
    <mergeCell ref="D59:D60"/>
    <mergeCell ref="F59:F60"/>
    <mergeCell ref="AJ61:AJ62"/>
    <mergeCell ref="AL57:AL58"/>
    <mergeCell ref="I63:I64"/>
    <mergeCell ref="C63:C64"/>
    <mergeCell ref="D63:D64"/>
    <mergeCell ref="F63:F64"/>
    <mergeCell ref="M57:M58"/>
    <mergeCell ref="K59:K60"/>
    <mergeCell ref="L59:L60"/>
    <mergeCell ref="M59:M60"/>
    <mergeCell ref="P57:P58"/>
    <mergeCell ref="AE40:AE41"/>
    <mergeCell ref="AF40:AF41"/>
    <mergeCell ref="AE42:AE43"/>
    <mergeCell ref="AF42:AF43"/>
    <mergeCell ref="D32:D33"/>
    <mergeCell ref="D34:D35"/>
    <mergeCell ref="AJ51:AJ52"/>
    <mergeCell ref="AL51:AL52"/>
    <mergeCell ref="H47:H48"/>
    <mergeCell ref="I47:I48"/>
    <mergeCell ref="H49:H50"/>
    <mergeCell ref="I49:I50"/>
    <mergeCell ref="H59:H60"/>
    <mergeCell ref="I59:I60"/>
    <mergeCell ref="W47:W48"/>
    <mergeCell ref="X47:X48"/>
    <mergeCell ref="Y47:Y82"/>
    <mergeCell ref="Z47:Z48"/>
    <mergeCell ref="W49:W50"/>
    <mergeCell ref="X49:X50"/>
    <mergeCell ref="Z49:Z50"/>
    <mergeCell ref="W51:W52"/>
    <mergeCell ref="X51:X52"/>
    <mergeCell ref="Z51:Z52"/>
    <mergeCell ref="W53:W54"/>
    <mergeCell ref="X53:X54"/>
    <mergeCell ref="Z53:Z54"/>
    <mergeCell ref="H53:H54"/>
    <mergeCell ref="I75:I76"/>
    <mergeCell ref="I57:I58"/>
    <mergeCell ref="H63:H64"/>
    <mergeCell ref="AL73:AL74"/>
    <mergeCell ref="C1:M2"/>
    <mergeCell ref="C89:I89"/>
    <mergeCell ref="P2:R2"/>
    <mergeCell ref="P3:R3"/>
    <mergeCell ref="P4:R4"/>
    <mergeCell ref="C6:I6"/>
    <mergeCell ref="C8:C9"/>
    <mergeCell ref="C10:C11"/>
    <mergeCell ref="AL61:AL62"/>
    <mergeCell ref="AJ63:AJ64"/>
    <mergeCell ref="AL63:AL64"/>
    <mergeCell ref="AJ53:AJ54"/>
    <mergeCell ref="AL53:AL54"/>
    <mergeCell ref="AJ55:AJ56"/>
    <mergeCell ref="AL55:AL56"/>
    <mergeCell ref="AJ57:AJ58"/>
    <mergeCell ref="X8:X9"/>
    <mergeCell ref="X10:X11"/>
    <mergeCell ref="X12:X13"/>
    <mergeCell ref="X14:X15"/>
    <mergeCell ref="X16:X17"/>
    <mergeCell ref="X18:X19"/>
    <mergeCell ref="X20:X21"/>
    <mergeCell ref="C45:I45"/>
    <mergeCell ref="AJ59:AJ60"/>
    <mergeCell ref="AL59:AL60"/>
    <mergeCell ref="AJ45:AJ46"/>
    <mergeCell ref="AL45:AL46"/>
    <mergeCell ref="AJ47:AJ48"/>
    <mergeCell ref="AL47:AL48"/>
    <mergeCell ref="AJ49:AJ50"/>
    <mergeCell ref="AL49:AL50"/>
    <mergeCell ref="AI100:AI101"/>
    <mergeCell ref="AI102:AI103"/>
    <mergeCell ref="AI104:AI105"/>
    <mergeCell ref="AI106:AI107"/>
    <mergeCell ref="AI108:AI109"/>
    <mergeCell ref="AI110:AI111"/>
    <mergeCell ref="AI112:AI113"/>
    <mergeCell ref="AI114:AI115"/>
    <mergeCell ref="AI116:AI117"/>
    <mergeCell ref="AI92:AI93"/>
    <mergeCell ref="AI94:AI95"/>
    <mergeCell ref="AI96:AI97"/>
    <mergeCell ref="AI98:AI99"/>
    <mergeCell ref="AA105:AA106"/>
    <mergeCell ref="AD101:AD102"/>
    <mergeCell ref="AE101:AE102"/>
    <mergeCell ref="AD103:AD104"/>
    <mergeCell ref="AE103:AE104"/>
    <mergeCell ref="AD105:AD106"/>
    <mergeCell ref="AE105:AE106"/>
    <mergeCell ref="AD107:AD108"/>
    <mergeCell ref="AE107:AE108"/>
    <mergeCell ref="AE95:AE96"/>
    <mergeCell ref="AD97:AD98"/>
    <mergeCell ref="AE97:AE98"/>
    <mergeCell ref="AD99:AD100"/>
    <mergeCell ref="AE99:AE100"/>
    <mergeCell ref="AI118:AI119"/>
    <mergeCell ref="AI120:AI121"/>
    <mergeCell ref="AI122:AI123"/>
    <mergeCell ref="AI124:AI125"/>
    <mergeCell ref="AJ128:AJ129"/>
    <mergeCell ref="AL128:AL129"/>
    <mergeCell ref="AJ130:AJ131"/>
    <mergeCell ref="AL130:AL131"/>
    <mergeCell ref="C160:C161"/>
    <mergeCell ref="D160:D161"/>
    <mergeCell ref="AJ148:AJ149"/>
    <mergeCell ref="AL148:AL149"/>
    <mergeCell ref="AJ150:AJ151"/>
    <mergeCell ref="AL150:AL151"/>
    <mergeCell ref="AJ132:AJ133"/>
    <mergeCell ref="AL132:AL133"/>
    <mergeCell ref="AJ134:AJ135"/>
    <mergeCell ref="AL134:AL135"/>
    <mergeCell ref="AJ136:AJ137"/>
    <mergeCell ref="AL136:AL137"/>
    <mergeCell ref="AJ142:AJ143"/>
    <mergeCell ref="AL142:AL143"/>
    <mergeCell ref="AJ144:AJ145"/>
    <mergeCell ref="AL144:AL145"/>
    <mergeCell ref="AJ146:AJ147"/>
    <mergeCell ref="AL146:AL147"/>
    <mergeCell ref="AJ138:AJ139"/>
    <mergeCell ref="AL138:AL139"/>
    <mergeCell ref="C123:C124"/>
    <mergeCell ref="D123:D124"/>
    <mergeCell ref="F123:F124"/>
    <mergeCell ref="D148:D149"/>
    <mergeCell ref="B63:B64"/>
    <mergeCell ref="AJ140:AJ141"/>
    <mergeCell ref="AL140:AL141"/>
    <mergeCell ref="I148:I149"/>
    <mergeCell ref="C142:C143"/>
    <mergeCell ref="Z167:AA167"/>
    <mergeCell ref="C177:I177"/>
    <mergeCell ref="K177:Q177"/>
    <mergeCell ref="C180:I180"/>
    <mergeCell ref="C185:I185"/>
    <mergeCell ref="L181:Q182"/>
    <mergeCell ref="AJ152:AJ153"/>
    <mergeCell ref="AL152:AL153"/>
    <mergeCell ref="AJ154:AJ155"/>
    <mergeCell ref="AL154:AL155"/>
    <mergeCell ref="AJ156:AJ157"/>
    <mergeCell ref="AL156:AL157"/>
    <mergeCell ref="AJ158:AJ159"/>
    <mergeCell ref="AL158:AL159"/>
    <mergeCell ref="V167:W167"/>
    <mergeCell ref="G168:H168"/>
    <mergeCell ref="AJ160:AJ161"/>
    <mergeCell ref="AL160:AL161"/>
    <mergeCell ref="F154:F155"/>
    <mergeCell ref="H154:H155"/>
    <mergeCell ref="I154:I155"/>
    <mergeCell ref="C156:C157"/>
    <mergeCell ref="D156:D157"/>
    <mergeCell ref="F156:F157"/>
    <mergeCell ref="Z164:Z165"/>
    <mergeCell ref="V164:V165"/>
    <mergeCell ref="X146:X147"/>
    <mergeCell ref="V140:V141"/>
    <mergeCell ref="V142:V143"/>
    <mergeCell ref="V144:V145"/>
    <mergeCell ref="V146:V147"/>
    <mergeCell ref="V148:V149"/>
    <mergeCell ref="V150:V151"/>
    <mergeCell ref="V152:V153"/>
    <mergeCell ref="V154:V155"/>
    <mergeCell ref="V156:V157"/>
    <mergeCell ref="V158:V159"/>
    <mergeCell ref="V160:V161"/>
    <mergeCell ref="V162:V163"/>
    <mergeCell ref="B65:B66"/>
    <mergeCell ref="B67:B68"/>
    <mergeCell ref="B69:B70"/>
    <mergeCell ref="B71:B72"/>
    <mergeCell ref="B73:B74"/>
    <mergeCell ref="B75:B76"/>
    <mergeCell ref="B77:B78"/>
    <mergeCell ref="B79:B80"/>
    <mergeCell ref="C91:C92"/>
    <mergeCell ref="D91:D92"/>
    <mergeCell ref="F91:F92"/>
    <mergeCell ref="D90:E90"/>
    <mergeCell ref="F90:G90"/>
    <mergeCell ref="C85:M86"/>
    <mergeCell ref="I95:I96"/>
    <mergeCell ref="C97:C98"/>
    <mergeCell ref="D97:D98"/>
    <mergeCell ref="F97:F98"/>
    <mergeCell ref="H97:H98"/>
    <mergeCell ref="I97:I98"/>
    <mergeCell ref="X22:X23"/>
    <mergeCell ref="X24:X25"/>
    <mergeCell ref="X26:X27"/>
    <mergeCell ref="X28:X29"/>
    <mergeCell ref="X30:X31"/>
    <mergeCell ref="X32:X33"/>
    <mergeCell ref="X34:X35"/>
    <mergeCell ref="X36:X37"/>
    <mergeCell ref="X38:X39"/>
    <mergeCell ref="X40:X41"/>
    <mergeCell ref="X42:X43"/>
    <mergeCell ref="Y8:Y43"/>
    <mergeCell ref="V130:V131"/>
    <mergeCell ref="V132:V133"/>
    <mergeCell ref="V134:V135"/>
    <mergeCell ref="V136:V137"/>
    <mergeCell ref="V138:V139"/>
    <mergeCell ref="W16:W17"/>
    <mergeCell ref="V22:V23"/>
    <mergeCell ref="V24:V25"/>
    <mergeCell ref="V26:V27"/>
    <mergeCell ref="V28:V29"/>
    <mergeCell ref="V30:V31"/>
    <mergeCell ref="V32:V33"/>
    <mergeCell ref="W42:W43"/>
    <mergeCell ref="W30:W31"/>
    <mergeCell ref="W32:W33"/>
    <mergeCell ref="W34:W35"/>
    <mergeCell ref="W36:W37"/>
    <mergeCell ref="W38:W39"/>
    <mergeCell ref="W40:W41"/>
    <mergeCell ref="W18:W19"/>
    <mergeCell ref="Z22:Z23"/>
    <mergeCell ref="Z24:Z25"/>
    <mergeCell ref="Z26:Z27"/>
    <mergeCell ref="Z28:Z29"/>
    <mergeCell ref="Z30:Z31"/>
    <mergeCell ref="Z32:Z33"/>
    <mergeCell ref="Z34:Z35"/>
    <mergeCell ref="Z36:Z37"/>
    <mergeCell ref="Z38:Z39"/>
    <mergeCell ref="Z40:Z41"/>
    <mergeCell ref="Z42:Z43"/>
    <mergeCell ref="AB8:AB9"/>
    <mergeCell ref="AB10:AB11"/>
    <mergeCell ref="AB12:AB13"/>
    <mergeCell ref="AB14:AB15"/>
    <mergeCell ref="AB16:AB17"/>
    <mergeCell ref="AB18:AB19"/>
    <mergeCell ref="AB20:AB21"/>
    <mergeCell ref="AB22:AB23"/>
    <mergeCell ref="AB24:AB25"/>
    <mergeCell ref="AB26:AB27"/>
    <mergeCell ref="AB28:AB29"/>
    <mergeCell ref="AB30:AB31"/>
    <mergeCell ref="AB32:AB33"/>
    <mergeCell ref="AB34:AB35"/>
    <mergeCell ref="AB36:AB37"/>
    <mergeCell ref="AB38:AB39"/>
    <mergeCell ref="AB40:AB41"/>
    <mergeCell ref="AB42:AB43"/>
    <mergeCell ref="AA40:AA41"/>
    <mergeCell ref="X55:X56"/>
    <mergeCell ref="Z55:Z56"/>
    <mergeCell ref="W57:W58"/>
    <mergeCell ref="X57:X58"/>
    <mergeCell ref="Z57:Z58"/>
    <mergeCell ref="W59:W60"/>
    <mergeCell ref="X59:X60"/>
    <mergeCell ref="Z59:Z60"/>
    <mergeCell ref="W61:W62"/>
    <mergeCell ref="X61:X62"/>
    <mergeCell ref="Z61:Z62"/>
    <mergeCell ref="W63:W64"/>
    <mergeCell ref="X63:X64"/>
    <mergeCell ref="Z63:Z64"/>
    <mergeCell ref="W65:W66"/>
    <mergeCell ref="X65:X66"/>
    <mergeCell ref="Z65:Z66"/>
    <mergeCell ref="X107:X108"/>
    <mergeCell ref="AA107:AA108"/>
    <mergeCell ref="X109:X110"/>
    <mergeCell ref="W67:W68"/>
    <mergeCell ref="X67:X68"/>
    <mergeCell ref="Z67:Z68"/>
    <mergeCell ref="W69:W70"/>
    <mergeCell ref="X69:X70"/>
    <mergeCell ref="Z69:Z70"/>
    <mergeCell ref="W71:W72"/>
    <mergeCell ref="X71:X72"/>
    <mergeCell ref="Z71:Z72"/>
    <mergeCell ref="W73:W74"/>
    <mergeCell ref="X73:X74"/>
    <mergeCell ref="Z73:Z74"/>
    <mergeCell ref="W75:W76"/>
    <mergeCell ref="X75:X76"/>
    <mergeCell ref="Z75:Z76"/>
    <mergeCell ref="W77:W78"/>
    <mergeCell ref="X77:X78"/>
    <mergeCell ref="Z77:Z78"/>
    <mergeCell ref="AA81:AA82"/>
    <mergeCell ref="W91:W92"/>
    <mergeCell ref="Z99:Z100"/>
    <mergeCell ref="W101:W102"/>
    <mergeCell ref="Z101:Z102"/>
    <mergeCell ref="W103:W104"/>
    <mergeCell ref="Z103:Z104"/>
    <mergeCell ref="W105:W106"/>
    <mergeCell ref="Z105:Z106"/>
    <mergeCell ref="W107:W108"/>
    <mergeCell ref="Z107:Z108"/>
    <mergeCell ref="W158:W159"/>
    <mergeCell ref="X158:X159"/>
    <mergeCell ref="Z158:Z159"/>
    <mergeCell ref="X123:X124"/>
    <mergeCell ref="AA123:AA124"/>
    <mergeCell ref="X125:X126"/>
    <mergeCell ref="AA125:AA126"/>
    <mergeCell ref="W130:W131"/>
    <mergeCell ref="X130:X131"/>
    <mergeCell ref="Y130:Y165"/>
    <mergeCell ref="Z130:Z131"/>
    <mergeCell ref="W132:W133"/>
    <mergeCell ref="X132:X133"/>
    <mergeCell ref="Z132:Z133"/>
    <mergeCell ref="W134:W135"/>
    <mergeCell ref="X134:X135"/>
    <mergeCell ref="Z134:Z135"/>
    <mergeCell ref="W136:W137"/>
    <mergeCell ref="X136:X137"/>
    <mergeCell ref="Z136:Z137"/>
    <mergeCell ref="W138:W139"/>
    <mergeCell ref="X138:X139"/>
    <mergeCell ref="Z138:Z139"/>
    <mergeCell ref="W140:W141"/>
    <mergeCell ref="X140:X141"/>
    <mergeCell ref="Z140:Z141"/>
    <mergeCell ref="W142:W143"/>
    <mergeCell ref="X142:X143"/>
    <mergeCell ref="Z142:Z143"/>
    <mergeCell ref="W144:W145"/>
    <mergeCell ref="Z146:Z147"/>
    <mergeCell ref="X152:X153"/>
    <mergeCell ref="W154:W155"/>
    <mergeCell ref="X154:X155"/>
    <mergeCell ref="Z154:Z155"/>
    <mergeCell ref="W156:W157"/>
    <mergeCell ref="X156:X157"/>
    <mergeCell ref="Z156:Z157"/>
    <mergeCell ref="X144:X145"/>
    <mergeCell ref="Z144:Z145"/>
    <mergeCell ref="W146:W147"/>
    <mergeCell ref="AA109:AA110"/>
    <mergeCell ref="X111:X112"/>
    <mergeCell ref="AA111:AA112"/>
    <mergeCell ref="X113:X114"/>
    <mergeCell ref="AA113:AA114"/>
    <mergeCell ref="X115:X116"/>
    <mergeCell ref="AA115:AA116"/>
    <mergeCell ref="X117:X118"/>
    <mergeCell ref="AA117:AA118"/>
    <mergeCell ref="X119:X120"/>
    <mergeCell ref="AA119:AA120"/>
    <mergeCell ref="X121:X122"/>
    <mergeCell ref="AA121:AA122"/>
    <mergeCell ref="Y91:Y126"/>
    <mergeCell ref="Z91:Z92"/>
    <mergeCell ref="W93:W94"/>
    <mergeCell ref="Z93:Z94"/>
    <mergeCell ref="W95:W96"/>
    <mergeCell ref="Z95:Z96"/>
    <mergeCell ref="W97:W98"/>
    <mergeCell ref="Z97:Z98"/>
    <mergeCell ref="W99:W100"/>
    <mergeCell ref="X105:X106"/>
    <mergeCell ref="AC47:AC48"/>
    <mergeCell ref="AB47:AB48"/>
    <mergeCell ref="W160:W161"/>
    <mergeCell ref="X160:X161"/>
    <mergeCell ref="Z160:Z161"/>
    <mergeCell ref="W162:W163"/>
    <mergeCell ref="X162:X163"/>
    <mergeCell ref="Z162:Z163"/>
    <mergeCell ref="W164:W165"/>
    <mergeCell ref="X164:X165"/>
    <mergeCell ref="AC51:AC52"/>
    <mergeCell ref="AB51:AB52"/>
    <mergeCell ref="AC53:AC54"/>
    <mergeCell ref="AB53:AB54"/>
    <mergeCell ref="AC55:AC56"/>
    <mergeCell ref="AB55:AB56"/>
    <mergeCell ref="AC57:AC58"/>
    <mergeCell ref="AB57:AB58"/>
    <mergeCell ref="AC59:AC60"/>
    <mergeCell ref="AB59:AB60"/>
    <mergeCell ref="AC61:AC62"/>
    <mergeCell ref="AB61:AB62"/>
    <mergeCell ref="AC49:AC50"/>
    <mergeCell ref="AB49:AB50"/>
    <mergeCell ref="AC65:AC66"/>
    <mergeCell ref="AB65:AB66"/>
    <mergeCell ref="AC63:AC64"/>
    <mergeCell ref="AB63:AB64"/>
    <mergeCell ref="AC77:AC78"/>
    <mergeCell ref="W148:W149"/>
    <mergeCell ref="X148:X149"/>
    <mergeCell ref="Z148:Z149"/>
    <mergeCell ref="AB67:AB68"/>
    <mergeCell ref="AC69:AC70"/>
    <mergeCell ref="AB69:AB70"/>
    <mergeCell ref="AC71:AC72"/>
    <mergeCell ref="AB71:AB72"/>
    <mergeCell ref="AC73:AC74"/>
    <mergeCell ref="AB73:AB74"/>
    <mergeCell ref="AC75:AC76"/>
    <mergeCell ref="AB75:AB76"/>
    <mergeCell ref="AB77:AB78"/>
    <mergeCell ref="AC79:AC80"/>
    <mergeCell ref="AB79:AB80"/>
    <mergeCell ref="AC67:AC68"/>
    <mergeCell ref="AC81:AC82"/>
    <mergeCell ref="AC136:AC137"/>
    <mergeCell ref="AD136:AD137"/>
    <mergeCell ref="AC138:AC139"/>
    <mergeCell ref="AD138:AD139"/>
    <mergeCell ref="AC140:AC141"/>
    <mergeCell ref="AD140:AD141"/>
    <mergeCell ref="AD121:AD122"/>
    <mergeCell ref="AE121:AE122"/>
    <mergeCell ref="AD123:AD124"/>
    <mergeCell ref="AE123:AE124"/>
    <mergeCell ref="AD125:AD126"/>
    <mergeCell ref="AE125:AE126"/>
    <mergeCell ref="W44:Y44"/>
    <mergeCell ref="W83:Y83"/>
    <mergeCell ref="AD109:AD110"/>
    <mergeCell ref="AE109:AE110"/>
    <mergeCell ref="AD111:AD112"/>
    <mergeCell ref="AE111:AE112"/>
    <mergeCell ref="AD113:AD114"/>
    <mergeCell ref="AE113:AE114"/>
    <mergeCell ref="AD115:AD116"/>
    <mergeCell ref="AE115:AE116"/>
    <mergeCell ref="AD117:AD118"/>
    <mergeCell ref="AE117:AE118"/>
    <mergeCell ref="AD119:AD120"/>
    <mergeCell ref="AE119:AE120"/>
    <mergeCell ref="AB81:AB82"/>
    <mergeCell ref="AD91:AD92"/>
    <mergeCell ref="AE91:AE92"/>
    <mergeCell ref="AD93:AD94"/>
    <mergeCell ref="AE93:AE94"/>
    <mergeCell ref="AD95:AD96"/>
    <mergeCell ref="AA47:AA48"/>
    <mergeCell ref="AA49:AA50"/>
    <mergeCell ref="AA51:AA52"/>
    <mergeCell ref="AA53:AA54"/>
    <mergeCell ref="J40:J41"/>
    <mergeCell ref="J42:J43"/>
    <mergeCell ref="AC154:AC155"/>
    <mergeCell ref="AD154:AD155"/>
    <mergeCell ref="AC156:AC157"/>
    <mergeCell ref="AD156:AD157"/>
    <mergeCell ref="AC158:AC159"/>
    <mergeCell ref="AD158:AD159"/>
    <mergeCell ref="AC160:AC161"/>
    <mergeCell ref="AD160:AD161"/>
    <mergeCell ref="AC162:AC163"/>
    <mergeCell ref="AD162:AD163"/>
    <mergeCell ref="AC164:AC165"/>
    <mergeCell ref="AD164:AD165"/>
    <mergeCell ref="AC142:AC143"/>
    <mergeCell ref="AD142:AD143"/>
    <mergeCell ref="AC144:AC145"/>
    <mergeCell ref="AD144:AD145"/>
    <mergeCell ref="AC146:AC147"/>
    <mergeCell ref="AD146:AD147"/>
    <mergeCell ref="AC148:AC149"/>
    <mergeCell ref="AD148:AD149"/>
    <mergeCell ref="AC150:AC151"/>
    <mergeCell ref="AD150:AD151"/>
    <mergeCell ref="AC152:AC153"/>
    <mergeCell ref="AD152:AD153"/>
    <mergeCell ref="AC130:AC131"/>
    <mergeCell ref="AD130:AD131"/>
    <mergeCell ref="AC132:AC133"/>
    <mergeCell ref="AD132:AD133"/>
    <mergeCell ref="AC134:AC135"/>
    <mergeCell ref="AD134:AD135"/>
    <mergeCell ref="J6:K6"/>
    <mergeCell ref="J47:J48"/>
    <mergeCell ref="J49:J50"/>
    <mergeCell ref="J51:J52"/>
    <mergeCell ref="J53:J54"/>
    <mergeCell ref="J55:J56"/>
    <mergeCell ref="J57:J58"/>
    <mergeCell ref="J59:J60"/>
    <mergeCell ref="J61:J62"/>
    <mergeCell ref="J63:J64"/>
    <mergeCell ref="J65:J66"/>
    <mergeCell ref="J67:J68"/>
    <mergeCell ref="J69:J70"/>
    <mergeCell ref="J71:J72"/>
    <mergeCell ref="J73:J74"/>
    <mergeCell ref="J75:J76"/>
    <mergeCell ref="J77:J78"/>
    <mergeCell ref="J10:J11"/>
    <mergeCell ref="J12:J13"/>
    <mergeCell ref="J14:J15"/>
    <mergeCell ref="J16:J17"/>
    <mergeCell ref="J18:J19"/>
    <mergeCell ref="J20:J21"/>
    <mergeCell ref="J22:J23"/>
    <mergeCell ref="J24:J25"/>
    <mergeCell ref="J26:J27"/>
    <mergeCell ref="J28:J29"/>
    <mergeCell ref="J30:J31"/>
    <mergeCell ref="J32:J33"/>
    <mergeCell ref="J34:J35"/>
    <mergeCell ref="J36:J37"/>
    <mergeCell ref="J38:J39"/>
    <mergeCell ref="J128:K128"/>
    <mergeCell ref="J130:J131"/>
    <mergeCell ref="J132:J133"/>
    <mergeCell ref="J134:J135"/>
    <mergeCell ref="J136:J137"/>
    <mergeCell ref="J138:J139"/>
    <mergeCell ref="J140:J141"/>
    <mergeCell ref="J142:J143"/>
    <mergeCell ref="J144:J145"/>
    <mergeCell ref="J146:J147"/>
    <mergeCell ref="J148:J149"/>
    <mergeCell ref="J150:J151"/>
    <mergeCell ref="J152:J153"/>
    <mergeCell ref="J79:J80"/>
    <mergeCell ref="J45:K45"/>
    <mergeCell ref="J89:K89"/>
    <mergeCell ref="J91:J92"/>
    <mergeCell ref="J93:J94"/>
    <mergeCell ref="J95:J96"/>
    <mergeCell ref="J97:J98"/>
    <mergeCell ref="J99:J100"/>
    <mergeCell ref="J101:J102"/>
    <mergeCell ref="J103:J104"/>
    <mergeCell ref="J105:J106"/>
    <mergeCell ref="J107:J108"/>
    <mergeCell ref="J109:J110"/>
    <mergeCell ref="J111:J112"/>
    <mergeCell ref="J113:J114"/>
    <mergeCell ref="J115:J116"/>
    <mergeCell ref="J117:J118"/>
    <mergeCell ref="K79:K80"/>
    <mergeCell ref="K53:K54"/>
    <mergeCell ref="AA55:AA56"/>
    <mergeCell ref="AA57:AA58"/>
    <mergeCell ref="AA59:AA60"/>
    <mergeCell ref="AA61:AA62"/>
    <mergeCell ref="AA63:AA64"/>
    <mergeCell ref="AA65:AA66"/>
    <mergeCell ref="AA67:AA68"/>
    <mergeCell ref="AA69:AA70"/>
    <mergeCell ref="AA71:AA72"/>
    <mergeCell ref="J119:J120"/>
    <mergeCell ref="J121:J122"/>
    <mergeCell ref="J123:J124"/>
    <mergeCell ref="J125:J126"/>
    <mergeCell ref="W79:W80"/>
    <mergeCell ref="X79:X80"/>
    <mergeCell ref="Z79:Z80"/>
    <mergeCell ref="W81:W82"/>
    <mergeCell ref="X81:X82"/>
    <mergeCell ref="Z81:Z82"/>
    <mergeCell ref="X91:X92"/>
    <mergeCell ref="AA91:AA92"/>
    <mergeCell ref="X93:X94"/>
    <mergeCell ref="AA93:AA94"/>
    <mergeCell ref="X95:X96"/>
    <mergeCell ref="AA95:AA96"/>
    <mergeCell ref="X97:X98"/>
    <mergeCell ref="AA97:AA98"/>
    <mergeCell ref="X99:X100"/>
    <mergeCell ref="AA73:AA74"/>
    <mergeCell ref="AA75:AA76"/>
    <mergeCell ref="AA77:AA78"/>
    <mergeCell ref="AA79:AA80"/>
    <mergeCell ref="W109:W110"/>
    <mergeCell ref="Z109:Z110"/>
    <mergeCell ref="W111:W112"/>
    <mergeCell ref="AA99:AA100"/>
    <mergeCell ref="X101:X102"/>
    <mergeCell ref="AA101:AA102"/>
    <mergeCell ref="X103:X104"/>
    <mergeCell ref="AA103:AA104"/>
    <mergeCell ref="AA148:AA149"/>
    <mergeCell ref="AA150:AA151"/>
    <mergeCell ref="AA152:AA153"/>
    <mergeCell ref="AA154:AA155"/>
    <mergeCell ref="AA156:AA157"/>
    <mergeCell ref="AA158:AA159"/>
    <mergeCell ref="AA160:AA161"/>
    <mergeCell ref="AA162:AA163"/>
    <mergeCell ref="V128:AA128"/>
    <mergeCell ref="Z111:Z112"/>
    <mergeCell ref="W113:W114"/>
    <mergeCell ref="Z113:Z114"/>
    <mergeCell ref="W115:W116"/>
    <mergeCell ref="Z115:Z116"/>
    <mergeCell ref="W117:W118"/>
    <mergeCell ref="Z117:Z118"/>
    <mergeCell ref="W119:W120"/>
    <mergeCell ref="Z119:Z120"/>
    <mergeCell ref="W121:W122"/>
    <mergeCell ref="Z121:Z122"/>
    <mergeCell ref="W123:W124"/>
    <mergeCell ref="Z123:Z124"/>
    <mergeCell ref="W125:W126"/>
    <mergeCell ref="X150:X151"/>
    <mergeCell ref="Z150:Z151"/>
    <mergeCell ref="W152:W153"/>
    <mergeCell ref="AB123:AB124"/>
    <mergeCell ref="AB125:AB126"/>
    <mergeCell ref="AB130:AB131"/>
    <mergeCell ref="AB132:AB133"/>
    <mergeCell ref="AB134:AB135"/>
    <mergeCell ref="AB136:AB137"/>
    <mergeCell ref="AB138:AB139"/>
    <mergeCell ref="AB140:AB141"/>
    <mergeCell ref="AB142:AB143"/>
    <mergeCell ref="AB144:AB145"/>
    <mergeCell ref="AA134:AA135"/>
    <mergeCell ref="AA136:AA137"/>
    <mergeCell ref="AA138:AA139"/>
    <mergeCell ref="AA140:AA141"/>
    <mergeCell ref="AA142:AA143"/>
    <mergeCell ref="AA144:AA145"/>
    <mergeCell ref="AA146:AA147"/>
    <mergeCell ref="AB146:AB147"/>
    <mergeCell ref="AB148:AB149"/>
    <mergeCell ref="AB150:AB151"/>
    <mergeCell ref="AB152:AB153"/>
    <mergeCell ref="Z152:Z153"/>
    <mergeCell ref="AB154:AB155"/>
    <mergeCell ref="AB156:AB157"/>
    <mergeCell ref="AB158:AB159"/>
    <mergeCell ref="AB160:AB161"/>
    <mergeCell ref="AB162:AB163"/>
    <mergeCell ref="AB164:AB165"/>
    <mergeCell ref="N45:U45"/>
    <mergeCell ref="N6:U6"/>
    <mergeCell ref="V6:AA6"/>
    <mergeCell ref="W45:AA45"/>
    <mergeCell ref="AA42:AA43"/>
    <mergeCell ref="AA164:AA165"/>
    <mergeCell ref="AB91:AB92"/>
    <mergeCell ref="AB93:AB94"/>
    <mergeCell ref="AB95:AB96"/>
    <mergeCell ref="AB97:AB98"/>
    <mergeCell ref="AB99:AB100"/>
    <mergeCell ref="AB101:AB102"/>
    <mergeCell ref="AB103:AB104"/>
    <mergeCell ref="AB105:AB106"/>
    <mergeCell ref="AB107:AB108"/>
    <mergeCell ref="AB109:AB110"/>
    <mergeCell ref="AB111:AB112"/>
    <mergeCell ref="AB113:AB114"/>
    <mergeCell ref="AB115:AB116"/>
    <mergeCell ref="AB117:AB118"/>
    <mergeCell ref="AB119:AB120"/>
    <mergeCell ref="AB121:AB122"/>
    <mergeCell ref="Z125:Z126"/>
    <mergeCell ref="AA130:AA131"/>
    <mergeCell ref="AA132:AA133"/>
    <mergeCell ref="W150:W151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F183"/>
  <sheetViews>
    <sheetView workbookViewId="0">
      <selection activeCell="G19" sqref="G19"/>
    </sheetView>
  </sheetViews>
  <sheetFormatPr defaultRowHeight="15"/>
  <cols>
    <col min="4" max="4" width="11.28515625" bestFit="1" customWidth="1"/>
    <col min="6" max="6" width="10.28515625" customWidth="1"/>
    <col min="7" max="8" width="9.140625" customWidth="1"/>
    <col min="10" max="10" width="11.42578125" customWidth="1"/>
    <col min="12" max="12" width="13.7109375" customWidth="1"/>
    <col min="13" max="13" width="12.42578125" customWidth="1"/>
  </cols>
  <sheetData>
    <row r="1" spans="2:32" ht="15.75" customHeight="1" thickBot="1">
      <c r="C1" s="157" t="s">
        <v>12</v>
      </c>
      <c r="D1" s="158"/>
      <c r="E1" s="158"/>
      <c r="F1" s="158"/>
      <c r="G1" s="158"/>
      <c r="H1" s="158"/>
      <c r="I1" s="158"/>
      <c r="J1" s="158"/>
      <c r="K1" s="158"/>
      <c r="L1" s="158"/>
      <c r="M1" s="159"/>
    </row>
    <row r="2" spans="2:32" ht="15.75" customHeight="1" thickBot="1">
      <c r="C2" s="160"/>
      <c r="D2" s="161"/>
      <c r="E2" s="161"/>
      <c r="F2" s="161"/>
      <c r="G2" s="161"/>
      <c r="H2" s="161"/>
      <c r="I2" s="161"/>
      <c r="J2" s="161"/>
      <c r="K2" s="161"/>
      <c r="L2" s="161"/>
      <c r="M2" s="162"/>
      <c r="O2" s="4" t="s">
        <v>23</v>
      </c>
      <c r="P2" s="164" t="s">
        <v>15</v>
      </c>
      <c r="Q2" s="164"/>
      <c r="R2" s="165"/>
    </row>
    <row r="3" spans="2:32">
      <c r="O3" s="5" t="s">
        <v>22</v>
      </c>
      <c r="P3" s="166" t="s">
        <v>17</v>
      </c>
      <c r="Q3" s="166"/>
      <c r="R3" s="167"/>
    </row>
    <row r="4" spans="2:32" ht="15.75" thickBot="1">
      <c r="C4" s="7"/>
      <c r="D4" s="7"/>
      <c r="E4" s="7"/>
      <c r="F4" s="7"/>
      <c r="G4" s="7"/>
      <c r="H4" s="7"/>
      <c r="I4" s="7"/>
      <c r="O4" s="6" t="s">
        <v>21</v>
      </c>
      <c r="P4" s="168" t="s">
        <v>15</v>
      </c>
      <c r="Q4" s="168"/>
      <c r="R4" s="169"/>
    </row>
    <row r="5" spans="2:32" ht="15.75" thickBot="1">
      <c r="C5" s="7"/>
      <c r="D5" s="7" t="s">
        <v>19</v>
      </c>
      <c r="E5" s="7" t="s">
        <v>20</v>
      </c>
      <c r="F5" s="7"/>
      <c r="G5" s="7"/>
      <c r="H5" s="7" t="s">
        <v>24</v>
      </c>
      <c r="I5" s="7"/>
      <c r="Q5" s="1"/>
      <c r="R5" s="1"/>
      <c r="S5" s="1"/>
      <c r="T5" s="1"/>
      <c r="U5" s="1"/>
      <c r="V5" s="1"/>
      <c r="W5" s="1"/>
      <c r="X5" s="1"/>
    </row>
    <row r="6" spans="2:32" ht="16.5" thickBot="1">
      <c r="C6" s="170" t="s">
        <v>5</v>
      </c>
      <c r="D6" s="171"/>
      <c r="E6" s="171"/>
      <c r="F6" s="171"/>
      <c r="G6" s="171"/>
      <c r="H6" s="171"/>
      <c r="I6" s="172"/>
      <c r="J6" s="201"/>
      <c r="K6" s="14"/>
      <c r="L6" s="8" t="s">
        <v>18</v>
      </c>
      <c r="M6" s="9" t="s">
        <v>16</v>
      </c>
      <c r="Q6" s="1"/>
      <c r="R6" s="1"/>
      <c r="S6" s="1"/>
      <c r="T6" s="1"/>
      <c r="U6" s="1"/>
      <c r="V6" s="1"/>
      <c r="W6" s="1"/>
      <c r="X6" s="1"/>
    </row>
    <row r="7" spans="2:32" ht="15.75" thickBot="1">
      <c r="B7" t="s">
        <v>27</v>
      </c>
      <c r="C7" s="15" t="s">
        <v>2</v>
      </c>
      <c r="D7" s="130" t="s">
        <v>1</v>
      </c>
      <c r="E7" s="130"/>
      <c r="F7" s="130" t="s">
        <v>0</v>
      </c>
      <c r="G7" s="130"/>
      <c r="H7" s="15" t="s">
        <v>4</v>
      </c>
      <c r="I7" s="15" t="s">
        <v>3</v>
      </c>
      <c r="J7" s="112"/>
      <c r="K7" s="15" t="s">
        <v>2</v>
      </c>
      <c r="L7" s="15" t="s">
        <v>13</v>
      </c>
      <c r="M7" s="15" t="s">
        <v>14</v>
      </c>
      <c r="AB7" t="s">
        <v>28</v>
      </c>
    </row>
    <row r="8" spans="2:32" ht="15.75" thickBot="1">
      <c r="C8" s="124">
        <v>5</v>
      </c>
      <c r="D8" s="183">
        <v>2.7699999999999999E-2</v>
      </c>
      <c r="E8" s="16">
        <v>0.17199999999999999</v>
      </c>
      <c r="F8" s="183">
        <v>0</v>
      </c>
      <c r="G8" s="28">
        <v>0</v>
      </c>
      <c r="H8" s="138">
        <f>(AVERAGE(E8:E9)/D8)</f>
        <v>6.1732851985559565</v>
      </c>
      <c r="I8" s="178" t="e">
        <f>(AVERAGE(G8:G9)/F8)</f>
        <v>#DIV/0!</v>
      </c>
      <c r="J8" s="112"/>
      <c r="K8" s="175">
        <v>5</v>
      </c>
      <c r="L8" s="140">
        <f>H8/$H$168</f>
        <v>0.85544094894275402</v>
      </c>
      <c r="M8" s="139" t="e">
        <f>I8/$H$168</f>
        <v>#DIV/0!</v>
      </c>
      <c r="O8" t="s">
        <v>25</v>
      </c>
      <c r="P8" s="1"/>
      <c r="Q8" s="1"/>
      <c r="R8" s="1"/>
      <c r="S8" s="1"/>
      <c r="T8" s="1"/>
      <c r="U8" s="1"/>
      <c r="V8" s="1"/>
      <c r="W8" s="1"/>
      <c r="X8" s="1"/>
    </row>
    <row r="9" spans="2:32" ht="15.75" thickBot="1">
      <c r="C9" s="124"/>
      <c r="D9" s="177"/>
      <c r="E9" s="17">
        <v>0.17</v>
      </c>
      <c r="F9" s="177"/>
      <c r="G9" s="18">
        <v>0</v>
      </c>
      <c r="H9" s="138"/>
      <c r="I9" s="141"/>
      <c r="J9" s="112"/>
      <c r="K9" s="175"/>
      <c r="L9" s="140"/>
      <c r="M9" s="139"/>
      <c r="O9" t="s">
        <v>26</v>
      </c>
      <c r="P9" s="1"/>
      <c r="Q9" s="1"/>
      <c r="R9" s="1"/>
      <c r="S9" s="1"/>
      <c r="T9" s="1"/>
      <c r="U9" s="1"/>
      <c r="V9" s="1"/>
      <c r="W9" s="1"/>
      <c r="X9" s="1"/>
      <c r="AB9" s="15" t="s">
        <v>2</v>
      </c>
      <c r="AC9" s="130" t="s">
        <v>1</v>
      </c>
      <c r="AD9" s="130"/>
      <c r="AE9" s="130" t="s">
        <v>0</v>
      </c>
      <c r="AF9" s="130"/>
    </row>
    <row r="10" spans="2:32" ht="15.75" thickBot="1">
      <c r="C10" s="124">
        <v>10</v>
      </c>
      <c r="D10" s="177">
        <v>2.76E-2</v>
      </c>
      <c r="E10" s="18">
        <v>0.17299999999999999</v>
      </c>
      <c r="F10" s="180">
        <v>0</v>
      </c>
      <c r="G10" s="18">
        <v>0</v>
      </c>
      <c r="H10" s="138">
        <f>(AVERAGE(E10:E11)/D10)</f>
        <v>6.2862318840579707</v>
      </c>
      <c r="I10" s="141" t="e">
        <f>(AVERAGE(G10:G11)/F10)</f>
        <v>#DIV/0!</v>
      </c>
      <c r="J10" s="112"/>
      <c r="K10" s="175">
        <v>10</v>
      </c>
      <c r="L10" s="140">
        <f>H10/$H$168</f>
        <v>0.87109213250517603</v>
      </c>
      <c r="M10" s="139" t="e">
        <f>I10/$H$168</f>
        <v>#DIV/0!</v>
      </c>
      <c r="P10" s="1"/>
      <c r="Q10" s="1"/>
      <c r="R10" s="1"/>
      <c r="S10" s="1"/>
      <c r="T10" s="1"/>
      <c r="U10" s="1"/>
      <c r="V10" s="1"/>
      <c r="W10" s="1"/>
      <c r="X10" s="1"/>
      <c r="AB10" s="175">
        <v>5</v>
      </c>
      <c r="AC10" s="140">
        <v>2.6800000000000001E-2</v>
      </c>
      <c r="AD10" s="12">
        <v>0.186</v>
      </c>
      <c r="AE10" s="140"/>
      <c r="AF10" s="11"/>
    </row>
    <row r="11" spans="2:32" ht="15.75" thickBot="1">
      <c r="C11" s="124"/>
      <c r="D11" s="177"/>
      <c r="E11" s="18">
        <v>0.17399999999999999</v>
      </c>
      <c r="F11" s="180"/>
      <c r="G11" s="18">
        <v>0</v>
      </c>
      <c r="H11" s="138"/>
      <c r="I11" s="141"/>
      <c r="J11" s="112"/>
      <c r="K11" s="175"/>
      <c r="L11" s="140"/>
      <c r="M11" s="139"/>
      <c r="P11" s="1"/>
      <c r="Q11" s="1"/>
      <c r="R11" s="1"/>
      <c r="S11" s="1"/>
      <c r="T11" s="1"/>
      <c r="U11" s="1"/>
      <c r="V11" s="1"/>
      <c r="W11" s="1"/>
      <c r="X11" s="1"/>
      <c r="AB11" s="175"/>
      <c r="AC11" s="140"/>
      <c r="AD11" s="12">
        <v>0.188</v>
      </c>
      <c r="AE11" s="140"/>
      <c r="AF11" s="11"/>
    </row>
    <row r="12" spans="2:32" ht="15.75" thickBot="1">
      <c r="C12" s="124">
        <v>15</v>
      </c>
      <c r="D12" s="177">
        <v>2.76E-2</v>
      </c>
      <c r="E12" s="18">
        <v>0.17399999999999999</v>
      </c>
      <c r="F12" s="180">
        <v>0</v>
      </c>
      <c r="G12" s="18">
        <v>0</v>
      </c>
      <c r="H12" s="138">
        <f>(AVERAGE(E12:E13)/D12)</f>
        <v>6.3405797101449268</v>
      </c>
      <c r="I12" s="141" t="e">
        <f>(AVERAGE(G12:G13)/F12)</f>
        <v>#DIV/0!</v>
      </c>
      <c r="J12" s="112"/>
      <c r="K12" s="175">
        <v>15</v>
      </c>
      <c r="L12" s="140">
        <f>H12/$H$168</f>
        <v>0.87862318840579712</v>
      </c>
      <c r="M12" s="139" t="e">
        <f>I12/$H$168</f>
        <v>#DIV/0!</v>
      </c>
      <c r="P12" s="1"/>
      <c r="Q12" s="1"/>
      <c r="R12" s="1"/>
      <c r="S12" s="1"/>
      <c r="T12" s="1"/>
      <c r="U12" s="1"/>
      <c r="V12" s="1"/>
      <c r="W12" s="1"/>
      <c r="X12" s="1"/>
      <c r="AB12" s="175">
        <v>10</v>
      </c>
      <c r="AC12" s="140">
        <v>3.1E-2</v>
      </c>
      <c r="AD12" s="3">
        <v>0.23400000000000001</v>
      </c>
      <c r="AE12" s="140"/>
      <c r="AF12" s="11"/>
    </row>
    <row r="13" spans="2:32" ht="15.75" thickBot="1">
      <c r="C13" s="124"/>
      <c r="D13" s="177"/>
      <c r="E13" s="18">
        <v>0.17599999999999999</v>
      </c>
      <c r="F13" s="180"/>
      <c r="G13" s="18">
        <v>0</v>
      </c>
      <c r="H13" s="138"/>
      <c r="I13" s="141"/>
      <c r="J13" s="112"/>
      <c r="K13" s="175"/>
      <c r="L13" s="140"/>
      <c r="M13" s="139"/>
      <c r="P13" s="1"/>
      <c r="Q13" s="1"/>
      <c r="R13" s="1"/>
      <c r="S13" s="1"/>
      <c r="T13" s="1"/>
      <c r="U13" s="1"/>
      <c r="V13" s="1"/>
      <c r="W13" s="1"/>
      <c r="X13" s="1"/>
      <c r="AB13" s="175"/>
      <c r="AC13" s="140"/>
      <c r="AD13" s="3">
        <v>0.20599999999999999</v>
      </c>
      <c r="AE13" s="140"/>
      <c r="AF13" s="11"/>
    </row>
    <row r="14" spans="2:32" ht="15.75" thickBot="1">
      <c r="C14" s="124">
        <v>20</v>
      </c>
      <c r="D14" s="177">
        <v>2.8799999999999999E-2</v>
      </c>
      <c r="E14" s="56">
        <v>0.17</v>
      </c>
      <c r="F14" s="180">
        <v>3.6200000000000003E-2</v>
      </c>
      <c r="G14" s="57">
        <v>1.093E-2</v>
      </c>
      <c r="H14" s="138">
        <f>(AVERAGE(E14:E15)/D14)</f>
        <v>5.8506944444444446</v>
      </c>
      <c r="I14" s="141">
        <f>(AVERAGE(G14:G15)/F14)</f>
        <v>0.30082872928176796</v>
      </c>
      <c r="J14" s="112"/>
      <c r="K14" s="175">
        <v>20</v>
      </c>
      <c r="L14" s="140">
        <f>H14/$H$168</f>
        <v>0.81073908730158739</v>
      </c>
      <c r="M14" s="139">
        <f>I14/$H$168</f>
        <v>4.1686266771902139E-2</v>
      </c>
      <c r="P14" s="1"/>
      <c r="Q14" s="1"/>
      <c r="R14" s="1"/>
      <c r="S14" s="1"/>
      <c r="T14" s="1"/>
      <c r="U14" s="1"/>
      <c r="V14" s="1"/>
      <c r="W14" s="1"/>
      <c r="X14" s="1"/>
      <c r="AB14" s="175">
        <v>15</v>
      </c>
      <c r="AC14" s="140">
        <v>2.7E-2</v>
      </c>
      <c r="AD14" s="3">
        <v>0.186</v>
      </c>
      <c r="AE14" s="140"/>
      <c r="AF14" s="11"/>
    </row>
    <row r="15" spans="2:32" ht="15.75" thickBot="1">
      <c r="C15" s="124"/>
      <c r="D15" s="177"/>
      <c r="E15" s="56">
        <v>0.16700000000000001</v>
      </c>
      <c r="F15" s="180"/>
      <c r="G15" s="57">
        <v>1.085E-2</v>
      </c>
      <c r="H15" s="138"/>
      <c r="I15" s="141"/>
      <c r="J15" s="112"/>
      <c r="K15" s="175"/>
      <c r="L15" s="140"/>
      <c r="M15" s="139"/>
      <c r="P15" s="1"/>
      <c r="Q15" s="1"/>
      <c r="R15" s="1"/>
      <c r="S15" s="1"/>
      <c r="T15" s="1"/>
      <c r="U15" s="1"/>
      <c r="V15" s="1"/>
      <c r="W15" s="1"/>
      <c r="X15" s="1"/>
      <c r="AB15" s="175"/>
      <c r="AC15" s="140"/>
      <c r="AD15" s="3">
        <v>0.188</v>
      </c>
      <c r="AE15" s="140"/>
      <c r="AF15" s="11"/>
    </row>
    <row r="16" spans="2:32" ht="15.75" thickBot="1">
      <c r="C16" s="124">
        <v>25</v>
      </c>
      <c r="D16" s="177">
        <v>3.0200000000000001E-2</v>
      </c>
      <c r="E16" s="56">
        <v>0.17299999999999999</v>
      </c>
      <c r="F16" s="180">
        <v>2.8799999999999999E-2</v>
      </c>
      <c r="G16" s="57">
        <v>9.1599999999999997E-3</v>
      </c>
      <c r="H16" s="138">
        <f>(AVERAGE(E16:E17)/D16)</f>
        <v>5.6953642384105949</v>
      </c>
      <c r="I16" s="141">
        <f>(AVERAGE(G16:G17)/F16)</f>
        <v>0.31736111111111109</v>
      </c>
      <c r="J16" s="112"/>
      <c r="K16" s="175">
        <v>25</v>
      </c>
      <c r="L16" s="140">
        <f>H16/$H$168</f>
        <v>0.78921475875118252</v>
      </c>
      <c r="M16" s="139">
        <f>I16/$H$168</f>
        <v>4.3977182539682545E-2</v>
      </c>
      <c r="P16" s="1"/>
      <c r="Q16" s="1"/>
      <c r="R16" s="1"/>
      <c r="S16" s="1"/>
      <c r="T16" s="1"/>
      <c r="U16" s="1"/>
      <c r="V16" s="1"/>
      <c r="W16" s="1"/>
      <c r="X16" s="1"/>
      <c r="AB16" s="175">
        <v>20</v>
      </c>
      <c r="AC16" s="140">
        <v>3.4000000000000002E-2</v>
      </c>
      <c r="AD16" s="3">
        <v>0.218</v>
      </c>
      <c r="AE16" s="140">
        <v>2.8400000000000002E-2</v>
      </c>
      <c r="AF16" s="11">
        <v>8.5000000000000006E-3</v>
      </c>
    </row>
    <row r="17" spans="2:32" ht="15.75" thickBot="1">
      <c r="C17" s="124"/>
      <c r="D17" s="177"/>
      <c r="E17" s="56">
        <v>0.17100000000000001</v>
      </c>
      <c r="F17" s="180"/>
      <c r="G17" s="57">
        <v>9.1199999999999996E-3</v>
      </c>
      <c r="H17" s="138"/>
      <c r="I17" s="141"/>
      <c r="J17" s="112"/>
      <c r="K17" s="175"/>
      <c r="L17" s="140"/>
      <c r="M17" s="139"/>
      <c r="P17" s="1"/>
      <c r="Q17" s="1"/>
      <c r="R17" s="1"/>
      <c r="S17" s="1"/>
      <c r="T17" s="1"/>
      <c r="U17" s="1"/>
      <c r="V17" s="1"/>
      <c r="W17" s="1"/>
      <c r="X17" s="1"/>
      <c r="AB17" s="175"/>
      <c r="AC17" s="140"/>
      <c r="AD17" s="3">
        <v>0.20399999999999999</v>
      </c>
      <c r="AE17" s="140"/>
      <c r="AF17" s="11">
        <v>8.3999999999999995E-3</v>
      </c>
    </row>
    <row r="18" spans="2:32" ht="15.75" thickBot="1">
      <c r="C18" s="124">
        <v>30</v>
      </c>
      <c r="D18" s="177">
        <v>2.9399999999999999E-2</v>
      </c>
      <c r="E18" s="56">
        <v>0.17199999999999999</v>
      </c>
      <c r="F18" s="180">
        <v>2.9399999999999999E-2</v>
      </c>
      <c r="G18" s="57">
        <v>1.004E-2</v>
      </c>
      <c r="H18" s="138">
        <f>(AVERAGE(E18:E19)/D18)</f>
        <v>5.833333333333333</v>
      </c>
      <c r="I18" s="141">
        <f>(AVERAGE(G18:G19)/F18)</f>
        <v>0.34132653061224494</v>
      </c>
      <c r="J18" s="112"/>
      <c r="K18" s="175">
        <v>30</v>
      </c>
      <c r="L18" s="140">
        <f>H18/$H$168</f>
        <v>0.80833333333333335</v>
      </c>
      <c r="M18" s="139">
        <f>I18/$H$168</f>
        <v>4.7298104956268232E-2</v>
      </c>
      <c r="P18" s="1"/>
      <c r="Q18" s="1"/>
      <c r="R18" s="1"/>
      <c r="S18" s="1"/>
      <c r="T18" s="1"/>
      <c r="U18" s="1"/>
      <c r="V18" s="1"/>
      <c r="W18" s="1"/>
      <c r="X18" s="1"/>
      <c r="AB18" s="175">
        <v>25</v>
      </c>
      <c r="AC18" s="140">
        <v>2.9000000000000001E-2</v>
      </c>
      <c r="AD18" s="3">
        <v>0.17899999999999999</v>
      </c>
      <c r="AE18" s="140">
        <v>2.9499999999999998E-2</v>
      </c>
      <c r="AF18" s="11">
        <v>9.4000000000000004E-3</v>
      </c>
    </row>
    <row r="19" spans="2:32" ht="15.75" thickBot="1">
      <c r="C19" s="124"/>
      <c r="D19" s="177"/>
      <c r="E19" s="56">
        <v>0.17100000000000001</v>
      </c>
      <c r="F19" s="180"/>
      <c r="G19" s="57">
        <v>1.0030000000000001E-2</v>
      </c>
      <c r="H19" s="138"/>
      <c r="I19" s="141"/>
      <c r="J19" s="112"/>
      <c r="K19" s="175"/>
      <c r="L19" s="140"/>
      <c r="M19" s="139"/>
      <c r="P19" s="1"/>
      <c r="Q19" s="1"/>
      <c r="R19" s="1"/>
      <c r="S19" s="1"/>
      <c r="T19" s="1"/>
      <c r="U19" s="1"/>
      <c r="V19" s="1"/>
      <c r="W19" s="1"/>
      <c r="X19" s="1"/>
      <c r="AB19" s="175"/>
      <c r="AC19" s="140"/>
      <c r="AD19" s="3">
        <v>0.18099999999999999</v>
      </c>
      <c r="AE19" s="140"/>
      <c r="AF19" s="11">
        <v>9.2999999999999992E-3</v>
      </c>
    </row>
    <row r="20" spans="2:32" ht="15.75" thickBot="1">
      <c r="C20" s="124">
        <v>35</v>
      </c>
      <c r="D20" s="177">
        <v>3.2399999999999998E-2</v>
      </c>
      <c r="E20" s="56">
        <v>0.17799999999999999</v>
      </c>
      <c r="F20" s="180">
        <v>2.9100000000000001E-2</v>
      </c>
      <c r="G20" s="57">
        <v>1.223E-2</v>
      </c>
      <c r="H20" s="138">
        <f>(AVERAGE(E20:E21)/D20)</f>
        <v>5.4629629629629628</v>
      </c>
      <c r="I20" s="141">
        <f>(AVERAGE(G20:G21)/F20)</f>
        <v>0.41958762886597933</v>
      </c>
      <c r="J20" s="112"/>
      <c r="K20" s="175">
        <v>35</v>
      </c>
      <c r="L20" s="140">
        <f>H20/$H$168</f>
        <v>0.75701058201058202</v>
      </c>
      <c r="M20" s="139">
        <f>I20/$H$168</f>
        <v>5.8142857142857142E-2</v>
      </c>
      <c r="P20" s="1"/>
      <c r="Q20" s="1"/>
      <c r="R20" s="1"/>
      <c r="S20" s="1"/>
      <c r="T20" s="1"/>
      <c r="U20" s="1"/>
      <c r="V20" s="1"/>
      <c r="W20" s="1"/>
      <c r="X20" s="1"/>
      <c r="AB20" s="175">
        <v>30</v>
      </c>
      <c r="AC20" s="140">
        <v>3.73E-2</v>
      </c>
      <c r="AD20" s="3">
        <v>0.23200000000000001</v>
      </c>
      <c r="AE20" s="140">
        <v>0.03</v>
      </c>
      <c r="AF20" s="11">
        <v>1.12E-2</v>
      </c>
    </row>
    <row r="21" spans="2:32" ht="15.75" thickBot="1">
      <c r="C21" s="124"/>
      <c r="D21" s="177"/>
      <c r="E21" s="56">
        <v>0.17599999999999999</v>
      </c>
      <c r="F21" s="180"/>
      <c r="G21" s="57">
        <v>1.2189999999999999E-2</v>
      </c>
      <c r="H21" s="138"/>
      <c r="I21" s="141"/>
      <c r="J21" s="112"/>
      <c r="K21" s="175"/>
      <c r="L21" s="140"/>
      <c r="M21" s="139"/>
      <c r="P21" s="1"/>
      <c r="Q21" s="1"/>
      <c r="R21" s="1"/>
      <c r="S21" s="1"/>
      <c r="T21" s="1"/>
      <c r="U21" s="1"/>
      <c r="V21" s="1"/>
      <c r="W21" s="1"/>
      <c r="X21" s="1"/>
      <c r="AB21" s="175"/>
      <c r="AC21" s="140"/>
      <c r="AD21" s="3">
        <v>0.216</v>
      </c>
      <c r="AE21" s="140"/>
      <c r="AF21" s="11">
        <v>1.0699999999999999E-2</v>
      </c>
    </row>
    <row r="22" spans="2:32" ht="15.75" thickBot="1">
      <c r="C22" s="124">
        <v>40</v>
      </c>
      <c r="D22" s="177">
        <v>2.9499999999999998E-2</v>
      </c>
      <c r="E22" s="56">
        <v>0.16500000000000001</v>
      </c>
      <c r="F22" s="180">
        <v>2.93E-2</v>
      </c>
      <c r="G22" s="57">
        <v>1.4200000000000001E-2</v>
      </c>
      <c r="H22" s="138">
        <f>(AVERAGE(E22:E23)/D22)</f>
        <v>5.5762711864406782</v>
      </c>
      <c r="I22" s="141">
        <f>(AVERAGE(G22:G23)/F22)</f>
        <v>0.48464163822525602</v>
      </c>
      <c r="J22" s="112"/>
      <c r="K22" s="175">
        <v>40</v>
      </c>
      <c r="L22" s="140">
        <f>H22/$H$168</f>
        <v>0.77271186440677975</v>
      </c>
      <c r="M22" s="139">
        <f>I22/$H$168</f>
        <v>6.7157484154071204E-2</v>
      </c>
      <c r="P22" s="1"/>
      <c r="Q22" s="1"/>
      <c r="R22" s="1"/>
      <c r="S22" s="1"/>
      <c r="T22" s="1"/>
      <c r="U22" s="1"/>
      <c r="V22" s="1"/>
      <c r="W22" s="1"/>
      <c r="X22" s="1"/>
      <c r="AB22" s="175">
        <v>35</v>
      </c>
      <c r="AC22" s="140">
        <v>2.9100000000000001E-2</v>
      </c>
      <c r="AD22" s="3">
        <v>0.17199999999999999</v>
      </c>
      <c r="AE22" s="140">
        <v>2.9000000000000001E-2</v>
      </c>
      <c r="AF22" s="11">
        <v>1.23E-2</v>
      </c>
    </row>
    <row r="23" spans="2:32" ht="15.75" thickBot="1">
      <c r="C23" s="124"/>
      <c r="D23" s="177"/>
      <c r="E23" s="56">
        <v>0.16400000000000001</v>
      </c>
      <c r="F23" s="180"/>
      <c r="G23" s="57">
        <v>1.4200000000000001E-2</v>
      </c>
      <c r="H23" s="138"/>
      <c r="I23" s="141"/>
      <c r="J23" s="112"/>
      <c r="K23" s="175"/>
      <c r="L23" s="140"/>
      <c r="M23" s="139"/>
      <c r="P23" s="1"/>
      <c r="Q23" s="1"/>
      <c r="R23" s="1"/>
      <c r="S23" s="1"/>
      <c r="T23" s="1"/>
      <c r="U23" s="1"/>
      <c r="V23" s="1"/>
      <c r="W23" s="1"/>
      <c r="X23" s="1"/>
      <c r="AB23" s="175"/>
      <c r="AC23" s="140"/>
      <c r="AD23" s="3">
        <v>0.17299999999999999</v>
      </c>
      <c r="AE23" s="140"/>
      <c r="AF23" s="11">
        <v>1.23E-2</v>
      </c>
    </row>
    <row r="24" spans="2:32" ht="15.75" thickBot="1">
      <c r="C24" s="124">
        <v>45</v>
      </c>
      <c r="D24" s="177">
        <v>3.4700000000000002E-2</v>
      </c>
      <c r="E24" s="56">
        <v>0.19800000000000001</v>
      </c>
      <c r="F24" s="180">
        <v>2.9600000000000001E-2</v>
      </c>
      <c r="G24" s="57">
        <v>1.77E-2</v>
      </c>
      <c r="H24" s="138">
        <f>(AVERAGE(E24:E25)/D24)</f>
        <v>5.6916426512968297</v>
      </c>
      <c r="I24" s="141">
        <f>(AVERAGE(G24:G25)/F24)</f>
        <v>0.59324324324324318</v>
      </c>
      <c r="J24" s="112"/>
      <c r="K24" s="175">
        <v>45</v>
      </c>
      <c r="L24" s="140">
        <f>H24/$H$168</f>
        <v>0.78869905310827504</v>
      </c>
      <c r="M24" s="139">
        <f>I24/$H$168</f>
        <v>8.2206563706563707E-2</v>
      </c>
      <c r="P24" s="1"/>
      <c r="Q24" s="1"/>
      <c r="R24" s="1"/>
      <c r="S24" s="1"/>
      <c r="T24" s="1"/>
      <c r="U24" s="1"/>
      <c r="V24" s="1"/>
      <c r="W24" s="1"/>
      <c r="X24" s="1"/>
      <c r="AB24" s="175">
        <v>40</v>
      </c>
      <c r="AC24" s="140">
        <v>3.6999999999999998E-2</v>
      </c>
      <c r="AD24" s="3">
        <v>0.22700000000000001</v>
      </c>
      <c r="AE24" s="140">
        <v>0.03</v>
      </c>
      <c r="AF24" s="11">
        <v>1.6E-2</v>
      </c>
    </row>
    <row r="25" spans="2:32" ht="15.75" thickBot="1">
      <c r="C25" s="124"/>
      <c r="D25" s="177"/>
      <c r="E25" s="56">
        <v>0.19700000000000001</v>
      </c>
      <c r="F25" s="180"/>
      <c r="G25" s="57">
        <v>1.7420000000000001E-2</v>
      </c>
      <c r="H25" s="138"/>
      <c r="I25" s="141"/>
      <c r="J25" s="112"/>
      <c r="K25" s="175"/>
      <c r="L25" s="140"/>
      <c r="M25" s="139"/>
      <c r="P25" s="1"/>
      <c r="Q25" s="1"/>
      <c r="R25" s="1"/>
      <c r="S25" s="1"/>
      <c r="T25" s="1"/>
      <c r="U25" s="1"/>
      <c r="V25" s="1"/>
      <c r="W25" s="1"/>
      <c r="X25" s="1"/>
      <c r="AB25" s="175"/>
      <c r="AC25" s="140"/>
      <c r="AD25" s="3">
        <v>0.218</v>
      </c>
      <c r="AE25" s="140"/>
      <c r="AF25" s="11">
        <v>1.4999999999999999E-2</v>
      </c>
    </row>
    <row r="26" spans="2:32" ht="15.75" thickBot="1">
      <c r="C26" s="124">
        <v>50</v>
      </c>
      <c r="D26" s="177">
        <v>2.92E-2</v>
      </c>
      <c r="E26" s="56">
        <v>0.153</v>
      </c>
      <c r="F26" s="180">
        <v>3.8100000000000002E-2</v>
      </c>
      <c r="G26" s="57">
        <v>2.708E-2</v>
      </c>
      <c r="H26" s="138">
        <f>(AVERAGE(E26:E27)/D26)</f>
        <v>5.2226027397260273</v>
      </c>
      <c r="I26" s="141">
        <f>(AVERAGE(G26:G27)/F26)</f>
        <v>0.73779527559055114</v>
      </c>
      <c r="J26" s="112"/>
      <c r="K26" s="175">
        <v>50</v>
      </c>
      <c r="L26" s="140">
        <f>H26/$H$168</f>
        <v>0.72370352250489245</v>
      </c>
      <c r="M26" s="139">
        <f>I26/$H$168</f>
        <v>0.10223734533183353</v>
      </c>
      <c r="P26" s="1"/>
      <c r="Q26" s="1"/>
      <c r="R26" s="1"/>
      <c r="S26" s="1"/>
      <c r="T26" s="1"/>
      <c r="U26" s="1"/>
      <c r="V26" s="1"/>
      <c r="W26" s="1"/>
      <c r="X26" s="1"/>
      <c r="AB26" s="175">
        <v>45</v>
      </c>
      <c r="AC26" s="140">
        <v>2.9000000000000001E-2</v>
      </c>
      <c r="AD26" s="3">
        <v>0.16900000000000001</v>
      </c>
      <c r="AE26" s="140">
        <v>2.8000000000000001E-2</v>
      </c>
      <c r="AF26" s="11">
        <v>1.7600000000000001E-2</v>
      </c>
    </row>
    <row r="27" spans="2:32" ht="15.75" thickBot="1">
      <c r="C27" s="124"/>
      <c r="D27" s="177"/>
      <c r="E27" s="56">
        <v>0.152</v>
      </c>
      <c r="F27" s="180"/>
      <c r="G27" s="57">
        <v>2.9139999999999999E-2</v>
      </c>
      <c r="H27" s="138"/>
      <c r="I27" s="141"/>
      <c r="J27" s="112"/>
      <c r="K27" s="175"/>
      <c r="L27" s="140"/>
      <c r="M27" s="139"/>
      <c r="P27" s="1"/>
      <c r="Q27" s="1"/>
      <c r="R27" s="1"/>
      <c r="S27" s="1"/>
      <c r="T27" s="1"/>
      <c r="U27" s="1"/>
      <c r="V27" s="1"/>
      <c r="W27" s="1"/>
      <c r="X27" s="1"/>
      <c r="AB27" s="175"/>
      <c r="AC27" s="140"/>
      <c r="AD27" s="3">
        <v>0.16900000000000001</v>
      </c>
      <c r="AE27" s="140"/>
      <c r="AF27" s="11">
        <v>1.7500000000000002E-2</v>
      </c>
    </row>
    <row r="28" spans="2:32" ht="15.75" thickBot="1">
      <c r="C28" s="124">
        <v>55</v>
      </c>
      <c r="D28" s="177">
        <v>3.44E-2</v>
      </c>
      <c r="E28" s="56">
        <v>0.183</v>
      </c>
      <c r="F28" s="180">
        <v>2.93E-2</v>
      </c>
      <c r="G28" s="57">
        <v>2.708E-2</v>
      </c>
      <c r="H28" s="138">
        <f>(AVERAGE(E28:E29)/D28)</f>
        <v>5.2325581395348832</v>
      </c>
      <c r="I28" s="141">
        <f>(AVERAGE(G28:G29)/F28)</f>
        <v>0.92354948805460757</v>
      </c>
      <c r="J28" s="112"/>
      <c r="K28" s="175">
        <v>55</v>
      </c>
      <c r="L28" s="140">
        <f>H28/$H$168</f>
        <v>0.72508305647840532</v>
      </c>
      <c r="M28" s="139">
        <f>I28/$H$168</f>
        <v>0.12797757191613848</v>
      </c>
      <c r="P28" s="1"/>
      <c r="Q28" s="1"/>
      <c r="R28" s="1"/>
      <c r="S28" s="1"/>
      <c r="T28" s="1"/>
      <c r="U28" s="1"/>
      <c r="V28" s="1"/>
      <c r="W28" s="1"/>
      <c r="X28" s="1"/>
      <c r="AB28" s="175">
        <v>50</v>
      </c>
      <c r="AC28" s="140">
        <v>3.5999999999999997E-2</v>
      </c>
      <c r="AD28" s="3">
        <v>0.20899999999999999</v>
      </c>
      <c r="AE28" s="140">
        <v>3.3700000000000001E-2</v>
      </c>
      <c r="AF28" s="11">
        <v>2.53E-2</v>
      </c>
    </row>
    <row r="29" spans="2:32" ht="15.75" thickBot="1">
      <c r="C29" s="124"/>
      <c r="D29" s="177"/>
      <c r="E29" s="56">
        <v>0.17699999999999999</v>
      </c>
      <c r="F29" s="180"/>
      <c r="G29" s="57">
        <v>2.7040000000000002E-2</v>
      </c>
      <c r="H29" s="138"/>
      <c r="I29" s="141"/>
      <c r="J29" s="112"/>
      <c r="K29" s="175"/>
      <c r="L29" s="140"/>
      <c r="M29" s="139"/>
      <c r="P29" s="1"/>
      <c r="Q29" s="1"/>
      <c r="R29" s="1"/>
      <c r="S29" s="1"/>
      <c r="T29" s="1"/>
      <c r="U29" s="1"/>
      <c r="V29" s="1"/>
      <c r="W29" s="1"/>
      <c r="X29" s="1"/>
      <c r="AB29" s="175"/>
      <c r="AC29" s="140"/>
      <c r="AD29" s="3">
        <v>0.20399999999999999</v>
      </c>
      <c r="AE29" s="140"/>
      <c r="AF29" s="11">
        <v>2.4799999999999999E-2</v>
      </c>
    </row>
    <row r="30" spans="2:32" ht="15.75" thickBot="1">
      <c r="B30" s="54"/>
      <c r="C30" s="124">
        <v>60</v>
      </c>
      <c r="D30" s="177">
        <v>2.9600000000000001E-2</v>
      </c>
      <c r="E30" s="56">
        <v>0.14599999999999999</v>
      </c>
      <c r="F30" s="180">
        <v>2.9499999999999998E-2</v>
      </c>
      <c r="G30" s="57">
        <v>3.5779999999999999E-2</v>
      </c>
      <c r="H30" s="138">
        <f>(AVERAGE(E30:E31)/D30)</f>
        <v>4.9324324324324316</v>
      </c>
      <c r="I30" s="141">
        <f>(AVERAGE(G30:G31)/F30)</f>
        <v>1.2108474576271189</v>
      </c>
      <c r="J30" s="112"/>
      <c r="K30" s="175">
        <v>60</v>
      </c>
      <c r="L30" s="140">
        <f>H30/$H$168</f>
        <v>0.6834942084942085</v>
      </c>
      <c r="M30" s="139">
        <f>I30/$H$168</f>
        <v>0.16778886198547222</v>
      </c>
      <c r="P30" s="1"/>
      <c r="Q30" s="1"/>
      <c r="R30" s="1"/>
      <c r="S30" s="1"/>
      <c r="T30" s="1"/>
      <c r="U30" s="1"/>
      <c r="V30" s="1"/>
      <c r="W30" s="1"/>
      <c r="X30" s="1"/>
      <c r="AB30" s="175">
        <v>55</v>
      </c>
      <c r="AC30" s="140">
        <v>2.87E-2</v>
      </c>
      <c r="AD30" s="3">
        <v>0.153</v>
      </c>
      <c r="AE30" s="140">
        <v>2.8500000000000001E-2</v>
      </c>
      <c r="AF30" s="11">
        <v>2.7300000000000001E-2</v>
      </c>
    </row>
    <row r="31" spans="2:32" ht="15.75" thickBot="1">
      <c r="B31" s="54"/>
      <c r="C31" s="124"/>
      <c r="D31" s="177"/>
      <c r="E31" s="56">
        <v>0.14599999999999999</v>
      </c>
      <c r="F31" s="180"/>
      <c r="G31" s="57">
        <v>3.5659999999999997E-2</v>
      </c>
      <c r="H31" s="138"/>
      <c r="I31" s="141"/>
      <c r="J31" s="112"/>
      <c r="K31" s="175"/>
      <c r="L31" s="140"/>
      <c r="M31" s="139"/>
      <c r="P31" s="1"/>
      <c r="Q31" s="1"/>
      <c r="R31" s="1"/>
      <c r="S31" s="1"/>
      <c r="T31" s="1"/>
      <c r="U31" s="1"/>
      <c r="V31" s="1"/>
      <c r="W31" s="1"/>
      <c r="X31" s="1"/>
      <c r="AB31" s="175"/>
      <c r="AC31" s="140"/>
      <c r="AD31" s="3">
        <v>0.152</v>
      </c>
      <c r="AE31" s="140"/>
      <c r="AF31" s="11">
        <v>2.76E-2</v>
      </c>
    </row>
    <row r="32" spans="2:32" ht="15.75" thickBot="1">
      <c r="B32" t="s">
        <v>9</v>
      </c>
      <c r="C32" s="124">
        <v>65</v>
      </c>
      <c r="D32" s="177">
        <v>2.8899999999999999E-2</v>
      </c>
      <c r="E32" s="56">
        <v>0.13</v>
      </c>
      <c r="F32" s="180">
        <v>3.7900000000000003E-2</v>
      </c>
      <c r="G32" s="57">
        <v>6.2300000000000001E-2</v>
      </c>
      <c r="H32" s="138">
        <f>(AVERAGE(E32:E33)/D32)</f>
        <v>4.4809688581314884</v>
      </c>
      <c r="I32" s="141">
        <f>(AVERAGE(G32:G33)/F32)</f>
        <v>1.6398416886543534</v>
      </c>
      <c r="J32" s="112"/>
      <c r="K32" s="175">
        <v>65</v>
      </c>
      <c r="L32" s="140">
        <f>H32/$H$168</f>
        <v>0.62093425605536345</v>
      </c>
      <c r="M32" s="139">
        <f>I32/$H$168</f>
        <v>0.22723520542781758</v>
      </c>
      <c r="P32" s="1"/>
      <c r="Q32" s="1"/>
      <c r="R32" s="1"/>
      <c r="S32" s="1"/>
      <c r="T32" s="1"/>
      <c r="U32" s="1"/>
      <c r="V32" s="1"/>
      <c r="W32" s="1"/>
      <c r="X32" s="1"/>
      <c r="AB32" s="175">
        <v>60</v>
      </c>
      <c r="AC32" s="140">
        <v>2.9000000000000001E-2</v>
      </c>
      <c r="AD32" s="3">
        <v>0.14899999999999999</v>
      </c>
      <c r="AE32" s="140">
        <v>2.92E-2</v>
      </c>
      <c r="AF32" s="11">
        <v>3.6200000000000003E-2</v>
      </c>
    </row>
    <row r="33" spans="2:32" ht="15.75" thickBot="1">
      <c r="C33" s="124"/>
      <c r="D33" s="177"/>
      <c r="E33" s="18">
        <v>0.129</v>
      </c>
      <c r="F33" s="180"/>
      <c r="G33" s="57">
        <v>6.2E-2</v>
      </c>
      <c r="H33" s="138"/>
      <c r="I33" s="141"/>
      <c r="J33" s="112"/>
      <c r="K33" s="175"/>
      <c r="L33" s="140"/>
      <c r="M33" s="139"/>
      <c r="P33" s="1"/>
      <c r="Q33" s="1"/>
      <c r="R33" s="1"/>
      <c r="S33" s="1"/>
      <c r="T33" s="1"/>
      <c r="U33" s="1"/>
      <c r="V33" s="1"/>
      <c r="W33" s="1"/>
      <c r="X33" s="1"/>
      <c r="AB33" s="175"/>
      <c r="AC33" s="140"/>
      <c r="AD33" s="3">
        <v>0.151</v>
      </c>
      <c r="AE33" s="140"/>
      <c r="AF33" s="11">
        <v>3.6299999999999999E-2</v>
      </c>
    </row>
    <row r="34" spans="2:32" ht="15.75" thickBot="1">
      <c r="C34" s="124">
        <v>70</v>
      </c>
      <c r="D34" s="177">
        <v>3.4799999999999998E-2</v>
      </c>
      <c r="E34" s="18">
        <v>0.124</v>
      </c>
      <c r="F34" s="180">
        <v>3.09E-2</v>
      </c>
      <c r="G34" s="57">
        <v>6.5699999999999995E-2</v>
      </c>
      <c r="H34" s="138">
        <f>(AVERAGE(E34:E35)/D34)</f>
        <v>3.548850574712644</v>
      </c>
      <c r="I34" s="141">
        <f>(AVERAGE(G34:G35)/F34)</f>
        <v>2.1181229773462782</v>
      </c>
      <c r="J34" s="112"/>
      <c r="K34" s="175">
        <v>70</v>
      </c>
      <c r="L34" s="140">
        <f>H34/$H$168</f>
        <v>0.49176929392446644</v>
      </c>
      <c r="M34" s="139">
        <f>I34/$H$168</f>
        <v>0.29351132686084141</v>
      </c>
      <c r="P34" s="1"/>
      <c r="Q34" s="1"/>
      <c r="R34" s="1"/>
      <c r="S34" s="1"/>
      <c r="T34" s="1"/>
      <c r="U34" s="1"/>
      <c r="V34" s="1"/>
      <c r="W34" s="1"/>
      <c r="X34" s="1"/>
      <c r="AB34" s="175">
        <v>65</v>
      </c>
      <c r="AC34" s="140">
        <v>3.7999999999999999E-2</v>
      </c>
      <c r="AD34" s="3">
        <v>0.17499999999999999</v>
      </c>
      <c r="AE34" s="140">
        <v>3.6999999999999998E-2</v>
      </c>
      <c r="AF34" s="11">
        <v>5.8000000000000003E-2</v>
      </c>
    </row>
    <row r="35" spans="2:32" ht="15.75" thickBot="1">
      <c r="C35" s="124"/>
      <c r="D35" s="177"/>
      <c r="E35" s="18">
        <v>0.123</v>
      </c>
      <c r="F35" s="180"/>
      <c r="G35" s="57">
        <v>6.5199999999999994E-2</v>
      </c>
      <c r="H35" s="138"/>
      <c r="I35" s="141"/>
      <c r="J35" s="112"/>
      <c r="K35" s="175"/>
      <c r="L35" s="140"/>
      <c r="M35" s="139"/>
      <c r="P35" s="1"/>
      <c r="Q35" s="1"/>
      <c r="R35" s="1"/>
      <c r="S35" s="1"/>
      <c r="T35" s="1"/>
      <c r="U35" s="1"/>
      <c r="V35" s="1"/>
      <c r="W35" s="1"/>
      <c r="X35" s="1"/>
      <c r="AB35" s="175"/>
      <c r="AC35" s="140"/>
      <c r="AD35" s="3">
        <v>0.17199999999999999</v>
      </c>
      <c r="AE35" s="140"/>
      <c r="AF35" s="11">
        <v>5.5E-2</v>
      </c>
    </row>
    <row r="36" spans="2:32" ht="15.75" thickBot="1">
      <c r="B36" t="s">
        <v>9</v>
      </c>
      <c r="C36" s="124">
        <v>75</v>
      </c>
      <c r="D36" s="177">
        <v>2.9600000000000001E-2</v>
      </c>
      <c r="E36" s="18">
        <v>7.5600000000000001E-2</v>
      </c>
      <c r="F36" s="180">
        <v>2.98E-2</v>
      </c>
      <c r="G36" s="57">
        <v>8.3400000000000002E-2</v>
      </c>
      <c r="H36" s="138">
        <f>(AVERAGE(E36:E37)/D36)</f>
        <v>2.5658783783783785</v>
      </c>
      <c r="I36" s="141">
        <f>(AVERAGE(G36:G37)/F36)</f>
        <v>2.8070469798657718</v>
      </c>
      <c r="J36" s="112"/>
      <c r="K36" s="175">
        <v>75</v>
      </c>
      <c r="L36" s="140">
        <f>H36/$H$168</f>
        <v>0.35555743243243249</v>
      </c>
      <c r="M36" s="139">
        <f>I36/$H$168</f>
        <v>0.38897651006711415</v>
      </c>
      <c r="P36" s="1"/>
      <c r="Q36" s="1"/>
      <c r="R36" s="1"/>
      <c r="S36" s="1"/>
      <c r="T36" s="1"/>
      <c r="U36" s="1"/>
      <c r="V36" s="1"/>
      <c r="W36" s="1"/>
      <c r="X36" s="1"/>
      <c r="AB36" s="175">
        <v>70</v>
      </c>
      <c r="AC36" s="140">
        <v>3.0800000000000001E-2</v>
      </c>
      <c r="AD36" s="3">
        <v>0.112</v>
      </c>
      <c r="AE36" s="140">
        <v>3.0099999999999998E-2</v>
      </c>
      <c r="AF36" s="11">
        <v>5.9799999999999999E-2</v>
      </c>
    </row>
    <row r="37" spans="2:32" ht="15.75" thickBot="1">
      <c r="C37" s="124"/>
      <c r="D37" s="177"/>
      <c r="E37" s="18">
        <v>7.6300000000000007E-2</v>
      </c>
      <c r="F37" s="180"/>
      <c r="G37" s="57">
        <v>8.3900000000000002E-2</v>
      </c>
      <c r="H37" s="138"/>
      <c r="I37" s="141"/>
      <c r="J37" s="112"/>
      <c r="K37" s="175"/>
      <c r="L37" s="140"/>
      <c r="M37" s="139"/>
      <c r="P37" s="1"/>
      <c r="Q37" s="1"/>
      <c r="R37" s="1"/>
      <c r="S37" s="1"/>
      <c r="T37" s="1"/>
      <c r="U37" s="1"/>
      <c r="V37" s="1"/>
      <c r="W37" s="1"/>
      <c r="X37" s="1"/>
      <c r="AB37" s="175"/>
      <c r="AC37" s="140"/>
      <c r="AD37" s="3">
        <v>0.1103</v>
      </c>
      <c r="AE37" s="140"/>
      <c r="AF37" s="11">
        <v>6.0100000000000001E-2</v>
      </c>
    </row>
    <row r="38" spans="2:32" ht="15.75" thickBot="1">
      <c r="B38" t="s">
        <v>9</v>
      </c>
      <c r="C38" s="124">
        <v>80</v>
      </c>
      <c r="D38" s="177">
        <v>3.7999999999999999E-2</v>
      </c>
      <c r="E38" s="18">
        <v>5.57E-2</v>
      </c>
      <c r="F38" s="180">
        <v>3.6900000000000002E-2</v>
      </c>
      <c r="G38" s="57">
        <v>0.14199999999999999</v>
      </c>
      <c r="H38" s="138">
        <f>(AVERAGE(E38:E39)/D38)</f>
        <v>1.469736842105263</v>
      </c>
      <c r="I38" s="141">
        <f>(AVERAGE(G38:G39)/F38)</f>
        <v>3.834688346883468</v>
      </c>
      <c r="J38" s="112"/>
      <c r="K38" s="175">
        <v>80</v>
      </c>
      <c r="L38" s="140">
        <f>H38/$H$168</f>
        <v>0.20366353383458646</v>
      </c>
      <c r="M38" s="139">
        <f>I38/$H$168</f>
        <v>0.531378242353852</v>
      </c>
      <c r="P38" s="1"/>
      <c r="Q38" s="1"/>
      <c r="R38" s="1"/>
      <c r="S38" s="1"/>
      <c r="T38" s="1"/>
      <c r="U38" s="1"/>
      <c r="V38" s="1"/>
      <c r="W38" s="1"/>
      <c r="X38" s="1"/>
      <c r="AB38" s="175">
        <v>75</v>
      </c>
      <c r="AC38" s="140">
        <v>3.0499999999999999E-2</v>
      </c>
      <c r="AD38" s="3">
        <v>7.2499999999999995E-2</v>
      </c>
      <c r="AE38" s="140">
        <v>3.0200000000000001E-2</v>
      </c>
      <c r="AF38" s="11">
        <v>8.0500000000000002E-2</v>
      </c>
    </row>
    <row r="39" spans="2:32" ht="15.75" thickBot="1">
      <c r="C39" s="124"/>
      <c r="D39" s="177"/>
      <c r="E39" s="18">
        <v>5.6000000000000001E-2</v>
      </c>
      <c r="F39" s="180"/>
      <c r="G39" s="57">
        <v>0.14099999999999999</v>
      </c>
      <c r="H39" s="138"/>
      <c r="I39" s="141"/>
      <c r="J39" s="112"/>
      <c r="K39" s="175"/>
      <c r="L39" s="140"/>
      <c r="M39" s="139"/>
      <c r="P39" s="1"/>
      <c r="Q39" s="1"/>
      <c r="R39" s="1"/>
      <c r="S39" s="1"/>
      <c r="T39" s="1"/>
      <c r="U39" s="1"/>
      <c r="V39" s="1"/>
      <c r="W39" s="1"/>
      <c r="X39" s="1"/>
      <c r="AB39" s="175"/>
      <c r="AC39" s="140"/>
      <c r="AD39" s="3">
        <v>7.2599999999999998E-2</v>
      </c>
      <c r="AE39" s="140"/>
      <c r="AF39" s="11">
        <v>7.9699999999999993E-2</v>
      </c>
    </row>
    <row r="40" spans="2:32" ht="15.75" thickBot="1">
      <c r="B40" t="s">
        <v>9</v>
      </c>
      <c r="C40" s="124">
        <v>85</v>
      </c>
      <c r="D40" s="177">
        <v>2.93E-2</v>
      </c>
      <c r="E40" s="18">
        <v>1.1599999999999999E-2</v>
      </c>
      <c r="F40" s="180">
        <v>2.9399999999999999E-2</v>
      </c>
      <c r="G40" s="57">
        <v>0.14699999999999999</v>
      </c>
      <c r="H40" s="138">
        <f>(AVERAGE(E40:E41)/D40)</f>
        <v>0.40102389078498296</v>
      </c>
      <c r="I40" s="141">
        <f>(AVERAGE(G40:G41)/F40)</f>
        <v>5</v>
      </c>
      <c r="J40" s="112"/>
      <c r="K40" s="175">
        <v>85</v>
      </c>
      <c r="L40" s="140">
        <f>H40/$H$168</f>
        <v>5.5570453437347643E-2</v>
      </c>
      <c r="M40" s="139">
        <f>I40/$H$168</f>
        <v>0.69285714285714295</v>
      </c>
      <c r="P40" s="1"/>
      <c r="Q40" s="1"/>
      <c r="R40" s="1"/>
      <c r="S40" s="1"/>
      <c r="T40" s="1"/>
      <c r="U40" s="1"/>
      <c r="V40" s="1"/>
      <c r="W40" s="1"/>
      <c r="X40" s="1"/>
      <c r="AB40" s="175">
        <v>80</v>
      </c>
      <c r="AC40" s="140">
        <v>2.9499999999999998E-2</v>
      </c>
      <c r="AD40" s="3">
        <v>3.9100000000000003E-2</v>
      </c>
      <c r="AE40" s="140">
        <v>2.93E-2</v>
      </c>
      <c r="AF40" s="11">
        <v>0.14430000000000001</v>
      </c>
    </row>
    <row r="41" spans="2:32" ht="15.75" thickBot="1">
      <c r="C41" s="124"/>
      <c r="D41" s="190"/>
      <c r="E41" s="19">
        <v>1.1900000000000001E-2</v>
      </c>
      <c r="F41" s="206"/>
      <c r="G41" s="19">
        <v>0.14699999999999999</v>
      </c>
      <c r="H41" s="179"/>
      <c r="I41" s="194"/>
      <c r="J41" s="202"/>
      <c r="K41" s="176"/>
      <c r="L41" s="149"/>
      <c r="M41" s="224"/>
      <c r="P41" s="1"/>
      <c r="Q41" s="1"/>
      <c r="R41" s="1"/>
      <c r="S41" s="1"/>
      <c r="T41" s="1"/>
      <c r="U41" s="1"/>
      <c r="V41" s="1"/>
      <c r="W41" s="1"/>
      <c r="X41" s="1"/>
      <c r="AB41" s="175"/>
      <c r="AC41" s="140"/>
      <c r="AD41" s="3">
        <v>3.9E-2</v>
      </c>
      <c r="AE41" s="140"/>
      <c r="AF41" s="11">
        <v>0.14510000000000001</v>
      </c>
    </row>
    <row r="42" spans="2:32">
      <c r="AB42" s="175">
        <v>85</v>
      </c>
      <c r="AC42" s="140">
        <v>3.73E-2</v>
      </c>
      <c r="AD42" s="3">
        <v>1.3100000000000001E-2</v>
      </c>
      <c r="AE42" s="140">
        <v>3.3000000000000002E-2</v>
      </c>
      <c r="AF42" s="11">
        <v>0.159</v>
      </c>
    </row>
    <row r="43" spans="2:32" ht="15.75" thickBot="1">
      <c r="C43" s="7"/>
      <c r="D43" s="7"/>
      <c r="E43" s="7"/>
      <c r="F43" s="7"/>
      <c r="G43" s="7"/>
      <c r="H43" s="7"/>
      <c r="I43" s="7"/>
      <c r="AB43" s="176"/>
      <c r="AC43" s="149"/>
      <c r="AD43" s="13">
        <v>1.38E-2</v>
      </c>
      <c r="AE43" s="149"/>
      <c r="AF43" s="22">
        <v>0.152</v>
      </c>
    </row>
    <row r="44" spans="2:32" ht="15.75" thickBot="1">
      <c r="C44" s="7"/>
      <c r="D44" s="7"/>
      <c r="E44" s="7"/>
      <c r="F44" s="7"/>
      <c r="G44" s="7"/>
      <c r="H44" s="7"/>
      <c r="I44" s="7"/>
    </row>
    <row r="45" spans="2:32" ht="15.75" thickBot="1">
      <c r="C45" s="173" t="s">
        <v>6</v>
      </c>
      <c r="D45" s="173"/>
      <c r="E45" s="173"/>
      <c r="F45" s="173"/>
      <c r="G45" s="173"/>
      <c r="H45" s="173"/>
      <c r="I45" s="144"/>
      <c r="J45" s="201" t="s">
        <v>9</v>
      </c>
      <c r="K45" s="8"/>
      <c r="L45" s="8"/>
      <c r="M45" s="9"/>
      <c r="W45" s="156">
        <v>3.7999999999999999E-2</v>
      </c>
      <c r="X45" s="24">
        <v>0.246</v>
      </c>
      <c r="Y45" s="174"/>
      <c r="Z45" s="36"/>
    </row>
    <row r="46" spans="2:32" ht="15.75" thickBot="1">
      <c r="C46" s="15" t="s">
        <v>2</v>
      </c>
      <c r="D46" s="129" t="s">
        <v>1</v>
      </c>
      <c r="E46" s="130"/>
      <c r="F46" s="130" t="s">
        <v>0</v>
      </c>
      <c r="G46" s="130"/>
      <c r="H46" s="15" t="s">
        <v>4</v>
      </c>
      <c r="I46" s="20" t="s">
        <v>3</v>
      </c>
      <c r="J46" s="112"/>
      <c r="K46" s="21" t="s">
        <v>2</v>
      </c>
      <c r="L46" s="15" t="s">
        <v>13</v>
      </c>
      <c r="M46" s="15" t="s">
        <v>14</v>
      </c>
      <c r="W46" s="150"/>
      <c r="X46" s="25">
        <v>0.24299999999999999</v>
      </c>
      <c r="Y46" s="138"/>
      <c r="Z46" s="37"/>
    </row>
    <row r="47" spans="2:32">
      <c r="C47" s="123">
        <v>5</v>
      </c>
      <c r="D47" s="183">
        <v>0.63139999999999996</v>
      </c>
      <c r="E47" s="16">
        <v>0.19600000000000001</v>
      </c>
      <c r="F47" s="189">
        <v>0</v>
      </c>
      <c r="G47" s="28">
        <v>0</v>
      </c>
      <c r="H47" s="174">
        <f>(AVERAGE(E47:E48)/D47)</f>
        <v>0.3088375039594552</v>
      </c>
      <c r="I47" s="178" t="e">
        <f>(AVERAGE(G47:G48)/F47)</f>
        <v>#DIV/0!</v>
      </c>
      <c r="J47" s="112"/>
      <c r="K47" s="230">
        <v>5</v>
      </c>
      <c r="L47" s="140">
        <f>H47/$J$168</f>
        <v>4.3758181283893895E-2</v>
      </c>
      <c r="M47" s="139" t="e">
        <f>I47/$J$168</f>
        <v>#DIV/0!</v>
      </c>
      <c r="W47" s="150">
        <v>3.7199999999999997E-2</v>
      </c>
      <c r="X47" s="26">
        <v>0.23499999999999999</v>
      </c>
      <c r="Y47" s="138"/>
      <c r="Z47" s="37"/>
    </row>
    <row r="48" spans="2:32">
      <c r="C48" s="123"/>
      <c r="D48" s="177"/>
      <c r="E48" s="17">
        <v>0.19400000000000001</v>
      </c>
      <c r="F48" s="180"/>
      <c r="G48" s="18">
        <v>0</v>
      </c>
      <c r="H48" s="138"/>
      <c r="I48" s="141"/>
      <c r="J48" s="112"/>
      <c r="K48" s="230"/>
      <c r="L48" s="140"/>
      <c r="M48" s="139"/>
      <c r="W48" s="150"/>
      <c r="X48" s="26">
        <v>0.22900000000000001</v>
      </c>
      <c r="Y48" s="138"/>
      <c r="Z48" s="37"/>
    </row>
    <row r="49" spans="2:26">
      <c r="C49" s="123">
        <v>10</v>
      </c>
      <c r="D49" s="177">
        <v>3.3700000000000001E-2</v>
      </c>
      <c r="E49" s="18">
        <v>0.191</v>
      </c>
      <c r="F49" s="180">
        <v>0</v>
      </c>
      <c r="G49" s="18">
        <v>0</v>
      </c>
      <c r="H49" s="138">
        <f>(AVERAGE(E49:E50)/D49)</f>
        <v>5.6528189910979227</v>
      </c>
      <c r="I49" s="141" t="e">
        <f>(AVERAGE(G49:G50)/F49)</f>
        <v>#DIV/0!</v>
      </c>
      <c r="J49" s="112"/>
      <c r="K49" s="230">
        <v>10</v>
      </c>
      <c r="L49" s="140">
        <f>H49/$J$168</f>
        <v>0.80092953416038037</v>
      </c>
      <c r="M49" s="139" t="e">
        <f>I49/$J$168</f>
        <v>#DIV/0!</v>
      </c>
      <c r="W49" s="150">
        <v>3.5000000000000003E-2</v>
      </c>
      <c r="X49" s="26">
        <v>0.214</v>
      </c>
      <c r="Y49" s="138"/>
      <c r="Z49" s="37"/>
    </row>
    <row r="50" spans="2:26">
      <c r="C50" s="123"/>
      <c r="D50" s="177"/>
      <c r="E50" s="18">
        <v>0.19</v>
      </c>
      <c r="F50" s="180"/>
      <c r="G50" s="18">
        <v>0</v>
      </c>
      <c r="H50" s="138"/>
      <c r="I50" s="141"/>
      <c r="J50" s="112"/>
      <c r="K50" s="230"/>
      <c r="L50" s="140"/>
      <c r="M50" s="139"/>
      <c r="W50" s="150"/>
      <c r="X50" s="26">
        <v>0.20899999999999999</v>
      </c>
      <c r="Y50" s="138"/>
      <c r="Z50" s="37"/>
    </row>
    <row r="51" spans="2:26">
      <c r="C51" s="123">
        <v>15</v>
      </c>
      <c r="D51" s="177">
        <v>3.1899999999999998E-2</v>
      </c>
      <c r="E51" s="18">
        <v>0.20399999999999999</v>
      </c>
      <c r="F51" s="180">
        <v>0</v>
      </c>
      <c r="G51" s="18">
        <v>0</v>
      </c>
      <c r="H51" s="138">
        <f>(AVERAGE(E51:E52)/D51)</f>
        <v>6.3949843260188084</v>
      </c>
      <c r="I51" s="141" t="e">
        <f>(AVERAGE(G51:G52)/F51)</f>
        <v>#DIV/0!</v>
      </c>
      <c r="J51" s="112"/>
      <c r="K51" s="230">
        <v>15</v>
      </c>
      <c r="L51" s="140">
        <f>H51/$J$168</f>
        <v>0.90608452619254443</v>
      </c>
      <c r="M51" s="139" t="e">
        <f>I51/$J$168</f>
        <v>#DIV/0!</v>
      </c>
      <c r="W51" s="150">
        <v>3.3000000000000002E-2</v>
      </c>
      <c r="X51" s="26">
        <v>0.20499999999999999</v>
      </c>
      <c r="Y51" s="138">
        <v>3.1699999999999999E-2</v>
      </c>
      <c r="Z51" s="37">
        <v>9.1000000000000004E-3</v>
      </c>
    </row>
    <row r="52" spans="2:26">
      <c r="C52" s="123"/>
      <c r="D52" s="177"/>
      <c r="E52" s="18">
        <v>0.20399999999999999</v>
      </c>
      <c r="F52" s="180"/>
      <c r="G52" s="18">
        <v>0</v>
      </c>
      <c r="H52" s="138"/>
      <c r="I52" s="141"/>
      <c r="J52" s="112"/>
      <c r="K52" s="230"/>
      <c r="L52" s="140"/>
      <c r="M52" s="139"/>
      <c r="W52" s="150"/>
      <c r="X52" s="26">
        <v>0.19500000000000001</v>
      </c>
      <c r="Y52" s="138"/>
      <c r="Z52" s="37">
        <v>8.9999999999999993E-3</v>
      </c>
    </row>
    <row r="53" spans="2:26">
      <c r="C53" s="123">
        <v>20</v>
      </c>
      <c r="D53" s="177">
        <v>3.04E-2</v>
      </c>
      <c r="E53" s="18">
        <v>0.185</v>
      </c>
      <c r="F53" s="180">
        <v>0</v>
      </c>
      <c r="G53" s="18">
        <v>0</v>
      </c>
      <c r="H53" s="138">
        <f>(AVERAGE(E53:E54)/D53)</f>
        <v>6.0690789473684212</v>
      </c>
      <c r="I53" s="141" t="e">
        <f>(AVERAGE(G53:G54)/F53)</f>
        <v>#DIV/0!</v>
      </c>
      <c r="J53" s="112"/>
      <c r="K53" s="230">
        <v>20</v>
      </c>
      <c r="L53" s="140">
        <f>H53/$J$168</f>
        <v>0.85990805326569442</v>
      </c>
      <c r="M53" s="139" t="e">
        <f>I53/$J$168</f>
        <v>#DIV/0!</v>
      </c>
      <c r="W53" s="150">
        <v>3.09E-2</v>
      </c>
      <c r="X53" s="26">
        <v>0.18</v>
      </c>
      <c r="Y53" s="138">
        <v>3.0200000000000001E-2</v>
      </c>
      <c r="Z53" s="37">
        <v>1.0200000000000001E-2</v>
      </c>
    </row>
    <row r="54" spans="2:26">
      <c r="C54" s="123"/>
      <c r="D54" s="177"/>
      <c r="E54" s="18">
        <v>0.184</v>
      </c>
      <c r="F54" s="180"/>
      <c r="G54" s="18">
        <v>0</v>
      </c>
      <c r="H54" s="138"/>
      <c r="I54" s="141"/>
      <c r="J54" s="112"/>
      <c r="K54" s="230"/>
      <c r="L54" s="140"/>
      <c r="M54" s="139"/>
      <c r="W54" s="150"/>
      <c r="X54" s="26">
        <v>0.17899999999999999</v>
      </c>
      <c r="Y54" s="138"/>
      <c r="Z54" s="37">
        <v>1.01E-2</v>
      </c>
    </row>
    <row r="55" spans="2:26">
      <c r="C55" s="123">
        <v>25</v>
      </c>
      <c r="D55" s="177">
        <v>2.92E-2</v>
      </c>
      <c r="E55" s="18">
        <v>0.158</v>
      </c>
      <c r="F55" s="180">
        <v>2.9100000000000001E-2</v>
      </c>
      <c r="G55" s="18">
        <v>1.073E-2</v>
      </c>
      <c r="H55" s="138">
        <f>(AVERAGE(E55:E56)/D55)</f>
        <v>5.4109589041095889</v>
      </c>
      <c r="I55" s="141">
        <f>(AVERAGE(G55:G56)/F55)</f>
        <v>0.36838487972508593</v>
      </c>
      <c r="J55" s="112"/>
      <c r="K55" s="230">
        <v>25</v>
      </c>
      <c r="L55" s="140">
        <f>H55/$J$168</f>
        <v>0.76666116520878025</v>
      </c>
      <c r="M55" s="139">
        <f>I55/$J$168</f>
        <v>5.2195255247795308E-2</v>
      </c>
      <c r="W55" s="150">
        <v>3.0800000000000001E-2</v>
      </c>
      <c r="X55" s="26">
        <v>0.17100000000000001</v>
      </c>
      <c r="Y55" s="138">
        <v>3.1E-2</v>
      </c>
      <c r="Z55" s="37">
        <v>1.6E-2</v>
      </c>
    </row>
    <row r="56" spans="2:26">
      <c r="C56" s="123"/>
      <c r="D56" s="177"/>
      <c r="E56" s="18">
        <v>0.158</v>
      </c>
      <c r="F56" s="180"/>
      <c r="G56" s="18">
        <v>1.0710000000000001E-2</v>
      </c>
      <c r="H56" s="138"/>
      <c r="I56" s="141"/>
      <c r="J56" s="112"/>
      <c r="K56" s="230"/>
      <c r="L56" s="140"/>
      <c r="M56" s="139"/>
      <c r="W56" s="150"/>
      <c r="X56" s="26">
        <v>0.17199999999999999</v>
      </c>
      <c r="Y56" s="138"/>
      <c r="Z56" s="37">
        <v>1.6E-2</v>
      </c>
    </row>
    <row r="57" spans="2:26">
      <c r="C57" s="123">
        <v>30</v>
      </c>
      <c r="D57" s="177">
        <v>2.92E-2</v>
      </c>
      <c r="E57" s="18">
        <v>0.1545</v>
      </c>
      <c r="F57" s="180">
        <v>2.8899999999999999E-2</v>
      </c>
      <c r="G57" s="18">
        <v>1.52E-2</v>
      </c>
      <c r="H57" s="138">
        <f>(AVERAGE(E57:E58)/D57)</f>
        <v>5.2928082191780819</v>
      </c>
      <c r="I57" s="141">
        <f>(AVERAGE(G57:G58)/F57)</f>
        <v>0.52491349480968863</v>
      </c>
      <c r="J57" s="112"/>
      <c r="K57" s="230">
        <v>30</v>
      </c>
      <c r="L57" s="140">
        <f>H57/$J$168</f>
        <v>0.74992077900643661</v>
      </c>
      <c r="M57" s="139">
        <f>I57/$J$168</f>
        <v>7.4373285529661909E-2</v>
      </c>
      <c r="W57" s="150">
        <v>3.0499999999999999E-2</v>
      </c>
      <c r="X57" s="26">
        <v>0.154</v>
      </c>
      <c r="Y57" s="138">
        <v>3.0499999999999999E-2</v>
      </c>
      <c r="Z57" s="37">
        <v>2.53E-2</v>
      </c>
    </row>
    <row r="58" spans="2:26">
      <c r="C58" s="123"/>
      <c r="D58" s="177"/>
      <c r="E58" s="18">
        <v>0.15459999999999999</v>
      </c>
      <c r="F58" s="180"/>
      <c r="G58" s="18">
        <v>1.5140000000000001E-2</v>
      </c>
      <c r="H58" s="138"/>
      <c r="I58" s="141"/>
      <c r="J58" s="112"/>
      <c r="K58" s="230"/>
      <c r="L58" s="140"/>
      <c r="M58" s="139"/>
      <c r="W58" s="150"/>
      <c r="X58" s="26">
        <v>0.155</v>
      </c>
      <c r="Y58" s="138"/>
      <c r="Z58" s="37">
        <v>2.5399999999999999E-2</v>
      </c>
    </row>
    <row r="59" spans="2:26">
      <c r="C59" s="123">
        <v>35</v>
      </c>
      <c r="D59" s="177">
        <v>2.9100000000000001E-2</v>
      </c>
      <c r="E59" s="18">
        <v>0.13969999999999999</v>
      </c>
      <c r="F59" s="180">
        <v>2.8799999999999999E-2</v>
      </c>
      <c r="G59" s="18">
        <v>2.5360000000000001E-2</v>
      </c>
      <c r="H59" s="138">
        <f>(AVERAGE(E59:E60)/D59)</f>
        <v>4.8041237113402051</v>
      </c>
      <c r="I59" s="141">
        <f>(AVERAGE(G59:G60)/F59)</f>
        <v>0.88055555555555565</v>
      </c>
      <c r="J59" s="112"/>
      <c r="K59" s="230">
        <v>35</v>
      </c>
      <c r="L59" s="140">
        <f>H59/$J$168</f>
        <v>0.68068066078747969</v>
      </c>
      <c r="M59" s="139">
        <f>I59/$J$168</f>
        <v>0.12476305220883535</v>
      </c>
      <c r="W59" s="150">
        <v>3.0880000000000001E-2</v>
      </c>
      <c r="X59" s="26">
        <v>0.14080000000000001</v>
      </c>
      <c r="Y59" s="138">
        <v>3.6999999999999998E-2</v>
      </c>
      <c r="Z59" s="37">
        <v>6.5100000000000005E-2</v>
      </c>
    </row>
    <row r="60" spans="2:26">
      <c r="C60" s="123"/>
      <c r="D60" s="177"/>
      <c r="E60" s="18">
        <v>0.1399</v>
      </c>
      <c r="F60" s="180"/>
      <c r="G60" s="18">
        <v>2.5360000000000001E-2</v>
      </c>
      <c r="H60" s="138"/>
      <c r="I60" s="141"/>
      <c r="J60" s="112"/>
      <c r="K60" s="230"/>
      <c r="L60" s="140"/>
      <c r="M60" s="139"/>
      <c r="W60" s="150"/>
      <c r="X60" s="26">
        <v>0.13850000000000001</v>
      </c>
      <c r="Y60" s="138"/>
      <c r="Z60" s="37">
        <v>6.5000000000000002E-2</v>
      </c>
    </row>
    <row r="61" spans="2:26">
      <c r="B61" s="54" t="s">
        <v>44</v>
      </c>
      <c r="C61" s="123">
        <v>40</v>
      </c>
      <c r="D61" s="177">
        <v>2.9100000000000001E-2</v>
      </c>
      <c r="E61" s="18">
        <v>8.5000000000000006E-2</v>
      </c>
      <c r="F61" s="180">
        <v>2.92E-2</v>
      </c>
      <c r="G61" s="18">
        <v>5.8299999999999998E-2</v>
      </c>
      <c r="H61" s="138">
        <f>(AVERAGE(E61:E62)/D61)</f>
        <v>2.9278350515463916</v>
      </c>
      <c r="I61" s="141">
        <f>(AVERAGE(G61:G62)/F61)</f>
        <v>1.9948630136986301</v>
      </c>
      <c r="J61" s="112"/>
      <c r="K61" s="230">
        <v>40</v>
      </c>
      <c r="L61" s="140">
        <f>H61/$J$168</f>
        <v>0.41483542417091041</v>
      </c>
      <c r="M61" s="139">
        <f>I61/$J$168</f>
        <v>0.28264565109754081</v>
      </c>
      <c r="W61" s="150"/>
      <c r="X61" s="26"/>
      <c r="Y61" s="138">
        <v>3.1E-2</v>
      </c>
      <c r="Z61" s="37">
        <v>0.16900000000000001</v>
      </c>
    </row>
    <row r="62" spans="2:26">
      <c r="B62" s="54"/>
      <c r="C62" s="123"/>
      <c r="D62" s="177"/>
      <c r="E62" s="18">
        <v>8.5400000000000004E-2</v>
      </c>
      <c r="F62" s="180"/>
      <c r="G62" s="18">
        <v>5.8200000000000002E-2</v>
      </c>
      <c r="H62" s="138"/>
      <c r="I62" s="141"/>
      <c r="J62" s="112"/>
      <c r="K62" s="230"/>
      <c r="L62" s="140"/>
      <c r="M62" s="139"/>
      <c r="W62" s="150"/>
      <c r="X62" s="26"/>
      <c r="Y62" s="138"/>
      <c r="Z62" s="37">
        <v>0.17</v>
      </c>
    </row>
    <row r="63" spans="2:26">
      <c r="C63" s="123">
        <v>45</v>
      </c>
      <c r="D63" s="177">
        <v>0</v>
      </c>
      <c r="E63" s="18">
        <v>0</v>
      </c>
      <c r="F63" s="180">
        <v>2.93E-2</v>
      </c>
      <c r="G63" s="18">
        <v>0.16389999999999999</v>
      </c>
      <c r="H63" s="138" t="e">
        <f>(AVERAGE(E63:E64)/D63)</f>
        <v>#DIV/0!</v>
      </c>
      <c r="I63" s="141">
        <f>(AVERAGE(G63:G64)/F63)</f>
        <v>5.598976109215017</v>
      </c>
      <c r="J63" s="112"/>
      <c r="K63" s="230">
        <v>45</v>
      </c>
      <c r="L63" s="140" t="e">
        <f>H63/$J$168</f>
        <v>#DIV/0!</v>
      </c>
      <c r="M63" s="139">
        <f>I63/$J$168</f>
        <v>0.7933007113779349</v>
      </c>
      <c r="N63" s="113" t="s">
        <v>29</v>
      </c>
      <c r="O63" s="121"/>
      <c r="W63" s="150"/>
      <c r="X63" s="26"/>
      <c r="Y63" s="138">
        <v>3.2899999999999999E-2</v>
      </c>
      <c r="Z63" s="37">
        <v>0.16400000000000001</v>
      </c>
    </row>
    <row r="64" spans="2:26">
      <c r="C64" s="123"/>
      <c r="D64" s="177"/>
      <c r="E64" s="18">
        <v>0</v>
      </c>
      <c r="F64" s="180"/>
      <c r="G64" s="18">
        <v>0.16420000000000001</v>
      </c>
      <c r="H64" s="138"/>
      <c r="I64" s="141"/>
      <c r="J64" s="112"/>
      <c r="K64" s="230"/>
      <c r="L64" s="140"/>
      <c r="M64" s="139"/>
      <c r="N64" s="113"/>
      <c r="O64" s="121"/>
      <c r="W64" s="150"/>
      <c r="X64" s="26"/>
      <c r="Y64" s="138"/>
      <c r="Z64" s="37">
        <v>0.16600000000000001</v>
      </c>
    </row>
    <row r="65" spans="3:26">
      <c r="C65" s="123">
        <v>50</v>
      </c>
      <c r="D65" s="177">
        <v>0</v>
      </c>
      <c r="E65" s="18">
        <v>0</v>
      </c>
      <c r="F65" s="180">
        <v>2.9600000000000001E-2</v>
      </c>
      <c r="G65" s="18">
        <v>0.16311999999999999</v>
      </c>
      <c r="H65" s="138" t="e">
        <f>(AVERAGE(E65:E66)/D65)</f>
        <v>#DIV/0!</v>
      </c>
      <c r="I65" s="141">
        <f>(AVERAGE(G65:G66)/F65)</f>
        <v>5.5106418918918916</v>
      </c>
      <c r="J65" s="112"/>
      <c r="K65" s="230">
        <v>50</v>
      </c>
      <c r="L65" s="140" t="e">
        <f>H65/$J$168</f>
        <v>#DIV/0!</v>
      </c>
      <c r="M65" s="139">
        <f>I65/$J$168</f>
        <v>0.78078492347769446</v>
      </c>
      <c r="W65" s="150"/>
      <c r="X65" s="26"/>
      <c r="Y65" s="138">
        <v>3.4099999999999998E-2</v>
      </c>
      <c r="Z65" s="37">
        <v>0.16700000000000001</v>
      </c>
    </row>
    <row r="66" spans="3:26">
      <c r="C66" s="123"/>
      <c r="D66" s="177"/>
      <c r="E66" s="18">
        <v>0</v>
      </c>
      <c r="F66" s="180"/>
      <c r="G66" s="18">
        <v>0.16311</v>
      </c>
      <c r="H66" s="138"/>
      <c r="I66" s="141"/>
      <c r="J66" s="112"/>
      <c r="K66" s="230"/>
      <c r="L66" s="140"/>
      <c r="M66" s="139"/>
      <c r="W66" s="150"/>
      <c r="X66" s="26"/>
      <c r="Y66" s="138"/>
      <c r="Z66" s="37">
        <v>0.16400000000000001</v>
      </c>
    </row>
    <row r="67" spans="3:26">
      <c r="C67" s="123">
        <v>55</v>
      </c>
      <c r="D67" s="177">
        <v>0</v>
      </c>
      <c r="E67" s="18">
        <v>0</v>
      </c>
      <c r="F67" s="180">
        <v>2.9700000000000001E-2</v>
      </c>
      <c r="G67" s="18">
        <v>0.1739</v>
      </c>
      <c r="H67" s="138" t="e">
        <f>(AVERAGE(E67:E68)/D67)</f>
        <v>#DIV/0!</v>
      </c>
      <c r="I67" s="141">
        <f>(AVERAGE(G67:G68)/F67)</f>
        <v>5.8518518518518521</v>
      </c>
      <c r="J67" s="112"/>
      <c r="K67" s="230">
        <v>55</v>
      </c>
      <c r="L67" s="140" t="e">
        <f>H67/$J$168</f>
        <v>#DIV/0!</v>
      </c>
      <c r="M67" s="139">
        <f>I67/$J$168</f>
        <v>0.82912985274431061</v>
      </c>
      <c r="W67" s="150"/>
      <c r="X67" s="26"/>
      <c r="Y67" s="138">
        <v>3.3300000000000003E-2</v>
      </c>
      <c r="Z67" s="37">
        <v>0.161</v>
      </c>
    </row>
    <row r="68" spans="3:26">
      <c r="C68" s="123"/>
      <c r="D68" s="177"/>
      <c r="E68" s="18">
        <v>0</v>
      </c>
      <c r="F68" s="180"/>
      <c r="G68" s="18">
        <v>0.17369999999999999</v>
      </c>
      <c r="H68" s="138"/>
      <c r="I68" s="141"/>
      <c r="J68" s="112"/>
      <c r="K68" s="230"/>
      <c r="L68" s="140"/>
      <c r="M68" s="139"/>
      <c r="W68" s="150"/>
      <c r="X68" s="26"/>
      <c r="Y68" s="138"/>
      <c r="Z68" s="37">
        <v>0.16</v>
      </c>
    </row>
    <row r="69" spans="3:26">
      <c r="C69" s="123">
        <v>60</v>
      </c>
      <c r="D69" s="177">
        <v>0</v>
      </c>
      <c r="E69" s="18">
        <v>0</v>
      </c>
      <c r="F69" s="180">
        <v>2.9499999999999998E-2</v>
      </c>
      <c r="G69" s="18">
        <v>0.17100000000000001</v>
      </c>
      <c r="H69" s="138" t="e">
        <f>(AVERAGE(E69:E70)/D69)</f>
        <v>#DIV/0!</v>
      </c>
      <c r="I69" s="141">
        <f>(AVERAGE(G69:G70)/F69)</f>
        <v>5.796610169491526</v>
      </c>
      <c r="J69" s="112"/>
      <c r="K69" s="230">
        <v>60</v>
      </c>
      <c r="L69" s="140" t="e">
        <f>H69/$J$168</f>
        <v>#DIV/0!</v>
      </c>
      <c r="M69" s="139">
        <f>I69/$J$168</f>
        <v>0.82130283847253427</v>
      </c>
      <c r="W69" s="150"/>
      <c r="X69" s="26"/>
      <c r="Y69" s="138">
        <v>3.4599999999999999E-2</v>
      </c>
      <c r="Z69" s="37">
        <v>0.15</v>
      </c>
    </row>
    <row r="70" spans="3:26">
      <c r="C70" s="123"/>
      <c r="D70" s="177"/>
      <c r="E70" s="18">
        <v>0</v>
      </c>
      <c r="F70" s="180"/>
      <c r="G70" s="18">
        <v>0.17100000000000001</v>
      </c>
      <c r="H70" s="138"/>
      <c r="I70" s="141"/>
      <c r="J70" s="112"/>
      <c r="K70" s="230"/>
      <c r="L70" s="140"/>
      <c r="M70" s="139"/>
      <c r="W70" s="150"/>
      <c r="X70" s="26"/>
      <c r="Y70" s="138"/>
      <c r="Z70" s="37">
        <v>0.14799999999999999</v>
      </c>
    </row>
    <row r="71" spans="3:26">
      <c r="C71" s="123">
        <v>65</v>
      </c>
      <c r="D71" s="177">
        <v>0</v>
      </c>
      <c r="E71" s="18">
        <v>0</v>
      </c>
      <c r="F71" s="180">
        <v>2.9600000000000001E-2</v>
      </c>
      <c r="G71" s="18">
        <v>0.17</v>
      </c>
      <c r="H71" s="138" t="e">
        <f>(AVERAGE(E71:E72)/D71)</f>
        <v>#DIV/0!</v>
      </c>
      <c r="I71" s="141">
        <f>(AVERAGE(G71:G72)/F71)</f>
        <v>5.7601351351351351</v>
      </c>
      <c r="J71" s="112"/>
      <c r="K71" s="230">
        <v>65</v>
      </c>
      <c r="L71" s="140" t="e">
        <f>H71/$J$168</f>
        <v>#DIV/0!</v>
      </c>
      <c r="M71" s="139">
        <f>I71/$J$168</f>
        <v>0.81613480950830342</v>
      </c>
      <c r="W71" s="150"/>
      <c r="X71" s="26"/>
      <c r="Y71" s="138">
        <v>3.3799999999999997E-2</v>
      </c>
      <c r="Z71" s="37">
        <v>0.14899999999999999</v>
      </c>
    </row>
    <row r="72" spans="3:26">
      <c r="C72" s="123"/>
      <c r="D72" s="177"/>
      <c r="E72" s="18">
        <v>0</v>
      </c>
      <c r="F72" s="180"/>
      <c r="G72" s="18">
        <v>0.17100000000000001</v>
      </c>
      <c r="H72" s="138"/>
      <c r="I72" s="141"/>
      <c r="J72" s="112"/>
      <c r="K72" s="230"/>
      <c r="L72" s="140"/>
      <c r="M72" s="139"/>
      <c r="W72" s="150"/>
      <c r="X72" s="26"/>
      <c r="Y72" s="138"/>
      <c r="Z72" s="37">
        <v>0.14799999999999999</v>
      </c>
    </row>
    <row r="73" spans="3:26">
      <c r="C73" s="123">
        <v>70</v>
      </c>
      <c r="D73" s="177">
        <v>0</v>
      </c>
      <c r="E73" s="18">
        <v>0</v>
      </c>
      <c r="F73" s="180">
        <v>2.9700000000000001E-2</v>
      </c>
      <c r="G73" s="18">
        <v>0.17449999999999999</v>
      </c>
      <c r="H73" s="138" t="e">
        <f>(AVERAGE(E73:E74)/D73)</f>
        <v>#DIV/0!</v>
      </c>
      <c r="I73" s="141">
        <f>(AVERAGE(G73:G74)/F73)</f>
        <v>5.8737373737373737</v>
      </c>
      <c r="J73" s="112"/>
      <c r="K73" s="230">
        <v>70</v>
      </c>
      <c r="L73" s="140" t="e">
        <f>H73/$J$168</f>
        <v>#DIV/0!</v>
      </c>
      <c r="M73" s="139">
        <f>I73/$J$168</f>
        <v>0.83223074114640372</v>
      </c>
      <c r="W73" s="150"/>
      <c r="X73" s="26"/>
      <c r="Y73" s="138">
        <v>3.5700000000000003E-2</v>
      </c>
      <c r="Z73" s="37">
        <v>0.21199999999999999</v>
      </c>
    </row>
    <row r="74" spans="3:26">
      <c r="C74" s="123"/>
      <c r="D74" s="177"/>
      <c r="E74" s="18">
        <v>0</v>
      </c>
      <c r="F74" s="180"/>
      <c r="G74" s="18">
        <v>0.1744</v>
      </c>
      <c r="H74" s="138"/>
      <c r="I74" s="141"/>
      <c r="J74" s="112"/>
      <c r="K74" s="230"/>
      <c r="L74" s="140"/>
      <c r="M74" s="139"/>
      <c r="W74" s="150"/>
      <c r="X74" s="26"/>
      <c r="Y74" s="138"/>
      <c r="Z74" s="37">
        <v>0.21299999999999999</v>
      </c>
    </row>
    <row r="75" spans="3:26">
      <c r="C75" s="123">
        <v>75</v>
      </c>
      <c r="D75" s="177">
        <v>0</v>
      </c>
      <c r="E75" s="18">
        <v>0</v>
      </c>
      <c r="F75" s="180">
        <v>2.9700000000000001E-2</v>
      </c>
      <c r="G75" s="18">
        <v>0.16339999999999999</v>
      </c>
      <c r="H75" s="138" t="e">
        <f>(AVERAGE(E75:E76)/D75)</f>
        <v>#DIV/0!</v>
      </c>
      <c r="I75" s="141">
        <f>(AVERAGE(G75:G76)/F75)</f>
        <v>5.5117845117845121</v>
      </c>
      <c r="J75" s="112"/>
      <c r="K75" s="230">
        <v>75</v>
      </c>
      <c r="L75" s="140" t="e">
        <f>H75/$J$168</f>
        <v>#DIV/0!</v>
      </c>
      <c r="M75" s="139">
        <f>I75/$J$168</f>
        <v>0.78094681757332363</v>
      </c>
      <c r="W75" s="150"/>
      <c r="X75" s="26"/>
      <c r="Y75" s="138">
        <v>4.2999999999999997E-2</v>
      </c>
      <c r="Z75" s="37">
        <v>0.215</v>
      </c>
    </row>
    <row r="76" spans="3:26">
      <c r="C76" s="123"/>
      <c r="D76" s="177"/>
      <c r="E76" s="18">
        <v>0</v>
      </c>
      <c r="F76" s="180"/>
      <c r="G76" s="18">
        <v>0.16400000000000001</v>
      </c>
      <c r="H76" s="138"/>
      <c r="I76" s="141"/>
      <c r="J76" s="112"/>
      <c r="K76" s="230"/>
      <c r="L76" s="140"/>
      <c r="M76" s="139"/>
      <c r="W76" s="150"/>
      <c r="X76" s="26"/>
      <c r="Y76" s="138"/>
      <c r="Z76" s="37">
        <v>0.216</v>
      </c>
    </row>
    <row r="77" spans="3:26">
      <c r="C77" s="123">
        <v>80</v>
      </c>
      <c r="D77" s="177">
        <v>0</v>
      </c>
      <c r="E77" s="18">
        <v>0</v>
      </c>
      <c r="F77" s="180">
        <v>2.9700000000000001E-2</v>
      </c>
      <c r="G77" s="18">
        <v>0.16819999999999999</v>
      </c>
      <c r="H77" s="138" t="e">
        <f>(AVERAGE(E77:E78)/D77)</f>
        <v>#DIV/0!</v>
      </c>
      <c r="I77" s="141">
        <f>(AVERAGE(G77:G78)/F77)</f>
        <v>5.6430976430976427</v>
      </c>
      <c r="J77" s="112"/>
      <c r="K77" s="230">
        <v>80</v>
      </c>
      <c r="L77" s="140" t="e">
        <f>H77/$J$168</f>
        <v>#DIV/0!</v>
      </c>
      <c r="M77" s="139">
        <f>I77/$J$168</f>
        <v>0.79955214798588281</v>
      </c>
      <c r="W77" s="150"/>
      <c r="X77" s="26"/>
      <c r="Y77" s="138">
        <v>4.2999999999999997E-2</v>
      </c>
      <c r="Z77" s="37">
        <v>0.20100000000000001</v>
      </c>
    </row>
    <row r="78" spans="3:26" ht="15.75" thickBot="1">
      <c r="C78" s="123"/>
      <c r="D78" s="177"/>
      <c r="E78" s="18">
        <v>0</v>
      </c>
      <c r="F78" s="180"/>
      <c r="G78" s="18">
        <v>0.16700000000000001</v>
      </c>
      <c r="H78" s="138"/>
      <c r="I78" s="141"/>
      <c r="J78" s="112"/>
      <c r="K78" s="230"/>
      <c r="L78" s="140"/>
      <c r="M78" s="139"/>
      <c r="W78" s="151"/>
      <c r="X78" s="27"/>
      <c r="Y78" s="179"/>
      <c r="Z78" s="38">
        <v>0.19900000000000001</v>
      </c>
    </row>
    <row r="79" spans="3:26">
      <c r="C79" s="123">
        <v>85</v>
      </c>
      <c r="D79" s="177">
        <v>0</v>
      </c>
      <c r="E79" s="18">
        <v>0</v>
      </c>
      <c r="F79" s="180">
        <v>2.98E-2</v>
      </c>
      <c r="G79" s="18">
        <v>0.16</v>
      </c>
      <c r="H79" s="138" t="e">
        <f>(AVERAGE(E79:E80)/D79)</f>
        <v>#DIV/0!</v>
      </c>
      <c r="I79" s="141">
        <f>(AVERAGE(G79:G80)/F79)</f>
        <v>5.4026845637583891</v>
      </c>
      <c r="J79" s="112"/>
      <c r="K79" s="230">
        <v>85</v>
      </c>
      <c r="L79" s="140" t="e">
        <f>H79/$J$168</f>
        <v>#DIV/0!</v>
      </c>
      <c r="M79" s="139">
        <f>I79/$J$168</f>
        <v>0.76548880084094761</v>
      </c>
    </row>
    <row r="80" spans="3:26" ht="15.75" thickBot="1">
      <c r="C80" s="231"/>
      <c r="D80" s="190"/>
      <c r="E80" s="19">
        <v>0</v>
      </c>
      <c r="F80" s="206"/>
      <c r="G80" s="19">
        <v>0.16200000000000001</v>
      </c>
      <c r="H80" s="179"/>
      <c r="I80" s="194"/>
      <c r="J80" s="202"/>
      <c r="K80" s="232"/>
      <c r="L80" s="140"/>
      <c r="M80" s="139"/>
    </row>
    <row r="81" spans="1:26" ht="15.75" thickBot="1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</row>
    <row r="82" spans="1:26" ht="15.75" thickBot="1"/>
    <row r="83" spans="1:26">
      <c r="C83" s="131" t="s">
        <v>8</v>
      </c>
      <c r="D83" s="132"/>
      <c r="E83" s="132"/>
      <c r="F83" s="132"/>
      <c r="G83" s="132"/>
      <c r="H83" s="132"/>
      <c r="I83" s="132"/>
      <c r="J83" s="132"/>
      <c r="K83" s="132"/>
      <c r="L83" s="132"/>
      <c r="M83" s="133"/>
    </row>
    <row r="84" spans="1:26" ht="15.75" thickBot="1">
      <c r="C84" s="134"/>
      <c r="D84" s="135"/>
      <c r="E84" s="135"/>
      <c r="F84" s="135"/>
      <c r="G84" s="135"/>
      <c r="H84" s="135"/>
      <c r="I84" s="135"/>
      <c r="J84" s="135"/>
      <c r="K84" s="135"/>
      <c r="L84" s="135"/>
      <c r="M84" s="136"/>
    </row>
    <row r="86" spans="1:26" ht="15.75" thickBot="1"/>
    <row r="87" spans="1:26" ht="15.75" thickBot="1">
      <c r="C87" s="124" t="s">
        <v>7</v>
      </c>
      <c r="D87" s="124"/>
      <c r="E87" s="124"/>
      <c r="F87" s="124"/>
      <c r="G87" s="124"/>
      <c r="H87" s="124"/>
      <c r="I87" s="163"/>
      <c r="J87" s="201"/>
      <c r="K87" s="8"/>
      <c r="L87" s="8"/>
      <c r="M87" s="9"/>
    </row>
    <row r="88" spans="1:26" ht="15.75" thickBot="1">
      <c r="C88" s="15" t="s">
        <v>2</v>
      </c>
      <c r="D88" s="129" t="s">
        <v>1</v>
      </c>
      <c r="E88" s="130"/>
      <c r="F88" s="130" t="s">
        <v>0</v>
      </c>
      <c r="G88" s="130"/>
      <c r="H88" s="15" t="s">
        <v>4</v>
      </c>
      <c r="I88" s="20" t="s">
        <v>3</v>
      </c>
      <c r="J88" s="112"/>
      <c r="K88" s="21" t="s">
        <v>2</v>
      </c>
      <c r="L88" s="15" t="s">
        <v>13</v>
      </c>
      <c r="M88" s="15" t="s">
        <v>14</v>
      </c>
    </row>
    <row r="89" spans="1:26" ht="15.75" thickBot="1">
      <c r="C89" s="124">
        <v>5</v>
      </c>
      <c r="D89" s="125">
        <v>4.3499999999999997E-2</v>
      </c>
      <c r="E89" s="31">
        <v>0.24249999999999999</v>
      </c>
      <c r="F89" s="127"/>
      <c r="G89" s="32"/>
      <c r="H89" s="174">
        <f>(AVERAGE(E89:E90)/D89)</f>
        <v>5.5574712643678161</v>
      </c>
      <c r="I89" s="178" t="e">
        <f>(AVERAGE(G89:G90)/F89)</f>
        <v>#DIV/0!</v>
      </c>
      <c r="J89" s="112"/>
      <c r="K89" s="230">
        <v>5</v>
      </c>
      <c r="L89" s="140" t="e">
        <f>H89/$D$168</f>
        <v>#DIV/0!</v>
      </c>
      <c r="M89" s="139" t="e">
        <f>I89/$D$168</f>
        <v>#DIV/0!</v>
      </c>
      <c r="W89" s="156">
        <v>6.0999999999999999E-2</v>
      </c>
      <c r="X89" s="24">
        <v>0.20200000000000001</v>
      </c>
      <c r="Y89" s="233"/>
      <c r="Z89" s="39"/>
    </row>
    <row r="90" spans="1:26" ht="15.75" thickBot="1">
      <c r="C90" s="124"/>
      <c r="D90" s="126"/>
      <c r="E90" s="33">
        <v>0.24099999999999999</v>
      </c>
      <c r="F90" s="128"/>
      <c r="G90" s="34"/>
      <c r="H90" s="138"/>
      <c r="I90" s="141"/>
      <c r="J90" s="112"/>
      <c r="K90" s="230"/>
      <c r="L90" s="140"/>
      <c r="M90" s="139"/>
      <c r="W90" s="150"/>
      <c r="X90" s="25">
        <v>0.20599999999999999</v>
      </c>
      <c r="Y90" s="234"/>
      <c r="Z90" s="40"/>
    </row>
    <row r="91" spans="1:26" ht="15.75" thickBot="1">
      <c r="C91" s="124">
        <v>10</v>
      </c>
      <c r="D91" s="126">
        <v>4.2200000000000001E-2</v>
      </c>
      <c r="E91" s="34">
        <v>0.24199999999999999</v>
      </c>
      <c r="F91" s="128"/>
      <c r="G91" s="34"/>
      <c r="H91" s="138">
        <f>(AVERAGE(E91:E92)/D91)</f>
        <v>5.7227488151658763</v>
      </c>
      <c r="I91" s="141" t="e">
        <f>(AVERAGE(G91:G92)/F91)</f>
        <v>#DIV/0!</v>
      </c>
      <c r="J91" s="112"/>
      <c r="K91" s="230">
        <v>10</v>
      </c>
      <c r="L91" s="140" t="e">
        <f>H91/$D$168</f>
        <v>#DIV/0!</v>
      </c>
      <c r="M91" s="139" t="e">
        <f>I91/$D$168</f>
        <v>#DIV/0!</v>
      </c>
      <c r="W91" s="150">
        <v>6.5000000000000002E-2</v>
      </c>
      <c r="X91" s="26">
        <v>0.20699999999999999</v>
      </c>
      <c r="Y91" s="234"/>
      <c r="Z91" s="40"/>
    </row>
    <row r="92" spans="1:26" ht="15.75" thickBot="1">
      <c r="C92" s="124"/>
      <c r="D92" s="126"/>
      <c r="E92" s="34">
        <v>0.24099999999999999</v>
      </c>
      <c r="F92" s="128"/>
      <c r="G92" s="34"/>
      <c r="H92" s="138"/>
      <c r="I92" s="141"/>
      <c r="J92" s="112"/>
      <c r="K92" s="230"/>
      <c r="L92" s="140"/>
      <c r="M92" s="139"/>
      <c r="W92" s="150"/>
      <c r="X92" s="26">
        <v>0.21199999999999999</v>
      </c>
      <c r="Y92" s="234"/>
      <c r="Z92" s="40"/>
    </row>
    <row r="93" spans="1:26" ht="15.75" thickBot="1">
      <c r="C93" s="124">
        <v>15</v>
      </c>
      <c r="D93" s="126">
        <v>4.2000000000000003E-2</v>
      </c>
      <c r="E93" s="34">
        <v>0.24</v>
      </c>
      <c r="F93" s="128"/>
      <c r="G93" s="34"/>
      <c r="H93" s="138">
        <f>(AVERAGE(E93:E94)/D93)</f>
        <v>5.7142857142857135</v>
      </c>
      <c r="I93" s="141" t="e">
        <f>(AVERAGE(G93:G94)/F93)</f>
        <v>#DIV/0!</v>
      </c>
      <c r="J93" s="112"/>
      <c r="K93" s="230">
        <v>15</v>
      </c>
      <c r="L93" s="140" t="e">
        <f>H93/$D$168</f>
        <v>#DIV/0!</v>
      </c>
      <c r="M93" s="139" t="e">
        <f>I93/$D$168</f>
        <v>#DIV/0!</v>
      </c>
      <c r="W93" s="150">
        <v>6.6000000000000003E-2</v>
      </c>
      <c r="X93" s="26">
        <v>0.21299999999999999</v>
      </c>
      <c r="Y93" s="234"/>
      <c r="Z93" s="40"/>
    </row>
    <row r="94" spans="1:26" ht="15.75" thickBot="1">
      <c r="C94" s="124"/>
      <c r="D94" s="126"/>
      <c r="E94" s="34">
        <v>0.24</v>
      </c>
      <c r="F94" s="128"/>
      <c r="G94" s="34"/>
      <c r="H94" s="138"/>
      <c r="I94" s="141"/>
      <c r="J94" s="112"/>
      <c r="K94" s="230"/>
      <c r="L94" s="140"/>
      <c r="M94" s="139"/>
      <c r="W94" s="150"/>
      <c r="X94" s="26">
        <v>0.215</v>
      </c>
      <c r="Y94" s="234"/>
      <c r="Z94" s="40"/>
    </row>
    <row r="95" spans="1:26" ht="15.75" thickBot="1">
      <c r="C95" s="124">
        <v>20</v>
      </c>
      <c r="D95" s="126">
        <v>4.2099999999999999E-2</v>
      </c>
      <c r="E95" s="34"/>
      <c r="F95" s="128"/>
      <c r="G95" s="34"/>
      <c r="H95" s="138" t="e">
        <f>(AVERAGE(E95:E96)/D95)</f>
        <v>#DIV/0!</v>
      </c>
      <c r="I95" s="141" t="e">
        <f>(AVERAGE(G95:G96)/F95)</f>
        <v>#DIV/0!</v>
      </c>
      <c r="J95" s="112"/>
      <c r="K95" s="230">
        <v>20</v>
      </c>
      <c r="L95" s="140" t="e">
        <f>H95/$D$168</f>
        <v>#DIV/0!</v>
      </c>
      <c r="M95" s="139" t="e">
        <f>I95/$D$168</f>
        <v>#DIV/0!</v>
      </c>
      <c r="W95" s="150">
        <v>6.7000000000000004E-2</v>
      </c>
      <c r="X95" s="26">
        <v>0.215</v>
      </c>
      <c r="Y95" s="138">
        <v>6.8000000000000005E-2</v>
      </c>
      <c r="Z95" s="37">
        <v>8.0000000000000002E-3</v>
      </c>
    </row>
    <row r="96" spans="1:26" ht="15.75" thickBot="1">
      <c r="C96" s="124"/>
      <c r="D96" s="126"/>
      <c r="E96" s="34"/>
      <c r="F96" s="128"/>
      <c r="G96" s="34"/>
      <c r="H96" s="138"/>
      <c r="I96" s="141"/>
      <c r="J96" s="112"/>
      <c r="K96" s="230"/>
      <c r="L96" s="140"/>
      <c r="M96" s="139"/>
      <c r="W96" s="150"/>
      <c r="X96" s="26">
        <v>0.217</v>
      </c>
      <c r="Y96" s="138"/>
      <c r="Z96" s="37">
        <v>8.0000000000000002E-3</v>
      </c>
    </row>
    <row r="97" spans="2:26" ht="15.75" thickBot="1">
      <c r="C97" s="124">
        <v>25</v>
      </c>
      <c r="D97" s="126"/>
      <c r="E97" s="34"/>
      <c r="F97" s="128"/>
      <c r="G97" s="34"/>
      <c r="H97" s="138" t="e">
        <f>(AVERAGE(E97:E98)/D97)</f>
        <v>#DIV/0!</v>
      </c>
      <c r="I97" s="141" t="e">
        <f>(AVERAGE(G97:G98)/F97)</f>
        <v>#DIV/0!</v>
      </c>
      <c r="J97" s="112"/>
      <c r="K97" s="230">
        <v>25</v>
      </c>
      <c r="L97" s="140" t="e">
        <f>H97/$D$168</f>
        <v>#DIV/0!</v>
      </c>
      <c r="M97" s="139" t="e">
        <f>I97/$D$168</f>
        <v>#DIV/0!</v>
      </c>
      <c r="W97" s="150">
        <v>6.7000000000000004E-2</v>
      </c>
      <c r="X97" s="26">
        <v>0.223</v>
      </c>
      <c r="Y97" s="138">
        <v>6.7000000000000004E-2</v>
      </c>
      <c r="Z97" s="37">
        <v>7.0000000000000001E-3</v>
      </c>
    </row>
    <row r="98" spans="2:26" ht="15.75" thickBot="1">
      <c r="C98" s="124"/>
      <c r="D98" s="126"/>
      <c r="E98" s="34"/>
      <c r="F98" s="128"/>
      <c r="G98" s="34"/>
      <c r="H98" s="138"/>
      <c r="I98" s="141"/>
      <c r="J98" s="112"/>
      <c r="K98" s="230"/>
      <c r="L98" s="140"/>
      <c r="M98" s="139"/>
      <c r="W98" s="150"/>
      <c r="X98" s="26">
        <v>0.223</v>
      </c>
      <c r="Y98" s="138"/>
      <c r="Z98" s="37">
        <v>7.0000000000000001E-3</v>
      </c>
    </row>
    <row r="99" spans="2:26" ht="15.75" thickBot="1">
      <c r="C99" s="124">
        <v>30</v>
      </c>
      <c r="D99" s="126"/>
      <c r="E99" s="34"/>
      <c r="F99" s="128"/>
      <c r="G99" s="34"/>
      <c r="H99" s="138" t="e">
        <f>(AVERAGE(E99:E100)/D99)</f>
        <v>#DIV/0!</v>
      </c>
      <c r="I99" s="141" t="e">
        <f>(AVERAGE(G99:G100)/F99)</f>
        <v>#DIV/0!</v>
      </c>
      <c r="J99" s="112"/>
      <c r="K99" s="230">
        <v>30</v>
      </c>
      <c r="L99" s="140" t="e">
        <f>H99/$D$168</f>
        <v>#DIV/0!</v>
      </c>
      <c r="M99" s="139" t="e">
        <f>I99/$D$168</f>
        <v>#DIV/0!</v>
      </c>
      <c r="W99" s="150">
        <v>6.7000000000000004E-2</v>
      </c>
      <c r="X99" s="26">
        <v>0.222</v>
      </c>
      <c r="Y99" s="138">
        <v>6.8000000000000005E-2</v>
      </c>
      <c r="Z99" s="37">
        <v>6.3E-3</v>
      </c>
    </row>
    <row r="100" spans="2:26" ht="15.75" thickBot="1">
      <c r="C100" s="124"/>
      <c r="D100" s="126"/>
      <c r="E100" s="34"/>
      <c r="F100" s="128"/>
      <c r="G100" s="34"/>
      <c r="H100" s="138"/>
      <c r="I100" s="141"/>
      <c r="J100" s="112"/>
      <c r="K100" s="230"/>
      <c r="L100" s="140"/>
      <c r="M100" s="139"/>
      <c r="W100" s="150"/>
      <c r="X100" s="26">
        <v>0.223</v>
      </c>
      <c r="Y100" s="138"/>
      <c r="Z100" s="37">
        <v>6.3E-3</v>
      </c>
    </row>
    <row r="101" spans="2:26" ht="15.75" thickBot="1">
      <c r="C101" s="124">
        <v>35</v>
      </c>
      <c r="D101" s="126"/>
      <c r="E101" s="34"/>
      <c r="F101" s="128"/>
      <c r="G101" s="34"/>
      <c r="H101" s="138" t="e">
        <f>(AVERAGE(E101:E102)/D101)</f>
        <v>#DIV/0!</v>
      </c>
      <c r="I101" s="141" t="e">
        <f>(AVERAGE(G101:G102)/F101)</f>
        <v>#DIV/0!</v>
      </c>
      <c r="J101" s="112"/>
      <c r="K101" s="230">
        <v>35</v>
      </c>
      <c r="L101" s="140" t="e">
        <f>H101/$D$168</f>
        <v>#DIV/0!</v>
      </c>
      <c r="M101" s="139" t="e">
        <f>I101/$D$168</f>
        <v>#DIV/0!</v>
      </c>
      <c r="W101" s="150">
        <v>0.05</v>
      </c>
      <c r="X101" s="26">
        <v>0.17299999999999999</v>
      </c>
      <c r="Y101" s="138">
        <v>0.05</v>
      </c>
      <c r="Z101" s="37">
        <v>3.8E-3</v>
      </c>
    </row>
    <row r="102" spans="2:26" ht="15.75" thickBot="1">
      <c r="C102" s="124"/>
      <c r="D102" s="126"/>
      <c r="E102" s="34"/>
      <c r="F102" s="128"/>
      <c r="G102" s="34"/>
      <c r="H102" s="138"/>
      <c r="I102" s="141"/>
      <c r="J102" s="112"/>
      <c r="K102" s="230"/>
      <c r="L102" s="140"/>
      <c r="M102" s="139"/>
      <c r="W102" s="150"/>
      <c r="X102" s="26">
        <v>0.17399999999999999</v>
      </c>
      <c r="Y102" s="138"/>
      <c r="Z102" s="37">
        <v>3.8E-3</v>
      </c>
    </row>
    <row r="103" spans="2:26" ht="15.75" thickBot="1">
      <c r="C103" s="124">
        <v>40</v>
      </c>
      <c r="D103" s="126"/>
      <c r="E103" s="34"/>
      <c r="F103" s="128"/>
      <c r="G103" s="34"/>
      <c r="H103" s="138" t="e">
        <f>(AVERAGE(E103:E104)/D103)</f>
        <v>#DIV/0!</v>
      </c>
      <c r="I103" s="141" t="e">
        <f>(AVERAGE(G103:G104)/F103)</f>
        <v>#DIV/0!</v>
      </c>
      <c r="J103" s="112"/>
      <c r="K103" s="230">
        <v>40</v>
      </c>
      <c r="L103" s="140" t="e">
        <f>H103/$D$168</f>
        <v>#DIV/0!</v>
      </c>
      <c r="M103" s="139" t="e">
        <f>I103/$D$168</f>
        <v>#DIV/0!</v>
      </c>
      <c r="W103" s="150">
        <v>5.6000000000000001E-2</v>
      </c>
      <c r="X103" s="26">
        <v>0.191</v>
      </c>
      <c r="Y103" s="138">
        <v>0.06</v>
      </c>
      <c r="Z103" s="37">
        <v>2E-3</v>
      </c>
    </row>
    <row r="104" spans="2:26" ht="15.75" thickBot="1">
      <c r="C104" s="124"/>
      <c r="D104" s="126"/>
      <c r="E104" s="34"/>
      <c r="F104" s="128"/>
      <c r="G104" s="34"/>
      <c r="H104" s="138"/>
      <c r="I104" s="141"/>
      <c r="J104" s="112"/>
      <c r="K104" s="230"/>
      <c r="L104" s="140"/>
      <c r="M104" s="139"/>
      <c r="W104" s="150"/>
      <c r="X104" s="26">
        <v>0.19600000000000001</v>
      </c>
      <c r="Y104" s="138"/>
      <c r="Z104" s="37">
        <v>3.2000000000000002E-3</v>
      </c>
    </row>
    <row r="105" spans="2:26" ht="15.75" thickBot="1">
      <c r="C105" s="124">
        <v>45</v>
      </c>
      <c r="D105" s="126"/>
      <c r="E105" s="34"/>
      <c r="F105" s="128"/>
      <c r="G105" s="34"/>
      <c r="H105" s="138" t="e">
        <f>(AVERAGE(E105:E106)/D105)</f>
        <v>#DIV/0!</v>
      </c>
      <c r="I105" s="141" t="e">
        <f>(AVERAGE(G105:G106)/F105)</f>
        <v>#DIV/0!</v>
      </c>
      <c r="J105" s="112"/>
      <c r="K105" s="230">
        <v>45</v>
      </c>
      <c r="L105" s="140" t="e">
        <f>H105/$D$168</f>
        <v>#DIV/0!</v>
      </c>
      <c r="M105" s="139" t="e">
        <f>I105/$D$168</f>
        <v>#DIV/0!</v>
      </c>
      <c r="W105" s="150">
        <v>6.2E-2</v>
      </c>
      <c r="X105" s="26">
        <v>0.219</v>
      </c>
      <c r="Y105" s="138">
        <v>6.2E-2</v>
      </c>
      <c r="Z105" s="37">
        <v>2E-3</v>
      </c>
    </row>
    <row r="106" spans="2:26" ht="15.75" thickBot="1">
      <c r="C106" s="124"/>
      <c r="D106" s="126"/>
      <c r="E106" s="34"/>
      <c r="F106" s="128"/>
      <c r="G106" s="34"/>
      <c r="H106" s="138"/>
      <c r="I106" s="141"/>
      <c r="J106" s="112"/>
      <c r="K106" s="230"/>
      <c r="L106" s="140"/>
      <c r="M106" s="139"/>
      <c r="W106" s="150"/>
      <c r="X106" s="26">
        <v>0.21299999999999999</v>
      </c>
      <c r="Y106" s="138"/>
      <c r="Z106" s="37">
        <v>2E-3</v>
      </c>
    </row>
    <row r="107" spans="2:26" ht="15.75" thickBot="1">
      <c r="C107" s="124">
        <v>50</v>
      </c>
      <c r="D107" s="126"/>
      <c r="E107" s="34"/>
      <c r="F107" s="128"/>
      <c r="G107" s="34"/>
      <c r="H107" s="138" t="e">
        <f>(AVERAGE(E107:E108)/D107)</f>
        <v>#DIV/0!</v>
      </c>
      <c r="I107" s="141" t="e">
        <f>(AVERAGE(G107:G108)/F107)</f>
        <v>#DIV/0!</v>
      </c>
      <c r="J107" s="112"/>
      <c r="K107" s="230">
        <v>50</v>
      </c>
      <c r="L107" s="140" t="e">
        <f>H107/$D$168</f>
        <v>#DIV/0!</v>
      </c>
      <c r="M107" s="139" t="e">
        <f>I107/$D$168</f>
        <v>#DIV/0!</v>
      </c>
      <c r="W107" s="150">
        <v>6.2E-2</v>
      </c>
      <c r="X107" s="26">
        <v>0.21199999999999999</v>
      </c>
      <c r="Y107" s="138">
        <v>6.2300000000000001E-2</v>
      </c>
      <c r="Z107" s="37">
        <v>9.2000000000000003E-4</v>
      </c>
    </row>
    <row r="108" spans="2:26" ht="15.75" thickBot="1">
      <c r="C108" s="124"/>
      <c r="D108" s="126"/>
      <c r="E108" s="34"/>
      <c r="F108" s="128"/>
      <c r="G108" s="34"/>
      <c r="H108" s="138"/>
      <c r="I108" s="141"/>
      <c r="J108" s="112"/>
      <c r="K108" s="230"/>
      <c r="L108" s="140"/>
      <c r="M108" s="139"/>
      <c r="W108" s="150"/>
      <c r="X108" s="26">
        <v>0.21299999999999999</v>
      </c>
      <c r="Y108" s="138"/>
      <c r="Z108" s="37">
        <v>9.3000000000000005E-4</v>
      </c>
    </row>
    <row r="109" spans="2:26" ht="15.75" thickBot="1">
      <c r="C109" s="124">
        <v>55</v>
      </c>
      <c r="D109" s="126"/>
      <c r="E109" s="34"/>
      <c r="F109" s="128"/>
      <c r="G109" s="34"/>
      <c r="H109" s="138" t="e">
        <f>(AVERAGE(E109:E110)/D109)</f>
        <v>#DIV/0!</v>
      </c>
      <c r="I109" s="141" t="e">
        <f>(AVERAGE(G109:G110)/F109)</f>
        <v>#DIV/0!</v>
      </c>
      <c r="J109" s="112"/>
      <c r="K109" s="230">
        <v>55</v>
      </c>
      <c r="L109" s="140" t="e">
        <f>H109/$D$168</f>
        <v>#DIV/0!</v>
      </c>
      <c r="M109" s="139" t="e">
        <f>I109/$D$168</f>
        <v>#DIV/0!</v>
      </c>
      <c r="W109" s="150">
        <v>6.5000000000000002E-2</v>
      </c>
      <c r="X109" s="26">
        <v>0.215</v>
      </c>
      <c r="Y109" s="138">
        <v>6.5000000000000002E-2</v>
      </c>
      <c r="Z109" s="37">
        <v>2.4000000000000001E-4</v>
      </c>
    </row>
    <row r="110" spans="2:26" ht="15.75" thickBot="1">
      <c r="C110" s="124"/>
      <c r="D110" s="126"/>
      <c r="E110" s="34"/>
      <c r="F110" s="128"/>
      <c r="G110" s="34"/>
      <c r="H110" s="138"/>
      <c r="I110" s="141"/>
      <c r="J110" s="112"/>
      <c r="K110" s="230"/>
      <c r="L110" s="140"/>
      <c r="M110" s="139"/>
      <c r="W110" s="150"/>
      <c r="X110" s="26">
        <v>0.216</v>
      </c>
      <c r="Y110" s="138"/>
      <c r="Z110" s="37">
        <v>2.3000000000000001E-4</v>
      </c>
    </row>
    <row r="111" spans="2:26" ht="15.75" thickBot="1">
      <c r="B111" s="235" t="s">
        <v>31</v>
      </c>
      <c r="C111" s="124">
        <v>60</v>
      </c>
      <c r="D111" s="126"/>
      <c r="E111" s="34"/>
      <c r="F111" s="128"/>
      <c r="G111" s="34"/>
      <c r="H111" s="138" t="e">
        <f>(AVERAGE(E111:E112)/D111)</f>
        <v>#DIV/0!</v>
      </c>
      <c r="I111" s="141" t="e">
        <f>(AVERAGE(G111:G112)/F111)</f>
        <v>#DIV/0!</v>
      </c>
      <c r="J111" s="112"/>
      <c r="K111" s="230">
        <v>60</v>
      </c>
      <c r="L111" s="140" t="e">
        <f>H111/$D$168</f>
        <v>#DIV/0!</v>
      </c>
      <c r="M111" s="139" t="e">
        <f>I111/$D$168</f>
        <v>#DIV/0!</v>
      </c>
      <c r="W111" s="150">
        <v>6.5000000000000002E-2</v>
      </c>
      <c r="X111" s="26">
        <v>0.219</v>
      </c>
      <c r="Y111" s="138">
        <v>6.5000000000000002E-2</v>
      </c>
      <c r="Z111" s="37">
        <v>6.8999999999999997E-4</v>
      </c>
    </row>
    <row r="112" spans="2:26" ht="15.75" thickBot="1">
      <c r="B112" s="235"/>
      <c r="C112" s="124"/>
      <c r="D112" s="126"/>
      <c r="E112" s="34"/>
      <c r="F112" s="128"/>
      <c r="G112" s="34"/>
      <c r="H112" s="138"/>
      <c r="I112" s="141"/>
      <c r="J112" s="112"/>
      <c r="K112" s="230"/>
      <c r="L112" s="140"/>
      <c r="M112" s="139"/>
      <c r="W112" s="150"/>
      <c r="X112" s="26">
        <v>0.22</v>
      </c>
      <c r="Y112" s="138"/>
      <c r="Z112" s="37">
        <v>6.9999999999999999E-4</v>
      </c>
    </row>
    <row r="113" spans="3:26" ht="15.75" thickBot="1">
      <c r="C113" s="124">
        <v>65</v>
      </c>
      <c r="D113" s="126"/>
      <c r="E113" s="34"/>
      <c r="F113" s="128"/>
      <c r="G113" s="34"/>
      <c r="H113" s="138" t="e">
        <f>(AVERAGE(E113:E114)/D113)</f>
        <v>#DIV/0!</v>
      </c>
      <c r="I113" s="141" t="e">
        <f>(AVERAGE(G113:G114)/F113)</f>
        <v>#DIV/0!</v>
      </c>
      <c r="J113" s="112"/>
      <c r="K113" s="230">
        <v>65</v>
      </c>
      <c r="L113" s="140" t="e">
        <f>H113/$D$168</f>
        <v>#DIV/0!</v>
      </c>
      <c r="M113" s="139" t="e">
        <f>I113/$D$168</f>
        <v>#DIV/0!</v>
      </c>
      <c r="W113" s="150">
        <v>6.6000000000000003E-2</v>
      </c>
      <c r="X113" s="26">
        <v>0.21099999999999999</v>
      </c>
      <c r="Y113" s="138">
        <v>6.5000000000000002E-2</v>
      </c>
      <c r="Z113" s="37">
        <v>3.5000000000000001E-3</v>
      </c>
    </row>
    <row r="114" spans="3:26" ht="15.75" thickBot="1">
      <c r="C114" s="124"/>
      <c r="D114" s="126"/>
      <c r="E114" s="34"/>
      <c r="F114" s="128"/>
      <c r="G114" s="34"/>
      <c r="H114" s="138"/>
      <c r="I114" s="141"/>
      <c r="J114" s="112"/>
      <c r="K114" s="230"/>
      <c r="L114" s="140"/>
      <c r="M114" s="139"/>
      <c r="W114" s="150"/>
      <c r="X114" s="26">
        <v>0.21199999999999999</v>
      </c>
      <c r="Y114" s="138"/>
      <c r="Z114" s="37">
        <v>3.5000000000000001E-3</v>
      </c>
    </row>
    <row r="115" spans="3:26" ht="15.75" thickBot="1">
      <c r="C115" s="124">
        <v>70</v>
      </c>
      <c r="D115" s="126"/>
      <c r="E115" s="34"/>
      <c r="F115" s="128"/>
      <c r="G115" s="34"/>
      <c r="H115" s="138" t="e">
        <f>(AVERAGE(E115:E116)/D115)</f>
        <v>#DIV/0!</v>
      </c>
      <c r="I115" s="141" t="e">
        <f>(AVERAGE(G115:G116)/F115)</f>
        <v>#DIV/0!</v>
      </c>
      <c r="J115" s="112"/>
      <c r="K115" s="230">
        <v>70</v>
      </c>
      <c r="L115" s="140" t="e">
        <f>H115/$D$168</f>
        <v>#DIV/0!</v>
      </c>
      <c r="M115" s="139" t="e">
        <f>I115/$D$168</f>
        <v>#DIV/0!</v>
      </c>
      <c r="W115" s="150">
        <v>6.6000000000000003E-2</v>
      </c>
      <c r="X115" s="26">
        <v>0.189</v>
      </c>
      <c r="Y115" s="138">
        <v>6.6000000000000003E-2</v>
      </c>
      <c r="Z115" s="37">
        <v>1.0999999999999999E-2</v>
      </c>
    </row>
    <row r="116" spans="3:26" ht="15.75" thickBot="1">
      <c r="C116" s="124"/>
      <c r="D116" s="126"/>
      <c r="E116" s="34"/>
      <c r="F116" s="128"/>
      <c r="G116" s="34"/>
      <c r="H116" s="138"/>
      <c r="I116" s="141"/>
      <c r="J116" s="112"/>
      <c r="K116" s="230"/>
      <c r="L116" s="140"/>
      <c r="M116" s="139"/>
      <c r="W116" s="150"/>
      <c r="X116" s="26">
        <v>0.189</v>
      </c>
      <c r="Y116" s="138"/>
      <c r="Z116" s="37">
        <v>1.0999999999999999E-2</v>
      </c>
    </row>
    <row r="117" spans="3:26" ht="15.75" thickBot="1">
      <c r="C117" s="124">
        <v>75</v>
      </c>
      <c r="D117" s="126"/>
      <c r="E117" s="34"/>
      <c r="F117" s="128"/>
      <c r="G117" s="34"/>
      <c r="H117" s="138" t="e">
        <f>(AVERAGE(E117:E118)/D117)</f>
        <v>#DIV/0!</v>
      </c>
      <c r="I117" s="141" t="e">
        <f>(AVERAGE(G117:G118)/F117)</f>
        <v>#DIV/0!</v>
      </c>
      <c r="J117" s="112"/>
      <c r="K117" s="230">
        <v>75</v>
      </c>
      <c r="L117" s="140" t="e">
        <f>H117/$D$168</f>
        <v>#DIV/0!</v>
      </c>
      <c r="M117" s="139" t="e">
        <f>I117/$D$168</f>
        <v>#DIV/0!</v>
      </c>
      <c r="W117" s="150">
        <v>6.5000000000000002E-2</v>
      </c>
      <c r="X117" s="26">
        <v>0.14399999999999999</v>
      </c>
      <c r="Y117" s="138">
        <v>6.6000000000000003E-2</v>
      </c>
      <c r="Z117" s="37">
        <v>2.7E-2</v>
      </c>
    </row>
    <row r="118" spans="3:26" ht="15.75" thickBot="1">
      <c r="C118" s="124"/>
      <c r="D118" s="126"/>
      <c r="E118" s="34"/>
      <c r="F118" s="128"/>
      <c r="G118" s="34"/>
      <c r="H118" s="138"/>
      <c r="I118" s="141"/>
      <c r="J118" s="112"/>
      <c r="K118" s="230"/>
      <c r="L118" s="140"/>
      <c r="M118" s="139"/>
      <c r="W118" s="150"/>
      <c r="X118" s="26">
        <v>0.14399999999999999</v>
      </c>
      <c r="Y118" s="138"/>
      <c r="Z118" s="37">
        <v>2.7E-2</v>
      </c>
    </row>
    <row r="119" spans="3:26" ht="15.75" thickBot="1">
      <c r="C119" s="124">
        <v>80</v>
      </c>
      <c r="D119" s="126"/>
      <c r="E119" s="34"/>
      <c r="F119" s="128"/>
      <c r="G119" s="34"/>
      <c r="H119" s="138" t="e">
        <f>(AVERAGE(E119:E120)/D119)</f>
        <v>#DIV/0!</v>
      </c>
      <c r="I119" s="141" t="e">
        <f>(AVERAGE(G119:G120)/F119)</f>
        <v>#DIV/0!</v>
      </c>
      <c r="J119" s="112"/>
      <c r="K119" s="230">
        <v>80</v>
      </c>
      <c r="L119" s="140" t="e">
        <f>H119/$D$168</f>
        <v>#DIV/0!</v>
      </c>
      <c r="M119" s="139" t="e">
        <f>I119/$D$168</f>
        <v>#DIV/0!</v>
      </c>
      <c r="W119" s="150">
        <v>6.5000000000000002E-2</v>
      </c>
      <c r="X119" s="26">
        <v>8.5999999999999993E-2</v>
      </c>
      <c r="Y119" s="138">
        <v>6.4000000000000001E-2</v>
      </c>
      <c r="Z119" s="37">
        <v>5.8000000000000003E-2</v>
      </c>
    </row>
    <row r="120" spans="3:26" ht="15.75" thickBot="1">
      <c r="C120" s="124"/>
      <c r="D120" s="126"/>
      <c r="E120" s="34"/>
      <c r="F120" s="128"/>
      <c r="G120" s="34"/>
      <c r="H120" s="138"/>
      <c r="I120" s="141"/>
      <c r="J120" s="112"/>
      <c r="K120" s="230"/>
      <c r="L120" s="140"/>
      <c r="M120" s="139"/>
      <c r="W120" s="150"/>
      <c r="X120" s="26">
        <v>8.5999999999999993E-2</v>
      </c>
      <c r="Y120" s="138"/>
      <c r="Z120" s="37">
        <v>5.8000000000000003E-2</v>
      </c>
    </row>
    <row r="121" spans="3:26" ht="15.75" thickBot="1">
      <c r="C121" s="124">
        <v>85</v>
      </c>
      <c r="D121" s="126"/>
      <c r="E121" s="34"/>
      <c r="F121" s="128"/>
      <c r="G121" s="34"/>
      <c r="H121" s="138" t="e">
        <f>(AVERAGE(E121:E122)/D121)</f>
        <v>#DIV/0!</v>
      </c>
      <c r="I121" s="141" t="e">
        <f>(AVERAGE(G121:G122)/F121)</f>
        <v>#DIV/0!</v>
      </c>
      <c r="J121" s="112"/>
      <c r="K121" s="230">
        <v>85</v>
      </c>
      <c r="L121" s="140" t="e">
        <f>H121/$D$168</f>
        <v>#DIV/0!</v>
      </c>
      <c r="M121" s="139" t="e">
        <f>I121/$D$168</f>
        <v>#DIV/0!</v>
      </c>
      <c r="W121" s="150">
        <v>6.6000000000000003E-2</v>
      </c>
      <c r="X121" s="26">
        <v>2.5999999999999999E-2</v>
      </c>
      <c r="Y121" s="138">
        <v>6.6000000000000003E-2</v>
      </c>
      <c r="Z121" s="37">
        <v>0.115</v>
      </c>
    </row>
    <row r="122" spans="3:26" ht="15.75" thickBot="1">
      <c r="C122" s="124"/>
      <c r="D122" s="203"/>
      <c r="E122" s="35"/>
      <c r="F122" s="199"/>
      <c r="G122" s="35"/>
      <c r="H122" s="179"/>
      <c r="I122" s="194"/>
      <c r="J122" s="202"/>
      <c r="K122" s="232"/>
      <c r="L122" s="149"/>
      <c r="M122" s="224"/>
      <c r="W122" s="151"/>
      <c r="X122" s="27">
        <v>2.5999999999999999E-2</v>
      </c>
      <c r="Y122" s="179"/>
      <c r="Z122" s="38">
        <v>0.114</v>
      </c>
    </row>
    <row r="124" spans="3:26" ht="15.75" thickBot="1">
      <c r="E124" s="1"/>
      <c r="F124" s="1"/>
      <c r="G124" s="1"/>
    </row>
    <row r="125" spans="3:26" ht="15.75" thickBot="1">
      <c r="C125" s="130" t="s">
        <v>30</v>
      </c>
      <c r="D125" s="130"/>
      <c r="E125" s="130"/>
      <c r="F125" s="130"/>
      <c r="G125" s="130"/>
      <c r="H125" s="130"/>
      <c r="I125" s="130"/>
      <c r="J125" s="8"/>
      <c r="K125" s="14"/>
      <c r="L125" s="8"/>
      <c r="M125" s="9"/>
      <c r="V125" s="119">
        <v>6.6000000000000003E-2</v>
      </c>
      <c r="W125" s="30">
        <v>0.21199999999999999</v>
      </c>
      <c r="X125" s="152"/>
      <c r="Y125" s="41"/>
    </row>
    <row r="126" spans="3:26" ht="15.75" thickBot="1">
      <c r="C126" s="15" t="s">
        <v>2</v>
      </c>
      <c r="D126" s="129" t="s">
        <v>1</v>
      </c>
      <c r="E126" s="130"/>
      <c r="F126" s="130" t="s">
        <v>0</v>
      </c>
      <c r="G126" s="130"/>
      <c r="H126" s="15" t="s">
        <v>4</v>
      </c>
      <c r="I126" s="15" t="s">
        <v>3</v>
      </c>
      <c r="J126" s="3"/>
      <c r="K126" s="15" t="s">
        <v>2</v>
      </c>
      <c r="L126" s="15" t="s">
        <v>13</v>
      </c>
      <c r="M126" s="15" t="s">
        <v>14</v>
      </c>
      <c r="V126" s="113"/>
      <c r="W126" s="12">
        <v>0.21099999999999999</v>
      </c>
      <c r="X126" s="153"/>
      <c r="Y126" s="42"/>
    </row>
    <row r="127" spans="3:26" ht="15.75" thickBot="1">
      <c r="C127" s="124">
        <v>5</v>
      </c>
      <c r="D127" s="125"/>
      <c r="E127" s="31"/>
      <c r="F127" s="127"/>
      <c r="G127" s="32"/>
      <c r="H127" s="174" t="e">
        <f>(AVERAGE(E127:E128)/D127)</f>
        <v>#DIV/0!</v>
      </c>
      <c r="I127" s="178" t="e">
        <f>(AVERAGE(G127:G128)/F127)</f>
        <v>#DIV/0!</v>
      </c>
      <c r="J127" s="3"/>
      <c r="K127" s="175">
        <v>5</v>
      </c>
      <c r="L127" s="140" t="e">
        <f>H127/$D$168</f>
        <v>#DIV/0!</v>
      </c>
      <c r="M127" s="139" t="e">
        <f>I127/$D$168</f>
        <v>#DIV/0!</v>
      </c>
      <c r="V127" s="113">
        <v>6.7000000000000004E-2</v>
      </c>
      <c r="W127" s="3">
        <v>0.218</v>
      </c>
      <c r="X127" s="153"/>
      <c r="Y127" s="42"/>
    </row>
    <row r="128" spans="3:26" ht="15.75" thickBot="1">
      <c r="C128" s="124"/>
      <c r="D128" s="126"/>
      <c r="E128" s="33"/>
      <c r="F128" s="128"/>
      <c r="G128" s="34"/>
      <c r="H128" s="138"/>
      <c r="I128" s="141"/>
      <c r="J128" s="3"/>
      <c r="K128" s="175"/>
      <c r="L128" s="140"/>
      <c r="M128" s="139"/>
      <c r="V128" s="113"/>
      <c r="W128" s="3">
        <v>0.218</v>
      </c>
      <c r="X128" s="153"/>
      <c r="Y128" s="42"/>
    </row>
    <row r="129" spans="2:25" ht="15.75" thickBot="1">
      <c r="C129" s="124">
        <v>10</v>
      </c>
      <c r="D129" s="126"/>
      <c r="E129" s="34"/>
      <c r="F129" s="128"/>
      <c r="G129" s="34"/>
      <c r="H129" s="138" t="e">
        <f>(AVERAGE(E129:E130)/D129)</f>
        <v>#DIV/0!</v>
      </c>
      <c r="I129" s="141" t="e">
        <f>(AVERAGE(G129:G130)/F129)</f>
        <v>#DIV/0!</v>
      </c>
      <c r="J129" s="3"/>
      <c r="K129" s="175">
        <v>10</v>
      </c>
      <c r="L129" s="140" t="e">
        <f>H129/$D$168</f>
        <v>#DIV/0!</v>
      </c>
      <c r="M129" s="139" t="e">
        <f>I129/$D$168</f>
        <v>#DIV/0!</v>
      </c>
      <c r="V129" s="113">
        <v>6.7000000000000004E-2</v>
      </c>
      <c r="W129" s="3">
        <v>0.221</v>
      </c>
      <c r="X129" s="153"/>
      <c r="Y129" s="42"/>
    </row>
    <row r="130" spans="2:25" ht="15.75" thickBot="1">
      <c r="C130" s="124"/>
      <c r="D130" s="126"/>
      <c r="E130" s="34"/>
      <c r="F130" s="128"/>
      <c r="G130" s="34"/>
      <c r="H130" s="138"/>
      <c r="I130" s="141"/>
      <c r="J130" s="3"/>
      <c r="K130" s="175"/>
      <c r="L130" s="140"/>
      <c r="M130" s="139"/>
      <c r="V130" s="113"/>
      <c r="W130" s="3">
        <v>0.22</v>
      </c>
      <c r="X130" s="153"/>
      <c r="Y130" s="42"/>
    </row>
    <row r="131" spans="2:25" ht="15.75" thickBot="1">
      <c r="C131" s="124">
        <v>15</v>
      </c>
      <c r="D131" s="126"/>
      <c r="E131" s="34"/>
      <c r="F131" s="128"/>
      <c r="G131" s="34"/>
      <c r="H131" s="138" t="e">
        <f>(AVERAGE(E131:E132)/D131)</f>
        <v>#DIV/0!</v>
      </c>
      <c r="I131" s="141" t="e">
        <f>(AVERAGE(G131:G132)/F131)</f>
        <v>#DIV/0!</v>
      </c>
      <c r="J131" s="3"/>
      <c r="K131" s="175">
        <v>15</v>
      </c>
      <c r="L131" s="140" t="e">
        <f>H131/$D$168</f>
        <v>#DIV/0!</v>
      </c>
      <c r="M131" s="139" t="e">
        <f>I131/$D$168</f>
        <v>#DIV/0!</v>
      </c>
      <c r="V131" s="113">
        <v>6.7000000000000004E-2</v>
      </c>
      <c r="W131" s="3">
        <v>0.224</v>
      </c>
      <c r="X131" s="140">
        <v>6.7000000000000004E-2</v>
      </c>
      <c r="Y131" s="43">
        <v>5.5999999999999999E-3</v>
      </c>
    </row>
    <row r="132" spans="2:25" ht="15.75" thickBot="1">
      <c r="C132" s="124"/>
      <c r="D132" s="126"/>
      <c r="E132" s="34"/>
      <c r="F132" s="128"/>
      <c r="G132" s="34"/>
      <c r="H132" s="138"/>
      <c r="I132" s="141"/>
      <c r="J132" s="3"/>
      <c r="K132" s="175"/>
      <c r="L132" s="140"/>
      <c r="M132" s="139"/>
      <c r="V132" s="113"/>
      <c r="W132" s="3">
        <v>0.22500000000000001</v>
      </c>
      <c r="X132" s="140"/>
      <c r="Y132" s="11">
        <v>4.9199999999999999E-3</v>
      </c>
    </row>
    <row r="133" spans="2:25" ht="15.75" thickBot="1">
      <c r="C133" s="124">
        <v>20</v>
      </c>
      <c r="D133" s="126"/>
      <c r="E133" s="34"/>
      <c r="F133" s="128"/>
      <c r="G133" s="44"/>
      <c r="H133" s="138" t="e">
        <f>(AVERAGE(E133:E134)/D133)</f>
        <v>#DIV/0!</v>
      </c>
      <c r="I133" s="141" t="e">
        <f>(AVERAGE(G133:G134)/F133)</f>
        <v>#DIV/0!</v>
      </c>
      <c r="J133" s="3"/>
      <c r="K133" s="175">
        <v>20</v>
      </c>
      <c r="L133" s="140" t="e">
        <f>H133/$D$168</f>
        <v>#DIV/0!</v>
      </c>
      <c r="M133" s="139" t="e">
        <f>I133/$D$168</f>
        <v>#DIV/0!</v>
      </c>
      <c r="V133" s="113">
        <v>6.7000000000000004E-2</v>
      </c>
      <c r="W133" s="3">
        <v>0.22500000000000001</v>
      </c>
      <c r="X133" s="140">
        <v>6.8000000000000005E-2</v>
      </c>
      <c r="Y133" s="11">
        <v>3.2000000000000002E-3</v>
      </c>
    </row>
    <row r="134" spans="2:25" ht="15.75" thickBot="1">
      <c r="C134" s="124"/>
      <c r="D134" s="126"/>
      <c r="E134" s="34"/>
      <c r="F134" s="128"/>
      <c r="G134" s="34"/>
      <c r="H134" s="138"/>
      <c r="I134" s="141"/>
      <c r="J134" s="3"/>
      <c r="K134" s="175"/>
      <c r="L134" s="140"/>
      <c r="M134" s="139"/>
      <c r="V134" s="113"/>
      <c r="W134" s="3">
        <v>0.22700000000000001</v>
      </c>
      <c r="X134" s="140"/>
      <c r="Y134" s="11">
        <v>3.16E-3</v>
      </c>
    </row>
    <row r="135" spans="2:25" ht="15.75" thickBot="1">
      <c r="C135" s="124">
        <v>25</v>
      </c>
      <c r="D135" s="126"/>
      <c r="E135" s="34"/>
      <c r="F135" s="128"/>
      <c r="G135" s="34"/>
      <c r="H135" s="138" t="e">
        <f>(AVERAGE(E135:E136)/D135)</f>
        <v>#DIV/0!</v>
      </c>
      <c r="I135" s="141" t="e">
        <f>(AVERAGE(G135:G136)/F135)</f>
        <v>#DIV/0!</v>
      </c>
      <c r="J135" s="3"/>
      <c r="K135" s="175">
        <v>25</v>
      </c>
      <c r="L135" s="140" t="e">
        <f>H135/$D$168</f>
        <v>#DIV/0!</v>
      </c>
      <c r="M135" s="139" t="e">
        <f>I135/$D$168</f>
        <v>#DIV/0!</v>
      </c>
      <c r="V135" s="113">
        <v>6.6000000000000003E-2</v>
      </c>
      <c r="W135" s="3">
        <v>0.22500000000000001</v>
      </c>
      <c r="X135" s="140">
        <v>6.6000000000000003E-2</v>
      </c>
      <c r="Y135" s="11">
        <v>1.1000000000000001E-3</v>
      </c>
    </row>
    <row r="136" spans="2:25" ht="15.75" thickBot="1">
      <c r="C136" s="124"/>
      <c r="D136" s="126"/>
      <c r="E136" s="34"/>
      <c r="F136" s="128"/>
      <c r="G136" s="34"/>
      <c r="H136" s="138"/>
      <c r="I136" s="141"/>
      <c r="J136" s="3"/>
      <c r="K136" s="175"/>
      <c r="L136" s="140"/>
      <c r="M136" s="139"/>
      <c r="V136" s="113"/>
      <c r="W136" s="3">
        <v>0.22600000000000001</v>
      </c>
      <c r="X136" s="140"/>
      <c r="Y136" s="11">
        <v>1.1000000000000001E-3</v>
      </c>
    </row>
    <row r="137" spans="2:25" ht="15.75" thickBot="1">
      <c r="C137" s="124">
        <v>30</v>
      </c>
      <c r="D137" s="126"/>
      <c r="E137" s="34"/>
      <c r="F137" s="128"/>
      <c r="G137" s="34"/>
      <c r="H137" s="138" t="e">
        <f>(AVERAGE(E137:E138)/D137)</f>
        <v>#DIV/0!</v>
      </c>
      <c r="I137" s="141" t="e">
        <f>(AVERAGE(G137:G138)/F137)</f>
        <v>#DIV/0!</v>
      </c>
      <c r="J137" s="3"/>
      <c r="K137" s="175">
        <v>30</v>
      </c>
      <c r="L137" s="140" t="e">
        <f>H137/$D$168</f>
        <v>#DIV/0!</v>
      </c>
      <c r="M137" s="139" t="e">
        <f>I137/$D$168</f>
        <v>#DIV/0!</v>
      </c>
      <c r="V137" s="113">
        <v>6.5000000000000002E-2</v>
      </c>
      <c r="W137" s="3">
        <v>0.20499999999999999</v>
      </c>
      <c r="X137" s="140">
        <v>6.6000000000000003E-2</v>
      </c>
      <c r="Y137" s="11">
        <v>3.5E-4</v>
      </c>
    </row>
    <row r="138" spans="2:25" ht="15.75" thickBot="1">
      <c r="C138" s="124"/>
      <c r="D138" s="126"/>
      <c r="E138" s="34"/>
      <c r="F138" s="128"/>
      <c r="G138" s="34"/>
      <c r="H138" s="138"/>
      <c r="I138" s="141"/>
      <c r="J138" s="3"/>
      <c r="K138" s="175"/>
      <c r="L138" s="140"/>
      <c r="M138" s="139"/>
      <c r="V138" s="113"/>
      <c r="W138" s="3">
        <v>0.20399999999999999</v>
      </c>
      <c r="X138" s="140"/>
      <c r="Y138" s="11">
        <v>3.5E-4</v>
      </c>
    </row>
    <row r="139" spans="2:25" ht="15.75" thickBot="1">
      <c r="B139" t="s">
        <v>9</v>
      </c>
      <c r="C139" s="124">
        <v>35</v>
      </c>
      <c r="D139" s="126"/>
      <c r="E139" s="34"/>
      <c r="F139" s="128"/>
      <c r="G139" s="34"/>
      <c r="H139" s="138" t="e">
        <f>(AVERAGE(E139:E140)/D139)</f>
        <v>#DIV/0!</v>
      </c>
      <c r="I139" s="141" t="e">
        <f>(AVERAGE(G139:G140)/F139)</f>
        <v>#DIV/0!</v>
      </c>
      <c r="J139" s="3"/>
      <c r="K139" s="175">
        <v>35</v>
      </c>
      <c r="L139" s="140" t="e">
        <f>H139/$D$168</f>
        <v>#DIV/0!</v>
      </c>
      <c r="M139" s="139" t="e">
        <f>I139/$D$168</f>
        <v>#DIV/0!</v>
      </c>
      <c r="V139" s="113">
        <v>6.6000000000000003E-2</v>
      </c>
      <c r="W139" s="3">
        <v>0.155</v>
      </c>
      <c r="X139" s="140">
        <v>6.6000000000000003E-2</v>
      </c>
      <c r="Y139" s="11">
        <v>1.4999999999999999E-2</v>
      </c>
    </row>
    <row r="140" spans="2:25" ht="15.75" thickBot="1">
      <c r="C140" s="124"/>
      <c r="D140" s="126"/>
      <c r="E140" s="34"/>
      <c r="F140" s="128"/>
      <c r="G140" s="34"/>
      <c r="H140" s="138"/>
      <c r="I140" s="141"/>
      <c r="J140" s="3"/>
      <c r="K140" s="175"/>
      <c r="L140" s="140"/>
      <c r="M140" s="139"/>
      <c r="V140" s="113"/>
      <c r="W140" s="3">
        <v>0.154</v>
      </c>
      <c r="X140" s="140"/>
      <c r="Y140" s="11">
        <v>1.6E-2</v>
      </c>
    </row>
    <row r="141" spans="2:25" ht="15.75" thickBot="1">
      <c r="C141" s="124">
        <v>40</v>
      </c>
      <c r="D141" s="126"/>
      <c r="E141" s="34"/>
      <c r="F141" s="128"/>
      <c r="G141" s="34"/>
      <c r="H141" s="138" t="e">
        <f>(AVERAGE(E141:E142)/D141)</f>
        <v>#DIV/0!</v>
      </c>
      <c r="I141" s="141" t="e">
        <f>(AVERAGE(G141:G142)/F141)</f>
        <v>#DIV/0!</v>
      </c>
      <c r="J141" s="3"/>
      <c r="K141" s="175">
        <v>40</v>
      </c>
      <c r="L141" s="140" t="e">
        <f>H141/$D$168</f>
        <v>#DIV/0!</v>
      </c>
      <c r="M141" s="139" t="e">
        <f>I141/$D$168</f>
        <v>#DIV/0!</v>
      </c>
      <c r="V141" s="147"/>
      <c r="W141" s="2"/>
      <c r="X141" s="140">
        <v>6.5000000000000002E-2</v>
      </c>
      <c r="Y141" s="11">
        <v>0.20399999999999999</v>
      </c>
    </row>
    <row r="142" spans="2:25" ht="15.75" thickBot="1">
      <c r="C142" s="124"/>
      <c r="D142" s="126"/>
      <c r="E142" s="34"/>
      <c r="F142" s="128"/>
      <c r="G142" s="34"/>
      <c r="H142" s="138"/>
      <c r="I142" s="141"/>
      <c r="J142" s="3"/>
      <c r="K142" s="175"/>
      <c r="L142" s="140"/>
      <c r="M142" s="139"/>
      <c r="V142" s="147"/>
      <c r="W142" s="2"/>
      <c r="X142" s="140"/>
      <c r="Y142" s="11">
        <v>0.20399999999999999</v>
      </c>
    </row>
    <row r="143" spans="2:25" ht="15.75" thickBot="1">
      <c r="C143" s="124">
        <v>45</v>
      </c>
      <c r="D143" s="126"/>
      <c r="E143" s="34"/>
      <c r="F143" s="128"/>
      <c r="G143" s="34"/>
      <c r="H143" s="138" t="e">
        <f>(AVERAGE(E143:E144)/D143)</f>
        <v>#DIV/0!</v>
      </c>
      <c r="I143" s="141" t="e">
        <f>(AVERAGE(G143:G144)/F143)</f>
        <v>#DIV/0!</v>
      </c>
      <c r="J143" s="3"/>
      <c r="K143" s="175">
        <v>45</v>
      </c>
      <c r="L143" s="140" t="e">
        <f>H143/$D$168</f>
        <v>#DIV/0!</v>
      </c>
      <c r="M143" s="139" t="e">
        <f>I143/$D$168</f>
        <v>#DIV/0!</v>
      </c>
      <c r="V143" s="147"/>
      <c r="W143" s="2"/>
      <c r="X143" s="140">
        <v>6.7000000000000004E-2</v>
      </c>
      <c r="Y143" s="11">
        <v>0.20499999999999999</v>
      </c>
    </row>
    <row r="144" spans="2:25" ht="15.75" thickBot="1">
      <c r="C144" s="124"/>
      <c r="D144" s="126"/>
      <c r="E144" s="34"/>
      <c r="F144" s="128"/>
      <c r="G144" s="34"/>
      <c r="H144" s="138"/>
      <c r="I144" s="141"/>
      <c r="J144" s="3"/>
      <c r="K144" s="175"/>
      <c r="L144" s="140"/>
      <c r="M144" s="139"/>
      <c r="V144" s="147"/>
      <c r="W144" s="2"/>
      <c r="X144" s="140"/>
      <c r="Y144" s="11">
        <v>0.20599999999999999</v>
      </c>
    </row>
    <row r="145" spans="3:25" ht="15.75" thickBot="1">
      <c r="C145" s="124">
        <v>50</v>
      </c>
      <c r="D145" s="126"/>
      <c r="E145" s="34"/>
      <c r="F145" s="128"/>
      <c r="G145" s="34"/>
      <c r="H145" s="138" t="e">
        <f>(AVERAGE(E145:E146)/D145)</f>
        <v>#DIV/0!</v>
      </c>
      <c r="I145" s="141" t="e">
        <f>(AVERAGE(G145:G146)/F145)</f>
        <v>#DIV/0!</v>
      </c>
      <c r="J145" s="3"/>
      <c r="K145" s="175">
        <v>50</v>
      </c>
      <c r="L145" s="140" t="e">
        <f>H145/$D$168</f>
        <v>#DIV/0!</v>
      </c>
      <c r="M145" s="139" t="e">
        <f>I145/$D$168</f>
        <v>#DIV/0!</v>
      </c>
      <c r="V145" s="147"/>
      <c r="W145" s="2"/>
      <c r="X145" s="140">
        <v>6.8000000000000005E-2</v>
      </c>
      <c r="Y145" s="11">
        <v>0.20200000000000001</v>
      </c>
    </row>
    <row r="146" spans="3:25" ht="15.75" thickBot="1">
      <c r="C146" s="124"/>
      <c r="D146" s="126"/>
      <c r="E146" s="34"/>
      <c r="F146" s="128"/>
      <c r="G146" s="34"/>
      <c r="H146" s="138"/>
      <c r="I146" s="141"/>
      <c r="J146" s="3"/>
      <c r="K146" s="175"/>
      <c r="L146" s="140"/>
      <c r="M146" s="139"/>
      <c r="V146" s="147"/>
      <c r="W146" s="2"/>
      <c r="X146" s="140"/>
      <c r="Y146" s="11">
        <v>0.20100000000000001</v>
      </c>
    </row>
    <row r="147" spans="3:25" ht="15.75" thickBot="1">
      <c r="C147" s="124">
        <v>55</v>
      </c>
      <c r="D147" s="126"/>
      <c r="E147" s="34"/>
      <c r="F147" s="128"/>
      <c r="G147" s="34"/>
      <c r="H147" s="138" t="e">
        <f>(AVERAGE(E147:E148)/D147)</f>
        <v>#DIV/0!</v>
      </c>
      <c r="I147" s="141" t="e">
        <f>(AVERAGE(G147:G148)/F147)</f>
        <v>#DIV/0!</v>
      </c>
      <c r="J147" s="3"/>
      <c r="K147" s="175">
        <v>55</v>
      </c>
      <c r="L147" s="140" t="e">
        <f>H147/$D$168</f>
        <v>#DIV/0!</v>
      </c>
      <c r="M147" s="139" t="e">
        <f>I147/$D$168</f>
        <v>#DIV/0!</v>
      </c>
      <c r="V147" s="147"/>
      <c r="W147" s="2"/>
      <c r="X147" s="140">
        <v>6.8000000000000005E-2</v>
      </c>
      <c r="Y147" s="11">
        <v>0.19900000000000001</v>
      </c>
    </row>
    <row r="148" spans="3:25" ht="15.75" thickBot="1">
      <c r="C148" s="124"/>
      <c r="D148" s="126"/>
      <c r="E148" s="34"/>
      <c r="F148" s="128"/>
      <c r="G148" s="34"/>
      <c r="H148" s="138"/>
      <c r="I148" s="141"/>
      <c r="J148" s="3"/>
      <c r="K148" s="175"/>
      <c r="L148" s="140"/>
      <c r="M148" s="139"/>
      <c r="V148" s="147"/>
      <c r="W148" s="2"/>
      <c r="X148" s="140"/>
      <c r="Y148" s="11">
        <v>0.19800000000000001</v>
      </c>
    </row>
    <row r="149" spans="3:25" ht="15.75" thickBot="1">
      <c r="C149" s="124">
        <v>60</v>
      </c>
      <c r="D149" s="126"/>
      <c r="E149" s="34"/>
      <c r="F149" s="128"/>
      <c r="G149" s="34"/>
      <c r="H149" s="138" t="e">
        <f>(AVERAGE(E149:E150)/D149)</f>
        <v>#DIV/0!</v>
      </c>
      <c r="I149" s="141" t="e">
        <f>(AVERAGE(G149:G150)/F149)</f>
        <v>#DIV/0!</v>
      </c>
      <c r="J149" s="3"/>
      <c r="K149" s="175">
        <v>60</v>
      </c>
      <c r="L149" s="140" t="e">
        <f>H149/$D$168</f>
        <v>#DIV/0!</v>
      </c>
      <c r="M149" s="139" t="e">
        <f>I149/$D$168</f>
        <v>#DIV/0!</v>
      </c>
      <c r="V149" s="147"/>
      <c r="W149" s="2"/>
      <c r="X149" s="140">
        <v>6.8000000000000005E-2</v>
      </c>
      <c r="Y149" s="11">
        <v>0.184</v>
      </c>
    </row>
    <row r="150" spans="3:25" ht="15.75" thickBot="1">
      <c r="C150" s="124"/>
      <c r="D150" s="126"/>
      <c r="E150" s="34"/>
      <c r="F150" s="128"/>
      <c r="G150" s="34"/>
      <c r="H150" s="138"/>
      <c r="I150" s="141"/>
      <c r="J150" s="3"/>
      <c r="K150" s="175"/>
      <c r="L150" s="140"/>
      <c r="M150" s="139"/>
      <c r="V150" s="147"/>
      <c r="W150" s="2"/>
      <c r="X150" s="140"/>
      <c r="Y150" s="11">
        <v>0.184</v>
      </c>
    </row>
    <row r="151" spans="3:25" ht="15.75" thickBot="1">
      <c r="C151" s="124">
        <v>65</v>
      </c>
      <c r="D151" s="126"/>
      <c r="E151" s="34"/>
      <c r="F151" s="128"/>
      <c r="G151" s="34"/>
      <c r="H151" s="138" t="e">
        <f>(AVERAGE(E151:E152)/D151)</f>
        <v>#DIV/0!</v>
      </c>
      <c r="I151" s="141" t="e">
        <f>(AVERAGE(G151:G152)/F151)</f>
        <v>#DIV/0!</v>
      </c>
      <c r="J151" s="3"/>
      <c r="K151" s="175">
        <v>65</v>
      </c>
      <c r="L151" s="140" t="e">
        <f>H151/$D$168</f>
        <v>#DIV/0!</v>
      </c>
      <c r="M151" s="139" t="e">
        <f>I151/$D$168</f>
        <v>#DIV/0!</v>
      </c>
      <c r="V151" s="147"/>
      <c r="W151" s="2"/>
      <c r="X151" s="140">
        <v>6.7000000000000004E-2</v>
      </c>
      <c r="Y151" s="11">
        <v>0.187</v>
      </c>
    </row>
    <row r="152" spans="3:25" ht="15.75" thickBot="1">
      <c r="C152" s="124"/>
      <c r="D152" s="126"/>
      <c r="E152" s="34"/>
      <c r="F152" s="128"/>
      <c r="G152" s="34"/>
      <c r="H152" s="138"/>
      <c r="I152" s="141"/>
      <c r="J152" s="3"/>
      <c r="K152" s="175"/>
      <c r="L152" s="140"/>
      <c r="M152" s="139"/>
      <c r="V152" s="147"/>
      <c r="W152" s="2"/>
      <c r="X152" s="140"/>
      <c r="Y152" s="11">
        <v>0.187</v>
      </c>
    </row>
    <row r="153" spans="3:25" ht="15.75" thickBot="1">
      <c r="C153" s="124">
        <v>70</v>
      </c>
      <c r="D153" s="126"/>
      <c r="E153" s="34"/>
      <c r="F153" s="128"/>
      <c r="G153" s="34"/>
      <c r="H153" s="138" t="e">
        <f>(AVERAGE(E153:E154)/D153)</f>
        <v>#DIV/0!</v>
      </c>
      <c r="I153" s="141" t="e">
        <f>(AVERAGE(G153:G154)/F153)</f>
        <v>#DIV/0!</v>
      </c>
      <c r="J153" s="3"/>
      <c r="K153" s="175">
        <v>70</v>
      </c>
      <c r="L153" s="140" t="e">
        <f>H153/$D$168</f>
        <v>#DIV/0!</v>
      </c>
      <c r="M153" s="139" t="e">
        <f>I153/$D$168</f>
        <v>#DIV/0!</v>
      </c>
      <c r="V153" s="147"/>
      <c r="W153" s="2"/>
      <c r="X153" s="140">
        <v>6.7000000000000004E-2</v>
      </c>
      <c r="Y153" s="11">
        <v>0.19900000000000001</v>
      </c>
    </row>
    <row r="154" spans="3:25" ht="15.75" thickBot="1">
      <c r="C154" s="124"/>
      <c r="D154" s="126"/>
      <c r="E154" s="34"/>
      <c r="F154" s="128"/>
      <c r="G154" s="34"/>
      <c r="H154" s="138"/>
      <c r="I154" s="141"/>
      <c r="J154" s="3"/>
      <c r="K154" s="175"/>
      <c r="L154" s="140"/>
      <c r="M154" s="139"/>
      <c r="V154" s="147"/>
      <c r="W154" s="2"/>
      <c r="X154" s="140"/>
      <c r="Y154" s="11">
        <v>0.2</v>
      </c>
    </row>
    <row r="155" spans="3:25" ht="15.75" thickBot="1">
      <c r="C155" s="124">
        <v>75</v>
      </c>
      <c r="D155" s="126"/>
      <c r="E155" s="34"/>
      <c r="F155" s="128"/>
      <c r="G155" s="34"/>
      <c r="H155" s="138" t="e">
        <f>(AVERAGE(E155:E156)/D155)</f>
        <v>#DIV/0!</v>
      </c>
      <c r="I155" s="141" t="e">
        <f>(AVERAGE(G155:G156)/F155)</f>
        <v>#DIV/0!</v>
      </c>
      <c r="J155" s="3"/>
      <c r="K155" s="175">
        <v>75</v>
      </c>
      <c r="L155" s="140" t="e">
        <f>H155/$D$168</f>
        <v>#DIV/0!</v>
      </c>
      <c r="M155" s="139" t="e">
        <f>I155/$D$168</f>
        <v>#DIV/0!</v>
      </c>
      <c r="V155" s="147"/>
      <c r="W155" s="2"/>
      <c r="X155" s="140">
        <v>6.6000000000000003E-2</v>
      </c>
      <c r="Y155" s="11">
        <v>0.19500000000000001</v>
      </c>
    </row>
    <row r="156" spans="3:25" ht="15.75" thickBot="1">
      <c r="C156" s="124"/>
      <c r="D156" s="126"/>
      <c r="E156" s="34"/>
      <c r="F156" s="128"/>
      <c r="G156" s="34"/>
      <c r="H156" s="138"/>
      <c r="I156" s="141"/>
      <c r="J156" s="3"/>
      <c r="K156" s="175"/>
      <c r="L156" s="140"/>
      <c r="M156" s="139"/>
      <c r="V156" s="147"/>
      <c r="W156" s="2"/>
      <c r="X156" s="140"/>
      <c r="Y156" s="11">
        <v>0.19500000000000001</v>
      </c>
    </row>
    <row r="157" spans="3:25" ht="15.75" thickBot="1">
      <c r="C157" s="124">
        <v>80</v>
      </c>
      <c r="D157" s="126"/>
      <c r="E157" s="34"/>
      <c r="F157" s="128"/>
      <c r="G157" s="34"/>
      <c r="H157" s="138" t="e">
        <f>(AVERAGE(E157:E158)/D157)</f>
        <v>#DIV/0!</v>
      </c>
      <c r="I157" s="141" t="e">
        <f>(AVERAGE(G157:G158)/F157)</f>
        <v>#DIV/0!</v>
      </c>
      <c r="J157" s="3"/>
      <c r="K157" s="175">
        <v>80</v>
      </c>
      <c r="L157" s="140" t="e">
        <f>H157/$D$168</f>
        <v>#DIV/0!</v>
      </c>
      <c r="M157" s="139" t="e">
        <f>I157/$D$168</f>
        <v>#DIV/0!</v>
      </c>
      <c r="V157" s="147"/>
      <c r="W157" s="2"/>
      <c r="X157" s="140">
        <v>6.6000000000000003E-2</v>
      </c>
      <c r="Y157" s="11">
        <v>0.19600000000000001</v>
      </c>
    </row>
    <row r="158" spans="3:25" ht="15.75" thickBot="1">
      <c r="C158" s="124"/>
      <c r="D158" s="126"/>
      <c r="E158" s="34"/>
      <c r="F158" s="128"/>
      <c r="G158" s="34"/>
      <c r="H158" s="138"/>
      <c r="I158" s="141"/>
      <c r="J158" s="3"/>
      <c r="K158" s="175"/>
      <c r="L158" s="140"/>
      <c r="M158" s="139"/>
      <c r="V158" s="148"/>
      <c r="W158" s="29"/>
      <c r="X158" s="149"/>
      <c r="Y158" s="22">
        <v>0.19500000000000001</v>
      </c>
    </row>
    <row r="159" spans="3:25" ht="15.75" thickBot="1">
      <c r="C159" s="124">
        <v>85</v>
      </c>
      <c r="D159" s="126"/>
      <c r="E159" s="34"/>
      <c r="F159" s="128"/>
      <c r="G159" s="34"/>
      <c r="H159" s="138" t="e">
        <f>(AVERAGE(E159:E160)/D159)</f>
        <v>#DIV/0!</v>
      </c>
      <c r="I159" s="141" t="e">
        <f>(AVERAGE(G159:G160)/F159)</f>
        <v>#DIV/0!</v>
      </c>
      <c r="J159" s="3"/>
      <c r="K159" s="175">
        <v>85</v>
      </c>
      <c r="L159" s="140" t="e">
        <f>H159/$D$168</f>
        <v>#DIV/0!</v>
      </c>
      <c r="M159" s="139" t="e">
        <f>I159/$D$168</f>
        <v>#DIV/0!</v>
      </c>
    </row>
    <row r="160" spans="3:25" ht="15.75" thickBot="1">
      <c r="C160" s="124"/>
      <c r="D160" s="203"/>
      <c r="E160" s="35"/>
      <c r="F160" s="199"/>
      <c r="G160" s="35"/>
      <c r="H160" s="179"/>
      <c r="I160" s="194"/>
      <c r="J160" s="13"/>
      <c r="K160" s="176"/>
      <c r="L160" s="149"/>
      <c r="M160" s="224"/>
    </row>
    <row r="161" spans="1:27" ht="15.75" thickBot="1"/>
    <row r="162" spans="1:27" ht="15.75" thickBot="1">
      <c r="D162" t="s">
        <v>32</v>
      </c>
      <c r="V162" s="142" t="s">
        <v>11</v>
      </c>
      <c r="W162" s="129"/>
      <c r="Z162" s="142" t="s">
        <v>33</v>
      </c>
      <c r="AA162" s="129"/>
    </row>
    <row r="163" spans="1:27" ht="15.75" thickBot="1">
      <c r="C163" s="142" t="s">
        <v>11</v>
      </c>
      <c r="D163" s="129"/>
      <c r="G163" s="142" t="s">
        <v>33</v>
      </c>
      <c r="H163" s="129"/>
      <c r="I163" s="142" t="s">
        <v>33</v>
      </c>
      <c r="J163" s="129"/>
      <c r="V163" s="10"/>
      <c r="W163" s="11"/>
      <c r="Z163" s="10"/>
      <c r="AA163" s="11"/>
    </row>
    <row r="164" spans="1:27" ht="15.75" thickBot="1">
      <c r="C164" s="10"/>
      <c r="D164" s="11"/>
      <c r="G164" s="10" t="s">
        <v>45</v>
      </c>
      <c r="H164" s="11"/>
      <c r="I164" s="10" t="s">
        <v>46</v>
      </c>
      <c r="J164" s="11"/>
      <c r="V164" s="46">
        <v>0.192</v>
      </c>
      <c r="W164" s="47">
        <v>5.1999999999999998E-2</v>
      </c>
      <c r="Z164" s="50">
        <v>0.252</v>
      </c>
      <c r="AA164" s="51">
        <v>5.8000000000000003E-2</v>
      </c>
    </row>
    <row r="165" spans="1:27" ht="15.75" thickBot="1">
      <c r="C165" s="46"/>
      <c r="D165" s="47"/>
      <c r="G165" s="50">
        <v>0.21</v>
      </c>
      <c r="H165" s="51">
        <v>2.9100000000000001E-2</v>
      </c>
      <c r="I165" s="50">
        <v>0.20799999999999999</v>
      </c>
      <c r="J165" s="51">
        <v>2.9399999999999999E-2</v>
      </c>
      <c r="V165" s="48">
        <v>0.191</v>
      </c>
      <c r="W165" s="49"/>
      <c r="Z165" s="52">
        <v>0.252</v>
      </c>
      <c r="AA165" s="53"/>
    </row>
    <row r="166" spans="1:27" ht="15.75" thickBot="1">
      <c r="C166" s="48"/>
      <c r="D166" s="55"/>
      <c r="G166" s="52">
        <v>0.21</v>
      </c>
      <c r="H166" s="55"/>
      <c r="I166" s="52">
        <v>0.20699999999999999</v>
      </c>
      <c r="J166" s="55"/>
      <c r="V166" s="10"/>
      <c r="W166" s="11"/>
      <c r="Z166" s="10"/>
      <c r="AA166" s="11"/>
    </row>
    <row r="167" spans="1:27" ht="15.75" thickBot="1">
      <c r="C167" s="10"/>
      <c r="D167" s="11"/>
      <c r="G167" s="10"/>
      <c r="H167" s="11"/>
      <c r="I167" s="10"/>
      <c r="J167" s="11"/>
      <c r="V167" s="45" t="s">
        <v>10</v>
      </c>
      <c r="W167" s="22">
        <f>AVERAGE(V164:V165)/W164</f>
        <v>3.6826923076923079</v>
      </c>
      <c r="Z167" s="20" t="s">
        <v>10</v>
      </c>
      <c r="AA167" s="21">
        <f>AVERAGE(Z164:Z165)/AA164</f>
        <v>4.3448275862068968</v>
      </c>
    </row>
    <row r="168" spans="1:27" ht="15.75" thickBot="1">
      <c r="C168" s="45" t="s">
        <v>10</v>
      </c>
      <c r="D168" s="22" t="e">
        <f>AVERAGE(C165:C166)/D165</f>
        <v>#DIV/0!</v>
      </c>
      <c r="G168" s="20" t="s">
        <v>10</v>
      </c>
      <c r="H168" s="21">
        <f>AVERAGE(G165:G166)/H165</f>
        <v>7.216494845360824</v>
      </c>
      <c r="I168" s="20" t="s">
        <v>10</v>
      </c>
      <c r="J168" s="21">
        <f>AVERAGE(I165:I166)/J165</f>
        <v>7.0578231292517009</v>
      </c>
    </row>
    <row r="170" spans="1:27" ht="15.75" thickBot="1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</row>
    <row r="171" spans="1:27" ht="15.75" thickBot="1"/>
    <row r="172" spans="1:27" ht="15.75" thickBot="1">
      <c r="C172" s="142" t="s">
        <v>34</v>
      </c>
      <c r="D172" s="143"/>
      <c r="E172" s="143"/>
      <c r="F172" s="143"/>
      <c r="G172" s="143"/>
      <c r="H172" s="143"/>
      <c r="I172" s="129"/>
      <c r="K172" s="121" t="s">
        <v>35</v>
      </c>
      <c r="L172" s="121"/>
      <c r="M172" s="121"/>
      <c r="N172" s="121"/>
      <c r="O172" s="121"/>
      <c r="P172" s="121"/>
      <c r="Q172" s="121"/>
    </row>
    <row r="174" spans="1:27" ht="15.75" thickBot="1"/>
    <row r="175" spans="1:27" ht="15.75" thickBot="1">
      <c r="C175" s="144" t="s">
        <v>40</v>
      </c>
      <c r="D175" s="145"/>
      <c r="E175" s="145"/>
      <c r="F175" s="145"/>
      <c r="G175" s="145"/>
      <c r="H175" s="145"/>
      <c r="I175" s="146"/>
    </row>
    <row r="176" spans="1:27" ht="15.75" thickBot="1">
      <c r="C176" s="10"/>
      <c r="D176" s="3"/>
      <c r="E176" s="3"/>
      <c r="F176" s="3"/>
      <c r="G176" s="3"/>
      <c r="H176" s="3"/>
      <c r="I176" s="11"/>
      <c r="L176" s="121" t="s">
        <v>42</v>
      </c>
      <c r="M176" s="121"/>
      <c r="N176" s="121"/>
      <c r="O176" s="121"/>
      <c r="P176" s="121"/>
      <c r="Q176" s="121"/>
    </row>
    <row r="177" spans="3:17">
      <c r="C177" s="10" t="s">
        <v>36</v>
      </c>
      <c r="D177" s="3"/>
      <c r="E177" s="3"/>
      <c r="F177" s="14" t="s">
        <v>38</v>
      </c>
      <c r="G177" s="8"/>
      <c r="H177" s="8" t="s">
        <v>39</v>
      </c>
      <c r="I177" s="9"/>
      <c r="L177" s="121"/>
      <c r="M177" s="121"/>
      <c r="N177" s="121"/>
      <c r="O177" s="121"/>
      <c r="P177" s="121"/>
      <c r="Q177" s="121"/>
    </row>
    <row r="178" spans="3:17" ht="15.75" thickBot="1">
      <c r="C178" s="45"/>
      <c r="D178" s="13"/>
      <c r="E178" s="13"/>
      <c r="F178" s="45" t="s">
        <v>37</v>
      </c>
      <c r="G178" s="13">
        <f>TAN(G177*(PI()/180))</f>
        <v>0</v>
      </c>
      <c r="H178" s="13"/>
      <c r="I178" s="22"/>
    </row>
    <row r="179" spans="3:17" ht="15.75" thickBot="1"/>
    <row r="180" spans="3:17" ht="15.75" thickBot="1">
      <c r="C180" s="144" t="s">
        <v>41</v>
      </c>
      <c r="D180" s="145"/>
      <c r="E180" s="145"/>
      <c r="F180" s="145"/>
      <c r="G180" s="145"/>
      <c r="H180" s="145"/>
      <c r="I180" s="146"/>
    </row>
    <row r="181" spans="3:17" ht="15.75" thickBot="1">
      <c r="C181" s="10"/>
      <c r="D181" s="3"/>
      <c r="E181" s="3"/>
      <c r="F181" s="3"/>
      <c r="G181" s="3"/>
      <c r="H181" s="3"/>
      <c r="I181" s="11"/>
      <c r="M181" t="s">
        <v>43</v>
      </c>
    </row>
    <row r="182" spans="3:17">
      <c r="C182" s="10" t="s">
        <v>36</v>
      </c>
      <c r="D182" s="3"/>
      <c r="E182" s="3"/>
      <c r="F182" s="14" t="s">
        <v>38</v>
      </c>
      <c r="G182" s="8"/>
      <c r="H182" s="8" t="s">
        <v>39</v>
      </c>
      <c r="I182" s="9"/>
    </row>
    <row r="183" spans="3:17" ht="15.75" thickBot="1">
      <c r="C183" s="45"/>
      <c r="D183" s="13"/>
      <c r="E183" s="13"/>
      <c r="F183" s="45" t="s">
        <v>37</v>
      </c>
      <c r="G183" s="13" t="e">
        <f>1/(TAN(G182*(PI()/180)))</f>
        <v>#DIV/0!</v>
      </c>
      <c r="H183" s="13"/>
      <c r="I183" s="22"/>
    </row>
  </sheetData>
  <mergeCells count="731">
    <mergeCell ref="Z162:AA162"/>
    <mergeCell ref="C163:D163"/>
    <mergeCell ref="G163:H163"/>
    <mergeCell ref="I163:J163"/>
    <mergeCell ref="C159:C160"/>
    <mergeCell ref="D159:D160"/>
    <mergeCell ref="F159:F160"/>
    <mergeCell ref="H159:H160"/>
    <mergeCell ref="I159:I160"/>
    <mergeCell ref="K159:K160"/>
    <mergeCell ref="K155:K156"/>
    <mergeCell ref="L155:L156"/>
    <mergeCell ref="M155:M156"/>
    <mergeCell ref="V155:V156"/>
    <mergeCell ref="L176:Q177"/>
    <mergeCell ref="C180:I180"/>
    <mergeCell ref="L159:L160"/>
    <mergeCell ref="M159:M160"/>
    <mergeCell ref="V162:W162"/>
    <mergeCell ref="C172:I172"/>
    <mergeCell ref="K157:K158"/>
    <mergeCell ref="L157:L158"/>
    <mergeCell ref="M157:M158"/>
    <mergeCell ref="V157:V158"/>
    <mergeCell ref="K172:Q172"/>
    <mergeCell ref="C175:I175"/>
    <mergeCell ref="X157:X158"/>
    <mergeCell ref="C155:C156"/>
    <mergeCell ref="D155:D156"/>
    <mergeCell ref="F155:F156"/>
    <mergeCell ref="H155:H156"/>
    <mergeCell ref="I155:I156"/>
    <mergeCell ref="K151:K152"/>
    <mergeCell ref="L151:L152"/>
    <mergeCell ref="M151:M152"/>
    <mergeCell ref="V151:V152"/>
    <mergeCell ref="X155:X156"/>
    <mergeCell ref="C157:C158"/>
    <mergeCell ref="D157:D158"/>
    <mergeCell ref="F157:F158"/>
    <mergeCell ref="H157:H158"/>
    <mergeCell ref="I157:I158"/>
    <mergeCell ref="K153:K154"/>
    <mergeCell ref="L153:L154"/>
    <mergeCell ref="M153:M154"/>
    <mergeCell ref="V153:V154"/>
    <mergeCell ref="X153:X154"/>
    <mergeCell ref="C151:C152"/>
    <mergeCell ref="D151:D152"/>
    <mergeCell ref="F151:F152"/>
    <mergeCell ref="H151:H152"/>
    <mergeCell ref="I151:I152"/>
    <mergeCell ref="K147:K148"/>
    <mergeCell ref="L147:L148"/>
    <mergeCell ref="M147:M148"/>
    <mergeCell ref="V147:V148"/>
    <mergeCell ref="X151:X152"/>
    <mergeCell ref="C153:C154"/>
    <mergeCell ref="D153:D154"/>
    <mergeCell ref="F153:F154"/>
    <mergeCell ref="H153:H154"/>
    <mergeCell ref="I153:I154"/>
    <mergeCell ref="K149:K150"/>
    <mergeCell ref="L149:L150"/>
    <mergeCell ref="M149:M150"/>
    <mergeCell ref="V149:V150"/>
    <mergeCell ref="X149:X150"/>
    <mergeCell ref="C147:C148"/>
    <mergeCell ref="D147:D148"/>
    <mergeCell ref="F147:F148"/>
    <mergeCell ref="H147:H148"/>
    <mergeCell ref="I147:I148"/>
    <mergeCell ref="X147:X148"/>
    <mergeCell ref="C149:C150"/>
    <mergeCell ref="D149:D150"/>
    <mergeCell ref="F149:F150"/>
    <mergeCell ref="H149:H150"/>
    <mergeCell ref="I149:I150"/>
    <mergeCell ref="K145:K146"/>
    <mergeCell ref="L145:L146"/>
    <mergeCell ref="M145:M146"/>
    <mergeCell ref="V145:V146"/>
    <mergeCell ref="X145:X146"/>
    <mergeCell ref="X143:X144"/>
    <mergeCell ref="C145:C146"/>
    <mergeCell ref="D145:D146"/>
    <mergeCell ref="F145:F146"/>
    <mergeCell ref="H145:H146"/>
    <mergeCell ref="I145:I146"/>
    <mergeCell ref="K141:K142"/>
    <mergeCell ref="L141:L142"/>
    <mergeCell ref="M141:M142"/>
    <mergeCell ref="V141:V142"/>
    <mergeCell ref="X141:X142"/>
    <mergeCell ref="K143:K144"/>
    <mergeCell ref="L143:L144"/>
    <mergeCell ref="M143:M144"/>
    <mergeCell ref="V143:V144"/>
    <mergeCell ref="C143:C144"/>
    <mergeCell ref="D143:D144"/>
    <mergeCell ref="F143:F144"/>
    <mergeCell ref="H143:H144"/>
    <mergeCell ref="I143:I144"/>
    <mergeCell ref="X139:X140"/>
    <mergeCell ref="C141:C142"/>
    <mergeCell ref="D141:D142"/>
    <mergeCell ref="F141:F142"/>
    <mergeCell ref="H141:H142"/>
    <mergeCell ref="I141:I142"/>
    <mergeCell ref="K137:K138"/>
    <mergeCell ref="L137:L138"/>
    <mergeCell ref="M137:M138"/>
    <mergeCell ref="V137:V138"/>
    <mergeCell ref="X137:X138"/>
    <mergeCell ref="K139:K140"/>
    <mergeCell ref="L139:L140"/>
    <mergeCell ref="M139:M140"/>
    <mergeCell ref="V139:V140"/>
    <mergeCell ref="C139:C140"/>
    <mergeCell ref="D139:D140"/>
    <mergeCell ref="F139:F140"/>
    <mergeCell ref="H139:H140"/>
    <mergeCell ref="I139:I140"/>
    <mergeCell ref="X135:X136"/>
    <mergeCell ref="C137:C138"/>
    <mergeCell ref="D137:D138"/>
    <mergeCell ref="F137:F138"/>
    <mergeCell ref="H137:H138"/>
    <mergeCell ref="I137:I138"/>
    <mergeCell ref="K133:K134"/>
    <mergeCell ref="L133:L134"/>
    <mergeCell ref="M133:M134"/>
    <mergeCell ref="V133:V134"/>
    <mergeCell ref="X133:X134"/>
    <mergeCell ref="K135:K136"/>
    <mergeCell ref="L135:L136"/>
    <mergeCell ref="M135:M136"/>
    <mergeCell ref="V135:V136"/>
    <mergeCell ref="C135:C136"/>
    <mergeCell ref="D135:D136"/>
    <mergeCell ref="F135:F136"/>
    <mergeCell ref="H135:H136"/>
    <mergeCell ref="I135:I136"/>
    <mergeCell ref="V129:V130"/>
    <mergeCell ref="X129:X130"/>
    <mergeCell ref="X131:X132"/>
    <mergeCell ref="C133:C134"/>
    <mergeCell ref="D133:D134"/>
    <mergeCell ref="F133:F134"/>
    <mergeCell ref="H133:H134"/>
    <mergeCell ref="I133:I134"/>
    <mergeCell ref="K129:K130"/>
    <mergeCell ref="K131:K132"/>
    <mergeCell ref="L131:L132"/>
    <mergeCell ref="M131:M132"/>
    <mergeCell ref="V131:V132"/>
    <mergeCell ref="C131:C132"/>
    <mergeCell ref="D131:D132"/>
    <mergeCell ref="F131:F132"/>
    <mergeCell ref="H131:H132"/>
    <mergeCell ref="I131:I132"/>
    <mergeCell ref="X127:X128"/>
    <mergeCell ref="C129:C130"/>
    <mergeCell ref="D129:D130"/>
    <mergeCell ref="F129:F130"/>
    <mergeCell ref="H129:H130"/>
    <mergeCell ref="I129:I130"/>
    <mergeCell ref="F119:F120"/>
    <mergeCell ref="H119:H120"/>
    <mergeCell ref="I119:I120"/>
    <mergeCell ref="K119:K120"/>
    <mergeCell ref="L119:L120"/>
    <mergeCell ref="M119:M120"/>
    <mergeCell ref="C127:C128"/>
    <mergeCell ref="D127:D128"/>
    <mergeCell ref="F127:F128"/>
    <mergeCell ref="H127:H128"/>
    <mergeCell ref="I127:I128"/>
    <mergeCell ref="K127:K128"/>
    <mergeCell ref="W121:W122"/>
    <mergeCell ref="L127:L128"/>
    <mergeCell ref="M127:M128"/>
    <mergeCell ref="V127:V128"/>
    <mergeCell ref="L129:L130"/>
    <mergeCell ref="M129:M130"/>
    <mergeCell ref="Y119:Y120"/>
    <mergeCell ref="C121:C122"/>
    <mergeCell ref="D121:D122"/>
    <mergeCell ref="F121:F122"/>
    <mergeCell ref="H121:H122"/>
    <mergeCell ref="I121:I122"/>
    <mergeCell ref="K121:K122"/>
    <mergeCell ref="L121:L122"/>
    <mergeCell ref="M121:M122"/>
    <mergeCell ref="C119:C120"/>
    <mergeCell ref="Y121:Y122"/>
    <mergeCell ref="C125:I125"/>
    <mergeCell ref="V125:V126"/>
    <mergeCell ref="X125:X126"/>
    <mergeCell ref="D126:E126"/>
    <mergeCell ref="F126:G126"/>
    <mergeCell ref="W119:W120"/>
    <mergeCell ref="D119:D120"/>
    <mergeCell ref="L117:L118"/>
    <mergeCell ref="M117:M118"/>
    <mergeCell ref="W117:W118"/>
    <mergeCell ref="Y117:Y118"/>
    <mergeCell ref="C115:C116"/>
    <mergeCell ref="D115:D116"/>
    <mergeCell ref="F115:F116"/>
    <mergeCell ref="H115:H116"/>
    <mergeCell ref="I115:I116"/>
    <mergeCell ref="K115:K116"/>
    <mergeCell ref="M113:M114"/>
    <mergeCell ref="W113:W114"/>
    <mergeCell ref="Y113:Y114"/>
    <mergeCell ref="Y115:Y116"/>
    <mergeCell ref="C117:C118"/>
    <mergeCell ref="D117:D118"/>
    <mergeCell ref="F117:F118"/>
    <mergeCell ref="H117:H118"/>
    <mergeCell ref="I117:I118"/>
    <mergeCell ref="K117:K118"/>
    <mergeCell ref="L115:L116"/>
    <mergeCell ref="M115:M116"/>
    <mergeCell ref="W115:W116"/>
    <mergeCell ref="W111:W112"/>
    <mergeCell ref="Y111:Y112"/>
    <mergeCell ref="C113:C114"/>
    <mergeCell ref="D113:D114"/>
    <mergeCell ref="F113:F114"/>
    <mergeCell ref="H113:H114"/>
    <mergeCell ref="I113:I114"/>
    <mergeCell ref="K113:K114"/>
    <mergeCell ref="L113:L114"/>
    <mergeCell ref="B111:B112"/>
    <mergeCell ref="C111:C112"/>
    <mergeCell ref="D111:D112"/>
    <mergeCell ref="F111:F112"/>
    <mergeCell ref="H111:H112"/>
    <mergeCell ref="I111:I112"/>
    <mergeCell ref="K111:K112"/>
    <mergeCell ref="L111:L112"/>
    <mergeCell ref="M111:M112"/>
    <mergeCell ref="Y107:Y108"/>
    <mergeCell ref="C109:C110"/>
    <mergeCell ref="D109:D110"/>
    <mergeCell ref="F109:F110"/>
    <mergeCell ref="H109:H110"/>
    <mergeCell ref="I109:I110"/>
    <mergeCell ref="K109:K110"/>
    <mergeCell ref="L109:L110"/>
    <mergeCell ref="M109:M110"/>
    <mergeCell ref="Y109:Y110"/>
    <mergeCell ref="C107:C108"/>
    <mergeCell ref="D107:D108"/>
    <mergeCell ref="F107:F108"/>
    <mergeCell ref="H107:H108"/>
    <mergeCell ref="I107:I108"/>
    <mergeCell ref="K107:K108"/>
    <mergeCell ref="L107:L108"/>
    <mergeCell ref="M107:M108"/>
    <mergeCell ref="W107:W108"/>
    <mergeCell ref="W109:W110"/>
    <mergeCell ref="Y103:Y104"/>
    <mergeCell ref="C105:C106"/>
    <mergeCell ref="D105:D106"/>
    <mergeCell ref="F105:F106"/>
    <mergeCell ref="H105:H106"/>
    <mergeCell ref="I105:I106"/>
    <mergeCell ref="K105:K106"/>
    <mergeCell ref="L105:L106"/>
    <mergeCell ref="M105:M106"/>
    <mergeCell ref="W103:W104"/>
    <mergeCell ref="W105:W106"/>
    <mergeCell ref="Y105:Y106"/>
    <mergeCell ref="C103:C104"/>
    <mergeCell ref="D103:D104"/>
    <mergeCell ref="F103:F104"/>
    <mergeCell ref="H103:H104"/>
    <mergeCell ref="I103:I104"/>
    <mergeCell ref="K103:K104"/>
    <mergeCell ref="L103:L104"/>
    <mergeCell ref="M103:M104"/>
    <mergeCell ref="Y99:Y100"/>
    <mergeCell ref="C101:C102"/>
    <mergeCell ref="D101:D102"/>
    <mergeCell ref="F101:F102"/>
    <mergeCell ref="H101:H102"/>
    <mergeCell ref="I101:I102"/>
    <mergeCell ref="K101:K102"/>
    <mergeCell ref="L101:L102"/>
    <mergeCell ref="M101:M102"/>
    <mergeCell ref="W99:W100"/>
    <mergeCell ref="W101:W102"/>
    <mergeCell ref="Y101:Y102"/>
    <mergeCell ref="C99:C100"/>
    <mergeCell ref="D99:D100"/>
    <mergeCell ref="F99:F100"/>
    <mergeCell ref="H99:H100"/>
    <mergeCell ref="I99:I100"/>
    <mergeCell ref="K99:K100"/>
    <mergeCell ref="L99:L100"/>
    <mergeCell ref="M99:M100"/>
    <mergeCell ref="W93:W94"/>
    <mergeCell ref="Y93:Y94"/>
    <mergeCell ref="Y95:Y96"/>
    <mergeCell ref="C97:C98"/>
    <mergeCell ref="D97:D98"/>
    <mergeCell ref="F97:F98"/>
    <mergeCell ref="H97:H98"/>
    <mergeCell ref="I97:I98"/>
    <mergeCell ref="K97:K98"/>
    <mergeCell ref="L97:L98"/>
    <mergeCell ref="M97:M98"/>
    <mergeCell ref="W95:W96"/>
    <mergeCell ref="W97:W98"/>
    <mergeCell ref="Y97:Y98"/>
    <mergeCell ref="C95:C96"/>
    <mergeCell ref="D95:D96"/>
    <mergeCell ref="F95:F96"/>
    <mergeCell ref="H95:H96"/>
    <mergeCell ref="I95:I96"/>
    <mergeCell ref="K95:K96"/>
    <mergeCell ref="L95:L96"/>
    <mergeCell ref="M95:M96"/>
    <mergeCell ref="W89:W90"/>
    <mergeCell ref="Y89:Y90"/>
    <mergeCell ref="C91:C92"/>
    <mergeCell ref="D91:D92"/>
    <mergeCell ref="F91:F92"/>
    <mergeCell ref="H91:H92"/>
    <mergeCell ref="I91:I92"/>
    <mergeCell ref="K91:K92"/>
    <mergeCell ref="L91:L92"/>
    <mergeCell ref="M91:M92"/>
    <mergeCell ref="W91:W92"/>
    <mergeCell ref="Y91:Y92"/>
    <mergeCell ref="C83:M84"/>
    <mergeCell ref="C87:I87"/>
    <mergeCell ref="J87:J122"/>
    <mergeCell ref="D88:E88"/>
    <mergeCell ref="F88:G88"/>
    <mergeCell ref="C89:C90"/>
    <mergeCell ref="D89:D90"/>
    <mergeCell ref="F89:F90"/>
    <mergeCell ref="K79:K80"/>
    <mergeCell ref="L79:L80"/>
    <mergeCell ref="M79:M80"/>
    <mergeCell ref="H89:H90"/>
    <mergeCell ref="I89:I90"/>
    <mergeCell ref="K89:K90"/>
    <mergeCell ref="L89:L90"/>
    <mergeCell ref="M89:M90"/>
    <mergeCell ref="C93:C94"/>
    <mergeCell ref="D93:D94"/>
    <mergeCell ref="F93:F94"/>
    <mergeCell ref="H93:H94"/>
    <mergeCell ref="I93:I94"/>
    <mergeCell ref="K93:K94"/>
    <mergeCell ref="L93:L94"/>
    <mergeCell ref="M93:M94"/>
    <mergeCell ref="Y77:Y78"/>
    <mergeCell ref="C79:C80"/>
    <mergeCell ref="D79:D80"/>
    <mergeCell ref="F79:F80"/>
    <mergeCell ref="H79:H80"/>
    <mergeCell ref="I79:I80"/>
    <mergeCell ref="K75:K76"/>
    <mergeCell ref="L75:L76"/>
    <mergeCell ref="M75:M76"/>
    <mergeCell ref="W75:W76"/>
    <mergeCell ref="Y75:Y76"/>
    <mergeCell ref="M77:M78"/>
    <mergeCell ref="W77:W78"/>
    <mergeCell ref="C77:C78"/>
    <mergeCell ref="D77:D78"/>
    <mergeCell ref="F77:F78"/>
    <mergeCell ref="H77:H78"/>
    <mergeCell ref="I77:I78"/>
    <mergeCell ref="K77:K78"/>
    <mergeCell ref="L77:L78"/>
    <mergeCell ref="Y73:Y74"/>
    <mergeCell ref="C75:C76"/>
    <mergeCell ref="D75:D76"/>
    <mergeCell ref="F75:F76"/>
    <mergeCell ref="H75:H76"/>
    <mergeCell ref="I75:I76"/>
    <mergeCell ref="K71:K72"/>
    <mergeCell ref="L71:L72"/>
    <mergeCell ref="M71:M72"/>
    <mergeCell ref="W71:W72"/>
    <mergeCell ref="Y71:Y72"/>
    <mergeCell ref="K73:K74"/>
    <mergeCell ref="L73:L74"/>
    <mergeCell ref="M73:M74"/>
    <mergeCell ref="W73:W74"/>
    <mergeCell ref="C73:C74"/>
    <mergeCell ref="D73:D74"/>
    <mergeCell ref="F73:F74"/>
    <mergeCell ref="H73:H74"/>
    <mergeCell ref="I73:I74"/>
    <mergeCell ref="Y69:Y70"/>
    <mergeCell ref="C71:C72"/>
    <mergeCell ref="D71:D72"/>
    <mergeCell ref="F71:F72"/>
    <mergeCell ref="H71:H72"/>
    <mergeCell ref="I71:I72"/>
    <mergeCell ref="K67:K68"/>
    <mergeCell ref="L67:L68"/>
    <mergeCell ref="M67:M68"/>
    <mergeCell ref="W67:W68"/>
    <mergeCell ref="Y67:Y68"/>
    <mergeCell ref="K69:K70"/>
    <mergeCell ref="L69:L70"/>
    <mergeCell ref="M69:M70"/>
    <mergeCell ref="W69:W70"/>
    <mergeCell ref="C69:C70"/>
    <mergeCell ref="D69:D70"/>
    <mergeCell ref="F69:F70"/>
    <mergeCell ref="H69:H70"/>
    <mergeCell ref="I69:I70"/>
    <mergeCell ref="Y65:Y66"/>
    <mergeCell ref="C67:C68"/>
    <mergeCell ref="D67:D68"/>
    <mergeCell ref="F67:F68"/>
    <mergeCell ref="H67:H68"/>
    <mergeCell ref="I67:I68"/>
    <mergeCell ref="L63:L64"/>
    <mergeCell ref="M63:M64"/>
    <mergeCell ref="N63:O64"/>
    <mergeCell ref="W63:W64"/>
    <mergeCell ref="Y63:Y64"/>
    <mergeCell ref="K65:K66"/>
    <mergeCell ref="L65:L66"/>
    <mergeCell ref="M65:M66"/>
    <mergeCell ref="W65:W66"/>
    <mergeCell ref="C65:C66"/>
    <mergeCell ref="D65:D66"/>
    <mergeCell ref="F65:F66"/>
    <mergeCell ref="H65:H66"/>
    <mergeCell ref="I65:I66"/>
    <mergeCell ref="Y61:Y62"/>
    <mergeCell ref="C63:C64"/>
    <mergeCell ref="D63:D64"/>
    <mergeCell ref="F63:F64"/>
    <mergeCell ref="H63:H64"/>
    <mergeCell ref="I63:I64"/>
    <mergeCell ref="K63:K64"/>
    <mergeCell ref="L59:L60"/>
    <mergeCell ref="M59:M60"/>
    <mergeCell ref="W59:W60"/>
    <mergeCell ref="Y59:Y60"/>
    <mergeCell ref="K61:K62"/>
    <mergeCell ref="L61:L62"/>
    <mergeCell ref="M61:M62"/>
    <mergeCell ref="W61:W62"/>
    <mergeCell ref="C61:C62"/>
    <mergeCell ref="D61:D62"/>
    <mergeCell ref="F61:F62"/>
    <mergeCell ref="H61:H62"/>
    <mergeCell ref="I61:I62"/>
    <mergeCell ref="Y57:Y58"/>
    <mergeCell ref="C59:C60"/>
    <mergeCell ref="D59:D60"/>
    <mergeCell ref="F59:F60"/>
    <mergeCell ref="H59:H60"/>
    <mergeCell ref="I59:I60"/>
    <mergeCell ref="K59:K60"/>
    <mergeCell ref="L55:L56"/>
    <mergeCell ref="M55:M56"/>
    <mergeCell ref="W55:W56"/>
    <mergeCell ref="Y55:Y56"/>
    <mergeCell ref="L57:L58"/>
    <mergeCell ref="M57:M58"/>
    <mergeCell ref="W57:W58"/>
    <mergeCell ref="C57:C58"/>
    <mergeCell ref="D57:D58"/>
    <mergeCell ref="F57:F58"/>
    <mergeCell ref="H57:H58"/>
    <mergeCell ref="I57:I58"/>
    <mergeCell ref="K57:K58"/>
    <mergeCell ref="Y53:Y54"/>
    <mergeCell ref="C55:C56"/>
    <mergeCell ref="D55:D56"/>
    <mergeCell ref="F55:F56"/>
    <mergeCell ref="H55:H56"/>
    <mergeCell ref="I55:I56"/>
    <mergeCell ref="K55:K56"/>
    <mergeCell ref="L53:L54"/>
    <mergeCell ref="M53:M54"/>
    <mergeCell ref="W53:W54"/>
    <mergeCell ref="C53:C54"/>
    <mergeCell ref="D53:D54"/>
    <mergeCell ref="F53:F54"/>
    <mergeCell ref="H53:H54"/>
    <mergeCell ref="I53:I54"/>
    <mergeCell ref="K53:K54"/>
    <mergeCell ref="F49:F50"/>
    <mergeCell ref="H49:H50"/>
    <mergeCell ref="I49:I50"/>
    <mergeCell ref="K49:K50"/>
    <mergeCell ref="L49:L50"/>
    <mergeCell ref="AB42:AB43"/>
    <mergeCell ref="AC42:AC43"/>
    <mergeCell ref="M51:M52"/>
    <mergeCell ref="W51:W52"/>
    <mergeCell ref="Y51:Y52"/>
    <mergeCell ref="F51:F52"/>
    <mergeCell ref="H51:H52"/>
    <mergeCell ref="I51:I52"/>
    <mergeCell ref="K51:K52"/>
    <mergeCell ref="L51:L52"/>
    <mergeCell ref="AE42:AE43"/>
    <mergeCell ref="C45:I45"/>
    <mergeCell ref="J45:J80"/>
    <mergeCell ref="W45:W46"/>
    <mergeCell ref="Y45:Y46"/>
    <mergeCell ref="D46:E46"/>
    <mergeCell ref="F46:G46"/>
    <mergeCell ref="C47:C48"/>
    <mergeCell ref="D47:D48"/>
    <mergeCell ref="F47:F48"/>
    <mergeCell ref="H47:H48"/>
    <mergeCell ref="I47:I48"/>
    <mergeCell ref="K47:K48"/>
    <mergeCell ref="L47:L48"/>
    <mergeCell ref="M47:M48"/>
    <mergeCell ref="W47:W48"/>
    <mergeCell ref="Y47:Y48"/>
    <mergeCell ref="M49:M50"/>
    <mergeCell ref="W49:W50"/>
    <mergeCell ref="Y49:Y50"/>
    <mergeCell ref="C51:C52"/>
    <mergeCell ref="D51:D52"/>
    <mergeCell ref="C49:C50"/>
    <mergeCell ref="D49:D50"/>
    <mergeCell ref="L38:L39"/>
    <mergeCell ref="M38:M39"/>
    <mergeCell ref="AB38:AB39"/>
    <mergeCell ref="AC38:AC39"/>
    <mergeCell ref="AE38:AE39"/>
    <mergeCell ref="K38:K39"/>
    <mergeCell ref="K40:K41"/>
    <mergeCell ref="L40:L41"/>
    <mergeCell ref="M40:M41"/>
    <mergeCell ref="AB40:AB41"/>
    <mergeCell ref="AC40:AC41"/>
    <mergeCell ref="AE40:AE41"/>
    <mergeCell ref="C40:C41"/>
    <mergeCell ref="D40:D41"/>
    <mergeCell ref="F40:F41"/>
    <mergeCell ref="H40:H41"/>
    <mergeCell ref="I40:I41"/>
    <mergeCell ref="C38:C39"/>
    <mergeCell ref="D38:D39"/>
    <mergeCell ref="F38:F39"/>
    <mergeCell ref="H38:H39"/>
    <mergeCell ref="I38:I39"/>
    <mergeCell ref="L34:L35"/>
    <mergeCell ref="M34:M35"/>
    <mergeCell ref="AB34:AB35"/>
    <mergeCell ref="AC34:AC35"/>
    <mergeCell ref="AE34:AE35"/>
    <mergeCell ref="K34:K35"/>
    <mergeCell ref="K36:K37"/>
    <mergeCell ref="L36:L37"/>
    <mergeCell ref="M36:M37"/>
    <mergeCell ref="AB36:AB37"/>
    <mergeCell ref="AC36:AC37"/>
    <mergeCell ref="AE36:AE37"/>
    <mergeCell ref="C36:C37"/>
    <mergeCell ref="D36:D37"/>
    <mergeCell ref="F36:F37"/>
    <mergeCell ref="H36:H37"/>
    <mergeCell ref="I36:I37"/>
    <mergeCell ref="C34:C35"/>
    <mergeCell ref="D34:D35"/>
    <mergeCell ref="F34:F35"/>
    <mergeCell ref="H34:H35"/>
    <mergeCell ref="I34:I35"/>
    <mergeCell ref="L30:L31"/>
    <mergeCell ref="M30:M31"/>
    <mergeCell ref="AB30:AB31"/>
    <mergeCell ref="AC30:AC31"/>
    <mergeCell ref="AE30:AE31"/>
    <mergeCell ref="K30:K31"/>
    <mergeCell ref="K32:K33"/>
    <mergeCell ref="L32:L33"/>
    <mergeCell ref="M32:M33"/>
    <mergeCell ref="AB32:AB33"/>
    <mergeCell ref="AC32:AC33"/>
    <mergeCell ref="AE32:AE33"/>
    <mergeCell ref="C32:C33"/>
    <mergeCell ref="D32:D33"/>
    <mergeCell ref="F32:F33"/>
    <mergeCell ref="H32:H33"/>
    <mergeCell ref="I32:I33"/>
    <mergeCell ref="C30:C31"/>
    <mergeCell ref="D30:D31"/>
    <mergeCell ref="F30:F31"/>
    <mergeCell ref="H30:H31"/>
    <mergeCell ref="I30:I31"/>
    <mergeCell ref="L26:L27"/>
    <mergeCell ref="M26:M27"/>
    <mergeCell ref="AB26:AB27"/>
    <mergeCell ref="AC26:AC27"/>
    <mergeCell ref="AE26:AE27"/>
    <mergeCell ref="K26:K27"/>
    <mergeCell ref="K28:K29"/>
    <mergeCell ref="L28:L29"/>
    <mergeCell ref="M28:M29"/>
    <mergeCell ref="AB28:AB29"/>
    <mergeCell ref="AC28:AC29"/>
    <mergeCell ref="AE28:AE29"/>
    <mergeCell ref="C28:C29"/>
    <mergeCell ref="D28:D29"/>
    <mergeCell ref="F28:F29"/>
    <mergeCell ref="H28:H29"/>
    <mergeCell ref="I28:I29"/>
    <mergeCell ref="C26:C27"/>
    <mergeCell ref="D26:D27"/>
    <mergeCell ref="F26:F27"/>
    <mergeCell ref="H26:H27"/>
    <mergeCell ref="I26:I27"/>
    <mergeCell ref="L22:L23"/>
    <mergeCell ref="M22:M23"/>
    <mergeCell ref="AB22:AB23"/>
    <mergeCell ref="AC22:AC23"/>
    <mergeCell ref="AE22:AE23"/>
    <mergeCell ref="K22:K23"/>
    <mergeCell ref="K24:K25"/>
    <mergeCell ref="L24:L25"/>
    <mergeCell ref="M24:M25"/>
    <mergeCell ref="AB24:AB25"/>
    <mergeCell ref="AC24:AC25"/>
    <mergeCell ref="AE24:AE25"/>
    <mergeCell ref="C24:C25"/>
    <mergeCell ref="D24:D25"/>
    <mergeCell ref="F24:F25"/>
    <mergeCell ref="H24:H25"/>
    <mergeCell ref="I24:I25"/>
    <mergeCell ref="C22:C23"/>
    <mergeCell ref="D22:D23"/>
    <mergeCell ref="F22:F23"/>
    <mergeCell ref="H22:H23"/>
    <mergeCell ref="I22:I23"/>
    <mergeCell ref="L18:L19"/>
    <mergeCell ref="M18:M19"/>
    <mergeCell ref="AB18:AB19"/>
    <mergeCell ref="AC18:AC19"/>
    <mergeCell ref="AE18:AE19"/>
    <mergeCell ref="K18:K19"/>
    <mergeCell ref="K20:K21"/>
    <mergeCell ref="L20:L21"/>
    <mergeCell ref="M20:M21"/>
    <mergeCell ref="AB20:AB21"/>
    <mergeCell ref="AC20:AC21"/>
    <mergeCell ref="AE20:AE21"/>
    <mergeCell ref="C20:C21"/>
    <mergeCell ref="D20:D21"/>
    <mergeCell ref="F20:F21"/>
    <mergeCell ref="H20:H21"/>
    <mergeCell ref="I20:I21"/>
    <mergeCell ref="C18:C19"/>
    <mergeCell ref="D18:D19"/>
    <mergeCell ref="F18:F19"/>
    <mergeCell ref="H18:H19"/>
    <mergeCell ref="I18:I19"/>
    <mergeCell ref="AE16:AE17"/>
    <mergeCell ref="L14:L15"/>
    <mergeCell ref="M14:M15"/>
    <mergeCell ref="AB14:AB15"/>
    <mergeCell ref="AC14:AC15"/>
    <mergeCell ref="AE14:AE15"/>
    <mergeCell ref="I14:I15"/>
    <mergeCell ref="K14:K15"/>
    <mergeCell ref="L16:L17"/>
    <mergeCell ref="M16:M17"/>
    <mergeCell ref="AB16:AB17"/>
    <mergeCell ref="AC16:AC17"/>
    <mergeCell ref="K16:K17"/>
    <mergeCell ref="AC10:AC11"/>
    <mergeCell ref="AE10:AE11"/>
    <mergeCell ref="AB12:AB13"/>
    <mergeCell ref="AC12:AC13"/>
    <mergeCell ref="AE12:AE13"/>
    <mergeCell ref="L10:L11"/>
    <mergeCell ref="M10:M11"/>
    <mergeCell ref="F8:F9"/>
    <mergeCell ref="H8:H9"/>
    <mergeCell ref="I8:I9"/>
    <mergeCell ref="K8:K9"/>
    <mergeCell ref="L8:L9"/>
    <mergeCell ref="M8:M9"/>
    <mergeCell ref="M12:M13"/>
    <mergeCell ref="AC9:AD9"/>
    <mergeCell ref="AE9:AF9"/>
    <mergeCell ref="F14:F15"/>
    <mergeCell ref="H14:H15"/>
    <mergeCell ref="C12:C13"/>
    <mergeCell ref="D12:D13"/>
    <mergeCell ref="F12:F13"/>
    <mergeCell ref="H12:H13"/>
    <mergeCell ref="I12:I13"/>
    <mergeCell ref="K12:K13"/>
    <mergeCell ref="AB10:AB11"/>
    <mergeCell ref="C1:M2"/>
    <mergeCell ref="P2:R2"/>
    <mergeCell ref="P3:R3"/>
    <mergeCell ref="P4:R4"/>
    <mergeCell ref="C6:I6"/>
    <mergeCell ref="J6:J41"/>
    <mergeCell ref="D7:E7"/>
    <mergeCell ref="F7:G7"/>
    <mergeCell ref="C8:C9"/>
    <mergeCell ref="D8:D9"/>
    <mergeCell ref="C10:C11"/>
    <mergeCell ref="D10:D11"/>
    <mergeCell ref="F10:F11"/>
    <mergeCell ref="H10:H11"/>
    <mergeCell ref="I10:I11"/>
    <mergeCell ref="K10:K11"/>
    <mergeCell ref="L12:L13"/>
    <mergeCell ref="C16:C17"/>
    <mergeCell ref="D16:D17"/>
    <mergeCell ref="F16:F17"/>
    <mergeCell ref="H16:H17"/>
    <mergeCell ref="I16:I17"/>
    <mergeCell ref="C14:C15"/>
    <mergeCell ref="D14:D15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B1:E10"/>
  <sheetViews>
    <sheetView showGridLines="0" workbookViewId="0">
      <selection activeCell="E8" sqref="E8"/>
    </sheetView>
  </sheetViews>
  <sheetFormatPr defaultRowHeight="15"/>
  <cols>
    <col min="1" max="1" width="1.140625" customWidth="1"/>
    <col min="2" max="2" width="64.42578125" customWidth="1"/>
    <col min="3" max="3" width="1.5703125" customWidth="1"/>
    <col min="4" max="4" width="5.5703125" customWidth="1"/>
    <col min="5" max="5" width="16" customWidth="1"/>
  </cols>
  <sheetData>
    <row r="1" spans="2:5">
      <c r="B1" s="68" t="s">
        <v>59</v>
      </c>
      <c r="C1" s="69"/>
      <c r="D1" s="74"/>
      <c r="E1" s="74"/>
    </row>
    <row r="2" spans="2:5">
      <c r="B2" s="68" t="s">
        <v>60</v>
      </c>
      <c r="C2" s="69"/>
      <c r="D2" s="74"/>
      <c r="E2" s="74"/>
    </row>
    <row r="3" spans="2:5">
      <c r="B3" s="70"/>
      <c r="C3" s="70"/>
      <c r="D3" s="75"/>
      <c r="E3" s="75"/>
    </row>
    <row r="4" spans="2:5" ht="60">
      <c r="B4" s="71" t="s">
        <v>61</v>
      </c>
      <c r="C4" s="70"/>
      <c r="D4" s="75"/>
      <c r="E4" s="75"/>
    </row>
    <row r="5" spans="2:5">
      <c r="B5" s="70"/>
      <c r="C5" s="70"/>
      <c r="D5" s="75"/>
      <c r="E5" s="75"/>
    </row>
    <row r="6" spans="2:5" ht="30">
      <c r="B6" s="68" t="s">
        <v>62</v>
      </c>
      <c r="C6" s="69"/>
      <c r="D6" s="74"/>
      <c r="E6" s="76" t="s">
        <v>63</v>
      </c>
    </row>
    <row r="7" spans="2:5" ht="15.75" thickBot="1">
      <c r="B7" s="70"/>
      <c r="C7" s="70"/>
      <c r="D7" s="75"/>
      <c r="E7" s="75"/>
    </row>
    <row r="8" spans="2:5" ht="45.75" thickBot="1">
      <c r="B8" s="72" t="s">
        <v>64</v>
      </c>
      <c r="C8" s="73"/>
      <c r="D8" s="77"/>
      <c r="E8" s="78">
        <v>22</v>
      </c>
    </row>
    <row r="9" spans="2:5">
      <c r="B9" s="70"/>
      <c r="C9" s="70"/>
      <c r="D9" s="75"/>
      <c r="E9" s="75"/>
    </row>
    <row r="10" spans="2:5">
      <c r="B10" s="70"/>
      <c r="C10" s="70"/>
      <c r="D10" s="75"/>
      <c r="E10" s="7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Fresnel</vt:lpstr>
      <vt:lpstr>Fresnel desviado à Doppler</vt:lpstr>
      <vt:lpstr>Relatório de Compatibilidade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Nuno Dias</dc:creator>
  <cp:lastModifiedBy>João Martins</cp:lastModifiedBy>
  <dcterms:created xsi:type="dcterms:W3CDTF">2010-05-05T08:16:51Z</dcterms:created>
  <dcterms:modified xsi:type="dcterms:W3CDTF">2010-05-26T10:40:47Z</dcterms:modified>
</cp:coreProperties>
</file>