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33" i="1" l="1"/>
  <c r="E21" i="1" l="1"/>
  <c r="G22" i="1" l="1"/>
  <c r="G23" i="1"/>
  <c r="G24" i="1"/>
  <c r="G25" i="1"/>
  <c r="G26" i="1"/>
  <c r="G27" i="1"/>
  <c r="G28" i="1"/>
  <c r="G29" i="1"/>
  <c r="G21" i="1"/>
  <c r="F22" i="1"/>
  <c r="F23" i="1"/>
  <c r="F24" i="1"/>
  <c r="F25" i="1"/>
  <c r="F26" i="1"/>
  <c r="F27" i="1"/>
  <c r="F28" i="1"/>
  <c r="F29" i="1"/>
  <c r="F21" i="1"/>
  <c r="E22" i="1"/>
  <c r="E23" i="1"/>
  <c r="E24" i="1"/>
  <c r="E25" i="1"/>
  <c r="E26" i="1"/>
  <c r="E27" i="1"/>
  <c r="E28" i="1"/>
  <c r="E29" i="1"/>
  <c r="C22" i="1"/>
  <c r="C23" i="1"/>
  <c r="C24" i="1"/>
  <c r="C25" i="1"/>
  <c r="C26" i="1"/>
  <c r="C27" i="1"/>
  <c r="C28" i="1"/>
  <c r="C29" i="1"/>
  <c r="C21" i="1"/>
  <c r="B22" i="1"/>
  <c r="B23" i="1"/>
  <c r="B24" i="1"/>
  <c r="B25" i="1"/>
  <c r="B26" i="1"/>
  <c r="B27" i="1"/>
  <c r="B28" i="1"/>
  <c r="B29" i="1"/>
  <c r="B21" i="1"/>
  <c r="O29" i="1"/>
  <c r="O30" i="1"/>
  <c r="N30" i="1"/>
  <c r="N19" i="1"/>
  <c r="T22" i="1"/>
  <c r="Z15" i="1"/>
  <c r="X34" i="1" l="1"/>
  <c r="X35" i="1"/>
  <c r="X36" i="1"/>
  <c r="X37" i="1"/>
  <c r="X38" i="1"/>
  <c r="X39" i="1"/>
  <c r="X40" i="1"/>
  <c r="X41" i="1"/>
  <c r="W34" i="1"/>
  <c r="W35" i="1"/>
  <c r="W36" i="1"/>
  <c r="W37" i="1"/>
  <c r="W38" i="1"/>
  <c r="W39" i="1"/>
  <c r="W40" i="1"/>
  <c r="W41" i="1"/>
  <c r="X33" i="1"/>
  <c r="P44" i="1"/>
  <c r="P45" i="1"/>
  <c r="P46" i="1"/>
  <c r="P47" i="1"/>
  <c r="P48" i="1"/>
  <c r="P49" i="1"/>
  <c r="P50" i="1"/>
  <c r="P51" i="1"/>
  <c r="P43" i="1"/>
  <c r="T44" i="1"/>
  <c r="T45" i="1"/>
  <c r="T46" i="1"/>
  <c r="T47" i="1"/>
  <c r="T48" i="1"/>
  <c r="T49" i="1"/>
  <c r="T50" i="1"/>
  <c r="T51" i="1"/>
  <c r="T43" i="1"/>
  <c r="S44" i="1"/>
  <c r="S45" i="1"/>
  <c r="S46" i="1"/>
  <c r="S47" i="1"/>
  <c r="S48" i="1"/>
  <c r="S49" i="1"/>
  <c r="S50" i="1"/>
  <c r="S51" i="1"/>
  <c r="S43" i="1"/>
  <c r="O44" i="1"/>
  <c r="O45" i="1"/>
  <c r="O46" i="1"/>
  <c r="O47" i="1"/>
  <c r="O48" i="1"/>
  <c r="O49" i="1"/>
  <c r="O50" i="1"/>
  <c r="O51" i="1"/>
  <c r="O43" i="1"/>
  <c r="Q20" i="1"/>
  <c r="Q21" i="1"/>
  <c r="Q22" i="1"/>
  <c r="Q23" i="1"/>
  <c r="Q24" i="1"/>
  <c r="Q25" i="1"/>
  <c r="Q26" i="1"/>
  <c r="Q27" i="1"/>
  <c r="Q19" i="1"/>
  <c r="O20" i="1"/>
  <c r="O21" i="1"/>
  <c r="O22" i="1"/>
  <c r="O23" i="1"/>
  <c r="O24" i="1"/>
  <c r="O25" i="1"/>
  <c r="O26" i="1"/>
  <c r="O27" i="1"/>
  <c r="O19" i="1"/>
  <c r="H27" i="1"/>
  <c r="H20" i="1"/>
  <c r="H21" i="1"/>
  <c r="H22" i="1"/>
  <c r="H23" i="1"/>
  <c r="H24" i="1"/>
  <c r="H25" i="1"/>
  <c r="H26" i="1"/>
  <c r="H19" i="1"/>
  <c r="P19" i="1"/>
  <c r="P20" i="1"/>
  <c r="P21" i="1"/>
  <c r="P22" i="1"/>
  <c r="P23" i="1"/>
  <c r="P24" i="1"/>
  <c r="P25" i="1"/>
  <c r="P26" i="1"/>
  <c r="P27" i="1"/>
  <c r="U18" i="1"/>
  <c r="N27" i="1"/>
  <c r="N20" i="1"/>
  <c r="N21" i="1"/>
  <c r="N22" i="1"/>
  <c r="N23" i="1"/>
  <c r="N24" i="1"/>
  <c r="N25" i="1"/>
  <c r="N26" i="1"/>
  <c r="N29" i="1"/>
  <c r="T18" i="1"/>
  <c r="R6" i="1" l="1"/>
  <c r="R7" i="1"/>
  <c r="R8" i="1"/>
  <c r="R9" i="1"/>
  <c r="R10" i="1"/>
  <c r="R11" i="1"/>
  <c r="R12" i="1"/>
  <c r="R13" i="1"/>
  <c r="R5" i="1"/>
  <c r="Z5" i="1" s="1"/>
  <c r="AA5" i="1" s="1"/>
  <c r="X6" i="1"/>
  <c r="X7" i="1"/>
  <c r="X8" i="1"/>
  <c r="X9" i="1"/>
  <c r="X10" i="1"/>
  <c r="X11" i="1"/>
  <c r="X12" i="1"/>
  <c r="X13" i="1"/>
  <c r="X5" i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Q5" i="1"/>
  <c r="V5" i="1"/>
  <c r="U5" i="1"/>
  <c r="T5" i="1"/>
  <c r="S6" i="1"/>
  <c r="S7" i="1"/>
  <c r="S8" i="1"/>
  <c r="S9" i="1"/>
  <c r="S10" i="1"/>
  <c r="S11" i="1"/>
  <c r="S12" i="1"/>
  <c r="S13" i="1"/>
  <c r="W6" i="1"/>
  <c r="W7" i="1"/>
  <c r="W8" i="1"/>
  <c r="W9" i="1"/>
  <c r="W10" i="1"/>
  <c r="W11" i="1"/>
  <c r="W12" i="1"/>
  <c r="W13" i="1"/>
  <c r="V6" i="1"/>
  <c r="V7" i="1"/>
  <c r="V8" i="1"/>
  <c r="V9" i="1"/>
  <c r="V10" i="1"/>
  <c r="V11" i="1"/>
  <c r="V12" i="1"/>
  <c r="V13" i="1"/>
  <c r="W5" i="1"/>
  <c r="U6" i="1"/>
  <c r="U7" i="1"/>
  <c r="U8" i="1"/>
  <c r="U9" i="1"/>
  <c r="U10" i="1"/>
  <c r="U11" i="1"/>
  <c r="U12" i="1"/>
  <c r="U13" i="1"/>
  <c r="T6" i="1"/>
  <c r="T7" i="1"/>
  <c r="T8" i="1"/>
  <c r="T9" i="1"/>
  <c r="T10" i="1"/>
  <c r="T11" i="1"/>
  <c r="T12" i="1"/>
  <c r="T13" i="1"/>
  <c r="O5" i="1"/>
  <c r="Y5" i="1"/>
  <c r="N5" i="1"/>
  <c r="S5" i="1" l="1"/>
  <c r="Y15" i="1"/>
  <c r="Y6" i="1"/>
  <c r="Y7" i="1"/>
  <c r="Y8" i="1"/>
  <c r="Y9" i="1"/>
  <c r="Y10" i="1"/>
  <c r="Y11" i="1"/>
  <c r="Y12" i="1"/>
  <c r="Y13" i="1"/>
  <c r="K5" i="1" l="1"/>
  <c r="K6" i="1" l="1"/>
  <c r="K7" i="1"/>
  <c r="K8" i="1"/>
  <c r="K9" i="1"/>
  <c r="K10" i="1"/>
  <c r="K11" i="1"/>
  <c r="K12" i="1"/>
  <c r="K13" i="1"/>
  <c r="H6" i="1"/>
  <c r="H7" i="1"/>
  <c r="H8" i="1"/>
  <c r="H9" i="1"/>
  <c r="H10" i="1"/>
  <c r="H11" i="1"/>
  <c r="H12" i="1"/>
  <c r="H13" i="1"/>
  <c r="H5" i="1"/>
  <c r="L5" i="1" s="1"/>
  <c r="M5" i="1" s="1"/>
  <c r="B6" i="1"/>
  <c r="B7" i="1"/>
  <c r="B8" i="1"/>
  <c r="B9" i="1"/>
  <c r="B10" i="1"/>
  <c r="B11" i="1"/>
  <c r="B12" i="1"/>
  <c r="B13" i="1"/>
  <c r="B5" i="1"/>
  <c r="Q13" i="1" l="1"/>
  <c r="L13" i="1"/>
  <c r="M13" i="1" s="1"/>
  <c r="N13" i="1"/>
  <c r="Q9" i="1"/>
  <c r="N9" i="1"/>
  <c r="L9" i="1"/>
  <c r="M9" i="1" s="1"/>
  <c r="Q12" i="1"/>
  <c r="L12" i="1"/>
  <c r="M12" i="1" s="1"/>
  <c r="O12" i="1"/>
  <c r="P12" i="1" s="1"/>
  <c r="N12" i="1"/>
  <c r="Q10" i="1"/>
  <c r="L10" i="1"/>
  <c r="M10" i="1" s="1"/>
  <c r="O10" i="1"/>
  <c r="P10" i="1" s="1"/>
  <c r="N10" i="1"/>
  <c r="Q8" i="1"/>
  <c r="L8" i="1"/>
  <c r="M8" i="1" s="1"/>
  <c r="N8" i="1"/>
  <c r="Q6" i="1"/>
  <c r="L6" i="1"/>
  <c r="M6" i="1" s="1"/>
  <c r="N6" i="1"/>
  <c r="P5" i="1"/>
  <c r="Q11" i="1"/>
  <c r="O11" i="1"/>
  <c r="L11" i="1"/>
  <c r="M11" i="1" s="1"/>
  <c r="N11" i="1"/>
  <c r="Q7" i="1"/>
  <c r="O7" i="1"/>
  <c r="L7" i="1"/>
  <c r="M7" i="1" s="1"/>
  <c r="N7" i="1"/>
  <c r="Q15" i="1" l="1"/>
  <c r="O6" i="1"/>
  <c r="P6" i="1" s="1"/>
  <c r="O8" i="1"/>
  <c r="P8" i="1" s="1"/>
  <c r="O9" i="1"/>
  <c r="P9" i="1" s="1"/>
  <c r="O13" i="1"/>
  <c r="P13" i="1" s="1"/>
  <c r="P7" i="1"/>
  <c r="P11" i="1"/>
</calcChain>
</file>

<file path=xl/sharedStrings.xml><?xml version="1.0" encoding="utf-8"?>
<sst xmlns="http://schemas.openxmlformats.org/spreadsheetml/2006/main" count="101" uniqueCount="50">
  <si>
    <t>f(Hz)</t>
  </si>
  <si>
    <t>e_f(Hz)</t>
  </si>
  <si>
    <r>
      <t>R1 (</t>
    </r>
    <r>
      <rPr>
        <sz val="11"/>
        <color theme="1"/>
        <rFont val="Calibri"/>
        <family val="2"/>
      </rPr>
      <t>Ω)</t>
    </r>
  </si>
  <si>
    <r>
      <t>e_R1 (</t>
    </r>
    <r>
      <rPr>
        <sz val="11"/>
        <color theme="1"/>
        <rFont val="Calibri"/>
        <family val="2"/>
      </rPr>
      <t>Ω)</t>
    </r>
  </si>
  <si>
    <t>&lt;Uef_1*Uef_2&gt;</t>
  </si>
  <si>
    <t>e_&lt;Uef_1*Uef_2&gt;</t>
  </si>
  <si>
    <t>Uef_1 (V) (gerador)</t>
  </si>
  <si>
    <t>Uef_2 (V) (condensador)</t>
  </si>
  <si>
    <t>e_Uef_2 (V)</t>
  </si>
  <si>
    <t>e_Uef_1 (V)</t>
  </si>
  <si>
    <t>(%)</t>
  </si>
  <si>
    <t>R_ponta de prova</t>
  </si>
  <si>
    <t>%</t>
  </si>
  <si>
    <t xml:space="preserve">bg </t>
  </si>
  <si>
    <t>C</t>
  </si>
  <si>
    <t>Capacidade</t>
  </si>
  <si>
    <t>e_C</t>
  </si>
  <si>
    <t>Ceq1</t>
  </si>
  <si>
    <t>C_ponta de prova</t>
  </si>
  <si>
    <r>
      <t>Req (</t>
    </r>
    <r>
      <rPr>
        <sz val="11"/>
        <color theme="1"/>
        <rFont val="Calibri"/>
        <family val="2"/>
      </rPr>
      <t>Ω)</t>
    </r>
  </si>
  <si>
    <t>Rcondensador</t>
  </si>
  <si>
    <t>e_Rcondensador</t>
  </si>
  <si>
    <r>
      <t>e_Req(</t>
    </r>
    <r>
      <rPr>
        <sz val="11"/>
        <color theme="1"/>
        <rFont val="Calibri"/>
        <family val="2"/>
      </rPr>
      <t>Ω)</t>
    </r>
  </si>
  <si>
    <t>dC/dR1</t>
  </si>
  <si>
    <t>dC/dU2</t>
  </si>
  <si>
    <t>dC/dU1</t>
  </si>
  <si>
    <t>dC/dReq</t>
  </si>
  <si>
    <t>dC/dW</t>
  </si>
  <si>
    <t>O erro do C depende mais da frequencia</t>
  </si>
  <si>
    <t>εR</t>
  </si>
  <si>
    <t>εI</t>
  </si>
  <si>
    <t>d</t>
  </si>
  <si>
    <t>S</t>
  </si>
  <si>
    <t>e</t>
  </si>
  <si>
    <t>Ln(2*Pi*f)</t>
  </si>
  <si>
    <t>ln(2*Pi*f)</t>
  </si>
  <si>
    <t>e_C/C</t>
  </si>
  <si>
    <t>e_R/R</t>
  </si>
  <si>
    <t>e_εR</t>
  </si>
  <si>
    <t>e_εI</t>
  </si>
  <si>
    <t>R</t>
  </si>
  <si>
    <r>
      <t>tg(</t>
    </r>
    <r>
      <rPr>
        <sz val="11"/>
        <color theme="1"/>
        <rFont val="Calibri"/>
        <family val="2"/>
      </rPr>
      <t>δ)</t>
    </r>
  </si>
  <si>
    <t>ln(2*pi*f)</t>
  </si>
  <si>
    <t>f</t>
  </si>
  <si>
    <t>declive</t>
  </si>
  <si>
    <t>δ rad</t>
  </si>
  <si>
    <t>δ degree</t>
  </si>
  <si>
    <t>Angulos de perdas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</si>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</sst>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E+00"/>
    <numFmt numFmtId="167" formatCode="0E+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1" fontId="0" fillId="2" borderId="1" xfId="0" applyNumberFormat="1" applyFill="1" applyBorder="1"/>
    <xf numFmtId="166" fontId="0" fillId="0" borderId="1" xfId="0" applyNumberFormat="1" applyBorder="1"/>
    <xf numFmtId="9" fontId="0" fillId="0" borderId="1" xfId="1" applyFont="1" applyBorder="1"/>
    <xf numFmtId="11" fontId="0" fillId="4" borderId="1" xfId="0" applyNumberFormat="1" applyFill="1" applyBorder="1"/>
    <xf numFmtId="0" fontId="0" fillId="4" borderId="0" xfId="0" applyFill="1"/>
    <xf numFmtId="0" fontId="3" fillId="5" borderId="1" xfId="0" applyFont="1" applyFill="1" applyBorder="1"/>
    <xf numFmtId="164" fontId="3" fillId="5" borderId="1" xfId="0" applyNumberFormat="1" applyFont="1" applyFill="1" applyBorder="1"/>
    <xf numFmtId="11" fontId="3" fillId="5" borderId="1" xfId="0" applyNumberFormat="1" applyFont="1" applyFill="1" applyBorder="1"/>
    <xf numFmtId="166" fontId="3" fillId="5" borderId="1" xfId="0" applyNumberFormat="1" applyFont="1" applyFill="1" applyBorder="1"/>
    <xf numFmtId="9" fontId="3" fillId="5" borderId="1" xfId="1" applyFont="1" applyFill="1" applyBorder="1"/>
    <xf numFmtId="11" fontId="0" fillId="0" borderId="1" xfId="0" applyNumberFormat="1" applyBorder="1"/>
    <xf numFmtId="9" fontId="0" fillId="0" borderId="0" xfId="1" applyFont="1"/>
    <xf numFmtId="0" fontId="3" fillId="5" borderId="0" xfId="0" applyFont="1" applyFill="1"/>
    <xf numFmtId="0" fontId="3" fillId="6" borderId="0" xfId="0" applyFont="1" applyFill="1"/>
    <xf numFmtId="0" fontId="0" fillId="5" borderId="0" xfId="0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5" borderId="0" xfId="0" applyNumberFormat="1" applyFill="1"/>
    <xf numFmtId="166" fontId="0" fillId="5" borderId="0" xfId="0" applyNumberFormat="1" applyFill="1"/>
    <xf numFmtId="11" fontId="0" fillId="5" borderId="0" xfId="0" applyNumberFormat="1" applyFill="1"/>
    <xf numFmtId="0" fontId="0" fillId="7" borderId="1" xfId="0" applyFill="1" applyBorder="1"/>
    <xf numFmtId="0" fontId="1" fillId="7" borderId="1" xfId="0" applyFont="1" applyFill="1" applyBorder="1"/>
    <xf numFmtId="2" fontId="0" fillId="7" borderId="1" xfId="0" applyNumberFormat="1" applyFill="1" applyBorder="1"/>
    <xf numFmtId="11" fontId="0" fillId="7" borderId="1" xfId="0" applyNumberFormat="1" applyFill="1" applyBorder="1"/>
    <xf numFmtId="164" fontId="0" fillId="7" borderId="1" xfId="0" applyNumberFormat="1" applyFill="1" applyBorder="1"/>
    <xf numFmtId="168" fontId="0" fillId="7" borderId="1" xfId="0" applyNumberFormat="1" applyFill="1" applyBorder="1"/>
    <xf numFmtId="0" fontId="1" fillId="8" borderId="1" xfId="0" applyFont="1" applyFill="1" applyBorder="1"/>
    <xf numFmtId="0" fontId="0" fillId="8" borderId="1" xfId="0" applyFill="1" applyBorder="1"/>
    <xf numFmtId="11" fontId="0" fillId="8" borderId="1" xfId="0" applyNumberFormat="1" applyFill="1" applyBorder="1"/>
    <xf numFmtId="166" fontId="0" fillId="8" borderId="1" xfId="0" applyNumberFormat="1" applyFill="1" applyBorder="1"/>
    <xf numFmtId="167" fontId="0" fillId="8" borderId="1" xfId="0" applyNumberFormat="1" applyFill="1" applyBorder="1"/>
    <xf numFmtId="0" fontId="0" fillId="9" borderId="0" xfId="0" applyFill="1"/>
    <xf numFmtId="11" fontId="0" fillId="9" borderId="0" xfId="0" applyNumberFormat="1" applyFill="1"/>
    <xf numFmtId="1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1A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1"/>
  <sheetViews>
    <sheetView tabSelected="1" topLeftCell="K1" workbookViewId="0">
      <selection activeCell="V39" sqref="V39:X39"/>
    </sheetView>
  </sheetViews>
  <sheetFormatPr defaultRowHeight="15" x14ac:dyDescent="0.25"/>
  <cols>
    <col min="3" max="3" width="17.28515625" customWidth="1"/>
    <col min="4" max="4" width="10.5703125" customWidth="1"/>
    <col min="5" max="5" width="23" customWidth="1"/>
    <col min="6" max="6" width="10.28515625" customWidth="1"/>
    <col min="7" max="7" width="15" customWidth="1"/>
    <col min="8" max="8" width="16.28515625" customWidth="1"/>
    <col min="9" max="9" width="14.7109375" customWidth="1"/>
    <col min="10" max="10" width="9.5703125" bestFit="1" customWidth="1"/>
    <col min="11" max="11" width="10.5703125" bestFit="1" customWidth="1"/>
    <col min="12" max="12" width="9.5703125" bestFit="1" customWidth="1"/>
    <col min="14" max="14" width="14.28515625" customWidth="1"/>
    <col min="16" max="16" width="13.5703125" customWidth="1"/>
    <col min="19" max="19" width="10" bestFit="1" customWidth="1"/>
    <col min="20" max="20" width="9.28515625" bestFit="1" customWidth="1"/>
  </cols>
  <sheetData>
    <row r="2" spans="1:27" x14ac:dyDescent="0.25">
      <c r="P2" t="s">
        <v>13</v>
      </c>
    </row>
    <row r="4" spans="1:27" x14ac:dyDescent="0.25">
      <c r="A4" t="s">
        <v>0</v>
      </c>
      <c r="B4" t="s">
        <v>1</v>
      </c>
      <c r="C4" t="s">
        <v>6</v>
      </c>
      <c r="D4" t="s">
        <v>9</v>
      </c>
      <c r="E4" t="s">
        <v>7</v>
      </c>
      <c r="F4" t="s">
        <v>8</v>
      </c>
      <c r="G4" t="s">
        <v>4</v>
      </c>
      <c r="H4" t="s">
        <v>5</v>
      </c>
      <c r="I4" t="s">
        <v>2</v>
      </c>
      <c r="J4" t="s">
        <v>3</v>
      </c>
      <c r="K4" s="2" t="s">
        <v>19</v>
      </c>
      <c r="L4" t="s">
        <v>22</v>
      </c>
      <c r="M4" t="s">
        <v>10</v>
      </c>
      <c r="N4" s="11" t="s">
        <v>20</v>
      </c>
      <c r="O4" t="s">
        <v>21</v>
      </c>
      <c r="P4" t="s">
        <v>12</v>
      </c>
      <c r="Q4" s="2" t="s">
        <v>17</v>
      </c>
      <c r="R4" t="s">
        <v>16</v>
      </c>
      <c r="S4" t="s">
        <v>12</v>
      </c>
      <c r="T4" s="17" t="s">
        <v>23</v>
      </c>
      <c r="U4" t="s">
        <v>24</v>
      </c>
      <c r="V4" t="s">
        <v>25</v>
      </c>
      <c r="W4" t="s">
        <v>26</v>
      </c>
      <c r="X4" t="s">
        <v>27</v>
      </c>
      <c r="Y4" s="11" t="s">
        <v>14</v>
      </c>
      <c r="Z4" t="s">
        <v>16</v>
      </c>
      <c r="AA4" t="s">
        <v>12</v>
      </c>
    </row>
    <row r="5" spans="1:27" x14ac:dyDescent="0.25">
      <c r="A5" s="3">
        <v>2000</v>
      </c>
      <c r="B5" s="3">
        <f>A5*0.05</f>
        <v>100</v>
      </c>
      <c r="C5" s="3">
        <v>5.37</v>
      </c>
      <c r="D5" s="3">
        <v>0.01</v>
      </c>
      <c r="E5" s="3">
        <v>2.67</v>
      </c>
      <c r="F5" s="3">
        <v>0.01</v>
      </c>
      <c r="G5" s="3">
        <v>7.3150000000000004</v>
      </c>
      <c r="H5" s="4">
        <f>(C5+E5)*F5</f>
        <v>8.0399999999999999E-2</v>
      </c>
      <c r="I5" s="3">
        <v>27200</v>
      </c>
      <c r="J5" s="3">
        <v>100</v>
      </c>
      <c r="K5" s="7">
        <f>E5*E5*I5/(G5-E5*E5)</f>
        <v>1041945.6206340643</v>
      </c>
      <c r="L5" s="8">
        <f>(2*K5/E5-2*K5*K5/(E5*I5))*F5+(K5*K5/(E5*E5*I5))*H5+K5/I5*J5</f>
        <v>162804.41567501143</v>
      </c>
      <c r="M5" s="9">
        <f>L5/K5</f>
        <v>0.15625039584689518</v>
      </c>
      <c r="N5" s="10">
        <f>-K5*D$16/(K5-D$16)</f>
        <v>-24840391.079775646</v>
      </c>
      <c r="O5" s="8">
        <f>(D$16*D$16/(K5-D$16)^2)*L5</f>
        <v>92532209.096808136</v>
      </c>
      <c r="P5" s="9">
        <f>O5/N5</f>
        <v>-3.7250705433597333</v>
      </c>
      <c r="Q5" s="7">
        <f>(1/(2*PI()*A5*I5))*SQRT((C5/E5)^2-(1+I5/K5)^2)</f>
        <v>5.0607511975510399E-9</v>
      </c>
      <c r="R5" s="17">
        <f>(T5+U5+V5+W5)/(Q5*I5^2*(2*PI()*A5)^2)+X5</f>
        <v>2.6262761363583299E-10</v>
      </c>
      <c r="S5" s="9">
        <f>R5/Q5</f>
        <v>5.1894986215272103E-2</v>
      </c>
      <c r="T5" s="17">
        <f>(((I5/K5)+1)/K5)*J5</f>
        <v>9.8479708428884081E-5</v>
      </c>
      <c r="U5" s="17">
        <f>(E5/(C5^2))*F5</f>
        <v>9.2589702776650759E-4</v>
      </c>
      <c r="V5" s="17">
        <f>((E5^2)/(C5^3))*D5</f>
        <v>4.6036220933641991E-4</v>
      </c>
      <c r="W5" s="17">
        <f>(I5/K5+1)*(I5/K5^2)*L5</f>
        <v>4.1853982115727896E-3</v>
      </c>
      <c r="X5" s="17">
        <f>Q5*B5/A5</f>
        <v>2.5303755987755201E-10</v>
      </c>
      <c r="Y5" s="10">
        <f>Q5-D$17</f>
        <v>4.9407511975510403E-9</v>
      </c>
      <c r="Z5" s="1">
        <f>R5</f>
        <v>2.6262761363583299E-10</v>
      </c>
      <c r="AA5" s="18">
        <f>Z5/Y5</f>
        <v>5.3155401503724463E-2</v>
      </c>
    </row>
    <row r="6" spans="1:27" x14ac:dyDescent="0.25">
      <c r="A6" s="3">
        <v>5000</v>
      </c>
      <c r="B6" s="3">
        <f t="shared" ref="B6:B13" si="0">A6*0.05</f>
        <v>250</v>
      </c>
      <c r="C6" s="3">
        <v>5.36</v>
      </c>
      <c r="D6" s="3">
        <v>0.01</v>
      </c>
      <c r="E6" s="3">
        <v>2.67</v>
      </c>
      <c r="F6" s="3">
        <v>0.01</v>
      </c>
      <c r="G6" s="3">
        <v>7.1870000000000003</v>
      </c>
      <c r="H6" s="4">
        <f t="shared" ref="H6:H13" si="1">(C6+E6)*F6</f>
        <v>8.030000000000001E-2</v>
      </c>
      <c r="I6" s="3">
        <v>10850</v>
      </c>
      <c r="J6" s="3">
        <v>100</v>
      </c>
      <c r="K6" s="7">
        <f t="shared" ref="K6:K13" si="2">E6*E6*I6/(G6-E6*E6)</f>
        <v>1331300.6024096275</v>
      </c>
      <c r="L6" s="8">
        <f t="shared" ref="L6:L13" si="3">(2*K6/E6-2*K6*K6/(E6*I6))*F6+(K6*K6/(E6*E6*I6))*H6+K6/I6*J6</f>
        <v>638627.64552183624</v>
      </c>
      <c r="M6" s="9">
        <f t="shared" ref="M6:M13" si="4">L6/K6</f>
        <v>0.47970206305467972</v>
      </c>
      <c r="N6" s="10">
        <f t="shared" ref="N6:N13" si="5">-K6*D$16/(K6-D$16)</f>
        <v>-4018406.8266908173</v>
      </c>
      <c r="O6" s="8">
        <f t="shared" ref="O6:O13" si="6">(D$16*D$16/(K6-D$16)^2)*L6</f>
        <v>5818395.8342859251</v>
      </c>
      <c r="P6" s="9">
        <f t="shared" ref="P6:P13" si="7">O6/N6</f>
        <v>-1.4479359819019146</v>
      </c>
      <c r="Q6" s="7">
        <f t="shared" ref="Q6:Q13" si="8">(1/(2*PI()*A6*I6))*SQRT((C6/E6)^2-(1+I6/K6)^2)</f>
        <v>5.0929213257223461E-9</v>
      </c>
      <c r="R6" s="17">
        <f t="shared" ref="R6:R13" si="9">(T6+U6+V6+W6)/(Q6*I6^2*(2*PI()*A6)^2)+X6</f>
        <v>2.6378772092047377E-10</v>
      </c>
      <c r="S6" s="9">
        <f t="shared" ref="S6:S13" si="10">R6/Q6</f>
        <v>5.1794972678683562E-2</v>
      </c>
      <c r="T6" s="17">
        <f t="shared" ref="T6:T13" si="11">(((I6/K6)+1)/K6)*J6</f>
        <v>7.5726693365016714E-5</v>
      </c>
      <c r="U6" s="17">
        <f t="shared" ref="U6:U13" si="12">(E6/(C6^2))*F6</f>
        <v>9.2935509022053892E-4</v>
      </c>
      <c r="V6" s="17">
        <f t="shared" ref="V6:V13" si="13">((E6^2)/(C6^3))*D6</f>
        <v>4.6294367367329082E-4</v>
      </c>
      <c r="W6" s="17">
        <f t="shared" ref="W6:W13" si="14">(I6/K6+1)*(I6/K6^2)*L6</f>
        <v>3.941398237352579E-3</v>
      </c>
      <c r="X6" s="17">
        <f t="shared" ref="X6:X13" si="15">Q6*B6/A6</f>
        <v>2.5464606628611731E-10</v>
      </c>
      <c r="Y6" s="10">
        <f t="shared" ref="Y6:Y13" si="16">Q6-D$17</f>
        <v>4.9729213257223465E-9</v>
      </c>
      <c r="Z6" s="1">
        <f t="shared" ref="Z6:Z13" si="17">R6</f>
        <v>2.6378772092047377E-10</v>
      </c>
      <c r="AA6" s="18">
        <f t="shared" ref="AA6:AA13" si="18">Z6/Y6</f>
        <v>5.3044820869382447E-2</v>
      </c>
    </row>
    <row r="7" spans="1:27" x14ac:dyDescent="0.25">
      <c r="A7" s="3">
        <v>10000</v>
      </c>
      <c r="B7" s="3">
        <f t="shared" si="0"/>
        <v>500</v>
      </c>
      <c r="C7" s="3">
        <v>5.34</v>
      </c>
      <c r="D7" s="3">
        <v>0.01</v>
      </c>
      <c r="E7" s="3">
        <v>2.66</v>
      </c>
      <c r="F7" s="3">
        <v>0.01</v>
      </c>
      <c r="G7" s="3">
        <v>7.1260000000000003</v>
      </c>
      <c r="H7" s="4">
        <f t="shared" si="1"/>
        <v>0.08</v>
      </c>
      <c r="I7" s="3">
        <v>5442</v>
      </c>
      <c r="J7" s="3">
        <v>10</v>
      </c>
      <c r="K7" s="7">
        <f t="shared" si="2"/>
        <v>763996.33333333675</v>
      </c>
      <c r="L7" s="8">
        <f t="shared" si="3"/>
        <v>413400.2407407444</v>
      </c>
      <c r="M7" s="9">
        <f t="shared" si="4"/>
        <v>0.54110238845920622</v>
      </c>
      <c r="N7" s="10">
        <f t="shared" si="5"/>
        <v>3237222.3030433757</v>
      </c>
      <c r="O7" s="8">
        <f t="shared" si="6"/>
        <v>7422209.7685638014</v>
      </c>
      <c r="P7" s="9">
        <f t="shared" si="7"/>
        <v>2.2927711086093896</v>
      </c>
      <c r="Q7" s="7">
        <f t="shared" si="8"/>
        <v>5.0788498220973728E-9</v>
      </c>
      <c r="R7" s="17">
        <f t="shared" si="9"/>
        <v>2.6285527397931951E-10</v>
      </c>
      <c r="S7" s="9">
        <f t="shared" si="10"/>
        <v>5.1754882145889129E-2</v>
      </c>
      <c r="T7" s="17">
        <f t="shared" si="11"/>
        <v>1.3182302412903957E-5</v>
      </c>
      <c r="U7" s="17">
        <f t="shared" si="12"/>
        <v>9.3282273562541207E-4</v>
      </c>
      <c r="V7" s="17">
        <f t="shared" si="13"/>
        <v>4.646645087572278E-4</v>
      </c>
      <c r="W7" s="17">
        <f t="shared" si="14"/>
        <v>3.8817651696957584E-3</v>
      </c>
      <c r="X7" s="17">
        <f t="shared" si="15"/>
        <v>2.5394249110486864E-10</v>
      </c>
      <c r="Y7" s="10">
        <f t="shared" si="16"/>
        <v>4.9588498220973724E-9</v>
      </c>
      <c r="Z7" s="1">
        <f t="shared" si="17"/>
        <v>2.6285527397931951E-10</v>
      </c>
      <c r="AA7" s="18">
        <f t="shared" si="18"/>
        <v>5.3007306816995607E-2</v>
      </c>
    </row>
    <row r="8" spans="1:27" x14ac:dyDescent="0.25">
      <c r="A8" s="3">
        <v>20000</v>
      </c>
      <c r="B8" s="3">
        <f t="shared" si="0"/>
        <v>1000</v>
      </c>
      <c r="C8" s="3">
        <v>5.31</v>
      </c>
      <c r="D8" s="3">
        <v>0.01</v>
      </c>
      <c r="E8" s="3">
        <v>2.65</v>
      </c>
      <c r="F8" s="3">
        <v>0.01</v>
      </c>
      <c r="G8" s="3">
        <v>7.1398000000000001</v>
      </c>
      <c r="H8" s="5">
        <f t="shared" si="1"/>
        <v>7.959999999999999E-2</v>
      </c>
      <c r="I8" s="3">
        <v>2695</v>
      </c>
      <c r="J8" s="3">
        <v>10</v>
      </c>
      <c r="K8" s="7">
        <f t="shared" si="2"/>
        <v>161343.88320545584</v>
      </c>
      <c r="L8" s="8">
        <f t="shared" si="3"/>
        <v>38404.154247784441</v>
      </c>
      <c r="M8" s="9">
        <f t="shared" si="4"/>
        <v>0.23802671340741477</v>
      </c>
      <c r="N8" s="10">
        <f t="shared" si="5"/>
        <v>192383.83882792597</v>
      </c>
      <c r="O8" s="8">
        <f t="shared" si="6"/>
        <v>54602.228436534926</v>
      </c>
      <c r="P8" s="9">
        <f t="shared" si="7"/>
        <v>0.28381920627632784</v>
      </c>
      <c r="Q8" s="7">
        <f t="shared" si="8"/>
        <v>5.0985084216688402E-9</v>
      </c>
      <c r="R8" s="17">
        <f t="shared" si="9"/>
        <v>2.6435517519251793E-10</v>
      </c>
      <c r="S8" s="9">
        <f t="shared" si="10"/>
        <v>5.1849512314032696E-2</v>
      </c>
      <c r="T8" s="17">
        <f t="shared" si="11"/>
        <v>6.3014688439816076E-5</v>
      </c>
      <c r="U8" s="17">
        <f t="shared" si="12"/>
        <v>9.3984629079908234E-4</v>
      </c>
      <c r="V8" s="17">
        <f t="shared" si="13"/>
        <v>4.6903816772458917E-4</v>
      </c>
      <c r="W8" s="17">
        <f t="shared" si="14"/>
        <v>4.0422787905519805E-3</v>
      </c>
      <c r="X8" s="17">
        <f t="shared" si="15"/>
        <v>2.5492542108344203E-10</v>
      </c>
      <c r="Y8" s="10">
        <f t="shared" si="16"/>
        <v>4.9785084216688398E-9</v>
      </c>
      <c r="Z8" s="1">
        <f t="shared" si="17"/>
        <v>2.6435517519251793E-10</v>
      </c>
      <c r="AA8" s="18">
        <f t="shared" si="18"/>
        <v>5.3099272473240838E-2</v>
      </c>
    </row>
    <row r="9" spans="1:27" x14ac:dyDescent="0.25">
      <c r="A9" s="3">
        <v>50000</v>
      </c>
      <c r="B9" s="3">
        <f t="shared" si="0"/>
        <v>2500</v>
      </c>
      <c r="C9" s="6">
        <v>5.2</v>
      </c>
      <c r="D9" s="3">
        <v>0.01</v>
      </c>
      <c r="E9" s="3">
        <v>2.59</v>
      </c>
      <c r="F9" s="3">
        <v>0.01</v>
      </c>
      <c r="G9" s="3">
        <v>6.8796999999999997</v>
      </c>
      <c r="H9" s="5">
        <f t="shared" si="1"/>
        <v>7.7899999999999997E-2</v>
      </c>
      <c r="I9" s="3">
        <v>1083</v>
      </c>
      <c r="J9" s="3">
        <v>10</v>
      </c>
      <c r="K9" s="7">
        <f t="shared" si="2"/>
        <v>42336.0856643355</v>
      </c>
      <c r="L9" s="8">
        <f>(2*K9/E9-2*K9*K9/(E9*I9))*F9+(K9*K9/(E9*E9*I9))*H9+K9/I9*J9</f>
        <v>7157.0643114169652</v>
      </c>
      <c r="M9" s="9">
        <f t="shared" si="4"/>
        <v>0.16905352016155273</v>
      </c>
      <c r="N9" s="10">
        <f t="shared" si="5"/>
        <v>44207.665163727324</v>
      </c>
      <c r="O9" s="8">
        <f t="shared" si="6"/>
        <v>7803.8456938577674</v>
      </c>
      <c r="P9" s="9">
        <f t="shared" si="7"/>
        <v>0.17652698157560406</v>
      </c>
      <c r="Q9" s="7">
        <f t="shared" si="8"/>
        <v>5.0730189990395188E-9</v>
      </c>
      <c r="R9" s="17">
        <f t="shared" si="9"/>
        <v>2.640593811599167E-10</v>
      </c>
      <c r="S9" s="9">
        <f t="shared" si="10"/>
        <v>5.2051723285465992E-2</v>
      </c>
      <c r="T9" s="17">
        <f t="shared" si="11"/>
        <v>2.4224748176517559E-4</v>
      </c>
      <c r="U9" s="17">
        <f t="shared" si="12"/>
        <v>9.5784023668639049E-4</v>
      </c>
      <c r="V9" s="17">
        <f t="shared" si="13"/>
        <v>4.7707811788802896E-4</v>
      </c>
      <c r="W9" s="17">
        <f t="shared" si="14"/>
        <v>4.4351871074716472E-3</v>
      </c>
      <c r="X9" s="17">
        <f t="shared" si="15"/>
        <v>2.5365094995197595E-10</v>
      </c>
      <c r="Y9" s="10">
        <f t="shared" si="16"/>
        <v>4.9530189990395184E-9</v>
      </c>
      <c r="Z9" s="1">
        <f t="shared" si="17"/>
        <v>2.640593811599167E-10</v>
      </c>
      <c r="AA9" s="18">
        <f t="shared" si="18"/>
        <v>5.3312814106128537E-2</v>
      </c>
    </row>
    <row r="10" spans="1:27" x14ac:dyDescent="0.25">
      <c r="A10" s="3">
        <v>100000</v>
      </c>
      <c r="B10" s="3">
        <f t="shared" si="0"/>
        <v>5000</v>
      </c>
      <c r="C10" s="3">
        <v>5.04</v>
      </c>
      <c r="D10" s="3">
        <v>0.01</v>
      </c>
      <c r="E10" s="3">
        <v>2.5299999999999998</v>
      </c>
      <c r="F10" s="3">
        <v>0.01</v>
      </c>
      <c r="G10" s="3">
        <v>6.5765000000000002</v>
      </c>
      <c r="H10" s="5">
        <f t="shared" si="1"/>
        <v>7.5700000000000003E-2</v>
      </c>
      <c r="I10" s="3">
        <v>540</v>
      </c>
      <c r="J10" s="3">
        <v>1</v>
      </c>
      <c r="K10" s="7">
        <f t="shared" si="2"/>
        <v>19683.861047835864</v>
      </c>
      <c r="L10" s="8">
        <f>(2*K10/E10-2*K10*K10/(E10*I10))*F10+(K10*K10/(E10*E10*I10))*H10+K10/I10*J10</f>
        <v>3005.6367443090958</v>
      </c>
      <c r="M10" s="9">
        <f t="shared" si="4"/>
        <v>0.15269548677491551</v>
      </c>
      <c r="N10" s="10">
        <f t="shared" si="5"/>
        <v>20079.095167070758</v>
      </c>
      <c r="O10" s="8">
        <f t="shared" si="6"/>
        <v>3127.5494595170912</v>
      </c>
      <c r="P10" s="9">
        <f t="shared" si="7"/>
        <v>0.15576147398545123</v>
      </c>
      <c r="Q10" s="7">
        <f t="shared" si="8"/>
        <v>5.0301779426233562E-9</v>
      </c>
      <c r="R10" s="17">
        <f t="shared" si="9"/>
        <v>2.6161491578293639E-10</v>
      </c>
      <c r="S10" s="9">
        <f t="shared" si="10"/>
        <v>5.2009077763658207E-2</v>
      </c>
      <c r="T10" s="17">
        <f t="shared" si="11"/>
        <v>5.2196753454375489E-5</v>
      </c>
      <c r="U10" s="17">
        <f t="shared" si="12"/>
        <v>9.9600025195263273E-4</v>
      </c>
      <c r="V10" s="17">
        <f t="shared" si="13"/>
        <v>4.9997631695241284E-4</v>
      </c>
      <c r="W10" s="17">
        <f t="shared" si="14"/>
        <v>4.3039126854645037E-3</v>
      </c>
      <c r="X10" s="17">
        <f t="shared" si="15"/>
        <v>2.5150889713116781E-10</v>
      </c>
      <c r="Y10" s="10">
        <f t="shared" si="16"/>
        <v>4.9101779426233558E-9</v>
      </c>
      <c r="Z10" s="1">
        <f t="shared" si="17"/>
        <v>2.6161491578293639E-10</v>
      </c>
      <c r="AA10" s="18">
        <f t="shared" si="18"/>
        <v>5.3280129323208122E-2</v>
      </c>
    </row>
    <row r="11" spans="1:27" x14ac:dyDescent="0.25">
      <c r="A11" s="12">
        <v>200000</v>
      </c>
      <c r="B11" s="12">
        <f t="shared" si="0"/>
        <v>10000</v>
      </c>
      <c r="C11" s="12">
        <v>4.7300000000000004</v>
      </c>
      <c r="D11" s="12">
        <v>0.01</v>
      </c>
      <c r="E11" s="12">
        <v>2.3650000000000002</v>
      </c>
      <c r="F11" s="12">
        <v>0.01</v>
      </c>
      <c r="G11" s="12">
        <v>6.7538</v>
      </c>
      <c r="H11" s="13">
        <f t="shared" si="1"/>
        <v>7.0950000000000013E-2</v>
      </c>
      <c r="I11" s="12">
        <v>256</v>
      </c>
      <c r="J11" s="12">
        <v>1</v>
      </c>
      <c r="K11" s="14">
        <f t="shared" si="2"/>
        <v>1233.755336794263</v>
      </c>
      <c r="L11" s="15">
        <f>(2*K11/E11-2*K11*K11/(E11*I11))*F11+(K11*K11/(E11*E11*I11))*H11+K11/I11*J11</f>
        <v>40.394062180543607</v>
      </c>
      <c r="M11" s="16">
        <f>L11/K11</f>
        <v>3.2740739574429564E-2</v>
      </c>
      <c r="N11" s="14">
        <f t="shared" si="5"/>
        <v>1235.2793693085796</v>
      </c>
      <c r="O11" s="15">
        <f t="shared" si="6"/>
        <v>40.493919721762239</v>
      </c>
      <c r="P11" s="16">
        <f t="shared" si="7"/>
        <v>3.2781183534561754E-2</v>
      </c>
      <c r="Q11" s="14">
        <f t="shared" si="8"/>
        <v>4.9560290842723171E-9</v>
      </c>
      <c r="R11" s="17">
        <f t="shared" si="9"/>
        <v>2.6879493849649671E-10</v>
      </c>
      <c r="S11" s="9">
        <f t="shared" si="10"/>
        <v>5.4235948564043443E-2</v>
      </c>
      <c r="T11" s="17">
        <f t="shared" si="11"/>
        <v>9.7871639011340894E-4</v>
      </c>
      <c r="U11" s="17">
        <f t="shared" si="12"/>
        <v>1.0570824524312895E-3</v>
      </c>
      <c r="V11" s="17">
        <f t="shared" si="13"/>
        <v>5.2854122621564473E-4</v>
      </c>
      <c r="W11" s="17">
        <f t="shared" si="14"/>
        <v>8.2032380021578085E-3</v>
      </c>
      <c r="X11" s="17">
        <f t="shared" si="15"/>
        <v>2.4780145421361586E-10</v>
      </c>
      <c r="Y11" s="14">
        <f t="shared" si="16"/>
        <v>4.8360290842723175E-9</v>
      </c>
      <c r="Z11" s="1">
        <f t="shared" si="17"/>
        <v>2.6879493849649671E-10</v>
      </c>
      <c r="AA11" s="18">
        <f t="shared" si="18"/>
        <v>5.5581745645548068E-2</v>
      </c>
    </row>
    <row r="12" spans="1:27" x14ac:dyDescent="0.25">
      <c r="A12" s="3">
        <v>500000</v>
      </c>
      <c r="B12" s="3">
        <f t="shared" si="0"/>
        <v>25000</v>
      </c>
      <c r="C12" s="3">
        <v>3.95</v>
      </c>
      <c r="D12" s="3">
        <v>0.01</v>
      </c>
      <c r="E12" s="3">
        <v>1.96</v>
      </c>
      <c r="F12" s="3">
        <v>0.01</v>
      </c>
      <c r="G12" s="3">
        <v>4.0933999999999999</v>
      </c>
      <c r="H12" s="5">
        <f t="shared" si="1"/>
        <v>5.91E-2</v>
      </c>
      <c r="I12" s="3">
        <v>106</v>
      </c>
      <c r="J12" s="3">
        <v>1</v>
      </c>
      <c r="K12" s="7">
        <f t="shared" si="2"/>
        <v>1617.1945988880047</v>
      </c>
      <c r="L12" s="8">
        <f t="shared" si="3"/>
        <v>159.56700761664518</v>
      </c>
      <c r="M12" s="9">
        <f t="shared" si="4"/>
        <v>9.8669020862649837E-2</v>
      </c>
      <c r="N12" s="10">
        <f t="shared" si="5"/>
        <v>1619.8141535883904</v>
      </c>
      <c r="O12" s="8">
        <f t="shared" si="6"/>
        <v>160.08436408298982</v>
      </c>
      <c r="P12" s="9">
        <f t="shared" si="7"/>
        <v>9.8828846339163876E-2</v>
      </c>
      <c r="Q12" s="7">
        <f t="shared" si="8"/>
        <v>5.1367297365039683E-9</v>
      </c>
      <c r="R12" s="17">
        <f t="shared" si="9"/>
        <v>2.7339028054973682E-10</v>
      </c>
      <c r="S12" s="9">
        <f t="shared" si="10"/>
        <v>5.3222632798237274E-2</v>
      </c>
      <c r="T12" s="17">
        <f t="shared" si="11"/>
        <v>6.5888521191585618E-4</v>
      </c>
      <c r="U12" s="17">
        <f t="shared" si="12"/>
        <v>1.2562089408748598E-3</v>
      </c>
      <c r="V12" s="17">
        <f t="shared" si="13"/>
        <v>6.2333405673790508E-4</v>
      </c>
      <c r="W12" s="17">
        <f t="shared" si="14"/>
        <v>6.8912252243854095E-3</v>
      </c>
      <c r="X12" s="17">
        <f t="shared" si="15"/>
        <v>2.5683648682519839E-10</v>
      </c>
      <c r="Y12" s="10">
        <f t="shared" si="16"/>
        <v>5.0167297365039679E-9</v>
      </c>
      <c r="Z12" s="1">
        <f t="shared" si="17"/>
        <v>2.7339028054973682E-10</v>
      </c>
      <c r="AA12" s="18">
        <f t="shared" si="18"/>
        <v>5.4495716315038252E-2</v>
      </c>
    </row>
    <row r="13" spans="1:27" x14ac:dyDescent="0.25">
      <c r="A13" s="3">
        <v>1000000</v>
      </c>
      <c r="B13" s="3">
        <f t="shared" si="0"/>
        <v>50000</v>
      </c>
      <c r="C13" s="3">
        <v>2.98</v>
      </c>
      <c r="D13" s="3">
        <v>0.01</v>
      </c>
      <c r="E13" s="3">
        <v>1.46</v>
      </c>
      <c r="F13" s="3">
        <v>0.01</v>
      </c>
      <c r="G13" s="3">
        <v>2.2111000000000001</v>
      </c>
      <c r="H13" s="5">
        <f t="shared" si="1"/>
        <v>4.4399999999999995E-2</v>
      </c>
      <c r="I13" s="3">
        <v>49</v>
      </c>
      <c r="J13" s="3">
        <v>0.1</v>
      </c>
      <c r="K13" s="7">
        <f t="shared" si="2"/>
        <v>1313.8163522012519</v>
      </c>
      <c r="L13" s="8">
        <f t="shared" si="3"/>
        <v>271.87381828250204</v>
      </c>
      <c r="M13" s="9">
        <f t="shared" si="4"/>
        <v>0.20693441501697499</v>
      </c>
      <c r="N13" s="10">
        <f t="shared" si="5"/>
        <v>1315.5447363879707</v>
      </c>
      <c r="O13" s="8">
        <f t="shared" si="6"/>
        <v>272.5896131442945</v>
      </c>
      <c r="P13" s="9">
        <f t="shared" si="7"/>
        <v>0.20720664649742812</v>
      </c>
      <c r="Q13" s="7">
        <f t="shared" si="8"/>
        <v>5.7096513185469122E-9</v>
      </c>
      <c r="R13" s="17">
        <f t="shared" si="9"/>
        <v>3.0494685136671609E-10</v>
      </c>
      <c r="S13" s="9">
        <f t="shared" si="10"/>
        <v>5.3409014728472787E-2</v>
      </c>
      <c r="T13" s="17">
        <f t="shared" si="11"/>
        <v>7.8952886086666591E-5</v>
      </c>
      <c r="U13" s="17">
        <f t="shared" si="12"/>
        <v>1.644070086933021E-3</v>
      </c>
      <c r="V13" s="17">
        <f t="shared" si="13"/>
        <v>8.0548400232288947E-4</v>
      </c>
      <c r="W13" s="17">
        <f t="shared" si="14"/>
        <v>8.0056539551606447E-3</v>
      </c>
      <c r="X13" s="17">
        <f t="shared" si="15"/>
        <v>2.854825659273456E-10</v>
      </c>
      <c r="Y13" s="10">
        <f t="shared" si="16"/>
        <v>5.5896513185469118E-9</v>
      </c>
      <c r="Z13" s="1">
        <f t="shared" si="17"/>
        <v>3.0494685136671609E-10</v>
      </c>
      <c r="AA13" s="18">
        <f t="shared" si="18"/>
        <v>5.4555612503928097E-2</v>
      </c>
    </row>
    <row r="14" spans="1:27" x14ac:dyDescent="0.25">
      <c r="T14" s="19" t="s">
        <v>28</v>
      </c>
      <c r="U14" s="21"/>
      <c r="V14" s="21"/>
      <c r="W14" s="21"/>
      <c r="Y14" s="20"/>
      <c r="Z14" s="20"/>
      <c r="AA14" s="20"/>
    </row>
    <row r="15" spans="1:27" x14ac:dyDescent="0.25">
      <c r="P15" t="s">
        <v>15</v>
      </c>
      <c r="Q15" s="1">
        <f>AVERAGE(Q5:Q13)</f>
        <v>5.1374042053361849E-9</v>
      </c>
      <c r="R15" s="1"/>
      <c r="S15" s="1"/>
      <c r="T15" s="1"/>
      <c r="U15" s="1"/>
      <c r="V15" s="1"/>
      <c r="W15" s="1"/>
      <c r="X15" s="1"/>
      <c r="Y15" s="1">
        <f>AVERAGE(Y5:Y13)</f>
        <v>5.0174042053361861E-9</v>
      </c>
      <c r="Z15" s="1">
        <f>AVERAGE(Z5:Z13)</f>
        <v>2.6960357234266076E-10</v>
      </c>
    </row>
    <row r="16" spans="1:27" x14ac:dyDescent="0.25">
      <c r="C16" s="39" t="s">
        <v>11</v>
      </c>
      <c r="D16" s="40">
        <v>1000000</v>
      </c>
      <c r="U16" t="s">
        <v>33</v>
      </c>
    </row>
    <row r="17" spans="2:35" x14ac:dyDescent="0.25">
      <c r="C17" s="39" t="s">
        <v>18</v>
      </c>
      <c r="D17" s="40">
        <v>1.2E-10</v>
      </c>
      <c r="S17" t="s">
        <v>31</v>
      </c>
      <c r="T17" s="1">
        <v>1E-4</v>
      </c>
      <c r="U17">
        <v>0</v>
      </c>
    </row>
    <row r="18" spans="2:35" x14ac:dyDescent="0.25">
      <c r="H18" t="s">
        <v>34</v>
      </c>
      <c r="I18" t="s">
        <v>14</v>
      </c>
      <c r="J18" t="s">
        <v>36</v>
      </c>
      <c r="N18" s="34" t="s">
        <v>29</v>
      </c>
      <c r="O18" s="35" t="s">
        <v>38</v>
      </c>
      <c r="P18" s="35" t="s">
        <v>30</v>
      </c>
      <c r="Q18" s="35" t="s">
        <v>39</v>
      </c>
      <c r="S18" t="s">
        <v>32</v>
      </c>
      <c r="T18">
        <f>0.218*0.242</f>
        <v>5.2755999999999997E-2</v>
      </c>
      <c r="U18">
        <f>0.218*0.001+0.242*0.001</f>
        <v>4.6000000000000001E-4</v>
      </c>
    </row>
    <row r="19" spans="2:35" x14ac:dyDescent="0.25">
      <c r="C19" t="s">
        <v>47</v>
      </c>
      <c r="H19" s="22">
        <f t="shared" ref="H19:H27" si="19">LN(2*PI()*A5)</f>
        <v>9.4387795259514284</v>
      </c>
      <c r="I19" s="10">
        <v>4.9407511975510403E-9</v>
      </c>
      <c r="J19" s="1">
        <v>2.6262761363583299E-10</v>
      </c>
      <c r="N19" s="36">
        <f>T$17*Y5/T$18</f>
        <v>9.3652877351411037E-12</v>
      </c>
      <c r="O19" s="37">
        <f>N19*U$18/T$18+N19*Z5/Y5</f>
        <v>5.7947520133725472E-13</v>
      </c>
      <c r="P19" s="36">
        <f>(T$17/T$18)*1/(2*PI()*A5*N5)</f>
        <v>-6.0723926710257633E-15</v>
      </c>
      <c r="Q19" s="36">
        <f>P19*U$18/T$18+P19*B5/A5+P19*O5/N5</f>
        <v>2.2263523889049447E-14</v>
      </c>
      <c r="X19">
        <v>2000</v>
      </c>
      <c r="Y19" t="s">
        <v>48</v>
      </c>
      <c r="Z19" s="1">
        <v>9.3700000000000007E-12</v>
      </c>
      <c r="AA19" t="s">
        <v>48</v>
      </c>
      <c r="AB19" s="1">
        <v>5.7999999999999995E-13</v>
      </c>
      <c r="AC19" t="s">
        <v>48</v>
      </c>
      <c r="AD19" s="1">
        <v>-6.0699999999999996E-15</v>
      </c>
      <c r="AE19" t="s">
        <v>48</v>
      </c>
      <c r="AF19" s="1">
        <v>2.23E-14</v>
      </c>
      <c r="AG19" t="s">
        <v>49</v>
      </c>
    </row>
    <row r="20" spans="2:35" x14ac:dyDescent="0.25">
      <c r="B20" s="28" t="s">
        <v>43</v>
      </c>
      <c r="C20" s="28" t="s">
        <v>42</v>
      </c>
      <c r="D20" s="28" t="s">
        <v>44</v>
      </c>
      <c r="E20" s="28" t="s">
        <v>41</v>
      </c>
      <c r="F20" s="29" t="s">
        <v>45</v>
      </c>
      <c r="G20" s="29" t="s">
        <v>46</v>
      </c>
      <c r="H20" s="22">
        <f t="shared" si="19"/>
        <v>10.355070257825583</v>
      </c>
      <c r="I20" s="10">
        <v>4.9729213257223465E-9</v>
      </c>
      <c r="J20" s="1">
        <v>2.6378772092047377E-10</v>
      </c>
      <c r="N20" s="36">
        <f t="shared" ref="N20:N29" si="20">T$17*Y6/T$18</f>
        <v>9.426266824100287E-12</v>
      </c>
      <c r="O20" s="37">
        <f t="shared" ref="O20:O29" si="21">N20*U$18/T$18+N20*Z6/Y6</f>
        <v>5.8220590702732416E-13</v>
      </c>
      <c r="P20" s="36">
        <f t="shared" ref="P20:P27" si="22">(T$17/T$18)*1/(2*PI()*A6*N6)</f>
        <v>-1.5014966402738426E-14</v>
      </c>
      <c r="Q20" s="36">
        <f t="shared" ref="Q20:Q27" si="23">P20*U$18/T$18+P20*B6/A6+P20*O6/N6</f>
        <v>2.0859040493049493E-14</v>
      </c>
      <c r="X20">
        <v>5000</v>
      </c>
      <c r="Y20" t="s">
        <v>48</v>
      </c>
      <c r="Z20" s="1">
        <v>9.43E-12</v>
      </c>
      <c r="AA20" t="s">
        <v>48</v>
      </c>
      <c r="AB20" s="1">
        <v>5.7999999999999995E-13</v>
      </c>
      <c r="AC20" t="s">
        <v>48</v>
      </c>
      <c r="AD20" s="1">
        <v>-1.4999999999999999E-14</v>
      </c>
      <c r="AE20" t="s">
        <v>48</v>
      </c>
      <c r="AF20" s="1">
        <v>2.0900000000000001E-14</v>
      </c>
      <c r="AG20" t="s">
        <v>49</v>
      </c>
    </row>
    <row r="21" spans="2:35" x14ac:dyDescent="0.25">
      <c r="B21" s="28">
        <f>A5</f>
        <v>2000</v>
      </c>
      <c r="C21" s="30">
        <f>LN(2*PI()*B21)</f>
        <v>9.4387795259514284</v>
      </c>
      <c r="D21" s="41">
        <v>5.4482999999999997E-3</v>
      </c>
      <c r="E21" s="31">
        <f>C21*D$21</f>
        <v>5.1425302491241165E-2</v>
      </c>
      <c r="F21" s="32">
        <f>ATAN(E21)</f>
        <v>5.138004182392663E-2</v>
      </c>
      <c r="G21" s="33">
        <f>180*F21/PI()</f>
        <v>2.9438595477166487</v>
      </c>
      <c r="H21" s="22">
        <f t="shared" si="19"/>
        <v>11.048217438385528</v>
      </c>
      <c r="I21" s="10">
        <v>4.9588498220973724E-9</v>
      </c>
      <c r="J21" s="1">
        <v>2.6285527397931951E-10</v>
      </c>
      <c r="N21" s="36">
        <f t="shared" si="20"/>
        <v>9.3995940217176684E-12</v>
      </c>
      <c r="O21" s="37">
        <f t="shared" si="21"/>
        <v>5.8020586564413688E-13</v>
      </c>
      <c r="P21" s="36">
        <f t="shared" si="22"/>
        <v>9.319138113958697E-15</v>
      </c>
      <c r="Q21" s="36">
        <f t="shared" si="23"/>
        <v>2.1913864705676968E-14</v>
      </c>
      <c r="X21">
        <v>10000</v>
      </c>
      <c r="Y21" t="s">
        <v>48</v>
      </c>
      <c r="Z21" s="1">
        <v>9.3999999999999995E-12</v>
      </c>
      <c r="AA21" t="s">
        <v>48</v>
      </c>
      <c r="AB21" s="1">
        <v>5.7999999999999995E-13</v>
      </c>
      <c r="AC21" t="s">
        <v>48</v>
      </c>
      <c r="AD21" s="1">
        <v>9.32E-15</v>
      </c>
      <c r="AE21" t="s">
        <v>48</v>
      </c>
      <c r="AF21" s="1">
        <v>2.19E-14</v>
      </c>
      <c r="AG21" t="s">
        <v>49</v>
      </c>
    </row>
    <row r="22" spans="2:35" x14ac:dyDescent="0.25">
      <c r="B22" s="28">
        <f t="shared" ref="B22:B29" si="24">A6</f>
        <v>5000</v>
      </c>
      <c r="C22" s="30">
        <f t="shared" ref="C22:C29" si="25">LN(2*PI()*B22)</f>
        <v>10.355070257825583</v>
      </c>
      <c r="D22" s="42"/>
      <c r="E22" s="31">
        <f t="shared" ref="E22:E29" si="26">C22*D$21</f>
        <v>5.6417529285711115E-2</v>
      </c>
      <c r="F22" s="32">
        <f t="shared" ref="F22:F29" si="27">ATAN(E22)</f>
        <v>5.6357785515401583E-2</v>
      </c>
      <c r="G22" s="33">
        <f t="shared" ref="G22:G29" si="28">180*F22/PI()</f>
        <v>3.2290632527360335</v>
      </c>
      <c r="H22" s="22">
        <f t="shared" si="19"/>
        <v>11.741364618945473</v>
      </c>
      <c r="I22" s="10">
        <v>4.9785084216688398E-9</v>
      </c>
      <c r="J22" s="1">
        <v>2.6435517519251793E-10</v>
      </c>
      <c r="N22" s="36">
        <f t="shared" si="20"/>
        <v>9.4368572705831377E-12</v>
      </c>
      <c r="O22" s="37">
        <f t="shared" si="21"/>
        <v>5.8337386958298651E-13</v>
      </c>
      <c r="P22" s="36">
        <f t="shared" si="22"/>
        <v>7.840607072674118E-14</v>
      </c>
      <c r="Q22" s="36">
        <f t="shared" si="23"/>
        <v>2.6857105199936124E-14</v>
      </c>
      <c r="T22" s="18">
        <f>(5.02-4.879)/5.02</f>
        <v>2.8087649402390443E-2</v>
      </c>
      <c r="X22">
        <v>20000</v>
      </c>
      <c r="Y22" t="s">
        <v>48</v>
      </c>
      <c r="Z22" s="1">
        <v>9.4400000000000002E-12</v>
      </c>
      <c r="AA22" t="s">
        <v>48</v>
      </c>
      <c r="AB22" s="1">
        <v>5.7999999999999995E-13</v>
      </c>
      <c r="AC22" t="s">
        <v>48</v>
      </c>
      <c r="AD22" s="1">
        <v>7.8399999999999999E-14</v>
      </c>
      <c r="AE22" t="s">
        <v>48</v>
      </c>
      <c r="AF22" s="1">
        <v>2.6900000000000001E-14</v>
      </c>
      <c r="AG22" t="s">
        <v>49</v>
      </c>
    </row>
    <row r="23" spans="2:35" x14ac:dyDescent="0.25">
      <c r="B23" s="28">
        <f t="shared" si="24"/>
        <v>10000</v>
      </c>
      <c r="C23" s="30">
        <f t="shared" si="25"/>
        <v>11.048217438385528</v>
      </c>
      <c r="D23" s="42"/>
      <c r="E23" s="31">
        <f t="shared" si="26"/>
        <v>6.0194003069555871E-2</v>
      </c>
      <c r="F23" s="32">
        <f t="shared" si="27"/>
        <v>6.0121460040532898E-2</v>
      </c>
      <c r="G23" s="33">
        <f t="shared" si="28"/>
        <v>3.4447059184869624</v>
      </c>
      <c r="H23" s="22">
        <f t="shared" si="19"/>
        <v>12.657655350819628</v>
      </c>
      <c r="I23" s="10">
        <v>4.9530189990395184E-9</v>
      </c>
      <c r="J23" s="1">
        <v>2.640593811599167E-10</v>
      </c>
      <c r="N23" s="36">
        <f t="shared" si="20"/>
        <v>9.3885415858660982E-12</v>
      </c>
      <c r="O23" s="37">
        <f t="shared" si="21"/>
        <v>5.8239190320513443E-13</v>
      </c>
      <c r="P23" s="36">
        <f t="shared" si="22"/>
        <v>1.3648366922757921E-13</v>
      </c>
      <c r="Q23" s="36">
        <f t="shared" si="23"/>
        <v>3.2107287605923598E-14</v>
      </c>
      <c r="X23">
        <v>50000</v>
      </c>
      <c r="Y23" t="s">
        <v>48</v>
      </c>
      <c r="Z23" s="1">
        <v>9.3899999999999994E-12</v>
      </c>
      <c r="AA23" t="s">
        <v>48</v>
      </c>
      <c r="AB23" s="1">
        <v>5.7999999999999995E-13</v>
      </c>
      <c r="AC23" t="s">
        <v>48</v>
      </c>
      <c r="AD23" s="1">
        <v>1.36E-13</v>
      </c>
      <c r="AE23" t="s">
        <v>48</v>
      </c>
      <c r="AF23" s="1">
        <v>3.2099999999999997E-14</v>
      </c>
      <c r="AG23" t="s">
        <v>49</v>
      </c>
    </row>
    <row r="24" spans="2:35" x14ac:dyDescent="0.25">
      <c r="B24" s="28">
        <f t="shared" si="24"/>
        <v>20000</v>
      </c>
      <c r="C24" s="30">
        <f t="shared" si="25"/>
        <v>11.741364618945473</v>
      </c>
      <c r="D24" s="42"/>
      <c r="E24" s="31">
        <f t="shared" si="26"/>
        <v>6.3970476853400612E-2</v>
      </c>
      <c r="F24" s="32">
        <f t="shared" si="27"/>
        <v>6.3883430020326551E-2</v>
      </c>
      <c r="G24" s="33">
        <f t="shared" si="28"/>
        <v>3.6602509209840544</v>
      </c>
      <c r="H24" s="22">
        <f t="shared" si="19"/>
        <v>13.350802531379573</v>
      </c>
      <c r="I24" s="10">
        <v>4.9101779426233558E-9</v>
      </c>
      <c r="J24" s="1">
        <v>2.6161491578293639E-10</v>
      </c>
      <c r="N24" s="36">
        <f t="shared" si="20"/>
        <v>9.3073355497447805E-12</v>
      </c>
      <c r="O24" s="37">
        <f t="shared" si="21"/>
        <v>5.7705030576950947E-13</v>
      </c>
      <c r="P24" s="36">
        <f t="shared" si="22"/>
        <v>1.5024642045187218E-13</v>
      </c>
      <c r="Q24" s="36">
        <f t="shared" si="23"/>
        <v>3.2224981673829612E-14</v>
      </c>
      <c r="X24">
        <v>100000</v>
      </c>
      <c r="Y24" t="s">
        <v>48</v>
      </c>
      <c r="Z24" s="1">
        <v>9.3099999999999997E-12</v>
      </c>
      <c r="AA24" t="s">
        <v>48</v>
      </c>
      <c r="AB24" s="1">
        <v>5.7999999999999995E-13</v>
      </c>
      <c r="AC24" t="s">
        <v>48</v>
      </c>
      <c r="AD24" s="1">
        <v>1.4999999999999999E-13</v>
      </c>
      <c r="AE24" t="s">
        <v>48</v>
      </c>
      <c r="AF24" s="1">
        <v>3.2199999999999998E-14</v>
      </c>
      <c r="AG24" t="s">
        <v>49</v>
      </c>
    </row>
    <row r="25" spans="2:35" x14ac:dyDescent="0.25">
      <c r="B25" s="28">
        <f t="shared" si="24"/>
        <v>50000</v>
      </c>
      <c r="C25" s="30">
        <f t="shared" si="25"/>
        <v>12.657655350819628</v>
      </c>
      <c r="D25" s="42"/>
      <c r="E25" s="31">
        <f t="shared" si="26"/>
        <v>6.8962703647870577E-2</v>
      </c>
      <c r="F25" s="32">
        <f t="shared" si="27"/>
        <v>6.8853689025780915E-2</v>
      </c>
      <c r="G25" s="33">
        <f t="shared" si="28"/>
        <v>3.9450257850834793</v>
      </c>
      <c r="H25" s="22">
        <f t="shared" si="19"/>
        <v>14.043949711939518</v>
      </c>
      <c r="I25" s="10">
        <v>4.8360290842723175E-9</v>
      </c>
      <c r="J25" s="1">
        <v>2.6879493849649671E-10</v>
      </c>
      <c r="N25" s="36">
        <f t="shared" si="20"/>
        <v>9.166784980423683E-12</v>
      </c>
      <c r="O25" s="37">
        <f t="shared" si="21"/>
        <v>5.8943466033521433E-13</v>
      </c>
      <c r="P25" s="36">
        <f t="shared" si="22"/>
        <v>1.2211052211021148E-12</v>
      </c>
      <c r="Q25" s="36">
        <f t="shared" si="23"/>
        <v>1.1173182486326164E-13</v>
      </c>
      <c r="X25">
        <v>200000</v>
      </c>
      <c r="Y25" t="s">
        <v>48</v>
      </c>
      <c r="Z25" s="1">
        <v>9.1700000000000007E-12</v>
      </c>
      <c r="AA25" t="s">
        <v>48</v>
      </c>
      <c r="AB25" s="1">
        <v>5.9000000000000001E-13</v>
      </c>
      <c r="AC25" t="s">
        <v>48</v>
      </c>
      <c r="AD25" s="1">
        <v>1.2200000000000001E-12</v>
      </c>
      <c r="AE25" t="s">
        <v>48</v>
      </c>
      <c r="AF25" s="1">
        <v>1.12E-13</v>
      </c>
      <c r="AG25" t="s">
        <v>49</v>
      </c>
    </row>
    <row r="26" spans="2:35" x14ac:dyDescent="0.25">
      <c r="B26" s="28">
        <f t="shared" si="24"/>
        <v>100000</v>
      </c>
      <c r="C26" s="30">
        <f t="shared" si="25"/>
        <v>13.350802531379573</v>
      </c>
      <c r="D26" s="42"/>
      <c r="E26" s="31">
        <f t="shared" si="26"/>
        <v>7.2739177431715318E-2</v>
      </c>
      <c r="F26" s="32">
        <f t="shared" si="27"/>
        <v>7.2611295789002481E-2</v>
      </c>
      <c r="G26" s="33">
        <f t="shared" si="28"/>
        <v>4.160320793685889</v>
      </c>
      <c r="H26" s="22">
        <f t="shared" si="19"/>
        <v>14.960240443813674</v>
      </c>
      <c r="I26" s="10">
        <v>5.0167297365039679E-9</v>
      </c>
      <c r="J26" s="1">
        <v>2.7339028054973682E-10</v>
      </c>
      <c r="N26" s="36">
        <f t="shared" si="20"/>
        <v>9.5093064987943891E-12</v>
      </c>
      <c r="O26" s="37">
        <f t="shared" si="21"/>
        <v>6.0113179627756276E-13</v>
      </c>
      <c r="P26" s="36">
        <f t="shared" si="22"/>
        <v>3.7248867940580639E-13</v>
      </c>
      <c r="Q26" s="36">
        <f t="shared" si="23"/>
        <v>5.8684933516396209E-14</v>
      </c>
      <c r="X26">
        <v>500000</v>
      </c>
      <c r="Y26" t="s">
        <v>48</v>
      </c>
      <c r="Z26" s="1">
        <v>9.5099999999999997E-12</v>
      </c>
      <c r="AA26" t="s">
        <v>48</v>
      </c>
      <c r="AB26" s="1">
        <v>5.9999999999999997E-13</v>
      </c>
      <c r="AC26" t="s">
        <v>48</v>
      </c>
      <c r="AD26" s="1">
        <v>3.7199999999999998E-13</v>
      </c>
      <c r="AE26" t="s">
        <v>48</v>
      </c>
      <c r="AF26" s="1">
        <v>5.8700000000000005E-14</v>
      </c>
      <c r="AG26" t="s">
        <v>49</v>
      </c>
    </row>
    <row r="27" spans="2:35" x14ac:dyDescent="0.25">
      <c r="B27" s="28">
        <f t="shared" si="24"/>
        <v>200000</v>
      </c>
      <c r="C27" s="30">
        <f t="shared" si="25"/>
        <v>14.043949711939518</v>
      </c>
      <c r="D27" s="42"/>
      <c r="E27" s="31">
        <f t="shared" si="26"/>
        <v>7.6515651215560074E-2</v>
      </c>
      <c r="F27" s="32">
        <f t="shared" si="27"/>
        <v>7.6366849586707128E-2</v>
      </c>
      <c r="G27" s="33">
        <f t="shared" si="28"/>
        <v>4.3754981760286933</v>
      </c>
      <c r="H27" s="22">
        <f t="shared" si="19"/>
        <v>15.65338762437362</v>
      </c>
      <c r="I27" s="10">
        <v>5.5896513185469118E-9</v>
      </c>
      <c r="J27" s="1">
        <v>3.0494685136671609E-10</v>
      </c>
      <c r="N27" s="36">
        <f>T$17*Y13/T$18</f>
        <v>1.059529023911387E-11</v>
      </c>
      <c r="O27" s="38">
        <f t="shared" si="21"/>
        <v>6.7041698852574108E-13</v>
      </c>
      <c r="P27" s="36">
        <f t="shared" si="22"/>
        <v>2.2932037895176313E-13</v>
      </c>
      <c r="Q27" s="36">
        <f t="shared" si="23"/>
        <v>6.0982258859219327E-14</v>
      </c>
      <c r="X27">
        <v>1000000</v>
      </c>
      <c r="Y27" t="s">
        <v>48</v>
      </c>
      <c r="Z27" s="1">
        <v>1.0599999999999999E-11</v>
      </c>
      <c r="AA27" t="s">
        <v>48</v>
      </c>
      <c r="AB27" s="1">
        <v>7.0000000000000005E-13</v>
      </c>
      <c r="AC27" t="s">
        <v>48</v>
      </c>
      <c r="AD27" s="1">
        <v>2.2899999999999998E-13</v>
      </c>
      <c r="AE27" t="s">
        <v>48</v>
      </c>
      <c r="AF27" s="1">
        <v>6.1000000000000005E-14</v>
      </c>
      <c r="AG27" t="s">
        <v>49</v>
      </c>
    </row>
    <row r="28" spans="2:35" x14ac:dyDescent="0.25">
      <c r="B28" s="28">
        <f t="shared" si="24"/>
        <v>500000</v>
      </c>
      <c r="C28" s="30">
        <f t="shared" si="25"/>
        <v>14.960240443813674</v>
      </c>
      <c r="D28" s="42"/>
      <c r="E28" s="31">
        <f t="shared" si="26"/>
        <v>8.1507878010030038E-2</v>
      </c>
      <c r="F28" s="32">
        <f t="shared" si="27"/>
        <v>8.1328093984107813E-2</v>
      </c>
      <c r="G28" s="33">
        <f t="shared" si="28"/>
        <v>4.659756541132678</v>
      </c>
      <c r="N28" s="36"/>
      <c r="O28" s="38"/>
      <c r="P28" s="35"/>
      <c r="Q28" s="35"/>
    </row>
    <row r="29" spans="2:35" x14ac:dyDescent="0.25">
      <c r="B29" s="28">
        <f t="shared" si="24"/>
        <v>1000000</v>
      </c>
      <c r="C29" s="30">
        <f t="shared" si="25"/>
        <v>15.65338762437362</v>
      </c>
      <c r="D29" s="42"/>
      <c r="E29" s="31">
        <f t="shared" si="26"/>
        <v>8.5284351793874794E-2</v>
      </c>
      <c r="F29" s="32">
        <f t="shared" si="27"/>
        <v>8.5078479830387702E-2</v>
      </c>
      <c r="G29" s="33">
        <f t="shared" si="28"/>
        <v>4.8746378216701149</v>
      </c>
      <c r="H29" t="s">
        <v>35</v>
      </c>
      <c r="I29" t="s">
        <v>40</v>
      </c>
      <c r="J29" t="s">
        <v>37</v>
      </c>
      <c r="N29" s="36">
        <f t="shared" si="20"/>
        <v>9.5105849672761143E-12</v>
      </c>
      <c r="O29" s="37">
        <f t="shared" si="21"/>
        <v>5.9396516641165157E-13</v>
      </c>
      <c r="P29" s="35"/>
      <c r="Q29" s="35"/>
    </row>
    <row r="30" spans="2:35" x14ac:dyDescent="0.25">
      <c r="H30" s="22">
        <v>9.4387795259514284</v>
      </c>
      <c r="I30" s="1">
        <v>-24840391.079775646</v>
      </c>
      <c r="J30" s="1">
        <v>92532209.096808136</v>
      </c>
      <c r="N30" s="1">
        <f>AVERAGE(N19:N27)</f>
        <v>9.5105849672761127E-12</v>
      </c>
      <c r="O30" s="23">
        <f>AVERAGE(O19:O27)</f>
        <v>5.9396516641165157E-13</v>
      </c>
    </row>
    <row r="31" spans="2:35" x14ac:dyDescent="0.25">
      <c r="H31" s="22">
        <v>10.355070257825583</v>
      </c>
      <c r="I31" s="1">
        <v>-4018406.8266908173</v>
      </c>
      <c r="J31" s="1">
        <v>5818395.8342859251</v>
      </c>
      <c r="AC31" s="1"/>
      <c r="AE31" s="1"/>
      <c r="AG31" s="1"/>
      <c r="AI31" s="1"/>
    </row>
    <row r="32" spans="2:35" x14ac:dyDescent="0.25">
      <c r="H32" s="22">
        <v>11.048217438385528</v>
      </c>
      <c r="I32" s="1">
        <v>3237222.3030433757</v>
      </c>
      <c r="J32" s="1">
        <v>7422209.7685638014</v>
      </c>
      <c r="N32" t="s">
        <v>34</v>
      </c>
      <c r="R32" t="s">
        <v>34</v>
      </c>
      <c r="S32" t="s">
        <v>30</v>
      </c>
      <c r="T32" t="s">
        <v>39</v>
      </c>
      <c r="AC32" s="1"/>
      <c r="AE32" s="1"/>
      <c r="AG32" s="1"/>
      <c r="AI32" s="1"/>
    </row>
    <row r="33" spans="8:35" x14ac:dyDescent="0.25">
      <c r="H33" s="22">
        <v>11.741364618945473</v>
      </c>
      <c r="I33" s="1">
        <v>192383.83882792597</v>
      </c>
      <c r="J33" s="1">
        <v>54602.228436534926</v>
      </c>
      <c r="N33" s="22">
        <v>9.4387795259514284</v>
      </c>
      <c r="O33">
        <v>9.3652877351411037E-12</v>
      </c>
      <c r="P33" s="23">
        <v>5.7947520133725472E-13</v>
      </c>
      <c r="R33" s="22">
        <v>9.4387795259514284</v>
      </c>
      <c r="S33" s="1">
        <v>-6.0723926710257633E-15</v>
      </c>
      <c r="T33" s="23">
        <v>2.2263523889049447E-14</v>
      </c>
      <c r="V33" s="22">
        <v>9.4387795259514284</v>
      </c>
      <c r="W33" s="1">
        <f>S33/O33</f>
        <v>-6.4839360442076933E-4</v>
      </c>
      <c r="X33" s="23">
        <f>W33*P33/O33+ABS(W33*T33/S33)</f>
        <v>2.3371194237260832E-3</v>
      </c>
      <c r="AC33" s="1"/>
      <c r="AE33" s="1"/>
      <c r="AG33" s="1"/>
      <c r="AI33" s="1"/>
    </row>
    <row r="34" spans="8:35" x14ac:dyDescent="0.25">
      <c r="H34" s="22">
        <v>12.657655350819628</v>
      </c>
      <c r="I34" s="1">
        <v>44207.665163727324</v>
      </c>
      <c r="J34" s="1">
        <v>7803.8456938577674</v>
      </c>
      <c r="N34" s="22">
        <v>10.355070257825583</v>
      </c>
      <c r="O34">
        <v>9.426266824100287E-12</v>
      </c>
      <c r="P34" s="23">
        <v>5.8220590702732416E-13</v>
      </c>
      <c r="R34" s="22">
        <v>10.355070257825583</v>
      </c>
      <c r="S34" s="1">
        <v>-1.5014966402738426E-14</v>
      </c>
      <c r="T34" s="23">
        <v>2.0859040493049493E-14</v>
      </c>
      <c r="V34" s="22">
        <v>10.355070257825583</v>
      </c>
      <c r="W34" s="1">
        <f t="shared" ref="W34:W41" si="29">S34/O34</f>
        <v>-1.5928857821369347E-3</v>
      </c>
      <c r="X34" s="23">
        <f t="shared" ref="X34:X41" si="30">W34*P34/O34+ABS(W34*T34/S34)</f>
        <v>2.1144800325946589E-3</v>
      </c>
      <c r="AC34" s="1"/>
      <c r="AE34" s="1"/>
      <c r="AG34" s="1"/>
      <c r="AI34" s="1"/>
    </row>
    <row r="35" spans="8:35" x14ac:dyDescent="0.25">
      <c r="H35" s="22">
        <v>13.350802531379573</v>
      </c>
      <c r="I35" s="1">
        <v>20079.095167070758</v>
      </c>
      <c r="J35" s="1">
        <v>3127.5494595170912</v>
      </c>
      <c r="N35" s="22">
        <v>11.048217438385528</v>
      </c>
      <c r="O35">
        <v>9.3995940217176684E-12</v>
      </c>
      <c r="P35" s="23">
        <v>5.8020586564413688E-13</v>
      </c>
      <c r="R35" s="22">
        <v>11.048217438385528</v>
      </c>
      <c r="S35" s="1">
        <v>9.319138113958697E-15</v>
      </c>
      <c r="T35" s="23">
        <v>2.1913864705676968E-14</v>
      </c>
      <c r="V35" s="22">
        <v>11.048217438385528</v>
      </c>
      <c r="W35" s="1">
        <f t="shared" si="29"/>
        <v>9.9144049119854766E-4</v>
      </c>
      <c r="X35" s="23">
        <f t="shared" si="30"/>
        <v>2.392561236383893E-3</v>
      </c>
      <c r="AC35" s="1"/>
      <c r="AE35" s="1"/>
      <c r="AG35" s="1"/>
      <c r="AI35" s="1"/>
    </row>
    <row r="36" spans="8:35" x14ac:dyDescent="0.25">
      <c r="H36" s="22">
        <v>14.043949711939518</v>
      </c>
      <c r="I36" s="1">
        <v>1235.2793693085796</v>
      </c>
      <c r="J36" s="1">
        <v>40.493919721762239</v>
      </c>
      <c r="N36" s="22">
        <v>11.741364618945473</v>
      </c>
      <c r="O36">
        <v>9.4368572705831377E-12</v>
      </c>
      <c r="P36" s="23">
        <v>5.8337386958298651E-13</v>
      </c>
      <c r="R36" s="22">
        <v>11.741364618945473</v>
      </c>
      <c r="S36" s="1">
        <v>7.840607072674118E-14</v>
      </c>
      <c r="T36" s="23">
        <v>2.6857105199936124E-14</v>
      </c>
      <c r="V36" s="22">
        <v>11.741364618945473</v>
      </c>
      <c r="W36" s="1">
        <f t="shared" si="29"/>
        <v>8.3084938638577268E-3</v>
      </c>
      <c r="X36" s="23">
        <f t="shared" si="30"/>
        <v>3.3595997593955547E-3</v>
      </c>
      <c r="AC36" s="1"/>
      <c r="AE36" s="1"/>
      <c r="AG36" s="1"/>
      <c r="AI36" s="1"/>
    </row>
    <row r="37" spans="8:35" x14ac:dyDescent="0.25">
      <c r="H37" s="22">
        <v>14.960240443813674</v>
      </c>
      <c r="I37" s="1">
        <v>1619.8141535883904</v>
      </c>
      <c r="J37" s="1">
        <v>160.08436408298982</v>
      </c>
      <c r="N37" s="22">
        <v>12.657655350819628</v>
      </c>
      <c r="O37">
        <v>9.3885415858660982E-12</v>
      </c>
      <c r="P37" s="23">
        <v>5.8239190320513443E-13</v>
      </c>
      <c r="R37" s="22">
        <v>12.657655350819628</v>
      </c>
      <c r="S37" s="1">
        <v>1.3648366922757921E-13</v>
      </c>
      <c r="T37" s="23">
        <v>3.2107287605923598E-14</v>
      </c>
      <c r="V37" s="22">
        <v>12.657655350819628</v>
      </c>
      <c r="W37" s="1">
        <f t="shared" si="29"/>
        <v>1.4537259911917247E-2</v>
      </c>
      <c r="X37" s="23">
        <f t="shared" si="30"/>
        <v>4.3216158444133734E-3</v>
      </c>
      <c r="AC37" s="1"/>
      <c r="AE37" s="1"/>
      <c r="AG37" s="1"/>
      <c r="AI37" s="1"/>
    </row>
    <row r="38" spans="8:35" x14ac:dyDescent="0.25">
      <c r="H38" s="22">
        <v>15.65338762437362</v>
      </c>
      <c r="I38" s="1">
        <v>1315.5447363879707</v>
      </c>
      <c r="J38" s="1">
        <v>272.5896131442945</v>
      </c>
      <c r="N38" s="22">
        <v>13.350802531379573</v>
      </c>
      <c r="O38">
        <v>9.3073355497447805E-12</v>
      </c>
      <c r="P38" s="23">
        <v>5.7705030576950947E-13</v>
      </c>
      <c r="R38" s="22">
        <v>13.350802531379573</v>
      </c>
      <c r="S38" s="1">
        <v>1.5024642045187218E-13</v>
      </c>
      <c r="T38" s="23">
        <v>3.2224981673829612E-14</v>
      </c>
      <c r="V38" s="22">
        <v>13.350802531379573</v>
      </c>
      <c r="W38" s="1">
        <f t="shared" si="29"/>
        <v>1.6142796147066187E-2</v>
      </c>
      <c r="X38" s="23">
        <f t="shared" si="30"/>
        <v>4.46316638144717E-3</v>
      </c>
      <c r="AC38" s="1"/>
      <c r="AE38" s="1"/>
      <c r="AG38" s="1"/>
      <c r="AI38" s="1"/>
    </row>
    <row r="39" spans="8:35" x14ac:dyDescent="0.25">
      <c r="N39" s="25">
        <v>14.043949711939518</v>
      </c>
      <c r="O39" s="21">
        <v>9.166784980423683E-12</v>
      </c>
      <c r="P39" s="26">
        <v>5.8943466033521433E-13</v>
      </c>
      <c r="Q39" s="21"/>
      <c r="R39" s="25">
        <v>14.043949711939518</v>
      </c>
      <c r="S39" s="27">
        <v>1.2211052211021148E-12</v>
      </c>
      <c r="T39" s="26">
        <v>1.1173182486326164E-13</v>
      </c>
      <c r="V39" s="22">
        <v>14.043949711939518</v>
      </c>
      <c r="W39" s="1">
        <f t="shared" si="29"/>
        <v>0.13320975933327456</v>
      </c>
      <c r="X39" s="23">
        <f t="shared" si="30"/>
        <v>2.075430748244874E-2</v>
      </c>
      <c r="AC39" s="1"/>
      <c r="AE39" s="1"/>
      <c r="AG39" s="1"/>
      <c r="AI39" s="1"/>
    </row>
    <row r="40" spans="8:35" x14ac:dyDescent="0.25">
      <c r="N40" s="22">
        <v>14.960240443813674</v>
      </c>
      <c r="O40">
        <v>9.5093064987943891E-12</v>
      </c>
      <c r="P40" s="23">
        <v>6.0113179627756276E-13</v>
      </c>
      <c r="R40" s="22">
        <v>14.960240443813674</v>
      </c>
      <c r="S40" s="1">
        <v>3.7248867940580639E-13</v>
      </c>
      <c r="T40" s="23">
        <v>5.8684933516396209E-14</v>
      </c>
      <c r="V40" s="22">
        <v>14.960240443813674</v>
      </c>
      <c r="W40" s="1">
        <f t="shared" si="29"/>
        <v>3.9170961568336382E-2</v>
      </c>
      <c r="X40" s="23">
        <f t="shared" si="30"/>
        <v>8.6475122046297676E-3</v>
      </c>
    </row>
    <row r="41" spans="8:35" x14ac:dyDescent="0.25">
      <c r="N41" s="22">
        <v>15.65338762437362</v>
      </c>
      <c r="O41">
        <v>1.059529023911387E-11</v>
      </c>
      <c r="P41" s="24">
        <v>6.7041698852574108E-13</v>
      </c>
      <c r="R41" s="22">
        <v>15.65338762437362</v>
      </c>
      <c r="S41" s="1">
        <v>2.2932037895176313E-13</v>
      </c>
      <c r="T41" s="23">
        <v>6.0982258859219327E-14</v>
      </c>
      <c r="V41" s="22">
        <v>15.65338762437362</v>
      </c>
      <c r="W41" s="1">
        <f t="shared" si="29"/>
        <v>2.1643614641644982E-2</v>
      </c>
      <c r="X41" s="23">
        <f t="shared" si="30"/>
        <v>7.1251003138538237E-3</v>
      </c>
    </row>
    <row r="43" spans="8:35" x14ac:dyDescent="0.25">
      <c r="N43" s="22">
        <v>9.4387795259514284</v>
      </c>
      <c r="O43" s="22">
        <f>LN(O33)</f>
        <v>-25.394011055983277</v>
      </c>
      <c r="P43" s="23">
        <f>P33/O33</f>
        <v>6.1874788871985893E-2</v>
      </c>
      <c r="R43" s="22">
        <v>9.4387795259514284</v>
      </c>
      <c r="S43" s="22">
        <f>LN(ABS(S33))</f>
        <v>-32.735023687767047</v>
      </c>
      <c r="T43" s="23">
        <f>T33/ABS(S33)</f>
        <v>3.6663511559914714</v>
      </c>
    </row>
    <row r="44" spans="8:35" x14ac:dyDescent="0.25">
      <c r="N44" s="22">
        <v>10.355070257825583</v>
      </c>
      <c r="O44" s="22">
        <f t="shared" ref="O44:O51" si="31">LN(O34)</f>
        <v>-25.387520980581705</v>
      </c>
      <c r="P44" s="23">
        <f t="shared" ref="P44:P51" si="32">P34/O34</f>
        <v>6.1764208237643878E-2</v>
      </c>
      <c r="R44" s="22">
        <v>10.355070257825583</v>
      </c>
      <c r="S44" s="22">
        <f t="shared" ref="S44:S51" si="33">LN(ABS(S34))</f>
        <v>-31.829728931057755</v>
      </c>
      <c r="T44" s="23">
        <f t="shared" ref="T44:T51" si="34">T34/ABS(S34)</f>
        <v>1.3892165945336532</v>
      </c>
    </row>
    <row r="45" spans="8:35" x14ac:dyDescent="0.25">
      <c r="N45" s="22">
        <v>11.048217438385528</v>
      </c>
      <c r="O45" s="22">
        <f t="shared" si="31"/>
        <v>-25.390354616764242</v>
      </c>
      <c r="P45" s="23">
        <f t="shared" si="32"/>
        <v>6.1726694185257044E-2</v>
      </c>
      <c r="R45" s="22">
        <v>11.048217438385528</v>
      </c>
      <c r="S45" s="22">
        <f t="shared" si="33"/>
        <v>-32.30670624753251</v>
      </c>
      <c r="T45" s="23">
        <f t="shared" si="34"/>
        <v>2.351490495977651</v>
      </c>
    </row>
    <row r="46" spans="8:35" x14ac:dyDescent="0.25">
      <c r="N46" s="22">
        <v>11.741364618945473</v>
      </c>
      <c r="O46" s="22">
        <f t="shared" si="31"/>
        <v>-25.386398107451843</v>
      </c>
      <c r="P46" s="23">
        <f t="shared" si="32"/>
        <v>6.1818659841502269E-2</v>
      </c>
      <c r="R46" s="22">
        <v>11.741364618945473</v>
      </c>
      <c r="S46" s="22">
        <f t="shared" si="33"/>
        <v>-30.176875037813037</v>
      </c>
      <c r="T46" s="23">
        <f t="shared" si="34"/>
        <v>0.34253859364458927</v>
      </c>
    </row>
    <row r="47" spans="8:35" x14ac:dyDescent="0.25">
      <c r="N47" s="22">
        <v>12.657655350819628</v>
      </c>
      <c r="O47" s="22">
        <f t="shared" si="31"/>
        <v>-25.391531150440315</v>
      </c>
      <c r="P47" s="23">
        <f t="shared" si="32"/>
        <v>6.203220147438996E-2</v>
      </c>
      <c r="R47" s="22">
        <v>12.657655350819628</v>
      </c>
      <c r="S47" s="22">
        <f t="shared" si="33"/>
        <v>-29.622571426801425</v>
      </c>
      <c r="T47" s="23">
        <f t="shared" si="34"/>
        <v>0.2352463689438655</v>
      </c>
    </row>
    <row r="48" spans="8:35" x14ac:dyDescent="0.25">
      <c r="N48" s="22">
        <v>13.350802531379573</v>
      </c>
      <c r="O48" s="22">
        <f t="shared" si="31"/>
        <v>-25.400218257894196</v>
      </c>
      <c r="P48" s="23">
        <f t="shared" si="32"/>
        <v>6.1999516691469553E-2</v>
      </c>
      <c r="R48" s="22">
        <v>13.350802531379573</v>
      </c>
      <c r="S48" s="22">
        <f t="shared" si="33"/>
        <v>-29.526499645726769</v>
      </c>
      <c r="T48" s="23">
        <f t="shared" si="34"/>
        <v>0.21448086135371264</v>
      </c>
    </row>
    <row r="49" spans="14:20" x14ac:dyDescent="0.25">
      <c r="N49" s="22">
        <v>14.043949711939518</v>
      </c>
      <c r="O49" s="22">
        <f t="shared" si="31"/>
        <v>-25.415434493052114</v>
      </c>
      <c r="P49" s="23">
        <f t="shared" si="32"/>
        <v>6.4301133013809492E-2</v>
      </c>
      <c r="R49" s="22">
        <v>14.043949711939518</v>
      </c>
      <c r="S49" s="22">
        <f t="shared" si="33"/>
        <v>-27.431264748344127</v>
      </c>
      <c r="T49" s="23">
        <f t="shared" si="34"/>
        <v>9.1500570902823181E-2</v>
      </c>
    </row>
    <row r="50" spans="14:20" x14ac:dyDescent="0.25">
      <c r="N50" s="22">
        <v>14.960240443813674</v>
      </c>
      <c r="O50" s="22">
        <f t="shared" si="31"/>
        <v>-25.378750165395758</v>
      </c>
      <c r="P50" s="23">
        <f t="shared" si="32"/>
        <v>6.3215103683299675E-2</v>
      </c>
      <c r="R50" s="22">
        <v>14.960240443813674</v>
      </c>
      <c r="S50" s="22">
        <f t="shared" si="33"/>
        <v>-28.618569748409779</v>
      </c>
      <c r="T50" s="23">
        <f t="shared" si="34"/>
        <v>0.15754823370742532</v>
      </c>
    </row>
    <row r="51" spans="14:20" x14ac:dyDescent="0.25">
      <c r="N51" s="22">
        <v>15.65338762437362</v>
      </c>
      <c r="O51" s="22">
        <f t="shared" si="31"/>
        <v>-25.27061153061333</v>
      </c>
      <c r="P51" s="23">
        <f t="shared" si="32"/>
        <v>6.3274999872189527E-2</v>
      </c>
      <c r="R51" s="22">
        <v>15.65338762437362</v>
      </c>
      <c r="S51" s="22">
        <f t="shared" si="33"/>
        <v>-29.103656334369848</v>
      </c>
      <c r="T51" s="23">
        <f t="shared" si="34"/>
        <v>0.26592603386568958</v>
      </c>
    </row>
    <row r="53" spans="14:20" x14ac:dyDescent="0.25">
      <c r="N53" s="1">
        <v>9.3652877351411037E-12</v>
      </c>
      <c r="O53" s="23">
        <v>-6.0723926710257633E-15</v>
      </c>
      <c r="P53" s="23">
        <v>2.2263523889049447E-14</v>
      </c>
    </row>
    <row r="54" spans="14:20" x14ac:dyDescent="0.25">
      <c r="N54" s="1">
        <v>9.426266824100287E-12</v>
      </c>
      <c r="O54" s="23">
        <v>-1.5014966402738426E-14</v>
      </c>
      <c r="P54" s="23">
        <v>2.0859040493049493E-14</v>
      </c>
    </row>
    <row r="55" spans="14:20" x14ac:dyDescent="0.25">
      <c r="N55" s="1">
        <v>9.3995940217176684E-12</v>
      </c>
      <c r="O55" s="23">
        <v>9.319138113958697E-15</v>
      </c>
      <c r="P55" s="23">
        <v>2.1913864705676968E-14</v>
      </c>
    </row>
    <row r="56" spans="14:20" x14ac:dyDescent="0.25">
      <c r="N56" s="1">
        <v>9.4368572705831377E-12</v>
      </c>
      <c r="O56" s="23">
        <v>7.840607072674118E-14</v>
      </c>
      <c r="P56" s="23">
        <v>2.6857105199936124E-14</v>
      </c>
    </row>
    <row r="57" spans="14:20" x14ac:dyDescent="0.25">
      <c r="N57" s="1">
        <v>9.3885415858660982E-12</v>
      </c>
      <c r="O57" s="23">
        <v>1.3648366922757921E-13</v>
      </c>
      <c r="P57" s="23">
        <v>3.2107287605923598E-14</v>
      </c>
    </row>
    <row r="58" spans="14:20" x14ac:dyDescent="0.25">
      <c r="N58" s="1">
        <v>9.3073355497447805E-12</v>
      </c>
      <c r="O58" s="23">
        <v>1.5024642045187218E-13</v>
      </c>
      <c r="P58" s="23">
        <v>3.2224981673829612E-14</v>
      </c>
    </row>
    <row r="59" spans="14:20" x14ac:dyDescent="0.25">
      <c r="N59" s="1">
        <v>9.166784980423683E-12</v>
      </c>
      <c r="O59" s="23">
        <v>1.2211052211021148E-12</v>
      </c>
      <c r="P59" s="23">
        <v>1.1173182486326164E-13</v>
      </c>
    </row>
    <row r="60" spans="14:20" x14ac:dyDescent="0.25">
      <c r="N60" s="1">
        <v>9.5093064987943891E-12</v>
      </c>
      <c r="O60" s="23">
        <v>3.7248867940580639E-13</v>
      </c>
      <c r="P60" s="23">
        <v>5.8684933516396209E-14</v>
      </c>
    </row>
    <row r="61" spans="14:20" x14ac:dyDescent="0.25">
      <c r="N61" s="1">
        <v>1.059529023911387E-11</v>
      </c>
      <c r="O61" s="23">
        <v>2.2932037895176313E-13</v>
      </c>
      <c r="P61" s="23">
        <v>6.0982258859219327E-14</v>
      </c>
    </row>
  </sheetData>
  <mergeCells count="1">
    <mergeCell ref="D21:D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2010-05-18T10:55:11Z</dcterms:created>
  <dcterms:modified xsi:type="dcterms:W3CDTF">2010-05-26T00:29:07Z</dcterms:modified>
</cp:coreProperties>
</file>