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I-Peltier" sheetId="1" state="visible" r:id="rId2"/>
    <sheet name="II-bomba de calor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<sst xmlns="http://schemas.openxmlformats.org/spreadsheetml/2006/main" count="112" uniqueCount="60">
  <si>
    <t>Antes de começar a experiência</t>
  </si>
  <si>
    <t>Ta(2)</t>
  </si>
  <si>
    <t>(fonte quente)</t>
  </si>
  <si>
    <t>Tb(1)</t>
  </si>
  <si>
    <t>(fonte fria)</t>
  </si>
  <si>
    <t>Tc(4)</t>
  </si>
  <si>
    <t>(saida água)</t>
  </si>
  <si>
    <t>Td(3)</t>
  </si>
  <si>
    <t>(entrada água)</t>
  </si>
  <si>
    <t>Determinação resistência de carga óptima</t>
  </si>
  <si>
    <t>R2</t>
  </si>
  <si>
    <t>E1(V)</t>
  </si>
  <si>
    <t>V1(V)</t>
  </si>
  <si>
    <t>V2</t>
  </si>
  <si>
    <t>I1(A)</t>
  </si>
  <si>
    <t>I2</t>
  </si>
  <si>
    <t>Φ(kg/s)</t>
  </si>
  <si>
    <t>Ra</t>
  </si>
  <si>
    <t>V(amp)</t>
  </si>
  <si>
    <t>Ta</t>
  </si>
  <si>
    <t>Tb</t>
  </si>
  <si>
    <t>Tc</t>
  </si>
  <si>
    <t>Td</t>
  </si>
  <si>
    <t>V(ml)</t>
  </si>
  <si>
    <t>t(s)</t>
  </si>
  <si>
    <t>εφ</t>
  </si>
  <si>
    <t>Erro caudal by rodrigo</t>
  </si>
  <si>
    <t>Medição</t>
  </si>
  <si>
    <t>Erro</t>
  </si>
  <si>
    <t>R2_o</t>
  </si>
  <si>
    <t>Media Ra</t>
  </si>
  <si>
    <t>Erro Ra by R</t>
  </si>
  <si>
    <t>Rendimento</t>
  </si>
  <si>
    <t>(possivelmete adicionar Ra</t>
  </si>
  <si>
    <t>P1(quente)</t>
  </si>
  <si>
    <t>P2</t>
  </si>
  <si>
    <t>P3(Fria)</t>
  </si>
  <si>
    <t>η_carnot</t>
  </si>
  <si>
    <t>η_1</t>
  </si>
  <si>
    <t>η2</t>
  </si>
  <si>
    <t>Pcalor</t>
  </si>
  <si>
    <t>Condução térmica</t>
  </si>
  <si>
    <t>Ta-Tb objetivo</t>
  </si>
  <si>
    <t>Ta-Tb obtido</t>
  </si>
  <si>
    <t>Pcalor?</t>
  </si>
  <si>
    <t>n_3</t>
  </si>
  <si>
    <t>Rt</t>
  </si>
  <si>
    <t>este rendimento é calculado com o novo P3?</t>
  </si>
  <si>
    <t>1/((D34+F34-D48)*(D34+F34-D48))*(ABS(F34-D48)*E34+D34*G34+D34*E48)</t>
  </si>
  <si>
    <t>Ta/Eta</t>
  </si>
  <si>
    <t>Tb/Etb</t>
  </si>
  <si>
    <t>Tc/Etc</t>
  </si>
  <si>
    <t>Td/Etd</t>
  </si>
  <si>
    <t>E2(V)</t>
  </si>
  <si>
    <t>V2(V)</t>
  </si>
  <si>
    <t>I2(A)</t>
  </si>
  <si>
    <t>P1</t>
  </si>
  <si>
    <t>P3</t>
  </si>
  <si>
    <t>COP?</t>
  </si>
  <si>
    <t>COPideal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</si>
</sst>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E+00"/>
    <numFmt numFmtId="166" formatCode="_-* #,##0.00\ _€_-;\-* #,##0.00\ _€_-;_-* \-??\ _€_-;_-@_-"/>
    <numFmt numFmtId="167" formatCode="0.000E+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604A7B"/>
      <name val="Calibri"/>
      <family val="2"/>
      <charset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93CDDD"/>
        <bgColor rgb="FF99CCFF"/>
      </patternFill>
    </fill>
    <fill>
      <patternFill patternType="solid">
        <fgColor rgb="FFB7DEE8"/>
        <bgColor rgb="FFB9CDE5"/>
      </patternFill>
    </fill>
    <fill>
      <patternFill patternType="solid">
        <fgColor rgb="FFFDEADA"/>
        <bgColor rgb="FFEEECE1"/>
      </patternFill>
    </fill>
    <fill>
      <patternFill patternType="solid">
        <fgColor rgb="FFF79646"/>
        <bgColor rgb="FFCC9900"/>
      </patternFill>
    </fill>
    <fill>
      <patternFill patternType="solid">
        <fgColor rgb="FFEBF1DE"/>
        <bgColor rgb="FFEEECE1"/>
      </patternFill>
    </fill>
    <fill>
      <patternFill patternType="solid">
        <fgColor rgb="FFFFFF00"/>
        <bgColor rgb="FFFFFF66"/>
      </patternFill>
    </fill>
    <fill>
      <patternFill patternType="solid">
        <fgColor rgb="FFFCD5B5"/>
        <bgColor rgb="FFFDEADA"/>
      </patternFill>
    </fill>
    <fill>
      <patternFill patternType="solid">
        <fgColor rgb="FFFAC090"/>
        <bgColor rgb="FFE6B9B8"/>
      </patternFill>
    </fill>
    <fill>
      <patternFill patternType="solid">
        <fgColor rgb="FF604A7B"/>
        <bgColor rgb="FF333399"/>
      </patternFill>
    </fill>
    <fill>
      <patternFill patternType="solid">
        <fgColor rgb="FFB3A2C7"/>
        <bgColor rgb="FFC4BD97"/>
      </patternFill>
    </fill>
    <fill>
      <patternFill patternType="solid">
        <fgColor rgb="FF9BBB59"/>
        <bgColor rgb="FFC4BD97"/>
      </patternFill>
    </fill>
    <fill>
      <patternFill patternType="solid">
        <fgColor rgb="FFB9CDE5"/>
        <bgColor rgb="FFB7DEE8"/>
      </patternFill>
    </fill>
    <fill>
      <patternFill patternType="solid">
        <fgColor rgb="FFC3D69B"/>
        <bgColor rgb="FFD7E4BD"/>
      </patternFill>
    </fill>
    <fill>
      <patternFill patternType="solid">
        <fgColor rgb="FFC0504D"/>
        <bgColor rgb="FF993366"/>
      </patternFill>
    </fill>
    <fill>
      <patternFill patternType="solid">
        <fgColor rgb="FF77933C"/>
        <bgColor rgb="FF948A54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4BACC6"/>
        <bgColor rgb="FF4F81BD"/>
      </patternFill>
    </fill>
    <fill>
      <patternFill patternType="solid">
        <fgColor rgb="FF4F81BD"/>
        <bgColor rgb="FF31859C"/>
      </patternFill>
    </fill>
    <fill>
      <patternFill patternType="solid">
        <fgColor rgb="FFDCE6F2"/>
        <bgColor rgb="FFDBEEF4"/>
      </patternFill>
    </fill>
    <fill>
      <patternFill patternType="solid">
        <fgColor rgb="FF948A54"/>
        <bgColor rgb="FF878787"/>
      </patternFill>
    </fill>
    <fill>
      <patternFill patternType="solid">
        <fgColor rgb="FFEEECE1"/>
        <bgColor rgb="FFEBF1DE"/>
      </patternFill>
    </fill>
    <fill>
      <patternFill patternType="solid">
        <fgColor rgb="FFC4BD97"/>
        <bgColor rgb="FFC3D69B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CC9900"/>
        <bgColor rgb="FFF79646"/>
      </patternFill>
    </fill>
    <fill>
      <patternFill patternType="solid">
        <fgColor rgb="FF31859C"/>
        <bgColor rgb="FF4F81BD"/>
      </patternFill>
    </fill>
    <fill>
      <patternFill patternType="solid">
        <fgColor rgb="FFDBEEF4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EECE1"/>
      <rgbColor rgb="FF800000"/>
      <rgbColor rgb="FF008000"/>
      <rgbColor rgb="FF000080"/>
      <rgbColor rgb="FF77933C"/>
      <rgbColor rgb="FF800080"/>
      <rgbColor rgb="FF008080"/>
      <rgbColor rgb="FFC4BD97"/>
      <rgbColor rgb="FF878787"/>
      <rgbColor rgb="FF93CDDD"/>
      <rgbColor rgb="FFC0504D"/>
      <rgbColor rgb="FFEBF1DE"/>
      <rgbColor rgb="FFDBEEF4"/>
      <rgbColor rgb="FF660066"/>
      <rgbColor rgb="FFFCD5B5"/>
      <rgbColor rgb="FF0066CC"/>
      <rgbColor rgb="FFB9CDE5"/>
      <rgbColor rgb="FF000080"/>
      <rgbColor rgb="FFFF00FF"/>
      <rgbColor rgb="FFFFFF66"/>
      <rgbColor rgb="FFFDEADA"/>
      <rgbColor rgb="FF800080"/>
      <rgbColor rgb="FF800000"/>
      <rgbColor rgb="FF008080"/>
      <rgbColor rgb="FF0000FF"/>
      <rgbColor rgb="FFB7DEE8"/>
      <rgbColor rgb="FFDCE6F2"/>
      <rgbColor rgb="FFD7E4BD"/>
      <rgbColor rgb="FFFFFF99"/>
      <rgbColor rgb="FF99CCFF"/>
      <rgbColor rgb="FFE6B9B8"/>
      <rgbColor rgb="FFB3A2C7"/>
      <rgbColor rgb="FFFAC090"/>
      <rgbColor rgb="FF4F81BD"/>
      <rgbColor rgb="FF4BACC6"/>
      <rgbColor rgb="FF9BBB59"/>
      <rgbColor rgb="FFCC9900"/>
      <rgbColor rgb="FFF79646"/>
      <rgbColor rgb="FFC3D69B"/>
      <rgbColor rgb="FF604A7B"/>
      <rgbColor rgb="FF948A54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'I-Peltier'!$A$27:$A$31</c:f>
              <c:numCache>
                <c:formatCode>General</c:formatCode>
                <c:ptCount val="5"/>
                <c:pt idx="0">
                  <c:v>7</c:v>
                </c:pt>
                <c:pt idx="1">
                  <c:v>10.07</c:v>
                </c:pt>
                <c:pt idx="2">
                  <c:v>13.01</c:v>
                </c:pt>
                <c:pt idx="3">
                  <c:v/>
                </c:pt>
                <c:pt idx="4">
                  <c:v>15.99</c:v>
                </c:pt>
              </c:numCache>
            </c:numRef>
          </c:xVal>
          <c:yVal>
            <c:numRef>
              <c:f>'I-Peltier'!$N$27:$N$31</c:f>
              <c:numCache>
                <c:formatCode>General</c:formatCode>
                <c:ptCount val="5"/>
                <c:pt idx="0">
                  <c:v>0.900647990278851</c:v>
                </c:pt>
                <c:pt idx="1">
                  <c:v>1.12817339485611</c:v>
                </c:pt>
                <c:pt idx="2">
                  <c:v>3.77437058191613</c:v>
                </c:pt>
                <c:pt idx="3">
                  <c:v/>
                </c:pt>
                <c:pt idx="4">
                  <c:v>4.9430786319149</c:v>
                </c:pt>
              </c:numCache>
            </c:numRef>
          </c:yVal>
        </c:ser>
        <c:axId val="73995471"/>
        <c:axId val="64148019"/>
      </c:scatterChart>
      <c:valAx>
        <c:axId val="73995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148019"/>
        <c:crossesAt val="0"/>
      </c:valAx>
      <c:valAx>
        <c:axId val="641480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954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'I-Peltier'!$A$27:$A$31</c:f>
              <c:numCache>
                <c:formatCode>General</c:formatCode>
                <c:ptCount val="5"/>
                <c:pt idx="0">
                  <c:v>7</c:v>
                </c:pt>
                <c:pt idx="1">
                  <c:v>10.07</c:v>
                </c:pt>
                <c:pt idx="2">
                  <c:v>13.01</c:v>
                </c:pt>
                <c:pt idx="3">
                  <c:v/>
                </c:pt>
                <c:pt idx="4">
                  <c:v>15.99</c:v>
                </c:pt>
              </c:numCache>
            </c:numRef>
          </c:xVal>
          <c:yVal>
            <c:numRef>
              <c:f>'I-Peltier'!$B$27:$B$31</c:f>
              <c:numCache>
                <c:formatCode>General</c:formatCode>
                <c:ptCount val="5"/>
                <c:pt idx="0">
                  <c:v>2.45</c:v>
                </c:pt>
                <c:pt idx="1">
                  <c:v>5.04507</c:v>
                </c:pt>
                <c:pt idx="2">
                  <c:v>8.41747</c:v>
                </c:pt>
                <c:pt idx="3">
                  <c:v/>
                </c:pt>
                <c:pt idx="4">
                  <c:v>12.68007</c:v>
                </c:pt>
              </c:numCache>
            </c:numRef>
          </c:yVal>
        </c:ser>
        <c:axId val="29530098"/>
        <c:axId val="31135209"/>
      </c:scatterChart>
      <c:valAx>
        <c:axId val="295300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135209"/>
        <c:crossesAt val="0"/>
      </c:valAx>
      <c:valAx>
        <c:axId val="311352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53009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'I-Peltier'!$A$27:$A$31</c:f>
              <c:numCache>
                <c:formatCode>General</c:formatCode>
                <c:ptCount val="5"/>
                <c:pt idx="0">
                  <c:v>7</c:v>
                </c:pt>
                <c:pt idx="1">
                  <c:v>10.07</c:v>
                </c:pt>
                <c:pt idx="2">
                  <c:v>13.01</c:v>
                </c:pt>
                <c:pt idx="3">
                  <c:v/>
                </c:pt>
                <c:pt idx="4">
                  <c:v>15.99</c:v>
                </c:pt>
              </c:numCache>
            </c:numRef>
          </c:xVal>
          <c:yVal>
            <c:numRef>
              <c:f>'I-Peltier'!$D$27:$D$31</c:f>
              <c:numCache>
                <c:formatCode>General</c:formatCode>
                <c:ptCount val="5"/>
                <c:pt idx="0">
                  <c:v>0.0042849</c:v>
                </c:pt>
                <c:pt idx="1">
                  <c:v>0.0173056</c:v>
                </c:pt>
                <c:pt idx="2">
                  <c:v>0.0469225</c:v>
                </c:pt>
                <c:pt idx="3">
                  <c:v/>
                </c:pt>
                <c:pt idx="4">
                  <c:v>0.1026169</c:v>
                </c:pt>
              </c:numCache>
            </c:numRef>
          </c:yVal>
        </c:ser>
        <c:axId val="38025529"/>
        <c:axId val="96026422"/>
      </c:scatterChart>
      <c:valAx>
        <c:axId val="380255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026422"/>
        <c:crossesAt val="0"/>
      </c:valAx>
      <c:valAx>
        <c:axId val="960264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02552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smooth val="1"/>
          <c:xVal>
            <c:numRef>
              <c:f>'I-Peltier'!$A$27:$A$31</c:f>
              <c:numCache>
                <c:formatCode>General</c:formatCode>
                <c:ptCount val="5"/>
                <c:pt idx="0">
                  <c:v>7</c:v>
                </c:pt>
                <c:pt idx="1">
                  <c:v>10.07</c:v>
                </c:pt>
                <c:pt idx="2">
                  <c:v>13.01</c:v>
                </c:pt>
                <c:pt idx="3">
                  <c:v/>
                </c:pt>
                <c:pt idx="4">
                  <c:v>15.99</c:v>
                </c:pt>
              </c:numCache>
            </c:numRef>
          </c:xVal>
          <c:yVal>
            <c:numRef>
              <c:f>'I-Peltier'!$F$27:$F$31</c:f>
              <c:numCache>
                <c:formatCode>General</c:formatCode>
                <c:ptCount val="5"/>
                <c:pt idx="0">
                  <c:v>1.54506710972115</c:v>
                </c:pt>
                <c:pt idx="1">
                  <c:v>3.89959100514389</c:v>
                </c:pt>
                <c:pt idx="2">
                  <c:v>4.59617691808386</c:v>
                </c:pt>
                <c:pt idx="3">
                  <c:v/>
                </c:pt>
                <c:pt idx="4">
                  <c:v>7.63437446808511</c:v>
                </c:pt>
              </c:numCache>
            </c:numRef>
          </c:yVal>
        </c:ser>
        <c:axId val="28719099"/>
        <c:axId val="53939270"/>
      </c:scatterChart>
      <c:valAx>
        <c:axId val="287190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939270"/>
        <c:crossesAt val="0"/>
      </c:valAx>
      <c:valAx>
        <c:axId val="539392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71909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604800</xdr:colOff>
      <xdr:row>14</xdr:row>
      <xdr:rowOff>183600</xdr:rowOff>
    </xdr:from>
    <xdr:to>
      <xdr:col>26</xdr:col>
      <xdr:colOff>463680</xdr:colOff>
      <xdr:row>29</xdr:row>
      <xdr:rowOff>3960</xdr:rowOff>
    </xdr:to>
    <xdr:graphicFrame>
      <xdr:nvGraphicFramePr>
        <xdr:cNvPr id="0" name="Chart 1"/>
        <xdr:cNvGraphicFramePr/>
      </xdr:nvGraphicFramePr>
      <xdr:xfrm>
        <a:off x="17116560" y="2977560"/>
        <a:ext cx="58683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147600</xdr:colOff>
      <xdr:row>32</xdr:row>
      <xdr:rowOff>110880</xdr:rowOff>
    </xdr:from>
    <xdr:to>
      <xdr:col>25</xdr:col>
      <xdr:colOff>826200</xdr:colOff>
      <xdr:row>52</xdr:row>
      <xdr:rowOff>122040</xdr:rowOff>
    </xdr:to>
    <xdr:graphicFrame>
      <xdr:nvGraphicFramePr>
        <xdr:cNvPr id="1" name="Chart 2"/>
        <xdr:cNvGraphicFramePr/>
      </xdr:nvGraphicFramePr>
      <xdr:xfrm>
        <a:off x="16659360" y="6397200"/>
        <a:ext cx="5829840" cy="388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668520</xdr:colOff>
      <xdr:row>42</xdr:row>
      <xdr:rowOff>133200</xdr:rowOff>
    </xdr:from>
    <xdr:to>
      <xdr:col>26</xdr:col>
      <xdr:colOff>527400</xdr:colOff>
      <xdr:row>57</xdr:row>
      <xdr:rowOff>16920</xdr:rowOff>
    </xdr:to>
    <xdr:graphicFrame>
      <xdr:nvGraphicFramePr>
        <xdr:cNvPr id="2" name="Chart 3"/>
        <xdr:cNvGraphicFramePr/>
      </xdr:nvGraphicFramePr>
      <xdr:xfrm>
        <a:off x="17180280" y="8388000"/>
        <a:ext cx="58683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511560</xdr:colOff>
      <xdr:row>44</xdr:row>
      <xdr:rowOff>31680</xdr:rowOff>
    </xdr:from>
    <xdr:to>
      <xdr:col>25</xdr:col>
      <xdr:colOff>146520</xdr:colOff>
      <xdr:row>58</xdr:row>
      <xdr:rowOff>105840</xdr:rowOff>
    </xdr:to>
    <xdr:graphicFrame>
      <xdr:nvGraphicFramePr>
        <xdr:cNvPr id="3" name="Chart 4"/>
        <xdr:cNvGraphicFramePr/>
      </xdr:nvGraphicFramePr>
      <xdr:xfrm>
        <a:off x="16164720" y="8667360"/>
        <a:ext cx="5644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83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80" zoomScaleNormal="80" zoomScalePageLayoutView="100" workbookViewId="0">
      <selection pane="topLeft" activeCell="K51" activeCellId="0" sqref="K51"/>
    </sheetView>
  </sheetViews>
  <sheetFormatPr defaultRowHeight="15"/>
  <cols>
    <col collapsed="false" hidden="false" max="7" min="1" style="0" width="8.83333333333333"/>
    <col collapsed="false" hidden="false" max="8" min="8" style="0" width="10.8888888888889"/>
    <col collapsed="false" hidden="false" max="1025" min="9" style="0" width="8.83333333333333"/>
  </cols>
  <sheetData>
    <row r="1" customFormat="false" ht="20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3" t="n">
        <v>19.4</v>
      </c>
      <c r="C2" s="3" t="n">
        <v>0.002</v>
      </c>
      <c r="D2" s="0" t="s">
        <v>2</v>
      </c>
      <c r="F2" s="3" t="n">
        <v>19.28</v>
      </c>
      <c r="G2" s="0" t="n">
        <f aca="false">AVERAGE(F2:F5)</f>
        <v>19.4175</v>
      </c>
      <c r="H2" s="0" t="n">
        <f aca="false">$G$2-F2</f>
        <v>0.137499999999999</v>
      </c>
    </row>
    <row r="3" customFormat="false" ht="15" hidden="false" customHeight="false" outlineLevel="0" collapsed="false">
      <c r="A3" s="2" t="s">
        <v>3</v>
      </c>
      <c r="B3" s="3" t="n">
        <v>19.28</v>
      </c>
      <c r="C3" s="3" t="n">
        <v>0.002</v>
      </c>
      <c r="D3" s="0" t="s">
        <v>4</v>
      </c>
      <c r="F3" s="3" t="n">
        <v>19.4</v>
      </c>
      <c r="H3" s="0" t="n">
        <f aca="false">$G$2-F3</f>
        <v>0.0175000000000018</v>
      </c>
    </row>
    <row r="4" customFormat="false" ht="15" hidden="false" customHeight="false" outlineLevel="0" collapsed="false">
      <c r="A4" s="2" t="s">
        <v>5</v>
      </c>
      <c r="B4" s="3" t="n">
        <v>19.58</v>
      </c>
      <c r="C4" s="3" t="n">
        <v>0.002</v>
      </c>
      <c r="D4" s="0" t="s">
        <v>6</v>
      </c>
      <c r="F4" s="3" t="n">
        <v>19.58</v>
      </c>
      <c r="H4" s="0" t="n">
        <f aca="false">$G$2-F4</f>
        <v>-0.162499999999998</v>
      </c>
    </row>
    <row r="5" customFormat="false" ht="15" hidden="false" customHeight="false" outlineLevel="0" collapsed="false">
      <c r="A5" s="2" t="s">
        <v>7</v>
      </c>
      <c r="B5" s="3" t="n">
        <v>19.41</v>
      </c>
      <c r="C5" s="3" t="n">
        <v>0.002</v>
      </c>
      <c r="D5" s="0" t="s">
        <v>8</v>
      </c>
      <c r="F5" s="3" t="n">
        <v>19.41</v>
      </c>
      <c r="H5" s="0" t="n">
        <f aca="false">$G$2-F5</f>
        <v>0.00750000000000028</v>
      </c>
      <c r="P5" s="0" t="n">
        <v>41.068</v>
      </c>
      <c r="Q5" s="0" t="n">
        <v>27.124</v>
      </c>
      <c r="R5" s="0" t="n">
        <v>20.727</v>
      </c>
      <c r="S5" s="0" t="n">
        <v>19.635</v>
      </c>
    </row>
    <row r="6" customFormat="false" ht="15" hidden="false" customHeight="false" outlineLevel="0" collapsed="false">
      <c r="I6" s="0" t="n">
        <f aca="false">I10*($G$13/G10+$J$12/J10)</f>
        <v>0.0352624690998982</v>
      </c>
      <c r="P6" s="0" t="n">
        <v>40.902</v>
      </c>
      <c r="Q6" s="0" t="n">
        <v>27.023</v>
      </c>
      <c r="R6" s="0" t="n">
        <v>20.626</v>
      </c>
      <c r="S6" s="0" t="n">
        <v>19.659</v>
      </c>
    </row>
    <row r="7" customFormat="false" ht="20" hidden="false" customHeight="false" outlineLevel="0" collapsed="false">
      <c r="A7" s="1" t="s">
        <v>9</v>
      </c>
      <c r="I7" s="0" t="n">
        <f aca="false">I11*($G$13/G11+$J$12/J11)</f>
        <v>0.0287740861994197</v>
      </c>
      <c r="J7" s="4" t="n">
        <v>40.797</v>
      </c>
      <c r="K7" s="4" t="n">
        <v>26.582</v>
      </c>
      <c r="L7" s="4" t="n">
        <v>20.206</v>
      </c>
      <c r="M7" s="4" t="n">
        <v>19.341</v>
      </c>
    </row>
    <row r="8" customFormat="false" ht="15" hidden="false" customHeight="false" outlineLevel="0" collapsed="false">
      <c r="J8" s="0" t="n">
        <v>40.979</v>
      </c>
      <c r="K8" s="0" t="n">
        <v>26.657</v>
      </c>
      <c r="L8" s="0" t="n">
        <v>20.29</v>
      </c>
      <c r="M8" s="0" t="n">
        <v>19.389</v>
      </c>
    </row>
    <row r="9" customFormat="false" ht="15" hidden="false" customHeight="false" outlineLevel="0" collapsed="false"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19</v>
      </c>
      <c r="L9" s="5" t="s">
        <v>20</v>
      </c>
      <c r="M9" s="5" t="s">
        <v>21</v>
      </c>
      <c r="N9" s="5" t="s">
        <v>22</v>
      </c>
      <c r="O9" s="5" t="s">
        <v>23</v>
      </c>
      <c r="P9" s="5" t="s">
        <v>24</v>
      </c>
      <c r="Q9" s="5" t="s">
        <v>16</v>
      </c>
      <c r="R9" s="5" t="s">
        <v>25</v>
      </c>
      <c r="S9" s="0" t="s">
        <v>26</v>
      </c>
    </row>
    <row r="10" customFormat="false" ht="15" hidden="false" customHeight="false" outlineLevel="0" collapsed="false">
      <c r="A10" s="5" t="s">
        <v>27</v>
      </c>
      <c r="B10" s="4" t="n">
        <v>5</v>
      </c>
      <c r="C10" s="4" t="n">
        <v>10.07</v>
      </c>
      <c r="D10" s="4" t="n">
        <v>10.07</v>
      </c>
      <c r="E10" s="4" t="n">
        <v>0.333</v>
      </c>
      <c r="F10" s="4" t="n">
        <v>0.501</v>
      </c>
      <c r="G10" s="4" t="n">
        <v>0.0598</v>
      </c>
      <c r="H10" s="6" t="n">
        <f aca="false">Q10</f>
        <v>0.000982318271119843</v>
      </c>
      <c r="I10" s="4" t="n">
        <f aca="false">J10/G10</f>
        <v>0.217391304347826</v>
      </c>
      <c r="J10" s="4" t="n">
        <v>0.013</v>
      </c>
      <c r="K10" s="7" t="n">
        <f aca="false">AVERAGE(J7:J8)+$H$2</f>
        <v>41.0255</v>
      </c>
      <c r="L10" s="7" t="n">
        <f aca="false">AVERAGE(K7:K8)+$H$3</f>
        <v>26.637</v>
      </c>
      <c r="M10" s="7" t="n">
        <f aca="false">AVERAGE(L7:L8)</f>
        <v>20.248</v>
      </c>
      <c r="N10" s="7" t="n">
        <f aca="false">AVERAGE(M7:M8)</f>
        <v>19.365</v>
      </c>
      <c r="O10" s="8" t="n">
        <v>65</v>
      </c>
      <c r="P10" s="8" t="n">
        <v>66.17</v>
      </c>
      <c r="Q10" s="9" t="n">
        <f aca="false">O10*(0.001)/P10</f>
        <v>0.000982318271119843</v>
      </c>
      <c r="R10" s="8" t="n">
        <f aca="false">(0.000001)*$O$12/P10+$P$12*(0.000001)*(O10/(P10*P10))</f>
        <v>3.31942519906902E-009</v>
      </c>
      <c r="S10" s="10" t="n">
        <f aca="false">Q10*($O$12/O10+$P$12/P10)</f>
        <v>3.31942519906902E-006</v>
      </c>
      <c r="T10" s="11" t="n">
        <f aca="false">(0.001)*$O$12/P10+$P$12*(0.001)*(O10/(P10*P10))</f>
        <v>3.31942519906902E-006</v>
      </c>
    </row>
    <row r="11" customFormat="false" ht="15" hidden="false" customHeight="false" outlineLevel="0" collapsed="false">
      <c r="A11" s="5"/>
      <c r="B11" s="4" t="n">
        <v>2</v>
      </c>
      <c r="C11" s="4" t="n">
        <v>10.07</v>
      </c>
      <c r="D11" s="4" t="n">
        <v>10.07</v>
      </c>
      <c r="E11" s="4" t="n">
        <v>0.261</v>
      </c>
      <c r="F11" s="4" t="n">
        <v>0.501</v>
      </c>
      <c r="G11" s="4" t="n">
        <v>0.0733</v>
      </c>
      <c r="H11" s="6" t="n">
        <f aca="false">Q11</f>
        <v>0.00097599577947771</v>
      </c>
      <c r="I11" s="4" t="n">
        <f aca="false">J11/G11</f>
        <v>0.218281036834925</v>
      </c>
      <c r="J11" s="4" t="n">
        <v>0.016</v>
      </c>
      <c r="K11" s="7" t="n">
        <f aca="false">AVERAGE(J8:J9)+$H$2</f>
        <v>41.1165</v>
      </c>
      <c r="L11" s="7" t="n">
        <f aca="false">AVERAGE(Q5:Q6)+$H$3</f>
        <v>27.091</v>
      </c>
      <c r="M11" s="7" t="n">
        <f aca="false">AVERAGE(R5:R6)</f>
        <v>20.6765</v>
      </c>
      <c r="N11" s="7" t="n">
        <f aca="false">AVERAGE(S5:S6)</f>
        <v>19.647</v>
      </c>
      <c r="O11" s="8" t="n">
        <v>74</v>
      </c>
      <c r="P11" s="8" t="n">
        <v>75.82</v>
      </c>
      <c r="Q11" s="9" t="n">
        <f aca="false">O11*(0.001)/P11</f>
        <v>0.00097599577947771</v>
      </c>
      <c r="R11" s="8" t="n">
        <f aca="false">(0.000001)*$O$12/P11+$P$12*(0.000001)*(O11/(P11*P11))</f>
        <v>2.89527717738795E-009</v>
      </c>
      <c r="S11" s="10" t="n">
        <f aca="false">Q11*($O$12/O11+$P$12/P11)</f>
        <v>2.89527717738795E-006</v>
      </c>
      <c r="T11" s="11" t="n">
        <f aca="false">(0.001)*$O$12/P11+$P$12*(0.001)*(O11/(P11*P11))</f>
        <v>2.89527717738795E-006</v>
      </c>
    </row>
    <row r="12" customFormat="false" ht="15" hidden="false" customHeight="false" outlineLevel="0" collapsed="false">
      <c r="A12" s="5" t="s">
        <v>28</v>
      </c>
      <c r="B12" s="12"/>
      <c r="C12" s="12"/>
      <c r="D12" s="12"/>
      <c r="E12" s="12"/>
      <c r="F12" s="12"/>
      <c r="G12" s="12" t="n">
        <v>0.005</v>
      </c>
      <c r="H12" s="12"/>
      <c r="I12" s="12" t="n">
        <f aca="false">J12/G10+G12*J10/(G10*G10)</f>
        <v>0.0516213465173768</v>
      </c>
      <c r="J12" s="12" t="n">
        <v>0.002</v>
      </c>
      <c r="K12" s="12" t="n">
        <f aca="false">MAX(ABS(J7-J8)/2,0.002)</f>
        <v>0.0910000000000011</v>
      </c>
      <c r="L12" s="12" t="n">
        <f aca="false">MAX(ABS(K7-K8)/2,0.002)</f>
        <v>0.0374999999999996</v>
      </c>
      <c r="M12" s="12" t="n">
        <f aca="false">MAX(ABS(L7-L8)/2,0.002)</f>
        <v>0.0419999999999998</v>
      </c>
      <c r="N12" s="12" t="n">
        <f aca="false">MAX(ABS(M7-M8)/2,0.002)</f>
        <v>0.0239999999999991</v>
      </c>
      <c r="O12" s="13" t="n">
        <v>0.2</v>
      </c>
      <c r="P12" s="13" t="n">
        <v>0.02</v>
      </c>
      <c r="Q12" s="13"/>
    </row>
    <row r="13" customFormat="false" ht="15" hidden="false" customHeight="false" outlineLevel="0" collapsed="false">
      <c r="A13" s="5" t="s">
        <v>29</v>
      </c>
      <c r="B13" s="14" t="n">
        <f aca="false">(5*G10-2*G11)/(G11-G10)-2*I13</f>
        <v>10.8532165477061</v>
      </c>
      <c r="C13" s="14" t="n">
        <f aca="false">2*I12+3*G12*(ABS(G11)+ABS(G10))/((G11-G10)*(G11-G10))</f>
        <v>11.0579752033228</v>
      </c>
      <c r="D13" s="0" t="n">
        <f aca="false">3*(G10*G13+G11*G13)/((G11-G10)*(G11-G10))+2*I12</f>
        <v>1.19871594406356</v>
      </c>
      <c r="G13" s="0" t="n">
        <v>0.0005</v>
      </c>
      <c r="H13" s="2" t="s">
        <v>30</v>
      </c>
      <c r="I13" s="2" t="n">
        <f aca="false">AVERAGE(I10:I11)</f>
        <v>0.217836170591375</v>
      </c>
      <c r="K13" s="0" t="n">
        <f aca="false">MAX(ABS(P5-P6)/2,0.002)</f>
        <v>0.0829999999999984</v>
      </c>
      <c r="L13" s="0" t="n">
        <f aca="false">MAX(ABS(Q5-Q6)/2,0.002)</f>
        <v>0.0504999999999995</v>
      </c>
      <c r="M13" s="0" t="n">
        <f aca="false">MAX(ABS(R5-R6)/2,0.002)</f>
        <v>0.0504999999999995</v>
      </c>
      <c r="N13" s="0" t="n">
        <f aca="false">MAX(ABS(S5-S6)/2,0.002)</f>
        <v>0.0119999999999987</v>
      </c>
      <c r="P13" s="15"/>
      <c r="Q13" s="15"/>
    </row>
    <row r="14" customFormat="false" ht="15" hidden="false" customHeight="false" outlineLevel="0" collapsed="false">
      <c r="H14" s="0" t="s">
        <v>31</v>
      </c>
      <c r="I14" s="0" t="n">
        <f aca="false">MAX(ABS(I11-I10)/2,ABS(I6+I7)/2)</f>
        <v>0.0320182776496589</v>
      </c>
    </row>
    <row r="15" customFormat="false" ht="20" hidden="false" customHeight="false" outlineLevel="0" collapsed="false">
      <c r="A15" s="1" t="s">
        <v>32</v>
      </c>
    </row>
    <row r="16" customFormat="false" ht="15" hidden="false" customHeight="false" outlineLevel="0" collapsed="false">
      <c r="A16" s="16" t="s">
        <v>10</v>
      </c>
      <c r="B16" s="17" t="n">
        <v>10</v>
      </c>
      <c r="C16" s="17" t="n">
        <f aca="false">C13</f>
        <v>11.0579752033228</v>
      </c>
      <c r="D16" s="0" t="s">
        <v>33</v>
      </c>
      <c r="K16" s="0" t="n">
        <v>42.442</v>
      </c>
      <c r="L16" s="0" t="n">
        <v>27.455</v>
      </c>
      <c r="M16" s="0" t="n">
        <v>21.02</v>
      </c>
      <c r="N16" s="0" t="n">
        <v>19.95</v>
      </c>
      <c r="P16" s="0" t="n">
        <v>31.821</v>
      </c>
      <c r="Q16" s="0" t="n">
        <v>24.242</v>
      </c>
      <c r="R16" s="0" t="n">
        <v>20.915</v>
      </c>
      <c r="S16" s="0" t="n">
        <v>20.214</v>
      </c>
    </row>
    <row r="17" customFormat="false" ht="15" hidden="false" customHeight="false" outlineLevel="0" collapsed="false">
      <c r="K17" s="0" t="n">
        <v>42.299</v>
      </c>
      <c r="L17" s="0" t="n">
        <v>27.336</v>
      </c>
      <c r="M17" s="0" t="n">
        <v>21.046</v>
      </c>
      <c r="N17" s="0" t="n">
        <v>19.919</v>
      </c>
      <c r="P17" s="0" t="n">
        <v>31.887</v>
      </c>
      <c r="Q17" s="0" t="n">
        <v>24.277</v>
      </c>
      <c r="R17" s="0" t="n">
        <v>20.856</v>
      </c>
      <c r="S17" s="0" t="n">
        <v>20.187</v>
      </c>
    </row>
    <row r="18" customFormat="false" ht="15" hidden="false" customHeight="false" outlineLevel="0" collapsed="false">
      <c r="A18" s="18" t="s">
        <v>11</v>
      </c>
      <c r="B18" s="18" t="s">
        <v>12</v>
      </c>
      <c r="C18" s="18" t="s">
        <v>13</v>
      </c>
      <c r="D18" s="18" t="s">
        <v>14</v>
      </c>
      <c r="E18" s="18" t="s">
        <v>15</v>
      </c>
      <c r="F18" s="18" t="s">
        <v>23</v>
      </c>
      <c r="G18" s="18" t="s">
        <v>24</v>
      </c>
      <c r="H18" s="18" t="s">
        <v>16</v>
      </c>
      <c r="I18" s="18" t="s">
        <v>25</v>
      </c>
      <c r="J18" s="18" t="s">
        <v>17</v>
      </c>
      <c r="K18" s="18" t="s">
        <v>19</v>
      </c>
      <c r="L18" s="18" t="s">
        <v>20</v>
      </c>
      <c r="M18" s="18" t="s">
        <v>21</v>
      </c>
      <c r="N18" s="18" t="s">
        <v>22</v>
      </c>
      <c r="O18" s="15"/>
      <c r="P18" s="15"/>
      <c r="Q18" s="15"/>
    </row>
    <row r="19" customFormat="false" ht="15" hidden="false" customHeight="false" outlineLevel="0" collapsed="false">
      <c r="A19" s="19" t="n">
        <v>7</v>
      </c>
      <c r="B19" s="19" t="n">
        <v>7</v>
      </c>
      <c r="C19" s="20" t="n">
        <v>0.236</v>
      </c>
      <c r="D19" s="19" t="n">
        <v>0.35</v>
      </c>
      <c r="E19" s="19" t="n">
        <v>0.0207</v>
      </c>
      <c r="F19" s="19" t="n">
        <v>55</v>
      </c>
      <c r="G19" s="19" t="n">
        <v>76.74</v>
      </c>
      <c r="H19" s="21" t="n">
        <f aca="false">F19*(0.001)/G19</f>
        <v>0.000716705759708105</v>
      </c>
      <c r="I19" s="19" t="n">
        <f aca="false">(0.001)*$F$24/G19+$G$24*(0.001)*(F19/(G19*G19))</f>
        <v>1.48988943437793E-005</v>
      </c>
      <c r="J19" s="19"/>
      <c r="K19" s="0" t="n">
        <f aca="false">AVERAGE(P16:P17)+$H$2</f>
        <v>31.9915</v>
      </c>
      <c r="L19" s="0" t="n">
        <f aca="false">AVERAGE(Q16:Q17)+$H$3</f>
        <v>24.277</v>
      </c>
      <c r="M19" s="0" t="n">
        <f aca="false">AVERAGE(R16:R17)+$H$4</f>
        <v>20.723</v>
      </c>
      <c r="N19" s="0" t="n">
        <f aca="false">AVERAGE(S16:S17)+$H$5</f>
        <v>20.208</v>
      </c>
      <c r="O19" s="15"/>
      <c r="P19" s="15" t="n">
        <v>58.458</v>
      </c>
      <c r="Q19" s="15" t="n">
        <v>33.838</v>
      </c>
      <c r="R19" s="0" t="n">
        <v>23.695</v>
      </c>
      <c r="S19" s="15" t="n">
        <v>20.659</v>
      </c>
    </row>
    <row r="20" customFormat="false" ht="15" hidden="false" customHeight="false" outlineLevel="0" collapsed="false">
      <c r="A20" s="19" t="n">
        <v>10.07</v>
      </c>
      <c r="B20" s="19" t="n">
        <v>10.07</v>
      </c>
      <c r="C20" s="19" t="n">
        <v>0.437</v>
      </c>
      <c r="D20" s="19" t="n">
        <v>0.501</v>
      </c>
      <c r="E20" s="19" t="n">
        <v>0.0416</v>
      </c>
      <c r="F20" s="19" t="n">
        <v>61</v>
      </c>
      <c r="G20" s="19" t="n">
        <v>71.93</v>
      </c>
      <c r="H20" s="21" t="n">
        <f aca="false">F20*(0.001)/G20</f>
        <v>0.00084804671208119</v>
      </c>
      <c r="I20" s="19" t="n">
        <f aca="false">(0.001)*$F$24/G20+$G$24*(0.001)*(F20/(G20*G20))</f>
        <v>1.62603829058284E-005</v>
      </c>
      <c r="J20" s="19"/>
      <c r="K20" s="19" t="n">
        <f aca="false">AVERAGE(K16:K17)+$H$2</f>
        <v>42.508</v>
      </c>
      <c r="L20" s="19" t="n">
        <f aca="false">AVERAGE(L16:L17)+$H$3</f>
        <v>27.413</v>
      </c>
      <c r="M20" s="19" t="n">
        <f aca="false">AVERAGE(M16:M17)+$H$4</f>
        <v>20.8705</v>
      </c>
      <c r="N20" s="19" t="n">
        <f aca="false">AVERAGE(N16:N17)+$H$4</f>
        <v>19.772</v>
      </c>
      <c r="O20" s="15"/>
      <c r="P20" s="15" t="n">
        <v>58.49</v>
      </c>
      <c r="Q20" s="15" t="n">
        <v>33.856</v>
      </c>
      <c r="R20" s="0" t="n">
        <v>23.622</v>
      </c>
      <c r="S20" s="15" t="n">
        <v>20.705</v>
      </c>
    </row>
    <row r="21" customFormat="false" ht="15" hidden="false" customHeight="false" outlineLevel="0" collapsed="false">
      <c r="A21" s="22" t="n">
        <v>13.01</v>
      </c>
      <c r="B21" s="22" t="n">
        <v>13.01</v>
      </c>
      <c r="C21" s="22" t="n">
        <v>0.714</v>
      </c>
      <c r="D21" s="22" t="n">
        <v>0.647</v>
      </c>
      <c r="E21" s="22" t="n">
        <v>0.0685</v>
      </c>
      <c r="F21" s="22" t="n">
        <v>52</v>
      </c>
      <c r="G21" s="22" t="n">
        <v>77.03</v>
      </c>
      <c r="H21" s="21" t="n">
        <f aca="false">F21*(0.001)/G21</f>
        <v>0.000675061664286642</v>
      </c>
      <c r="I21" s="19" t="n">
        <f aca="false">(0.001)*$F$24/G21+$G$24*(0.001)*(F21/(G21*G21))</f>
        <v>1.47346791231641E-005</v>
      </c>
      <c r="J21" s="22"/>
      <c r="K21" s="22" t="n">
        <f aca="false">AVERAGE(P26:P27)+$H$2</f>
        <v>59.024</v>
      </c>
      <c r="L21" s="22" t="n">
        <f aca="false">AVERAGE(Q26:Q27)+$H$3</f>
        <v>34.6305</v>
      </c>
      <c r="M21" s="22" t="n">
        <f aca="false">23+$H$4</f>
        <v>22.8375</v>
      </c>
      <c r="N21" s="22" t="n">
        <f aca="false">AVERAGE(S26:S27)+$H$4</f>
        <v>21.211</v>
      </c>
      <c r="O21" s="15"/>
      <c r="P21" s="15"/>
      <c r="Q21" s="15"/>
      <c r="S21" s="15"/>
    </row>
    <row r="22" customFormat="false" ht="15" hidden="false" customHeight="false" outlineLevel="0" collapsed="false">
      <c r="A22" s="19" t="n">
        <v>13</v>
      </c>
      <c r="B22" s="19" t="n">
        <v>13</v>
      </c>
      <c r="C22" s="19" t="n">
        <v>0.711</v>
      </c>
      <c r="D22" s="19" t="n">
        <v>0.647</v>
      </c>
      <c r="E22" s="19" t="n">
        <v>0.0686</v>
      </c>
      <c r="F22" s="19" t="n">
        <v>82</v>
      </c>
      <c r="G22" s="19" t="n">
        <v>75.49</v>
      </c>
      <c r="H22" s="21" t="n">
        <f aca="false">F22*(0.001)/G22</f>
        <v>0.0010862365876275</v>
      </c>
      <c r="I22" s="19" t="n">
        <f aca="false">(0.001)*$F$24/G22+$G$24*(0.001)*(F22/(G22*G22))</f>
        <v>1.6124616737654E-005</v>
      </c>
      <c r="J22" s="19"/>
      <c r="K22" s="19" t="n">
        <f aca="false">AVERAGE(P19:P20)+$H$2</f>
        <v>58.6115</v>
      </c>
      <c r="L22" s="19" t="n">
        <f aca="false">AVERAGE(Q19:Q20)+$H$3</f>
        <v>33.8645</v>
      </c>
      <c r="M22" s="19" t="n">
        <f aca="false">22.7+$H$4</f>
        <v>22.5375</v>
      </c>
      <c r="N22" s="19" t="n">
        <f aca="false">AVERAGE(S19:S20)+$H$4</f>
        <v>20.5195</v>
      </c>
      <c r="O22" s="15"/>
      <c r="P22" s="15"/>
      <c r="Q22" s="15"/>
    </row>
    <row r="23" customFormat="false" ht="15" hidden="false" customHeight="false" outlineLevel="0" collapsed="false">
      <c r="A23" s="23" t="n">
        <v>15.99</v>
      </c>
      <c r="B23" s="23" t="n">
        <v>15.99</v>
      </c>
      <c r="C23" s="23" t="n">
        <v>1.054</v>
      </c>
      <c r="D23" s="23" t="n">
        <v>0.793</v>
      </c>
      <c r="E23" s="23" t="n">
        <v>0.1013</v>
      </c>
      <c r="F23" s="23" t="n">
        <v>51</v>
      </c>
      <c r="G23" s="23" t="n">
        <v>75.67</v>
      </c>
      <c r="H23" s="21" t="n">
        <f aca="false">F23*(0.001)/G23</f>
        <v>0.000673979119862561</v>
      </c>
      <c r="I23" s="19" t="n">
        <f aca="false">(0.001)*$F$24/G23+$G$24*(0.001)*(F23/(G23*G23))</f>
        <v>1.49966409934256E-005</v>
      </c>
      <c r="J23" s="23"/>
      <c r="K23" s="23" t="n">
        <f aca="false">AVERAGE(P23:P24)+$H$2</f>
        <v>76.8675</v>
      </c>
      <c r="L23" s="23" t="n">
        <f aca="false">AVERAGE(Q23:Q24)+$H$3</f>
        <v>40.3635</v>
      </c>
      <c r="M23" s="23" t="n">
        <f aca="false">23.2+$H$4</f>
        <v>23.0375</v>
      </c>
      <c r="N23" s="23" t="n">
        <f aca="false">AVERAGE(S23:S24)+$H$4</f>
        <v>20.3315</v>
      </c>
      <c r="P23" s="15" t="n">
        <v>76.629</v>
      </c>
      <c r="Q23" s="15" t="n">
        <v>40.301</v>
      </c>
      <c r="R23" s="0" t="n">
        <v>26.039</v>
      </c>
      <c r="S23" s="0" t="n">
        <v>20.976</v>
      </c>
    </row>
    <row r="24" customFormat="false" ht="15" hidden="false" customHeight="false" outlineLevel="0" collapsed="false">
      <c r="A24" s="24"/>
      <c r="B24" s="24" t="n">
        <v>0.001</v>
      </c>
      <c r="C24" s="24" t="n">
        <v>0.001</v>
      </c>
      <c r="D24" s="24" t="n">
        <v>0.001</v>
      </c>
      <c r="E24" s="24" t="n">
        <v>0.0002</v>
      </c>
      <c r="F24" s="24" t="n">
        <v>1</v>
      </c>
      <c r="G24" s="24" t="n">
        <v>0.2</v>
      </c>
      <c r="J24" s="24"/>
      <c r="K24" s="24" t="n">
        <v>0.03</v>
      </c>
      <c r="L24" s="24" t="n">
        <v>0.03</v>
      </c>
      <c r="M24" s="24" t="n">
        <v>0.03</v>
      </c>
      <c r="N24" s="24" t="n">
        <v>0.03</v>
      </c>
      <c r="P24" s="15" t="n">
        <v>76.831</v>
      </c>
      <c r="Q24" s="15" t="n">
        <v>40.391</v>
      </c>
      <c r="R24" s="0" t="n">
        <v>25.807</v>
      </c>
      <c r="S24" s="0" t="n">
        <v>20.012</v>
      </c>
    </row>
    <row r="26" customFormat="false" ht="15" hidden="false" customHeight="false" outlineLevel="0" collapsed="false">
      <c r="A26" s="25" t="s">
        <v>11</v>
      </c>
      <c r="B26" s="25" t="s">
        <v>34</v>
      </c>
      <c r="C26" s="25"/>
      <c r="D26" s="25" t="s">
        <v>35</v>
      </c>
      <c r="E26" s="25"/>
      <c r="F26" s="25" t="s">
        <v>36</v>
      </c>
      <c r="G26" s="25"/>
      <c r="H26" s="25" t="s">
        <v>37</v>
      </c>
      <c r="I26" s="25"/>
      <c r="J26" s="25" t="s">
        <v>38</v>
      </c>
      <c r="K26" s="25"/>
      <c r="L26" s="25" t="s">
        <v>39</v>
      </c>
      <c r="M26" s="25"/>
      <c r="N26" s="26" t="s">
        <v>40</v>
      </c>
      <c r="O26" s="26"/>
      <c r="P26" s="0" t="n">
        <v>58.874</v>
      </c>
      <c r="Q26" s="0" t="n">
        <v>34.58</v>
      </c>
      <c r="R26" s="0" t="n">
        <v>24.155</v>
      </c>
      <c r="S26" s="0" t="n">
        <v>21.354</v>
      </c>
    </row>
    <row r="27" customFormat="false" ht="15" hidden="false" customHeight="false" outlineLevel="0" collapsed="false">
      <c r="A27" s="27" t="n">
        <v>7</v>
      </c>
      <c r="B27" s="27" t="n">
        <f aca="false">B19*D19</f>
        <v>2.45</v>
      </c>
      <c r="C27" s="27" t="n">
        <f aca="false">D19*$B$24+B19*$D$24</f>
        <v>0.00735</v>
      </c>
      <c r="D27" s="27" t="n">
        <f aca="false">E19*E19*$B$16</f>
        <v>0.0042849</v>
      </c>
      <c r="E27" s="27" t="n">
        <f aca="false">2*E19*$B$16*$E$24+E19*E19*$C$16</f>
        <v>0.00482103179487179</v>
      </c>
      <c r="F27" s="27" t="n">
        <f aca="false">H19*(M19-N19)*4186</f>
        <v>1.54506710972115</v>
      </c>
      <c r="G27" s="27" t="n">
        <f aca="false">I19*4186*(K19-L19)+2*H19*4186*$K$24</f>
        <v>0.661136279065834</v>
      </c>
      <c r="H27" s="27" t="n">
        <f aca="false">1-(L19+273.15)/(K19+273.15)</f>
        <v>0.0252817135656735</v>
      </c>
      <c r="I27" s="27" t="n">
        <f aca="false">$L$24/K19+$K$24*L19/(K19*K19)</f>
        <v>0.00164936732095294</v>
      </c>
      <c r="J27" s="27" t="n">
        <f aca="false">D27/B27</f>
        <v>0.0017489387755102</v>
      </c>
      <c r="K27" s="27" t="n">
        <f aca="false">ABS(E27/B27)+ABS(C27*E27/(B27*B27))</f>
        <v>0.00197367138377812</v>
      </c>
      <c r="L27" s="27" t="n">
        <f aca="false">D27/(D27+F27)</f>
        <v>0.00276560779804403</v>
      </c>
      <c r="M27" s="27" t="n">
        <f aca="false">G27*ABS(D27/( (D27+F27)*(D27+F27) ))+E27*ABS(  1/(D27+F27) - D27/( (D27+F27)*(D27+F27) )  )</f>
        <v>0.00428317278388785</v>
      </c>
      <c r="N27" s="28" t="n">
        <f aca="false">B27-D27-F27</f>
        <v>0.900647990278851</v>
      </c>
      <c r="O27" s="28" t="n">
        <f aca="false">C27+E27+G27</f>
        <v>0.673307310860706</v>
      </c>
      <c r="P27" s="15" t="n">
        <v>58.899</v>
      </c>
      <c r="Q27" s="15" t="n">
        <v>34.646</v>
      </c>
      <c r="R27" s="0" t="n">
        <v>24.24</v>
      </c>
      <c r="S27" s="0" t="n">
        <v>21.393</v>
      </c>
    </row>
    <row r="28" customFormat="false" ht="15" hidden="false" customHeight="false" outlineLevel="0" collapsed="false">
      <c r="A28" s="27" t="n">
        <v>10.07</v>
      </c>
      <c r="B28" s="27" t="n">
        <f aca="false">B20*D20</f>
        <v>5.04507</v>
      </c>
      <c r="C28" s="27" t="n">
        <f aca="false">D20*$B$24+B20*$D$24</f>
        <v>0.010571</v>
      </c>
      <c r="D28" s="27" t="n">
        <f aca="false">E20*E20*$B$16</f>
        <v>0.0173056</v>
      </c>
      <c r="E28" s="27" t="n">
        <f aca="false">2*E20*$B$16*$E$24+E20*E20*$C$16</f>
        <v>0.0193028895678623</v>
      </c>
      <c r="F28" s="27" t="n">
        <f aca="false">H20*(M20-N20)*4186</f>
        <v>3.89959100514389</v>
      </c>
      <c r="G28" s="27" t="n">
        <f aca="false">I20*4186*(K20-L20)+2*H20*4166*$K$24</f>
        <v>1.23943346527894</v>
      </c>
      <c r="H28" s="27" t="n">
        <f aca="false">1-(L20+273.15)/(K20+273.15)</f>
        <v>0.0478207427025451</v>
      </c>
      <c r="I28" s="27" t="n">
        <f aca="false">$L$24/K20+$K$24*L20/(K20*K20)</f>
        <v>0.00116088056853539</v>
      </c>
      <c r="J28" s="27" t="n">
        <f aca="false">D28/B28</f>
        <v>0.00343020017561699</v>
      </c>
      <c r="K28" s="27" t="n">
        <f aca="false">ABS(E28/B28)+ABS(C28*E28/(B28*B28))</f>
        <v>0.00383410639702034</v>
      </c>
      <c r="L28" s="27" t="n">
        <f aca="false">D28/(D28+F28)</f>
        <v>0.00441819168197427</v>
      </c>
      <c r="M28" s="27" t="n">
        <f aca="false">G28*ABS(D28/( (D28+F28)*(D28+F28) ))+E28*ABS(  1/(D28+F28) - D28/( (D28+F28)*(D28+F28) )  )</f>
        <v>0.00630439422270232</v>
      </c>
      <c r="N28" s="28" t="n">
        <f aca="false">B28-D28-F28</f>
        <v>1.12817339485611</v>
      </c>
      <c r="O28" s="28" t="n">
        <f aca="false">C28+E28+G28</f>
        <v>1.2693073548468</v>
      </c>
    </row>
    <row r="29" customFormat="false" ht="15" hidden="false" customHeight="false" outlineLevel="0" collapsed="false">
      <c r="A29" s="29" t="n">
        <v>13.01</v>
      </c>
      <c r="B29" s="29" t="n">
        <f aca="false">B21*D21</f>
        <v>8.41747</v>
      </c>
      <c r="C29" s="29" t="n">
        <f aca="false">D21*$B$24+B21*$D$24</f>
        <v>0.013657</v>
      </c>
      <c r="D29" s="29" t="n">
        <f aca="false">E21*E21*$B$16</f>
        <v>0.0469225</v>
      </c>
      <c r="E29" s="29" t="n">
        <f aca="false">2*E21*$B$16*$E$24+E21*E21*$C$16</f>
        <v>0.0521607841477915</v>
      </c>
      <c r="F29" s="29" t="n">
        <f aca="false">H21*(M21-N21)*4186</f>
        <v>4.59617691808386</v>
      </c>
      <c r="G29" s="29" t="n">
        <f aca="false">I21*4186*(K21-L21)+2*H21*4166*$K$24</f>
        <v>1.67331404787421</v>
      </c>
      <c r="H29" s="27" t="n">
        <f aca="false">1-(L21+273.15)/(K21+273.15)</f>
        <v>0.0734359100953116</v>
      </c>
      <c r="I29" s="27" t="n">
        <f aca="false">$L$24/K21+$K$24*L21/(K21*K21)</f>
        <v>0.000806478192825762</v>
      </c>
      <c r="J29" s="29" t="n">
        <f aca="false">D29/B29</f>
        <v>0.00557441844164577</v>
      </c>
      <c r="K29" s="27" t="n">
        <f aca="false">ABS(E29/B29)+ABS(C29*E29/(B29*B29))</f>
        <v>0.00620678337810944</v>
      </c>
      <c r="L29" s="29" t="n">
        <f aca="false">D29/(D29+F29)</f>
        <v>0.0101058572679377</v>
      </c>
      <c r="M29" s="29" t="n">
        <f aca="false">G29*ABS(D29/( (D29+F29)*(D29+F29) ))+E29*ABS(  1/(D29+F29) - D29/( (D29+F29)*(D29+F29) )  )</f>
        <v>0.0147625371478152</v>
      </c>
      <c r="N29" s="30" t="n">
        <f aca="false">B29-D29-F29</f>
        <v>3.77437058191613</v>
      </c>
      <c r="O29" s="28" t="n">
        <f aca="false">C29+E29+G29</f>
        <v>1.739131832022</v>
      </c>
    </row>
    <row r="30" customFormat="false" ht="1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 t="n">
        <f aca="false">1-(L22+273.15)/(K22+273.15)</f>
        <v>0.0745927420752558</v>
      </c>
      <c r="I30" s="27"/>
      <c r="J30" s="27"/>
      <c r="K30" s="27"/>
      <c r="L30" s="27"/>
      <c r="M30" s="27"/>
      <c r="N30" s="28"/>
      <c r="O30" s="28"/>
    </row>
    <row r="31" customFormat="false" ht="15" hidden="false" customHeight="false" outlineLevel="0" collapsed="false">
      <c r="A31" s="27" t="n">
        <v>15.99</v>
      </c>
      <c r="B31" s="27" t="n">
        <f aca="false">B23*D23</f>
        <v>12.68007</v>
      </c>
      <c r="C31" s="27" t="n">
        <f aca="false">D23*$B$24+B23*$D$24</f>
        <v>0.016783</v>
      </c>
      <c r="D31" s="27" t="n">
        <f aca="false">E23*E23*$B$16</f>
        <v>0.1026169</v>
      </c>
      <c r="E31" s="27" t="n">
        <f aca="false">2*E23*$B$16*$E$24+E23*E23*$C$16</f>
        <v>0.113878713564186</v>
      </c>
      <c r="F31" s="27" t="n">
        <f aca="false">H23*(M23-N23)*4186</f>
        <v>7.63437446808511</v>
      </c>
      <c r="G31" s="27" t="n">
        <f aca="false">I23*4186*(K23-L23)+2*H23*4166*$K$24</f>
        <v>2.46004070530214</v>
      </c>
      <c r="H31" s="27" t="n">
        <f aca="false">1-(L23+273.15)/(K23+273.15)</f>
        <v>0.10429192826073</v>
      </c>
      <c r="I31" s="27" t="n">
        <f aca="false">$L$24/K23+$K$24*L23/(K23*K23)</f>
        <v>0.000595220953568849</v>
      </c>
      <c r="J31" s="27" t="n">
        <f aca="false">D31/B31</f>
        <v>0.00809277078123386</v>
      </c>
      <c r="K31" s="27" t="n">
        <f aca="false">ABS(E31/B31)+ABS(C31*E31/(B31*B31))</f>
        <v>0.00899280842850949</v>
      </c>
      <c r="L31" s="27" t="n">
        <f aca="false">D31/(D31+F31)</f>
        <v>0.0132631529645092</v>
      </c>
      <c r="M31" s="27" t="n">
        <f aca="false">G31*ABS(D31/( (D31+F31)*(D31+F31) ))+E31*ABS(  1/(D31+F31) - D31/( (D31+F31)*(D31+F31) )  )</f>
        <v>0.0187406463367956</v>
      </c>
      <c r="N31" s="28" t="n">
        <f aca="false">B31-D31-F31</f>
        <v>4.9430786319149</v>
      </c>
      <c r="O31" s="28" t="n">
        <f aca="false">C31+E31+G31</f>
        <v>2.59070241886632</v>
      </c>
    </row>
    <row r="32" customFormat="false" ht="1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8"/>
      <c r="O32" s="28"/>
    </row>
    <row r="33" customFormat="false" ht="15" hidden="false" customHeight="false" outlineLevel="0" collapsed="false">
      <c r="A33" s="25" t="s">
        <v>11</v>
      </c>
      <c r="B33" s="25" t="s">
        <v>34</v>
      </c>
      <c r="C33" s="25"/>
      <c r="D33" s="25" t="s">
        <v>35</v>
      </c>
      <c r="E33" s="25"/>
      <c r="F33" s="25" t="s">
        <v>36</v>
      </c>
      <c r="G33" s="25"/>
      <c r="H33" s="25" t="s">
        <v>37</v>
      </c>
      <c r="I33" s="25"/>
      <c r="J33" s="25" t="s">
        <v>38</v>
      </c>
      <c r="K33" s="25"/>
      <c r="L33" s="25" t="s">
        <v>39</v>
      </c>
      <c r="M33" s="25"/>
      <c r="N33" s="26" t="s">
        <v>40</v>
      </c>
      <c r="O33" s="26"/>
    </row>
    <row r="34" customFormat="false" ht="15" hidden="false" customHeight="false" outlineLevel="0" collapsed="false">
      <c r="A34" s="27" t="n">
        <v>7</v>
      </c>
      <c r="B34" s="27" t="n">
        <f aca="false">B19*D19</f>
        <v>2.45</v>
      </c>
      <c r="C34" s="27" t="n">
        <f aca="false">$B$24*D19+$D$24*B19</f>
        <v>0.00735</v>
      </c>
      <c r="D34" s="27" t="n">
        <f aca="false">$B$16*E19*E19</f>
        <v>0.0042849</v>
      </c>
      <c r="E34" s="27" t="n">
        <f aca="false">E19*E19*0.5+2*$B$16*E19*$E$24</f>
        <v>0.000297045</v>
      </c>
      <c r="F34" s="27" t="n">
        <f aca="false">H19*(M19-N19)*4186</f>
        <v>1.54506710972115</v>
      </c>
      <c r="G34" s="27" t="n">
        <f aca="false">((M19-N19)*I19+H19*$M$24+I19*$N$24)*4186</f>
        <v>0.123993799893212</v>
      </c>
      <c r="H34" s="27" t="n">
        <f aca="false">1-(L19+273.15)/(K19+273.15)</f>
        <v>0.0252817135656735</v>
      </c>
      <c r="I34" s="27" t="n">
        <f aca="false">$L$24/K19+$K$24*L19/(K19*K19)</f>
        <v>0.00164936732095294</v>
      </c>
      <c r="J34" s="27" t="n">
        <f aca="false">D34/B34</f>
        <v>0.0017489387755102</v>
      </c>
      <c r="K34" s="27" t="n">
        <f aca="false">J34*(C34/B34+E34/D34)</f>
        <v>0.000126489673469388</v>
      </c>
      <c r="L34" s="27" t="n">
        <f aca="false">D34/(D34+F34)</f>
        <v>0.00276560779804403</v>
      </c>
      <c r="M34" s="27" t="n">
        <f aca="false">1/((D34+F34)*(D34+F34))*(D34*G34+F34*E34)</f>
        <v>0.000412521948476021</v>
      </c>
      <c r="N34" s="28" t="n">
        <f aca="false">B34-D34-F34</f>
        <v>0.900647990278851</v>
      </c>
      <c r="O34" s="28" t="n">
        <f aca="false">C34+E34+G34</f>
        <v>0.131640844893212</v>
      </c>
    </row>
    <row r="35" customFormat="false" ht="15" hidden="false" customHeight="false" outlineLevel="0" collapsed="false">
      <c r="A35" s="27" t="n">
        <v>10.07</v>
      </c>
      <c r="B35" s="27" t="n">
        <f aca="false">B20*D20</f>
        <v>5.04507</v>
      </c>
      <c r="C35" s="27" t="n">
        <f aca="false">$B$24*D20+$D$24*B20</f>
        <v>0.010571</v>
      </c>
      <c r="D35" s="27" t="n">
        <f aca="false">$B$16*E20*E20</f>
        <v>0.0173056</v>
      </c>
      <c r="E35" s="27" t="n">
        <f aca="false">E20*E20*0.5+2*$B$16*E20*$E$24</f>
        <v>0.00103168</v>
      </c>
      <c r="F35" s="27" t="n">
        <f aca="false">H20*(M20-N20)*4186</f>
        <v>3.89959100514389</v>
      </c>
      <c r="G35" s="27" t="n">
        <f aca="false">((M20-N20)*I20+H20*$M$24+I20*$N$24)*4186</f>
        <v>0.183310145172382</v>
      </c>
      <c r="H35" s="27" t="n">
        <f aca="false">1-(L20+273.15)/(K20+273.15)</f>
        <v>0.0478207427025451</v>
      </c>
      <c r="I35" s="27" t="n">
        <f aca="false">$L$24/K20+$K$24*L20/(K20*K20)</f>
        <v>0.00116088056853539</v>
      </c>
      <c r="J35" s="27" t="n">
        <f aca="false">D35/B35</f>
        <v>0.00343020017561699</v>
      </c>
      <c r="K35" s="27" t="n">
        <f aca="false">J35*(C35/B35+E35/D35)</f>
        <v>0.000211680045283107</v>
      </c>
      <c r="L35" s="27" t="n">
        <f aca="false">D35/(D35+F35)</f>
        <v>0.00441819168197427</v>
      </c>
      <c r="M35" s="27" t="n">
        <f aca="false">1/((D35+F35)*(D35+F35))*(D35*G35+F35*E35)</f>
        <v>0.000468999155151344</v>
      </c>
      <c r="N35" s="28" t="n">
        <f aca="false">B35-D35-F35</f>
        <v>1.12817339485611</v>
      </c>
      <c r="O35" s="28" t="n">
        <f aca="false">C35+E35+G35</f>
        <v>0.194912825172382</v>
      </c>
    </row>
    <row r="36" customFormat="false" ht="15" hidden="false" customHeight="false" outlineLevel="0" collapsed="false">
      <c r="A36" s="29" t="n">
        <v>13.01</v>
      </c>
      <c r="B36" s="27" t="n">
        <f aca="false">B21*D21</f>
        <v>8.41747</v>
      </c>
      <c r="C36" s="27" t="n">
        <f aca="false">$B$24*D21+$D$24*B21</f>
        <v>0.013657</v>
      </c>
      <c r="D36" s="27" t="n">
        <f aca="false">$B$16*E21*E21</f>
        <v>0.0469225</v>
      </c>
      <c r="E36" s="27" t="n">
        <f aca="false">E21*E21*0.5+2*$B$16*E21*$E$24</f>
        <v>0.002620125</v>
      </c>
      <c r="F36" s="27" t="n">
        <f aca="false">H21*(M21-N21)*4186</f>
        <v>4.59617691808387</v>
      </c>
      <c r="G36" s="27" t="n">
        <f aca="false">((M21-N21)*I21+H21*$M$24+I21*$N$24)*4186</f>
        <v>0.186946114921161</v>
      </c>
      <c r="H36" s="27" t="n">
        <f aca="false">1-(L21+273.15)/(K21+273.15)</f>
        <v>0.0734359100953116</v>
      </c>
      <c r="I36" s="27" t="n">
        <f aca="false">$L$24/K21+$K$24*L21/(K21*K21)</f>
        <v>0.000806478192825762</v>
      </c>
      <c r="J36" s="27" t="n">
        <f aca="false">D36/B36</f>
        <v>0.00557441844164577</v>
      </c>
      <c r="K36" s="27" t="n">
        <f aca="false">J36*(C36/B36+E36/D36)</f>
        <v>0.000320316536044388</v>
      </c>
      <c r="L36" s="29" t="n">
        <f aca="false">D36/(D36+F36)</f>
        <v>0.0101058572679377</v>
      </c>
      <c r="M36" s="27" t="n">
        <f aca="false">1/((D36+F36)*(D36+F36))*(D36*G36+F36*E36)</f>
        <v>0.000965496695473428</v>
      </c>
      <c r="N36" s="30" t="n">
        <f aca="false">B36-D36-F36</f>
        <v>3.77437058191613</v>
      </c>
      <c r="O36" s="28" t="n">
        <f aca="false">C36+E36+G36</f>
        <v>0.203223239921161</v>
      </c>
    </row>
    <row r="37" customFormat="false" ht="15" hidden="false" customHeight="fals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8"/>
      <c r="O37" s="28"/>
    </row>
    <row r="38" customFormat="false" ht="15" hidden="false" customHeight="false" outlineLevel="0" collapsed="false">
      <c r="A38" s="27" t="n">
        <v>15.99</v>
      </c>
      <c r="B38" s="27" t="n">
        <f aca="false">B23*D23</f>
        <v>12.68007</v>
      </c>
      <c r="C38" s="27" t="n">
        <f aca="false">$B$24*D23+$D$24*B23</f>
        <v>0.016783</v>
      </c>
      <c r="D38" s="27" t="n">
        <f aca="false">$B$16*E23*E23</f>
        <v>0.1026169</v>
      </c>
      <c r="E38" s="27" t="n">
        <f aca="false">E23*E23*0.5+2*$B$16*E23*$E$24</f>
        <v>0.005536045</v>
      </c>
      <c r="F38" s="27" t="n">
        <f aca="false">H23*(M23-N23)*4186</f>
        <v>7.63437446808511</v>
      </c>
      <c r="G38" s="27" t="n">
        <f aca="false">((M23-N23)*I23+H23*$M$24+I23*$N$24)*4186</f>
        <v>0.25639326751938</v>
      </c>
      <c r="H38" s="27" t="n">
        <f aca="false">1-(L23+273.15)/(K23+273.15)</f>
        <v>0.10429192826073</v>
      </c>
      <c r="I38" s="27" t="n">
        <f aca="false">$L$24/K23+$K$24*L23/(K23*K23)</f>
        <v>0.000595220953568849</v>
      </c>
      <c r="J38" s="27" t="n">
        <f aca="false">D38/B38</f>
        <v>0.00809277078123386</v>
      </c>
      <c r="K38" s="27" t="n">
        <f aca="false">J38*(C38/B38+E38/D38)</f>
        <v>0.000447305572604997</v>
      </c>
      <c r="L38" s="27" t="n">
        <f aca="false">D38/(D38+F38)</f>
        <v>0.0132631529645092</v>
      </c>
      <c r="M38" s="27" t="n">
        <f aca="false">1/((D38+F38)*(D38+F38))*(D38*G38+F38*E38)</f>
        <v>0.0011455619236034</v>
      </c>
      <c r="N38" s="28" t="n">
        <f aca="false">B38-D38-F38</f>
        <v>4.94307863191489</v>
      </c>
      <c r="O38" s="28" t="n">
        <f aca="false">C38+E38+G38</f>
        <v>0.27871231251938</v>
      </c>
    </row>
    <row r="39" customFormat="false" ht="20" hidden="false" customHeight="false" outlineLevel="0" collapsed="false">
      <c r="A39" s="1" t="s">
        <v>41</v>
      </c>
    </row>
    <row r="40" customFormat="false" ht="15" hidden="false" customHeight="false" outlineLevel="0" collapsed="false">
      <c r="A40" s="31" t="s">
        <v>19</v>
      </c>
      <c r="B40" s="31" t="s">
        <v>12</v>
      </c>
      <c r="C40" s="31" t="s">
        <v>14</v>
      </c>
      <c r="D40" s="31" t="s">
        <v>23</v>
      </c>
      <c r="E40" s="31" t="s">
        <v>24</v>
      </c>
      <c r="F40" s="31" t="s">
        <v>16</v>
      </c>
      <c r="G40" s="31" t="s">
        <v>25</v>
      </c>
      <c r="H40" s="31" t="s">
        <v>20</v>
      </c>
      <c r="I40" s="31" t="s">
        <v>21</v>
      </c>
      <c r="J40" s="31" t="s">
        <v>22</v>
      </c>
      <c r="K40" s="31" t="s">
        <v>42</v>
      </c>
      <c r="L40" s="31" t="s">
        <v>43</v>
      </c>
    </row>
    <row r="41" customFormat="false" ht="15" hidden="false" customHeight="false" outlineLevel="0" collapsed="false">
      <c r="A41" s="32" t="n">
        <f aca="false">33.879+$H$2</f>
        <v>34.0165</v>
      </c>
      <c r="B41" s="33" t="n">
        <v>6.74</v>
      </c>
      <c r="C41" s="33" t="n">
        <v>0.336</v>
      </c>
      <c r="D41" s="32" t="n">
        <v>45</v>
      </c>
      <c r="E41" s="32" t="n">
        <v>72.9</v>
      </c>
      <c r="F41" s="32" t="n">
        <f aca="false">D41*(0.001)/E41</f>
        <v>0.000617283950617284</v>
      </c>
      <c r="G41" s="32" t="n">
        <f aca="false">(0.001)*$F$24/E41+$G$24*(0.001)*(D41/(E41*E41))</f>
        <v>1.54109299056716E-005</v>
      </c>
      <c r="H41" s="32" t="n">
        <f aca="false">26.34+$H$3</f>
        <v>26.3575</v>
      </c>
      <c r="I41" s="32" t="n">
        <f aca="false">22.855+$H$4</f>
        <v>22.6925</v>
      </c>
      <c r="J41" s="32" t="n">
        <f aca="false">22.315+$H$5</f>
        <v>22.3225</v>
      </c>
      <c r="K41" s="0" t="n">
        <f aca="false">K19-L19</f>
        <v>7.71449999999999</v>
      </c>
      <c r="L41" s="0" t="n">
        <f aca="false">A41-H41</f>
        <v>7.65899999999999</v>
      </c>
      <c r="M41" s="0" t="n">
        <v>0.03</v>
      </c>
    </row>
    <row r="42" customFormat="false" ht="15" hidden="false" customHeight="false" outlineLevel="0" collapsed="false">
      <c r="A42" s="32"/>
      <c r="B42" s="33"/>
      <c r="C42" s="33"/>
      <c r="D42" s="32"/>
      <c r="E42" s="32"/>
      <c r="F42" s="32"/>
      <c r="G42" s="32"/>
      <c r="H42" s="32"/>
      <c r="I42" s="32"/>
      <c r="J42" s="32"/>
      <c r="K42" s="0" t="n">
        <f aca="false">K20-L20</f>
        <v>15.095</v>
      </c>
      <c r="W42" s="27" t="n">
        <v>13</v>
      </c>
      <c r="X42" s="27" t="n">
        <f aca="false">X28*Z28</f>
        <v>0</v>
      </c>
      <c r="Y42" s="27" t="n">
        <f aca="false">Z28*$B$24+X28*$D$24</f>
        <v>0</v>
      </c>
      <c r="Z42" s="27" t="n">
        <f aca="false">AA28*AA28*$B$16</f>
        <v>0</v>
      </c>
      <c r="AA42" s="27" t="n">
        <f aca="false">2*AA28*$B$16*$E$24+AA28*AA28*$C$16</f>
        <v>0</v>
      </c>
      <c r="AB42" s="27" t="n">
        <f aca="false">AD28*(AI28-AJ28)*4186</f>
        <v>0</v>
      </c>
      <c r="AC42" s="27" t="n">
        <f aca="false">AE28*4186*(AG28-AH28)+2*AD28*4166*$K$24</f>
        <v>0</v>
      </c>
      <c r="AD42" s="27" t="e">
        <f aca="false">1-AH28/AG28</f>
        <v>#DIV/0!</v>
      </c>
      <c r="AE42" s="27" t="e">
        <f aca="false">$L$24/AG28+$K$24*AH28/(AG28*AG28)</f>
        <v>#DIV/0!</v>
      </c>
      <c r="AF42" s="27" t="e">
        <f aca="false">Z42/X42</f>
        <v>#DIV/0!</v>
      </c>
      <c r="AG42" s="27" t="e">
        <f aca="false">ABS(AA42/X42)+ABS(Y42*AA42/(X42*X42))</f>
        <v>#DIV/0!</v>
      </c>
      <c r="AH42" s="27" t="e">
        <f aca="false">Z42/(Z42+AB42)</f>
        <v>#DIV/0!</v>
      </c>
      <c r="AI42" s="27" t="e">
        <f aca="false">AC42*ABS(Z42/( (Z42+AB42)*(Z42+AB42) ))+AA42*ABS(  1/(Z42+AB42) - Z42/( (Z42+AB42)*(Z42+AB42) )  )</f>
        <v>#DIV/0!</v>
      </c>
      <c r="AJ42" s="28" t="n">
        <f aca="false">X42-Z42-AB42</f>
        <v>0</v>
      </c>
      <c r="AK42" s="28" t="n">
        <f aca="false">Y42+AA42+AC42</f>
        <v>0</v>
      </c>
    </row>
    <row r="43" customFormat="false" ht="15" hidden="false" customHeight="false" outlineLevel="0" collapsed="false">
      <c r="A43" s="32"/>
      <c r="B43" s="33"/>
      <c r="C43" s="33"/>
      <c r="D43" s="32"/>
      <c r="E43" s="32"/>
      <c r="F43" s="32"/>
      <c r="G43" s="32"/>
      <c r="H43" s="32"/>
      <c r="I43" s="32"/>
      <c r="J43" s="32"/>
      <c r="K43" s="0" t="n">
        <f aca="false">K21-L21</f>
        <v>24.3935</v>
      </c>
    </row>
    <row r="44" customFormat="false" ht="15" hidden="false" customHeight="false" outlineLevel="0" collapsed="false">
      <c r="A44" s="32" t="n">
        <f aca="false">77.417+$H$2</f>
        <v>77.5545</v>
      </c>
      <c r="B44" s="33" t="n">
        <v>15.22</v>
      </c>
      <c r="C44" s="33" t="n">
        <v>0.755</v>
      </c>
      <c r="D44" s="32" t="n">
        <v>42</v>
      </c>
      <c r="E44" s="32" t="n">
        <v>71.25</v>
      </c>
      <c r="F44" s="32" t="n">
        <f aca="false">D44*(0.001)/E44</f>
        <v>0.000589473684210526</v>
      </c>
      <c r="G44" s="32" t="n">
        <f aca="false">(0.001)*$F$24/E44+$G$24*(0.001)*(D44/(E44*E44))</f>
        <v>1.56897506925208E-005</v>
      </c>
      <c r="H44" s="33" t="n">
        <f aca="false">41.058+$H$3</f>
        <v>41.0755</v>
      </c>
      <c r="I44" s="33" t="n">
        <f aca="false">24.161+$H$3</f>
        <v>24.1785</v>
      </c>
      <c r="J44" s="33" t="n">
        <f aca="false">22.459+$H$5</f>
        <v>22.4665</v>
      </c>
      <c r="K44" s="0" t="n">
        <f aca="false">K23-L23</f>
        <v>36.504</v>
      </c>
      <c r="L44" s="0" t="n">
        <f aca="false">A44-H44</f>
        <v>36.479</v>
      </c>
      <c r="M44" s="0" t="n">
        <v>0.03</v>
      </c>
    </row>
    <row r="45" customFormat="false" ht="15" hidden="false" customHeight="false" outlineLevel="0" collapsed="false">
      <c r="A45" s="34" t="n">
        <v>0.001</v>
      </c>
      <c r="B45" s="34" t="n">
        <v>0.01</v>
      </c>
      <c r="C45" s="34" t="n">
        <v>0.001</v>
      </c>
      <c r="D45" s="34" t="n">
        <v>1</v>
      </c>
      <c r="E45" s="34" t="n">
        <v>0.2</v>
      </c>
      <c r="F45" s="34"/>
      <c r="G45" s="34"/>
      <c r="H45" s="34" t="n">
        <v>0.001</v>
      </c>
      <c r="I45" s="34" t="n">
        <v>0.001</v>
      </c>
      <c r="J45" s="34" t="n">
        <v>0.001</v>
      </c>
    </row>
    <row r="47" customFormat="false" ht="15" hidden="false" customHeight="false" outlineLevel="0" collapsed="false">
      <c r="A47" s="35" t="s">
        <v>12</v>
      </c>
      <c r="B47" s="35" t="s">
        <v>34</v>
      </c>
      <c r="C47" s="35"/>
      <c r="D47" s="35" t="s">
        <v>36</v>
      </c>
      <c r="E47" s="35"/>
      <c r="F47" s="35" t="s">
        <v>44</v>
      </c>
      <c r="G47" s="35"/>
      <c r="H47" s="35" t="s">
        <v>37</v>
      </c>
      <c r="I47" s="35"/>
      <c r="J47" s="35" t="s">
        <v>45</v>
      </c>
      <c r="K47" s="35"/>
      <c r="L47" s="35" t="s">
        <v>46</v>
      </c>
      <c r="M47" s="35"/>
    </row>
    <row r="48" customFormat="false" ht="15" hidden="false" customHeight="false" outlineLevel="0" collapsed="false">
      <c r="A48" s="36"/>
      <c r="B48" s="36" t="n">
        <f aca="false">B41*C41</f>
        <v>2.26464</v>
      </c>
      <c r="C48" s="36" t="n">
        <f aca="false">B41*$C$45+C41*$B$45</f>
        <v>0.0101</v>
      </c>
      <c r="D48" s="36" t="n">
        <f aca="false">F41*(I41-J41)*4186</f>
        <v>0.956061728395064</v>
      </c>
      <c r="E48" s="36" t="n">
        <f aca="false">4186*(G41*(I41-J41)+I45*F41+J45*F41)</f>
        <v>0.0290366576910702</v>
      </c>
      <c r="F48" s="36" t="n">
        <f aca="false">D48</f>
        <v>0.956061728395064</v>
      </c>
      <c r="G48" s="36"/>
      <c r="H48" s="36" t="n">
        <f aca="false">1-(H41+273.15)/(A41+273.15)</f>
        <v>0.0249343597039391</v>
      </c>
      <c r="I48" s="36" t="n">
        <f aca="false">$H$45*A41+$A$45*H41/(A41*A41)</f>
        <v>0.0340392784916357</v>
      </c>
      <c r="J48" s="36" t="n">
        <f aca="false">D27/(D27+F27-D48)</f>
        <v>0.00722226561746919</v>
      </c>
      <c r="K48" s="36" t="n">
        <f aca="false">1/((D34+F34-D48)*(D34+F34-D48))*(ABS(F34-D48)*E34+D34*G34+D34*E48)</f>
        <v>0.00235993461955372</v>
      </c>
      <c r="L48" s="36" t="n">
        <f aca="false">K41/D48</f>
        <v>8.06903965599615</v>
      </c>
      <c r="M48" s="36" t="n">
        <f aca="false">L48*(E48/D48+M41/K41)</f>
        <v>0.276444432966171</v>
      </c>
    </row>
    <row r="49" customFormat="false" ht="15" hidden="false" customHeight="false" outlineLevel="0" collapsed="false">
      <c r="A49" s="36"/>
      <c r="B49" s="36"/>
      <c r="C49" s="36"/>
      <c r="D49" s="36" t="n">
        <f aca="false">K42/L49</f>
        <v>1.83767204731107</v>
      </c>
      <c r="E49" s="36" t="n">
        <f aca="false">D49*($M$41/K42+M49/L49)</f>
        <v>0.0753006153866517</v>
      </c>
      <c r="F49" s="36"/>
      <c r="G49" s="36"/>
      <c r="H49" s="36" t="n">
        <f aca="false">1-(H42+273.15)/(A42+273.15)</f>
        <v>0</v>
      </c>
      <c r="I49" s="36"/>
      <c r="J49" s="36" t="n">
        <f aca="false">D28/(D28+F28-D49)</f>
        <v>0.00832310292546642</v>
      </c>
      <c r="K49" s="36" t="n">
        <f aca="false">1/((D35+F35-D49)*(D35+F35-D49))*(ABS(F35-D49)*E35+D35*G35+D35*E49)</f>
        <v>0.00152726995599249</v>
      </c>
      <c r="L49" s="11" t="n">
        <f aca="false">(K42-$K$41)*($L$51-$L$48)/($K$44-$K$41)+$L$48</f>
        <v>8.21419688136813</v>
      </c>
      <c r="M49" s="36" t="n">
        <f aca="false">1/($K$44-$K$41)*($M$41*ABS(L49-$L$48)+$M$51*ABS(K42-$K$41)+$M$41*ABS(L49-$L$51)+$M$48*ABS(K42-$K$44))</f>
        <v>0.320260669435166</v>
      </c>
    </row>
    <row r="50" customFormat="false" ht="15" hidden="false" customHeight="false" outlineLevel="0" collapsed="false">
      <c r="A50" s="36"/>
      <c r="B50" s="36"/>
      <c r="C50" s="36"/>
      <c r="D50" s="36" t="n">
        <f aca="false">K43/L50</f>
        <v>2.90499907143308</v>
      </c>
      <c r="E50" s="36" t="n">
        <f aca="false">D50*($M$41/K43+M50/L50)</f>
        <v>0.133208495976968</v>
      </c>
      <c r="F50" s="36"/>
      <c r="G50" s="36"/>
      <c r="H50" s="36" t="n">
        <f aca="false">1-(H43+273.15)/(A43+273.15)</f>
        <v>0</v>
      </c>
      <c r="I50" s="36"/>
      <c r="J50" s="36" t="n">
        <f aca="false">D29/(D29+F29-D50)</f>
        <v>0.0269964275022538</v>
      </c>
      <c r="K50" s="36" t="n">
        <f aca="false">1/((D36+F36-D50)*(D36+F36-D50))*(ABS(F36-D50)*E36+D36*G36+D36*E50)</f>
        <v>0.00643945658809711</v>
      </c>
      <c r="L50" s="11" t="n">
        <f aca="false">(K43-$K$41)*($L$51-$L$48)/($K$44-$K$41)+$L$48</f>
        <v>8.39707669440538</v>
      </c>
      <c r="M50" s="36" t="n">
        <f aca="false">1/($K$44-$K$41)*($M$41*ABS(L50-$L$48)+$M$51*ABS(K43-$K$41)+$M$41*ABS(L50-$L$51)+$M$48*ABS(K43-$K$44))</f>
        <v>0.374720242691156</v>
      </c>
    </row>
    <row r="51" customFormat="false" ht="15" hidden="false" customHeight="false" outlineLevel="0" collapsed="false">
      <c r="A51" s="36"/>
      <c r="B51" s="36" t="n">
        <f aca="false">B44*C44</f>
        <v>11.4911</v>
      </c>
      <c r="C51" s="36" t="n">
        <f aca="false">B44*$C$45+C44*$B$45</f>
        <v>0.02277</v>
      </c>
      <c r="D51" s="36" t="n">
        <f aca="false">F44*(I44-J44)*4186</f>
        <v>4.22442307368422</v>
      </c>
      <c r="E51" s="36" t="n">
        <f aca="false">4186*(G44*(I44-J44)+I48*F44+J48*F44)</f>
        <v>0.214253911686271</v>
      </c>
      <c r="F51" s="36" t="n">
        <f aca="false">D51</f>
        <v>4.22442307368422</v>
      </c>
      <c r="G51" s="36"/>
      <c r="H51" s="36" t="n">
        <f aca="false">1-(H44+273.15)/(A44+273.15)</f>
        <v>0.104016344244228</v>
      </c>
      <c r="I51" s="36" t="n">
        <f aca="false">$H$45*A44+$A$45*H44/(A44*A44)</f>
        <v>0.0775613291846291</v>
      </c>
      <c r="J51" s="36" t="n">
        <f aca="false">D31/(D31+F31-D51)</f>
        <v>0.0292142077816889</v>
      </c>
      <c r="K51" s="36" t="n">
        <f aca="false">1/((D38+F38-D51)*(D38+F38-D51))*(ABS(F38-D51)*E38+D38*G38+D38*E51)</f>
        <v>0.00544442035383192</v>
      </c>
      <c r="L51" s="36" t="n">
        <f aca="false">(A44-H44)/D51</f>
        <v>8.63526199050556</v>
      </c>
      <c r="M51" s="36" t="n">
        <f aca="false">L51*(M44/K44+E51/D51)</f>
        <v>0.445059143323037</v>
      </c>
    </row>
    <row r="52" customFormat="false" ht="15" hidden="false" customHeight="false" outlineLevel="0" collapsed="false">
      <c r="A52" s="37"/>
      <c r="J52" s="0" t="s">
        <v>47</v>
      </c>
    </row>
    <row r="56" customFormat="false" ht="15" hidden="false" customHeight="false" outlineLevel="0" collapsed="false">
      <c r="J56" s="0" t="s">
        <v>48</v>
      </c>
    </row>
    <row r="58" customFormat="false" ht="15" hidden="false" customHeight="false" outlineLevel="0" collapsed="false">
      <c r="C58" s="0" t="n">
        <v>42.442</v>
      </c>
    </row>
    <row r="60" customFormat="false" ht="15" hidden="false" customHeight="false" outlineLevel="0" collapsed="false">
      <c r="C60" s="18"/>
      <c r="D60" s="18"/>
      <c r="E60" s="18"/>
      <c r="F60" s="18"/>
      <c r="H60" s="15"/>
      <c r="I60" s="15"/>
    </row>
    <row r="62" customFormat="false" ht="15" hidden="false" customHeight="false" outlineLevel="0" collapsed="false">
      <c r="C62" s="19"/>
      <c r="D62" s="19"/>
      <c r="E62" s="19"/>
      <c r="F62" s="19"/>
    </row>
    <row r="63" customFormat="false" ht="15" hidden="false" customHeight="false" outlineLevel="0" collapsed="false">
      <c r="C63" s="22"/>
      <c r="D63" s="22"/>
      <c r="E63" s="22"/>
      <c r="F63" s="22"/>
      <c r="H63" s="15"/>
      <c r="I63" s="15"/>
      <c r="K63" s="15"/>
    </row>
    <row r="64" customFormat="false" ht="15" hidden="false" customHeight="false" outlineLevel="0" collapsed="false">
      <c r="C64" s="19"/>
      <c r="D64" s="19"/>
      <c r="E64" s="19"/>
      <c r="F64" s="19"/>
      <c r="H64" s="15"/>
      <c r="I64" s="15"/>
    </row>
    <row r="65" customFormat="false" ht="15" hidden="false" customHeight="false" outlineLevel="0" collapsed="false">
      <c r="C65" s="23"/>
      <c r="D65" s="23"/>
      <c r="E65" s="23"/>
      <c r="F65" s="23"/>
    </row>
    <row r="66" customFormat="false" ht="15" hidden="false" customHeight="false" outlineLevel="0" collapsed="false">
      <c r="C66" s="24"/>
      <c r="D66" s="24"/>
      <c r="E66" s="24"/>
      <c r="F66" s="24"/>
    </row>
    <row r="73" customFormat="false" ht="15" hidden="false" customHeight="false" outlineLevel="0" collapsed="false">
      <c r="F73" s="0" t="s">
        <v>49</v>
      </c>
      <c r="G73" s="0" t="s">
        <v>50</v>
      </c>
      <c r="H73" s="0" t="s">
        <v>51</v>
      </c>
      <c r="I73" s="0" t="s">
        <v>52</v>
      </c>
    </row>
    <row r="74" s="38" customFormat="true" ht="15" hidden="false" customHeight="false" outlineLevel="0" collapsed="false">
      <c r="A74" s="38" t="n">
        <v>10.07</v>
      </c>
      <c r="B74" s="38" t="n">
        <v>42.442</v>
      </c>
      <c r="C74" s="38" t="n">
        <v>27.455</v>
      </c>
      <c r="D74" s="38" t="n">
        <v>21.02</v>
      </c>
      <c r="E74" s="38" t="n">
        <v>19.95</v>
      </c>
      <c r="F74" s="38" t="n">
        <f aca="false">AVERAGE(B74:B75)+$H$2</f>
        <v>42.508</v>
      </c>
      <c r="G74" s="38" t="n">
        <f aca="false">AVERAGE(C74:C75)+$H$2</f>
        <v>27.533</v>
      </c>
      <c r="H74" s="38" t="n">
        <f aca="false">AVERAGE(D74:D75)+$H$2</f>
        <v>21.1705</v>
      </c>
      <c r="I74" s="38" t="n">
        <f aca="false">AVERAGE(E74:E75)+$H$2</f>
        <v>20.072</v>
      </c>
    </row>
    <row r="75" s="38" customFormat="true" ht="15" hidden="false" customHeight="false" outlineLevel="0" collapsed="false">
      <c r="B75" s="38" t="n">
        <v>42.299</v>
      </c>
      <c r="C75" s="38" t="n">
        <v>27.336</v>
      </c>
      <c r="D75" s="38" t="n">
        <v>21.046</v>
      </c>
      <c r="E75" s="38" t="n">
        <v>19.919</v>
      </c>
      <c r="F75" s="38" t="n">
        <f aca="false">ABS(B74-B75)/2</f>
        <v>0.0715000000000003</v>
      </c>
      <c r="G75" s="38" t="n">
        <f aca="false">ABS(C74-C75)/2</f>
        <v>0.0594999999999999</v>
      </c>
      <c r="H75" s="38" t="n">
        <f aca="false">ABS(D74-D75)/2</f>
        <v>0.0129999999999999</v>
      </c>
      <c r="I75" s="38" t="n">
        <f aca="false">ABS(E74-E75)/2</f>
        <v>0.0154999999999994</v>
      </c>
    </row>
    <row r="76" s="39" customFormat="true" ht="15" hidden="false" customHeight="false" outlineLevel="0" collapsed="false">
      <c r="A76" s="39" t="n">
        <v>7</v>
      </c>
      <c r="B76" s="39" t="n">
        <v>31.821</v>
      </c>
      <c r="C76" s="39" t="n">
        <v>24.242</v>
      </c>
      <c r="D76" s="39" t="n">
        <v>20.915</v>
      </c>
      <c r="E76" s="39" t="n">
        <v>20.214</v>
      </c>
      <c r="F76" s="39" t="n">
        <f aca="false">AVERAGE(B76:B77)+$H$2</f>
        <v>31.9915</v>
      </c>
      <c r="G76" s="39" t="n">
        <f aca="false">AVERAGE(C76:C77)+$H$2</f>
        <v>24.397</v>
      </c>
      <c r="H76" s="39" t="n">
        <f aca="false">AVERAGE(D76:D77)+$H$2</f>
        <v>21.023</v>
      </c>
      <c r="I76" s="39" t="n">
        <f aca="false">AVERAGE(E76:E77)+$H$2</f>
        <v>20.338</v>
      </c>
      <c r="J76" s="40" t="n">
        <v>7</v>
      </c>
      <c r="K76" s="39" t="n">
        <v>31.9915</v>
      </c>
      <c r="L76" s="39" t="n">
        <v>24.277</v>
      </c>
      <c r="M76" s="39" t="n">
        <v>20.723</v>
      </c>
      <c r="N76" s="39" t="n">
        <v>20.208</v>
      </c>
    </row>
    <row r="77" s="39" customFormat="true" ht="15" hidden="false" customHeight="false" outlineLevel="0" collapsed="false">
      <c r="B77" s="39" t="n">
        <v>31.887</v>
      </c>
      <c r="C77" s="39" t="n">
        <v>24.277</v>
      </c>
      <c r="D77" s="39" t="n">
        <v>20.856</v>
      </c>
      <c r="E77" s="39" t="n">
        <v>20.187</v>
      </c>
      <c r="F77" s="39" t="n">
        <f aca="false">ABS(B76-B77)/2</f>
        <v>0.0329999999999995</v>
      </c>
      <c r="G77" s="39" t="n">
        <f aca="false">ABS(C76-C77)/2</f>
        <v>0.0175000000000001</v>
      </c>
      <c r="H77" s="39" t="n">
        <f aca="false">ABS(D76-D77)/2</f>
        <v>0.0294999999999987</v>
      </c>
      <c r="I77" s="39" t="n">
        <f aca="false">ABS(E76-E77)/2</f>
        <v>0.0134999999999987</v>
      </c>
      <c r="J77" s="40" t="n">
        <v>10.07</v>
      </c>
      <c r="K77" s="39" t="n">
        <v>42.508</v>
      </c>
      <c r="L77" s="39" t="n">
        <v>27.413</v>
      </c>
      <c r="M77" s="39" t="n">
        <v>20.8705</v>
      </c>
      <c r="N77" s="39" t="n">
        <v>19.772</v>
      </c>
    </row>
    <row r="78" customFormat="false" ht="15" hidden="false" customHeight="false" outlineLevel="0" collapsed="false">
      <c r="A78" s="0" t="n">
        <v>13</v>
      </c>
      <c r="B78" s="15" t="n">
        <v>58.458</v>
      </c>
      <c r="C78" s="15" t="n">
        <v>33.838</v>
      </c>
      <c r="D78" s="0" t="n">
        <v>23.695</v>
      </c>
      <c r="E78" s="15" t="n">
        <v>20.659</v>
      </c>
      <c r="F78" s="0" t="n">
        <f aca="false">AVERAGE(B78:B79)+$H$2</f>
        <v>58.6115</v>
      </c>
      <c r="G78" s="0" t="n">
        <f aca="false">AVERAGE(C78:C79)+$H$2</f>
        <v>33.9845</v>
      </c>
      <c r="H78" s="0" t="n">
        <f aca="false">AVERAGE(D78:D79)+$H$2</f>
        <v>23.796</v>
      </c>
      <c r="I78" s="0" t="n">
        <f aca="false">AVERAGE(E78:E79)+$H$2</f>
        <v>20.8195</v>
      </c>
      <c r="J78" s="22" t="n">
        <v>13.01</v>
      </c>
      <c r="K78" s="0" t="n">
        <v>59.024</v>
      </c>
      <c r="L78" s="0" t="n">
        <v>34.6305</v>
      </c>
      <c r="M78" s="0" t="n">
        <v>22.8375</v>
      </c>
      <c r="N78" s="0" t="n">
        <v>21.211</v>
      </c>
    </row>
    <row r="79" customFormat="false" ht="15" hidden="false" customHeight="false" outlineLevel="0" collapsed="false">
      <c r="B79" s="15" t="n">
        <v>58.49</v>
      </c>
      <c r="C79" s="15" t="n">
        <v>33.856</v>
      </c>
      <c r="D79" s="0" t="n">
        <v>23.622</v>
      </c>
      <c r="E79" s="15" t="n">
        <v>20.705</v>
      </c>
      <c r="F79" s="0" t="n">
        <f aca="false">ABS(B78-B79)/2</f>
        <v>0.0160000000000018</v>
      </c>
      <c r="G79" s="0" t="n">
        <f aca="false">ABS(C78-C79)/2</f>
        <v>0.00900000000000034</v>
      </c>
      <c r="H79" s="0" t="n">
        <f aca="false">ABS(D78-D79)/2</f>
        <v>0.0365000000000002</v>
      </c>
      <c r="I79" s="0" t="n">
        <f aca="false">ABS(E78-E79)/2</f>
        <v>0.0229999999999997</v>
      </c>
      <c r="J79" s="19" t="n">
        <v>13</v>
      </c>
      <c r="K79" s="0" t="n">
        <v>58.6115</v>
      </c>
      <c r="L79" s="0" t="n">
        <v>33.8645</v>
      </c>
      <c r="M79" s="0" t="n">
        <v>22.5375</v>
      </c>
      <c r="N79" s="0" t="n">
        <v>20.5195</v>
      </c>
    </row>
    <row r="80" s="41" customFormat="true" ht="15" hidden="false" customHeight="false" outlineLevel="0" collapsed="false">
      <c r="A80" s="41" t="n">
        <v>15.99</v>
      </c>
      <c r="B80" s="42" t="n">
        <v>76.629</v>
      </c>
      <c r="C80" s="42" t="n">
        <v>40.301</v>
      </c>
      <c r="D80" s="41" t="n">
        <v>26.039</v>
      </c>
      <c r="E80" s="41" t="n">
        <v>20.976</v>
      </c>
      <c r="F80" s="41" t="n">
        <f aca="false">AVERAGE(B80:B81)+$H$2</f>
        <v>76.8675</v>
      </c>
      <c r="G80" s="41" t="n">
        <f aca="false">AVERAGE(C80:C81)+$H$2</f>
        <v>40.4835</v>
      </c>
      <c r="H80" s="41" t="n">
        <f aca="false">AVERAGE(D80:D81)+$H$2</f>
        <v>26.0605</v>
      </c>
      <c r="I80" s="41" t="n">
        <f aca="false">AVERAGE(E80:E81)+$H$2</f>
        <v>20.6315</v>
      </c>
      <c r="J80" s="41" t="n">
        <v>15.99</v>
      </c>
      <c r="K80" s="41" t="n">
        <v>76.8675</v>
      </c>
      <c r="L80" s="41" t="n">
        <v>40.3635</v>
      </c>
      <c r="M80" s="41" t="n">
        <v>23.0375</v>
      </c>
      <c r="N80" s="41" t="n">
        <v>20.3315</v>
      </c>
    </row>
    <row r="81" s="41" customFormat="true" ht="15" hidden="false" customHeight="false" outlineLevel="0" collapsed="false">
      <c r="B81" s="42" t="n">
        <v>76.831</v>
      </c>
      <c r="C81" s="42" t="n">
        <v>40.391</v>
      </c>
      <c r="D81" s="41" t="n">
        <v>25.807</v>
      </c>
      <c r="E81" s="41" t="n">
        <v>20.012</v>
      </c>
      <c r="F81" s="41" t="n">
        <f aca="false">ABS(B80-B81)/2</f>
        <v>0.100999999999999</v>
      </c>
      <c r="G81" s="41" t="n">
        <f aca="false">ABS(C80-C81)/2</f>
        <v>0.0449999999999982</v>
      </c>
      <c r="H81" s="41" t="n">
        <f aca="false">ABS(D80-D81)/2</f>
        <v>0.116000000000001</v>
      </c>
      <c r="I81" s="41" t="n">
        <f aca="false">ABS(E80-E81)/2</f>
        <v>0.481999999999999</v>
      </c>
    </row>
    <row r="82" s="10" customFormat="true" ht="15" hidden="false" customHeight="false" outlineLevel="0" collapsed="false">
      <c r="A82" s="10" t="n">
        <v>13.01</v>
      </c>
      <c r="B82" s="10" t="n">
        <v>58.874</v>
      </c>
      <c r="C82" s="10" t="n">
        <v>34.58</v>
      </c>
      <c r="D82" s="10" t="n">
        <v>24.155</v>
      </c>
      <c r="E82" s="10" t="n">
        <v>21.354</v>
      </c>
      <c r="F82" s="10" t="n">
        <f aca="false">AVERAGE(B82:B83)+$H$2</f>
        <v>59.024</v>
      </c>
      <c r="G82" s="10" t="n">
        <f aca="false">AVERAGE(C82:C83)+$H$2</f>
        <v>34.7505</v>
      </c>
      <c r="H82" s="10" t="n">
        <f aca="false">AVERAGE(D82:D83)+$H$2</f>
        <v>24.335</v>
      </c>
      <c r="I82" s="10" t="n">
        <f aca="false">AVERAGE(E82:E83)+$H$2</f>
        <v>21.511</v>
      </c>
    </row>
    <row r="83" s="10" customFormat="true" ht="15" hidden="false" customHeight="false" outlineLevel="0" collapsed="false">
      <c r="B83" s="11" t="n">
        <v>58.899</v>
      </c>
      <c r="C83" s="11" t="n">
        <v>34.646</v>
      </c>
      <c r="D83" s="10" t="n">
        <v>24.24</v>
      </c>
      <c r="E83" s="10" t="n">
        <v>21.393</v>
      </c>
      <c r="F83" s="10" t="n">
        <f aca="false">ABS(B82-B83)/2</f>
        <v>0.0124999999999993</v>
      </c>
      <c r="G83" s="10" t="n">
        <f aca="false">ABS(C82-C83)/2</f>
        <v>0.0330000000000012</v>
      </c>
      <c r="H83" s="10" t="n">
        <f aca="false">ABS(D82-D83)/2</f>
        <v>0.0424999999999987</v>
      </c>
      <c r="I83" s="10" t="n">
        <f aca="false">ABS(E82-E83)/2</f>
        <v>0.0195000000000007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5"/>
  <cols>
    <col collapsed="false" hidden="false" max="1025" min="1" style="0" width="8.83333333333333"/>
  </cols>
  <sheetData>
    <row r="2" customFormat="false" ht="15" hidden="false" customHeight="false" outlineLevel="0" collapsed="false">
      <c r="A2" s="5" t="s">
        <v>53</v>
      </c>
      <c r="B2" s="5" t="s">
        <v>54</v>
      </c>
      <c r="C2" s="5" t="s">
        <v>55</v>
      </c>
    </row>
    <row r="3" customFormat="false" ht="15" hidden="false" customHeight="false" outlineLevel="0" collapsed="false">
      <c r="A3" s="4" t="n">
        <v>7.66</v>
      </c>
      <c r="B3" s="4" t="n">
        <v>2.406</v>
      </c>
      <c r="C3" s="4" t="n">
        <v>0.5035</v>
      </c>
    </row>
    <row r="4" customFormat="false" ht="15" hidden="false" customHeight="false" outlineLevel="0" collapsed="false">
      <c r="A4" s="4" t="n">
        <v>4.609</v>
      </c>
      <c r="B4" s="4" t="n">
        <v>1.487</v>
      </c>
      <c r="C4" s="4" t="n">
        <v>0.2986</v>
      </c>
    </row>
    <row r="5" customFormat="false" ht="15" hidden="false" customHeight="false" outlineLevel="0" collapsed="false">
      <c r="A5" s="12" t="n">
        <v>0.001</v>
      </c>
      <c r="B5" s="12" t="n">
        <v>0.001</v>
      </c>
      <c r="C5" s="12" t="n">
        <v>0.0002</v>
      </c>
      <c r="I5" s="0" t="n">
        <v>18.602</v>
      </c>
      <c r="J5" s="0" t="n">
        <v>28.007</v>
      </c>
      <c r="K5" s="0" t="n">
        <v>23.459</v>
      </c>
      <c r="L5" s="0" t="n">
        <v>22.583</v>
      </c>
    </row>
    <row r="6" customFormat="false" ht="15" hidden="false" customHeight="false" outlineLevel="0" collapsed="false">
      <c r="I6" s="0" t="n">
        <v>18.61</v>
      </c>
      <c r="J6" s="0" t="n">
        <v>28.053</v>
      </c>
      <c r="K6" s="0" t="n">
        <v>23.492</v>
      </c>
      <c r="L6" s="0" t="n">
        <v>22.595</v>
      </c>
    </row>
    <row r="7" customFormat="false" ht="15" hidden="false" customHeight="false" outlineLevel="0" collapsed="false">
      <c r="A7" s="18" t="s">
        <v>11</v>
      </c>
      <c r="B7" s="18" t="s">
        <v>12</v>
      </c>
      <c r="C7" s="18" t="s">
        <v>14</v>
      </c>
      <c r="D7" s="18" t="s">
        <v>23</v>
      </c>
      <c r="E7" s="18" t="s">
        <v>24</v>
      </c>
      <c r="F7" s="18" t="s">
        <v>16</v>
      </c>
      <c r="G7" s="18" t="s">
        <v>25</v>
      </c>
      <c r="H7" s="18" t="s">
        <v>17</v>
      </c>
      <c r="I7" s="18" t="s">
        <v>19</v>
      </c>
      <c r="J7" s="18" t="s">
        <v>20</v>
      </c>
      <c r="K7" s="18" t="s">
        <v>21</v>
      </c>
      <c r="L7" s="18" t="s">
        <v>22</v>
      </c>
      <c r="N7" s="0" t="n">
        <v>16.932</v>
      </c>
      <c r="O7" s="0" t="n">
        <v>24.42</v>
      </c>
      <c r="P7" s="0" t="n">
        <v>22.844</v>
      </c>
      <c r="Q7" s="0" t="n">
        <v>22.644</v>
      </c>
    </row>
    <row r="8" customFormat="false" ht="15" hidden="false" customHeight="false" outlineLevel="0" collapsed="false">
      <c r="A8" s="19" t="n">
        <v>6.16</v>
      </c>
      <c r="B8" s="19" t="n">
        <v>6.16</v>
      </c>
      <c r="C8" s="19" t="n">
        <v>0.307</v>
      </c>
      <c r="D8" s="19" t="n">
        <v>47</v>
      </c>
      <c r="E8" s="19" t="n">
        <v>74.92</v>
      </c>
      <c r="F8" s="19" t="n">
        <f aca="false">D8*(0.001)/E8</f>
        <v>0.000627335824879872</v>
      </c>
      <c r="G8" s="19" t="n">
        <f aca="false">(0.000001)*$D$10/E8+$E$10*(0.000001)*(D8/(E8*E8))</f>
        <v>1.34313048351415E-008</v>
      </c>
      <c r="H8" s="19"/>
      <c r="I8" s="19" t="n">
        <f aca="false">AVERAGE(I5:I6)</f>
        <v>18.606</v>
      </c>
      <c r="J8" s="19" t="n">
        <f aca="false">AVERAGE(J5:J6)</f>
        <v>28.03</v>
      </c>
      <c r="K8" s="19" t="n">
        <f aca="false">AVERAGE(K5:K6)</f>
        <v>23.4755</v>
      </c>
      <c r="L8" s="19" t="n">
        <f aca="false">AVERAGE(L5:L6)</f>
        <v>22.589</v>
      </c>
      <c r="N8" s="0" t="n">
        <v>16.933</v>
      </c>
      <c r="O8" s="0" t="n">
        <v>24.416</v>
      </c>
      <c r="P8" s="0" t="n">
        <v>22.895</v>
      </c>
      <c r="Q8" s="0" t="n">
        <v>22.657</v>
      </c>
    </row>
    <row r="9" customFormat="false" ht="15" hidden="false" customHeight="false" outlineLevel="0" collapsed="false">
      <c r="A9" s="19" t="n">
        <v>3.451</v>
      </c>
      <c r="B9" s="19" t="n">
        <v>3.451</v>
      </c>
      <c r="C9" s="19" t="n">
        <v>0.172</v>
      </c>
      <c r="D9" s="19" t="n">
        <v>56</v>
      </c>
      <c r="E9" s="19" t="n">
        <v>75.77</v>
      </c>
      <c r="F9" s="19" t="n">
        <f aca="false">D9*(0.001)/E9</f>
        <v>0.000739078791078263</v>
      </c>
      <c r="G9" s="19" t="n">
        <f aca="false">(0.000001)*$D$10/E9+$E$10*(0.000001)*(D9/(E9*E9))</f>
        <v>1.32953779584371E-008</v>
      </c>
      <c r="H9" s="19"/>
      <c r="I9" s="19" t="n">
        <f aca="false">AVERAGE(N7:N8)</f>
        <v>16.9325</v>
      </c>
      <c r="J9" s="19" t="n">
        <f aca="false">AVERAGE(O7:O8)</f>
        <v>24.418</v>
      </c>
      <c r="K9" s="19" t="n">
        <f aca="false">AVERAGE(P7:P8)</f>
        <v>22.8695</v>
      </c>
      <c r="L9" s="19" t="n">
        <f aca="false">AVERAGE(Q7:Q8)</f>
        <v>22.6505</v>
      </c>
    </row>
    <row r="10" customFormat="false" ht="15" hidden="false" customHeight="false" outlineLevel="0" collapsed="false">
      <c r="A10" s="43" t="n">
        <v>0.001</v>
      </c>
      <c r="B10" s="43" t="n">
        <v>0.001</v>
      </c>
      <c r="C10" s="43" t="n">
        <v>0.001</v>
      </c>
      <c r="D10" s="43" t="n">
        <v>1</v>
      </c>
      <c r="E10" s="43" t="n">
        <v>0.01</v>
      </c>
      <c r="F10" s="15"/>
      <c r="G10" s="15"/>
      <c r="H10" s="43"/>
      <c r="I10" s="43" t="n">
        <v>0.001</v>
      </c>
      <c r="J10" s="43" t="n">
        <v>0.001</v>
      </c>
      <c r="K10" s="43" t="n">
        <v>0.001</v>
      </c>
      <c r="L10" s="43" t="n">
        <v>0.001</v>
      </c>
    </row>
    <row r="12" customFormat="false" ht="15" hidden="false" customHeight="false" outlineLevel="0" collapsed="false">
      <c r="A12" s="44" t="s">
        <v>56</v>
      </c>
      <c r="B12" s="44"/>
      <c r="C12" s="44" t="s">
        <v>35</v>
      </c>
      <c r="D12" s="44"/>
      <c r="E12" s="44" t="s">
        <v>57</v>
      </c>
      <c r="F12" s="44"/>
      <c r="G12" s="44" t="s">
        <v>58</v>
      </c>
      <c r="H12" s="44"/>
      <c r="I12" s="44" t="s">
        <v>59</v>
      </c>
    </row>
    <row r="13" customFormat="false" ht="15" hidden="false" customHeight="false" outlineLevel="0" collapsed="false">
      <c r="A13" s="45" t="n">
        <f aca="false">B8*C8</f>
        <v>1.89112</v>
      </c>
      <c r="B13" s="45" t="n">
        <f aca="false">B8*C10+C8*B10</f>
        <v>0.006467</v>
      </c>
      <c r="C13" s="45" t="n">
        <f aca="false">B3*C3</f>
        <v>1.211421</v>
      </c>
      <c r="D13" s="45" t="n">
        <f aca="false">B3*$C$5+C3*$B$5</f>
        <v>0.0009847</v>
      </c>
      <c r="E13" s="45" t="n">
        <f aca="false">F8*(K8-L8)*4180</f>
        <v>2.32463681260011</v>
      </c>
      <c r="F13" s="45" t="n">
        <f aca="false">G8*4186*(I8-J8)+2*F8*4166*$I$10</f>
        <v>0.00469711237511505</v>
      </c>
      <c r="G13" s="45" t="n">
        <f aca="false">E13/(B3*C3)</f>
        <v>1.9189338905303</v>
      </c>
      <c r="H13" s="45" t="n">
        <f aca="false">F13/(B3*C3)+G13*$C$5/C3+G13*$B$5/B3</f>
        <v>0.00543715733598827</v>
      </c>
      <c r="I13" s="45" t="n">
        <f aca="false">ABS(J8+293.15/(I8-J8))</f>
        <v>3.07674872665535</v>
      </c>
    </row>
    <row r="14" customFormat="false" ht="15" hidden="false" customHeight="false" outlineLevel="0" collapsed="false">
      <c r="A14" s="45" t="n">
        <f aca="false">B9*C9</f>
        <v>0.593572</v>
      </c>
      <c r="B14" s="45" t="n">
        <f aca="false">B9*C10+C9*B10</f>
        <v>0.003623</v>
      </c>
      <c r="C14" s="45" t="n">
        <f aca="false">B4*C4</f>
        <v>0.4440182</v>
      </c>
      <c r="D14" s="45" t="n">
        <f aca="false">B4*$C$5+C4*$B$5</f>
        <v>0.000596</v>
      </c>
      <c r="E14" s="45" t="n">
        <f aca="false">F9*(K9-L9)*4180</f>
        <v>0.676567506928867</v>
      </c>
      <c r="F14" s="45" t="n">
        <f aca="false">G9*4186*(I9-J9)+2*F9*4166*$I$10</f>
        <v>0.0057414030858149</v>
      </c>
      <c r="G14" s="45" t="n">
        <f aca="false">E14/(B4*C4)</f>
        <v>1.5237382317411</v>
      </c>
      <c r="H14" s="45" t="n">
        <f aca="false">F14/(B4*C4)+G14*$C$5/C4+G14*$B$5/B4</f>
        <v>0.0149758525031915</v>
      </c>
      <c r="I14" s="45" t="n">
        <f aca="false">ABS(J9+293.15/(I9-J9))</f>
        <v>14.7443806024982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2015-03-12T10:43:26Z</dcterms:created>
  <dc:creator>Joao Ferreira</dc:creator>
  <dc:language>en-US</dc:language>
  <cp:lastModifiedBy>Joao Ferreira</cp:lastModifiedBy>
  <dcterms:modified xsi:type="dcterms:W3CDTF">2015-03-19T20:22:46Z</dcterms:modified>
  <cp:revision>0</cp:revision>
</cp:coreProperties>
</file>