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8800" windowHeight="17540" tabRatio="926"/>
  </bookViews>
  <sheets>
    <sheet name="I-Peltier" sheetId="1" r:id="rId1"/>
    <sheet name="II-bomba de calor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6" i="1" l="1"/>
  <c r="AA36" i="1"/>
  <c r="AC36" i="1"/>
  <c r="AK36" i="1"/>
  <c r="X36" i="1"/>
  <c r="Z36" i="1"/>
  <c r="AB36" i="1"/>
  <c r="AJ36" i="1"/>
  <c r="AI36" i="1"/>
  <c r="AH36" i="1"/>
  <c r="AG36" i="1"/>
  <c r="AF36" i="1"/>
  <c r="AE36" i="1"/>
  <c r="AD36" i="1"/>
  <c r="J38" i="1"/>
  <c r="J35" i="1"/>
  <c r="I38" i="1"/>
  <c r="I35" i="1"/>
  <c r="H38" i="1"/>
  <c r="H35" i="1"/>
  <c r="N23" i="1"/>
  <c r="N22" i="1"/>
  <c r="N21" i="1"/>
  <c r="N20" i="1"/>
  <c r="N19" i="1"/>
  <c r="M19" i="1"/>
  <c r="L19" i="1"/>
  <c r="M23" i="1"/>
  <c r="M22" i="1"/>
  <c r="M21" i="1"/>
  <c r="M20" i="1"/>
  <c r="L23" i="1"/>
  <c r="L22" i="1"/>
  <c r="L21" i="1"/>
  <c r="L20" i="1"/>
  <c r="K23" i="1"/>
  <c r="K22" i="1"/>
  <c r="K21" i="1"/>
  <c r="K20" i="1"/>
  <c r="K19" i="1"/>
  <c r="L11" i="1"/>
  <c r="L10" i="1"/>
  <c r="A38" i="1"/>
  <c r="A35" i="1"/>
  <c r="K11" i="1"/>
  <c r="K10" i="1"/>
  <c r="H3" i="1"/>
  <c r="H4" i="1"/>
  <c r="H5" i="1"/>
  <c r="H2" i="1"/>
  <c r="G2" i="1"/>
  <c r="M43" i="1"/>
  <c r="M44" i="1"/>
  <c r="I42" i="1"/>
  <c r="F27" i="1"/>
  <c r="D42" i="1"/>
  <c r="J42" i="1"/>
  <c r="E45" i="1"/>
  <c r="D45" i="1"/>
  <c r="M45" i="1"/>
  <c r="H10" i="1"/>
  <c r="Q10" i="1"/>
  <c r="J9" i="2"/>
  <c r="I9" i="2"/>
  <c r="I14" i="2"/>
  <c r="G9" i="2"/>
  <c r="F9" i="2"/>
  <c r="F14" i="2"/>
  <c r="K9" i="2"/>
  <c r="L9" i="2"/>
  <c r="E14" i="2"/>
  <c r="G14" i="2"/>
  <c r="H14" i="2"/>
  <c r="D14" i="2"/>
  <c r="C14" i="2"/>
  <c r="B14" i="2"/>
  <c r="A14" i="2"/>
  <c r="J8" i="2"/>
  <c r="I8" i="2"/>
  <c r="I13" i="2"/>
  <c r="G8" i="2"/>
  <c r="F8" i="2"/>
  <c r="F13" i="2"/>
  <c r="K8" i="2"/>
  <c r="L8" i="2"/>
  <c r="E13" i="2"/>
  <c r="G13" i="2"/>
  <c r="H13" i="2"/>
  <c r="D13" i="2"/>
  <c r="C13" i="2"/>
  <c r="B13" i="2"/>
  <c r="A13" i="2"/>
  <c r="G38" i="1"/>
  <c r="F38" i="1"/>
  <c r="D27" i="1"/>
  <c r="H19" i="1"/>
  <c r="F35" i="1"/>
  <c r="L45" i="1"/>
  <c r="I12" i="1"/>
  <c r="C13" i="1"/>
  <c r="C16" i="1"/>
  <c r="H22" i="1"/>
  <c r="I22" i="1"/>
  <c r="K45" i="1"/>
  <c r="D31" i="1"/>
  <c r="H23" i="1"/>
  <c r="F31" i="1"/>
  <c r="J45" i="1"/>
  <c r="I45" i="1"/>
  <c r="H45" i="1"/>
  <c r="F45" i="1"/>
  <c r="C45" i="1"/>
  <c r="B45" i="1"/>
  <c r="G35" i="1"/>
  <c r="E42" i="1"/>
  <c r="M42" i="1"/>
  <c r="L42" i="1"/>
  <c r="E27" i="1"/>
  <c r="I19" i="1"/>
  <c r="G27" i="1"/>
  <c r="K42" i="1"/>
  <c r="H42" i="1"/>
  <c r="F42" i="1"/>
  <c r="C42" i="1"/>
  <c r="B42" i="1"/>
  <c r="L38" i="1"/>
  <c r="K38" i="1"/>
  <c r="L35" i="1"/>
  <c r="K35" i="1"/>
  <c r="C31" i="1"/>
  <c r="E31" i="1"/>
  <c r="I23" i="1"/>
  <c r="G31" i="1"/>
  <c r="O31" i="1"/>
  <c r="B31" i="1"/>
  <c r="N31" i="1"/>
  <c r="M31" i="1"/>
  <c r="L31" i="1"/>
  <c r="K31" i="1"/>
  <c r="J31" i="1"/>
  <c r="I31" i="1"/>
  <c r="H31" i="1"/>
  <c r="C29" i="1"/>
  <c r="E29" i="1"/>
  <c r="I21" i="1"/>
  <c r="H21" i="1"/>
  <c r="G29" i="1"/>
  <c r="O29" i="1"/>
  <c r="B29" i="1"/>
  <c r="D29" i="1"/>
  <c r="F29" i="1"/>
  <c r="N29" i="1"/>
  <c r="M29" i="1"/>
  <c r="L29" i="1"/>
  <c r="K29" i="1"/>
  <c r="J29" i="1"/>
  <c r="I29" i="1"/>
  <c r="H29" i="1"/>
  <c r="C28" i="1"/>
  <c r="E28" i="1"/>
  <c r="I20" i="1"/>
  <c r="H20" i="1"/>
  <c r="G28" i="1"/>
  <c r="O28" i="1"/>
  <c r="B28" i="1"/>
  <c r="D28" i="1"/>
  <c r="F28" i="1"/>
  <c r="N28" i="1"/>
  <c r="M28" i="1"/>
  <c r="L28" i="1"/>
  <c r="K28" i="1"/>
  <c r="J28" i="1"/>
  <c r="I28" i="1"/>
  <c r="H28" i="1"/>
  <c r="C27" i="1"/>
  <c r="O27" i="1"/>
  <c r="B27" i="1"/>
  <c r="N27" i="1"/>
  <c r="M27" i="1"/>
  <c r="L27" i="1"/>
  <c r="K27" i="1"/>
  <c r="J27" i="1"/>
  <c r="I27" i="1"/>
  <c r="H27" i="1"/>
  <c r="I11" i="1"/>
  <c r="I10" i="1"/>
  <c r="I6" i="1"/>
  <c r="I7" i="1"/>
  <c r="I14" i="1"/>
  <c r="N13" i="1"/>
  <c r="M13" i="1"/>
  <c r="L13" i="1"/>
  <c r="K13" i="1"/>
  <c r="I13" i="1"/>
  <c r="D13" i="1"/>
  <c r="B13" i="1"/>
  <c r="N12" i="1"/>
  <c r="M12" i="1"/>
  <c r="L12" i="1"/>
  <c r="K12" i="1"/>
  <c r="T11" i="1"/>
  <c r="Q11" i="1"/>
  <c r="S11" i="1"/>
  <c r="R11" i="1"/>
  <c r="N11" i="1"/>
  <c r="M11" i="1"/>
  <c r="H11" i="1"/>
  <c r="T10" i="1"/>
  <c r="S10" i="1"/>
  <c r="R10" i="1"/>
  <c r="N10" i="1"/>
  <c r="M10" i="1"/>
</calcChain>
</file>

<file path=xl/sharedStrings.xml><?xml version="1.0" encoding="utf-8"?>
<sst xmlns="http://schemas.openxmlformats.org/spreadsheetml/2006/main" count="99" uniqueCount="54">
  <si>
    <t>Antes de começar a experiência</t>
  </si>
  <si>
    <t>Ta(2)</t>
  </si>
  <si>
    <t>(fonte quente)</t>
  </si>
  <si>
    <t>Tb(1)</t>
  </si>
  <si>
    <t>(fonte fria)</t>
  </si>
  <si>
    <t>Tc(4)</t>
  </si>
  <si>
    <t>(saida água)</t>
  </si>
  <si>
    <t>Td(3)</t>
  </si>
  <si>
    <t>(entrada água)</t>
  </si>
  <si>
    <t>Determinação resistência de carga óptima</t>
  </si>
  <si>
    <t>R2</t>
  </si>
  <si>
    <t>E1(V)</t>
  </si>
  <si>
    <t>V1(V)</t>
  </si>
  <si>
    <t>V2</t>
  </si>
  <si>
    <t>I1(A)</t>
  </si>
  <si>
    <t>I2</t>
  </si>
  <si>
    <t>Φ(kg/s)</t>
  </si>
  <si>
    <t>Ra</t>
  </si>
  <si>
    <t>V(amp)</t>
  </si>
  <si>
    <t>Ta</t>
  </si>
  <si>
    <t>Tb</t>
  </si>
  <si>
    <t>Tc</t>
  </si>
  <si>
    <t>Td</t>
  </si>
  <si>
    <t>V(ml)</t>
  </si>
  <si>
    <t>t(s)</t>
  </si>
  <si>
    <t>εφ</t>
  </si>
  <si>
    <t>Erro caudal by rodrigo</t>
  </si>
  <si>
    <t>Medição</t>
  </si>
  <si>
    <t>Erro</t>
  </si>
  <si>
    <t>R2_o</t>
  </si>
  <si>
    <t>Media Ra</t>
  </si>
  <si>
    <t>Erro Ra by R</t>
  </si>
  <si>
    <t>Rendimento</t>
  </si>
  <si>
    <t>(possivelmete adicionar Ra</t>
  </si>
  <si>
    <t>P1(quente)</t>
  </si>
  <si>
    <t>P2</t>
  </si>
  <si>
    <t>P3(Fria)</t>
  </si>
  <si>
    <t>η_carnot</t>
  </si>
  <si>
    <t>η_1</t>
  </si>
  <si>
    <t>η2</t>
  </si>
  <si>
    <t>Pcalor</t>
  </si>
  <si>
    <t>Condução térmica</t>
  </si>
  <si>
    <t>Ta-Tb objetivo</t>
  </si>
  <si>
    <t>Ta-Tb obtido</t>
  </si>
  <si>
    <t>Pcalor?</t>
  </si>
  <si>
    <t>Rt</t>
  </si>
  <si>
    <t>este rendimento é calculado com o novo P3?</t>
  </si>
  <si>
    <t>E2(V)</t>
  </si>
  <si>
    <t>V2(V)</t>
  </si>
  <si>
    <t>I2(A)</t>
  </si>
  <si>
    <t>P1</t>
  </si>
  <si>
    <t>P3</t>
  </si>
  <si>
    <t>COP?</t>
  </si>
  <si>
    <t>COPideal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</si>
</sst>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_-* #,##0.00\ _€_-;\-* #,##0.00\ _€_-;_-* \-??\ _€_-;_-@_-"/>
  </numFmts>
  <fonts count="9" x14ac:knownFonts="1">
    <font>
      <sz val="12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604A7B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93CDDD"/>
        <bgColor rgb="FFB9CDE5"/>
      </patternFill>
    </fill>
    <fill>
      <patternFill patternType="solid">
        <fgColor rgb="FFB7DEE8"/>
        <bgColor rgb="FFB9CDE5"/>
      </patternFill>
    </fill>
    <fill>
      <patternFill patternType="solid">
        <fgColor rgb="FFFDEADA"/>
        <bgColor rgb="FFEEECE1"/>
      </patternFill>
    </fill>
    <fill>
      <patternFill patternType="solid">
        <fgColor rgb="FFF79646"/>
        <bgColor rgb="FFFF8080"/>
      </patternFill>
    </fill>
    <fill>
      <patternFill patternType="solid">
        <fgColor rgb="FFEBF1DE"/>
        <bgColor rgb="FFEEECE1"/>
      </patternFill>
    </fill>
    <fill>
      <patternFill patternType="solid">
        <fgColor rgb="FFFFFF00"/>
        <bgColor rgb="FFFAC090"/>
      </patternFill>
    </fill>
    <fill>
      <patternFill patternType="solid">
        <fgColor rgb="FFFCD5B5"/>
        <bgColor rgb="FFFDEADA"/>
      </patternFill>
    </fill>
    <fill>
      <patternFill patternType="solid">
        <fgColor rgb="FFFAC090"/>
        <bgColor rgb="FFE6B9B8"/>
      </patternFill>
    </fill>
    <fill>
      <patternFill patternType="solid">
        <fgColor rgb="FF604A7B"/>
        <bgColor rgb="FF333399"/>
      </patternFill>
    </fill>
    <fill>
      <patternFill patternType="solid">
        <fgColor rgb="FFB3A2C7"/>
        <bgColor rgb="FFC4BD97"/>
      </patternFill>
    </fill>
    <fill>
      <patternFill patternType="solid">
        <fgColor rgb="FF9BBB59"/>
        <bgColor rgb="FFC4BD97"/>
      </patternFill>
    </fill>
    <fill>
      <patternFill patternType="solid">
        <fgColor rgb="FFB9CDE5"/>
        <bgColor rgb="FFB7DEE8"/>
      </patternFill>
    </fill>
    <fill>
      <patternFill patternType="solid">
        <fgColor rgb="FFC3D69B"/>
        <bgColor rgb="FFD7E4BD"/>
      </patternFill>
    </fill>
    <fill>
      <patternFill patternType="solid">
        <fgColor rgb="FFC0504D"/>
        <bgColor rgb="FF993366"/>
      </patternFill>
    </fill>
    <fill>
      <patternFill patternType="solid">
        <fgColor rgb="FF77933C"/>
        <bgColor rgb="FF948A54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CE6F2"/>
      </patternFill>
    </fill>
    <fill>
      <patternFill patternType="solid">
        <fgColor rgb="FF4BACC6"/>
        <bgColor rgb="FF4F81BD"/>
      </patternFill>
    </fill>
    <fill>
      <patternFill patternType="solid">
        <fgColor rgb="FF4F81BD"/>
        <bgColor rgb="FF31859C"/>
      </patternFill>
    </fill>
    <fill>
      <patternFill patternType="solid">
        <fgColor rgb="FFDCE6F2"/>
        <bgColor rgb="FFDBEEF4"/>
      </patternFill>
    </fill>
    <fill>
      <patternFill patternType="solid">
        <fgColor rgb="FF948A54"/>
        <bgColor rgb="FF77933C"/>
      </patternFill>
    </fill>
    <fill>
      <patternFill patternType="solid">
        <fgColor rgb="FFEEECE1"/>
        <bgColor rgb="FFEBF1DE"/>
      </patternFill>
    </fill>
    <fill>
      <patternFill patternType="solid">
        <fgColor rgb="FFC4BD97"/>
        <bgColor rgb="FFC3D69B"/>
      </patternFill>
    </fill>
    <fill>
      <patternFill patternType="solid">
        <fgColor rgb="FF31859C"/>
        <bgColor rgb="FF4F81BD"/>
      </patternFill>
    </fill>
    <fill>
      <patternFill patternType="solid">
        <fgColor rgb="FFDBEEF4"/>
        <bgColor rgb="FFDCE6F2"/>
      </patternFill>
    </fill>
  </fills>
  <borders count="1">
    <border>
      <left/>
      <right/>
      <top/>
      <bottom/>
      <diagonal/>
    </border>
  </borders>
  <cellStyleXfs count="28">
    <xf numFmtId="0" fontId="0" fillId="0" borderId="0"/>
    <xf numFmtId="165" fontId="6" fillId="0" borderId="0" applyBorder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ont="1" applyFill="1"/>
    <xf numFmtId="164" fontId="0" fillId="6" borderId="0" xfId="0" applyNumberFormat="1" applyFont="1" applyFill="1"/>
    <xf numFmtId="165" fontId="0" fillId="4" borderId="0" xfId="1" applyFont="1" applyFill="1" applyBorder="1" applyAlignment="1" applyProtection="1"/>
    <xf numFmtId="0" fontId="0" fillId="4" borderId="0" xfId="0" applyFont="1" applyFill="1"/>
    <xf numFmtId="164" fontId="0" fillId="4" borderId="0" xfId="0" applyNumberFormat="1" applyFont="1" applyFill="1"/>
    <xf numFmtId="0" fontId="0" fillId="7" borderId="0" xfId="0" applyFill="1"/>
    <xf numFmtId="0" fontId="0" fillId="7" borderId="0" xfId="0" applyFont="1" applyFill="1"/>
    <xf numFmtId="0" fontId="0" fillId="8" borderId="0" xfId="0" applyFill="1"/>
    <xf numFmtId="0" fontId="0" fillId="9" borderId="0" xfId="0" applyFont="1" applyFill="1"/>
    <xf numFmtId="0" fontId="0" fillId="0" borderId="0" xfId="0"/>
    <xf numFmtId="0" fontId="0" fillId="9" borderId="0" xfId="0" applyFill="1"/>
    <xf numFmtId="0" fontId="0" fillId="0" borderId="0" xfId="0" applyFont="1"/>
    <xf numFmtId="0" fontId="2" fillId="10" borderId="0" xfId="0" applyFont="1" applyFill="1"/>
    <xf numFmtId="0" fontId="3" fillId="11" borderId="0" xfId="0" applyFont="1" applyFill="1"/>
    <xf numFmtId="0" fontId="0" fillId="12" borderId="0" xfId="0" applyFont="1" applyFill="1"/>
    <xf numFmtId="0" fontId="0" fillId="6" borderId="0" xfId="0" applyFont="1" applyFill="1"/>
    <xf numFmtId="0" fontId="4" fillId="6" borderId="0" xfId="0" applyFont="1" applyFill="1"/>
    <xf numFmtId="0" fontId="5" fillId="13" borderId="0" xfId="0" applyFont="1" applyFill="1"/>
    <xf numFmtId="0" fontId="0" fillId="6" borderId="0" xfId="0" applyFill="1"/>
    <xf numFmtId="0" fontId="0" fillId="14" borderId="0" xfId="0" applyFill="1"/>
    <xf numFmtId="0" fontId="0" fillId="15" borderId="0" xfId="0" applyFont="1" applyFill="1"/>
    <xf numFmtId="0" fontId="0" fillId="16" borderId="0" xfId="0" applyFont="1" applyFill="1"/>
    <xf numFmtId="0" fontId="0" fillId="17" borderId="0" xfId="0" applyFill="1"/>
    <xf numFmtId="0" fontId="0" fillId="18" borderId="0" xfId="0" applyFill="1"/>
    <xf numFmtId="0" fontId="3" fillId="19" borderId="0" xfId="0" applyFont="1" applyFill="1"/>
    <xf numFmtId="0" fontId="3" fillId="18" borderId="0" xfId="0" applyFont="1" applyFill="1"/>
    <xf numFmtId="0" fontId="0" fillId="20" borderId="0" xfId="0" applyFont="1" applyFill="1"/>
    <xf numFmtId="0" fontId="0" fillId="21" borderId="0" xfId="0" applyFont="1" applyFill="1"/>
    <xf numFmtId="0" fontId="0" fillId="21" borderId="0" xfId="0" applyFill="1"/>
    <xf numFmtId="0" fontId="0" fillId="13" borderId="0" xfId="0" applyFill="1"/>
    <xf numFmtId="0" fontId="0" fillId="22" borderId="0" xfId="0" applyFont="1" applyFill="1"/>
    <xf numFmtId="0" fontId="0" fillId="23" borderId="0" xfId="0" applyFill="1"/>
    <xf numFmtId="0" fontId="0" fillId="24" borderId="0" xfId="0" applyFill="1"/>
    <xf numFmtId="0" fontId="0" fillId="18" borderId="0" xfId="0" applyFont="1" applyFill="1"/>
    <xf numFmtId="0" fontId="0" fillId="25" borderId="0" xfId="0" applyFont="1" applyFill="1"/>
    <xf numFmtId="0" fontId="0" fillId="26" borderId="0" xfId="0" applyFill="1"/>
  </cellXfs>
  <cellStyles count="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4BD97"/>
      <rgbColor rgb="FF948A54"/>
      <rgbColor rgb="FFB7DEE8"/>
      <rgbColor rgb="FFC0504D"/>
      <rgbColor rgb="FFEBF1DE"/>
      <rgbColor rgb="FFDBEEF4"/>
      <rgbColor rgb="FF660066"/>
      <rgbColor rgb="FFFF8080"/>
      <rgbColor rgb="FF0066CC"/>
      <rgbColor rgb="FFB9CDE5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93CDDD"/>
      <rgbColor rgb="FFE6B9B8"/>
      <rgbColor rgb="FFB3A2C7"/>
      <rgbColor rgb="FFFAC090"/>
      <rgbColor rgb="FF4F81BD"/>
      <rgbColor rgb="FF4BACC6"/>
      <rgbColor rgb="FF9BBB59"/>
      <rgbColor rgb="FFFCD5B5"/>
      <rgbColor rgb="FFF79646"/>
      <rgbColor rgb="FFFF6600"/>
      <rgbColor rgb="FF604A7B"/>
      <rgbColor rgb="FFC3D69B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'I-Peltier'!$A$27:$A$31</c:f>
              <c:numCache>
                <c:formatCode>General</c:formatCode>
                <c:ptCount val="5"/>
                <c:pt idx="0">
                  <c:v>7.0</c:v>
                </c:pt>
                <c:pt idx="1">
                  <c:v>10.07</c:v>
                </c:pt>
                <c:pt idx="2">
                  <c:v>13.01</c:v>
                </c:pt>
                <c:pt idx="4">
                  <c:v>15.99</c:v>
                </c:pt>
              </c:numCache>
            </c:numRef>
          </c:xVal>
          <c:yVal>
            <c:numRef>
              <c:f>'I-Peltier'!$N$27:$N$31</c:f>
              <c:numCache>
                <c:formatCode>General</c:formatCode>
                <c:ptCount val="5"/>
                <c:pt idx="0">
                  <c:v>0.900647990278851</c:v>
                </c:pt>
                <c:pt idx="1">
                  <c:v>1.128173394856105</c:v>
                </c:pt>
                <c:pt idx="2">
                  <c:v>-0.137359417233101</c:v>
                </c:pt>
                <c:pt idx="4">
                  <c:v>-2.052886384978546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19720"/>
        <c:axId val="2072455464"/>
      </c:scatterChart>
      <c:valAx>
        <c:axId val="211681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2455464"/>
        <c:crosses val="autoZero"/>
        <c:crossBetween val="midCat"/>
      </c:valAx>
      <c:valAx>
        <c:axId val="207245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819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'I-Peltier'!$A$27:$A$31</c:f>
              <c:numCache>
                <c:formatCode>General</c:formatCode>
                <c:ptCount val="5"/>
                <c:pt idx="0">
                  <c:v>7.0</c:v>
                </c:pt>
                <c:pt idx="1">
                  <c:v>10.07</c:v>
                </c:pt>
                <c:pt idx="2">
                  <c:v>13.01</c:v>
                </c:pt>
                <c:pt idx="4">
                  <c:v>15.99</c:v>
                </c:pt>
              </c:numCache>
            </c:numRef>
          </c:xVal>
          <c:yVal>
            <c:numRef>
              <c:f>'I-Peltier'!$B$27:$B$31</c:f>
              <c:numCache>
                <c:formatCode>General</c:formatCode>
                <c:ptCount val="5"/>
                <c:pt idx="0">
                  <c:v>2.45</c:v>
                </c:pt>
                <c:pt idx="1">
                  <c:v>5.04507</c:v>
                </c:pt>
                <c:pt idx="2">
                  <c:v>8.41747</c:v>
                </c:pt>
                <c:pt idx="4">
                  <c:v>12.68007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71336"/>
        <c:axId val="2125204696"/>
      </c:scatterChart>
      <c:valAx>
        <c:axId val="212507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204696"/>
        <c:crosses val="autoZero"/>
        <c:crossBetween val="midCat"/>
      </c:valAx>
      <c:valAx>
        <c:axId val="212520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71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'I-Peltier'!$A$27:$A$31</c:f>
              <c:numCache>
                <c:formatCode>General</c:formatCode>
                <c:ptCount val="5"/>
                <c:pt idx="0">
                  <c:v>7.0</c:v>
                </c:pt>
                <c:pt idx="1">
                  <c:v>10.07</c:v>
                </c:pt>
                <c:pt idx="2">
                  <c:v>13.01</c:v>
                </c:pt>
                <c:pt idx="4">
                  <c:v>15.99</c:v>
                </c:pt>
              </c:numCache>
            </c:numRef>
          </c:xVal>
          <c:yVal>
            <c:numRef>
              <c:f>'I-Peltier'!$D$27:$D$31</c:f>
              <c:numCache>
                <c:formatCode>General</c:formatCode>
                <c:ptCount val="5"/>
                <c:pt idx="0">
                  <c:v>0.0042849</c:v>
                </c:pt>
                <c:pt idx="1">
                  <c:v>0.0173056</c:v>
                </c:pt>
                <c:pt idx="2">
                  <c:v>0.0469225</c:v>
                </c:pt>
                <c:pt idx="4">
                  <c:v>0.1026169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13928"/>
        <c:axId val="2127703384"/>
      </c:scatterChart>
      <c:valAx>
        <c:axId val="212751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703384"/>
        <c:crosses val="autoZero"/>
        <c:crossBetween val="midCat"/>
      </c:valAx>
      <c:valAx>
        <c:axId val="212770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513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'I-Peltier'!$A$27:$A$31</c:f>
              <c:numCache>
                <c:formatCode>General</c:formatCode>
                <c:ptCount val="5"/>
                <c:pt idx="0">
                  <c:v>7.0</c:v>
                </c:pt>
                <c:pt idx="1">
                  <c:v>10.07</c:v>
                </c:pt>
                <c:pt idx="2">
                  <c:v>13.01</c:v>
                </c:pt>
                <c:pt idx="4">
                  <c:v>15.99</c:v>
                </c:pt>
              </c:numCache>
            </c:numRef>
          </c:xVal>
          <c:yVal>
            <c:numRef>
              <c:f>'I-Peltier'!$F$27:$F$31</c:f>
              <c:numCache>
                <c:formatCode>General</c:formatCode>
                <c:ptCount val="5"/>
                <c:pt idx="0">
                  <c:v>1.545067109721149</c:v>
                </c:pt>
                <c:pt idx="1">
                  <c:v>3.899591005143894</c:v>
                </c:pt>
                <c:pt idx="2">
                  <c:v>8.5079069172331</c:v>
                </c:pt>
                <c:pt idx="4">
                  <c:v>14.63033948497855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26664"/>
        <c:axId val="2125925160"/>
      </c:scatterChart>
      <c:valAx>
        <c:axId val="212592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925160"/>
        <c:crosses val="autoZero"/>
        <c:crossBetween val="midCat"/>
      </c:valAx>
      <c:valAx>
        <c:axId val="212592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926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469900</xdr:colOff>
      <xdr:row>14</xdr:row>
      <xdr:rowOff>228600</xdr:rowOff>
    </xdr:from>
    <xdr:to>
      <xdr:col>26</xdr:col>
      <xdr:colOff>330200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584200</xdr:colOff>
      <xdr:row>31</xdr:row>
      <xdr:rowOff>12700</xdr:rowOff>
    </xdr:from>
    <xdr:to>
      <xdr:col>21</xdr:col>
      <xdr:colOff>406400</xdr:colOff>
      <xdr:row>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36</xdr:row>
      <xdr:rowOff>12700</xdr:rowOff>
    </xdr:from>
    <xdr:to>
      <xdr:col>13</xdr:col>
      <xdr:colOff>571500</xdr:colOff>
      <xdr:row>50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381000</xdr:colOff>
      <xdr:row>34</xdr:row>
      <xdr:rowOff>12700</xdr:rowOff>
    </xdr:from>
    <xdr:to>
      <xdr:col>7</xdr:col>
      <xdr:colOff>241300</xdr:colOff>
      <xdr:row>48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tabSelected="1" topLeftCell="A7" workbookViewId="0">
      <selection activeCell="F27" sqref="F27"/>
    </sheetView>
  </sheetViews>
  <sheetFormatPr baseColWidth="10" defaultColWidth="8.83203125" defaultRowHeight="15" x14ac:dyDescent="0"/>
  <cols>
    <col min="8" max="8" width="9.33203125" bestFit="1" customWidth="1"/>
    <col min="17" max="17" width="9.33203125" bestFit="1" customWidth="1"/>
  </cols>
  <sheetData>
    <row r="1" spans="1:20" ht="20">
      <c r="A1" s="1" t="s">
        <v>0</v>
      </c>
    </row>
    <row r="2" spans="1:20">
      <c r="A2" s="2" t="s">
        <v>1</v>
      </c>
      <c r="B2" s="3">
        <v>19.399999999999999</v>
      </c>
      <c r="C2" s="3">
        <v>2E-3</v>
      </c>
      <c r="D2" t="s">
        <v>2</v>
      </c>
      <c r="F2" s="3">
        <v>19.28</v>
      </c>
      <c r="G2">
        <f>AVERAGE(F2:F5)</f>
        <v>19.4175</v>
      </c>
      <c r="H2">
        <f>$G$2-F2</f>
        <v>0.13749999999999929</v>
      </c>
    </row>
    <row r="3" spans="1:20">
      <c r="A3" s="2" t="s">
        <v>3</v>
      </c>
      <c r="B3" s="3">
        <v>19.28</v>
      </c>
      <c r="C3" s="3">
        <v>2E-3</v>
      </c>
      <c r="D3" t="s">
        <v>4</v>
      </c>
      <c r="F3" s="3">
        <v>19.399999999999999</v>
      </c>
      <c r="H3" s="15">
        <f t="shared" ref="H3:H5" si="0">$G$2-F3</f>
        <v>1.7500000000001847E-2</v>
      </c>
    </row>
    <row r="4" spans="1:20">
      <c r="A4" s="2" t="s">
        <v>5</v>
      </c>
      <c r="B4" s="3">
        <v>19.579999999999998</v>
      </c>
      <c r="C4" s="3">
        <v>2E-3</v>
      </c>
      <c r="D4" t="s">
        <v>6</v>
      </c>
      <c r="F4" s="3">
        <v>19.579999999999998</v>
      </c>
      <c r="H4" s="15">
        <f t="shared" si="0"/>
        <v>-0.16249999999999787</v>
      </c>
    </row>
    <row r="5" spans="1:20">
      <c r="A5" s="2" t="s">
        <v>7</v>
      </c>
      <c r="B5" s="3">
        <v>19.41</v>
      </c>
      <c r="C5" s="3">
        <v>2E-3</v>
      </c>
      <c r="D5" t="s">
        <v>8</v>
      </c>
      <c r="F5" s="3">
        <v>19.41</v>
      </c>
      <c r="H5" s="15">
        <f t="shared" si="0"/>
        <v>7.5000000000002842E-3</v>
      </c>
      <c r="P5">
        <v>41.067999999999998</v>
      </c>
      <c r="Q5">
        <v>27.123999999999999</v>
      </c>
      <c r="R5">
        <v>20.727</v>
      </c>
      <c r="S5">
        <v>19.635000000000002</v>
      </c>
    </row>
    <row r="6" spans="1:20">
      <c r="I6">
        <f>I10*($G$13/G10+$J$12/J10)</f>
        <v>3.5262469099898212E-2</v>
      </c>
      <c r="P6">
        <v>40.902000000000001</v>
      </c>
      <c r="Q6">
        <v>27.023</v>
      </c>
      <c r="R6">
        <v>20.626000000000001</v>
      </c>
      <c r="S6">
        <v>19.658999999999999</v>
      </c>
    </row>
    <row r="7" spans="1:20" ht="20">
      <c r="A7" s="4" t="s">
        <v>9</v>
      </c>
      <c r="I7">
        <f>I11*($G$13/G11+$J$12/J11)</f>
        <v>2.8774086199419673E-2</v>
      </c>
      <c r="J7" s="5">
        <v>40.796999999999997</v>
      </c>
      <c r="K7" s="5">
        <v>26.582000000000001</v>
      </c>
      <c r="L7" s="5">
        <v>20.206</v>
      </c>
      <c r="M7" s="5">
        <v>19.341000000000001</v>
      </c>
    </row>
    <row r="8" spans="1:20">
      <c r="J8">
        <v>40.978999999999999</v>
      </c>
      <c r="K8">
        <v>26.657</v>
      </c>
      <c r="L8">
        <v>20.29</v>
      </c>
      <c r="M8">
        <v>19.388999999999999</v>
      </c>
    </row>
    <row r="9" spans="1:20">
      <c r="B9" s="6" t="s">
        <v>10</v>
      </c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6" t="s">
        <v>16</v>
      </c>
      <c r="I9" s="6" t="s">
        <v>17</v>
      </c>
      <c r="J9" s="6" t="s">
        <v>18</v>
      </c>
      <c r="K9" s="6" t="s">
        <v>19</v>
      </c>
      <c r="L9" s="6" t="s">
        <v>20</v>
      </c>
      <c r="M9" s="6" t="s">
        <v>21</v>
      </c>
      <c r="N9" s="6" t="s">
        <v>22</v>
      </c>
      <c r="O9" s="6" t="s">
        <v>23</v>
      </c>
      <c r="P9" s="6" t="s">
        <v>24</v>
      </c>
      <c r="Q9" s="6" t="s">
        <v>16</v>
      </c>
      <c r="R9" s="6" t="s">
        <v>25</v>
      </c>
      <c r="S9" t="s">
        <v>26</v>
      </c>
    </row>
    <row r="10" spans="1:20">
      <c r="A10" s="6" t="s">
        <v>27</v>
      </c>
      <c r="B10" s="5">
        <v>5</v>
      </c>
      <c r="C10" s="5">
        <v>10.07</v>
      </c>
      <c r="D10" s="5">
        <v>10.07</v>
      </c>
      <c r="E10" s="5">
        <v>0.33300000000000002</v>
      </c>
      <c r="F10" s="5">
        <v>0.501</v>
      </c>
      <c r="G10" s="5">
        <v>5.9799999999999999E-2</v>
      </c>
      <c r="H10" s="7">
        <f>Q10</f>
        <v>9.8231827111984276E-4</v>
      </c>
      <c r="I10" s="5">
        <f>J10/G10</f>
        <v>0.21739130434782608</v>
      </c>
      <c r="J10" s="5">
        <v>1.2999999999999999E-2</v>
      </c>
      <c r="K10" s="8">
        <f>AVERAGE(J7:J8)+$H$2</f>
        <v>41.025499999999994</v>
      </c>
      <c r="L10" s="8">
        <f>AVERAGE(K7:K8)+$H$3</f>
        <v>26.637000000000004</v>
      </c>
      <c r="M10" s="8">
        <f>AVERAGE(L7:L8)</f>
        <v>20.247999999999998</v>
      </c>
      <c r="N10" s="8">
        <f>AVERAGE(M7:M8)</f>
        <v>19.365000000000002</v>
      </c>
      <c r="O10" s="9">
        <v>65</v>
      </c>
      <c r="P10" s="9">
        <v>66.17</v>
      </c>
      <c r="Q10" s="10">
        <f>O10*(0.001)/P10</f>
        <v>9.8231827111984276E-4</v>
      </c>
      <c r="R10" s="9">
        <f>(0.000001)*$O$12/P10+$P$12*(0.000001)*(O10/(P10*P10))</f>
        <v>3.319425199069017E-9</v>
      </c>
      <c r="S10" s="11">
        <f>Q10*($O$12/O10+$P$12/P10)</f>
        <v>3.3194251990690166E-6</v>
      </c>
      <c r="T10" s="12">
        <f>(0.001)*$O$12/P10+$P$12*(0.001)*(O10/(P10*P10))</f>
        <v>3.3194251990690171E-6</v>
      </c>
    </row>
    <row r="11" spans="1:20">
      <c r="A11" s="6"/>
      <c r="B11" s="5">
        <v>2</v>
      </c>
      <c r="C11" s="5">
        <v>10.07</v>
      </c>
      <c r="D11" s="5">
        <v>10.07</v>
      </c>
      <c r="E11" s="5">
        <v>0.26100000000000001</v>
      </c>
      <c r="F11" s="5">
        <v>0.501</v>
      </c>
      <c r="G11" s="5">
        <v>7.3300000000000004E-2</v>
      </c>
      <c r="H11" s="7">
        <f>Q11</f>
        <v>9.7599577947771036E-4</v>
      </c>
      <c r="I11" s="5">
        <f>J11/G11</f>
        <v>0.21828103683492495</v>
      </c>
      <c r="J11" s="5">
        <v>1.6E-2</v>
      </c>
      <c r="K11" s="8">
        <f>AVERAGE(J8:J9)+$H$2</f>
        <v>41.116500000000002</v>
      </c>
      <c r="L11" s="8">
        <f>AVERAGE(Q5:Q6)+$H$3</f>
        <v>27.091000000000001</v>
      </c>
      <c r="M11" s="8">
        <f>AVERAGE(R5:R6)</f>
        <v>20.676500000000001</v>
      </c>
      <c r="N11" s="8">
        <f>AVERAGE(S5:S6)</f>
        <v>19.646999999999998</v>
      </c>
      <c r="O11" s="9">
        <v>74</v>
      </c>
      <c r="P11" s="9">
        <v>75.819999999999993</v>
      </c>
      <c r="Q11" s="10">
        <f>O11*(0.001)/P11</f>
        <v>9.7599577947771036E-4</v>
      </c>
      <c r="R11" s="9">
        <f>(0.000001)*$O$12/P11+$P$12*(0.000001)*(O11/(P11*P11))</f>
        <v>2.8952771773879483E-9</v>
      </c>
      <c r="S11" s="11">
        <f>Q11*($O$12/O11+$P$12/P11)</f>
        <v>2.895277177387948E-6</v>
      </c>
      <c r="T11" s="12">
        <f>(0.001)*$O$12/P11+$P$12*(0.001)*(O11/(P11*P11))</f>
        <v>2.8952771773879484E-6</v>
      </c>
    </row>
    <row r="12" spans="1:20">
      <c r="A12" s="6" t="s">
        <v>28</v>
      </c>
      <c r="B12" s="13"/>
      <c r="C12" s="13"/>
      <c r="D12" s="13"/>
      <c r="E12" s="13"/>
      <c r="F12" s="13"/>
      <c r="G12" s="13">
        <v>5.0000000000000001E-3</v>
      </c>
      <c r="H12" s="13"/>
      <c r="I12" s="13">
        <f>J12/G10+G12*J10/(G10*G10)</f>
        <v>5.1621346517376765E-2</v>
      </c>
      <c r="J12" s="13">
        <v>2E-3</v>
      </c>
      <c r="K12" s="13">
        <f>MAX(ABS(J7-J8)/2,0.002)</f>
        <v>9.100000000000108E-2</v>
      </c>
      <c r="L12" s="13">
        <f>MAX(ABS(K7-K8)/2,0.002)</f>
        <v>3.7499999999999645E-2</v>
      </c>
      <c r="M12" s="13">
        <f>MAX(ABS(L7-L8)/2,0.002)</f>
        <v>4.1999999999999815E-2</v>
      </c>
      <c r="N12" s="13">
        <f>MAX(ABS(M7-M8)/2,0.002)</f>
        <v>2.3999999999999133E-2</v>
      </c>
      <c r="O12" s="14">
        <v>0.2</v>
      </c>
      <c r="P12" s="14">
        <v>0.02</v>
      </c>
      <c r="Q12" s="14"/>
      <c r="R12" s="15"/>
    </row>
    <row r="13" spans="1:20">
      <c r="A13" s="6" t="s">
        <v>29</v>
      </c>
      <c r="B13" s="16">
        <f>(5*G10-2*G11)/(G11-G10)-2*I13</f>
        <v>10.853216547706131</v>
      </c>
      <c r="C13" s="16">
        <f>2*I12+3*G12*(ABS(G11)+ABS(G10))/((G11-G10)*(G11-G10))</f>
        <v>11.05797520332281</v>
      </c>
      <c r="D13">
        <f>3*(G10*G13+G11*G13)/((G11-G10)*(G11-G10))+2*I12</f>
        <v>1.1987159440635593</v>
      </c>
      <c r="G13">
        <v>5.0000000000000001E-4</v>
      </c>
      <c r="H13" s="2" t="s">
        <v>30</v>
      </c>
      <c r="I13" s="2">
        <f>AVERAGE(I10:I11)</f>
        <v>0.2178361705913755</v>
      </c>
      <c r="K13">
        <f>MAX(ABS(P5-P6)/2,0.002)</f>
        <v>8.2999999999998408E-2</v>
      </c>
      <c r="L13">
        <f>MAX(ABS(Q5-Q6)/2,0.002)</f>
        <v>5.0499999999999545E-2</v>
      </c>
      <c r="M13">
        <f>MAX(ABS(R5-R6)/2,0.002)</f>
        <v>5.0499999999999545E-2</v>
      </c>
      <c r="N13">
        <f>MAX(ABS(S5-S6)/2,0.002)</f>
        <v>1.1999999999998678E-2</v>
      </c>
      <c r="O13" s="15"/>
      <c r="P13" s="17"/>
      <c r="Q13" s="17"/>
      <c r="R13" s="15"/>
    </row>
    <row r="14" spans="1:20">
      <c r="H14" t="s">
        <v>31</v>
      </c>
      <c r="I14">
        <f>MAX(ABS(I11-I10)/2,ABS(I6+I7)/2)</f>
        <v>3.2018277649658942E-2</v>
      </c>
      <c r="M14" s="15"/>
      <c r="N14" s="15"/>
      <c r="O14" s="15"/>
      <c r="P14" s="15"/>
      <c r="Q14" s="15"/>
      <c r="R14" s="15"/>
    </row>
    <row r="15" spans="1:20" ht="20">
      <c r="A15" s="1" t="s">
        <v>32</v>
      </c>
      <c r="M15" s="15"/>
      <c r="N15" s="15"/>
      <c r="O15" s="15"/>
      <c r="P15" s="15"/>
      <c r="Q15" s="15"/>
    </row>
    <row r="16" spans="1:20">
      <c r="A16" s="18" t="s">
        <v>10</v>
      </c>
      <c r="B16" s="19">
        <v>10</v>
      </c>
      <c r="C16" s="19">
        <f>C13</f>
        <v>11.05797520332281</v>
      </c>
      <c r="D16" t="s">
        <v>33</v>
      </c>
      <c r="K16">
        <v>42.442</v>
      </c>
      <c r="L16">
        <v>27.454999999999998</v>
      </c>
      <c r="M16">
        <v>21.02</v>
      </c>
      <c r="N16">
        <v>19.95</v>
      </c>
      <c r="P16">
        <v>31.821000000000002</v>
      </c>
      <c r="Q16">
        <v>24.242000000000001</v>
      </c>
      <c r="R16">
        <v>20.914999999999999</v>
      </c>
      <c r="S16">
        <v>20.213999999999999</v>
      </c>
    </row>
    <row r="17" spans="1:19">
      <c r="K17">
        <v>42.298999999999999</v>
      </c>
      <c r="L17">
        <v>27.335999999999999</v>
      </c>
      <c r="M17">
        <v>21.045999999999999</v>
      </c>
      <c r="N17">
        <v>19.919</v>
      </c>
      <c r="P17">
        <v>31.887</v>
      </c>
      <c r="Q17">
        <v>24.277000000000001</v>
      </c>
      <c r="R17">
        <v>20.856000000000002</v>
      </c>
      <c r="S17">
        <v>20.187000000000001</v>
      </c>
    </row>
    <row r="18" spans="1:19">
      <c r="A18" s="20" t="s">
        <v>11</v>
      </c>
      <c r="B18" s="20" t="s">
        <v>12</v>
      </c>
      <c r="C18" s="20" t="s">
        <v>13</v>
      </c>
      <c r="D18" s="20" t="s">
        <v>14</v>
      </c>
      <c r="E18" s="20" t="s">
        <v>15</v>
      </c>
      <c r="F18" s="20" t="s">
        <v>23</v>
      </c>
      <c r="G18" s="20" t="s">
        <v>24</v>
      </c>
      <c r="H18" s="20" t="s">
        <v>16</v>
      </c>
      <c r="I18" s="20" t="s">
        <v>25</v>
      </c>
      <c r="J18" s="20" t="s">
        <v>17</v>
      </c>
      <c r="K18" s="20" t="s">
        <v>19</v>
      </c>
      <c r="L18" s="20" t="s">
        <v>20</v>
      </c>
      <c r="M18" s="20" t="s">
        <v>21</v>
      </c>
      <c r="N18" s="20" t="s">
        <v>22</v>
      </c>
      <c r="O18" s="17"/>
      <c r="P18" s="17"/>
      <c r="Q18" s="17"/>
      <c r="R18" s="15"/>
      <c r="S18" s="15"/>
    </row>
    <row r="19" spans="1:19" s="15" customFormat="1">
      <c r="A19" s="21">
        <v>7</v>
      </c>
      <c r="B19" s="21">
        <v>7</v>
      </c>
      <c r="C19" s="22">
        <v>0.23599999999999999</v>
      </c>
      <c r="D19" s="21">
        <v>0.35</v>
      </c>
      <c r="E19" s="21">
        <v>2.07E-2</v>
      </c>
      <c r="F19" s="21">
        <v>55</v>
      </c>
      <c r="G19" s="21">
        <v>76.739999999999995</v>
      </c>
      <c r="H19" s="21">
        <f>F19*(0.001)/G19</f>
        <v>7.1670575970810533E-4</v>
      </c>
      <c r="I19" s="21">
        <f>(0.000001)*$F$24/G19+$G$24*(0.000001)*(F19/(G19*G19))</f>
        <v>1.4898894343779269E-8</v>
      </c>
      <c r="J19" s="21"/>
      <c r="K19" s="15">
        <f>AVERAGE(P16:P17)+$H$2</f>
        <v>31.991499999999998</v>
      </c>
      <c r="L19" s="15">
        <f>AVERAGE(Q16:Q17)+$H$3</f>
        <v>24.277000000000005</v>
      </c>
      <c r="M19" s="15">
        <f>AVERAGE(R16:R17)+$H$4</f>
        <v>20.723000000000003</v>
      </c>
      <c r="N19" s="15">
        <f>AVERAGE(S16:S17)+$H$5</f>
        <v>20.207999999999998</v>
      </c>
      <c r="O19" s="17"/>
      <c r="P19" s="17">
        <v>58.457999999999998</v>
      </c>
      <c r="Q19" s="17">
        <v>33.838000000000001</v>
      </c>
      <c r="R19" s="15">
        <v>23.695</v>
      </c>
      <c r="S19" s="17">
        <v>20.658999999999999</v>
      </c>
    </row>
    <row r="20" spans="1:19">
      <c r="A20" s="21">
        <v>10.07</v>
      </c>
      <c r="B20" s="21">
        <v>10.07</v>
      </c>
      <c r="C20" s="21">
        <v>0.437</v>
      </c>
      <c r="D20" s="21">
        <v>0.501</v>
      </c>
      <c r="E20" s="21">
        <v>4.1599999999999998E-2</v>
      </c>
      <c r="F20" s="21">
        <v>61</v>
      </c>
      <c r="G20" s="21">
        <v>71.930000000000007</v>
      </c>
      <c r="H20" s="21">
        <f>F20*(0.001)/G20</f>
        <v>8.4804671208119E-4</v>
      </c>
      <c r="I20" s="21">
        <f>(0.000001)*$F$24/G20+$G$24*(0.000001)*(F20/(G20*G20))</f>
        <v>1.6260382905828413E-8</v>
      </c>
      <c r="J20" s="21"/>
      <c r="K20" s="21">
        <f>AVERAGE(K16:K17)+$H$2</f>
        <v>42.507999999999996</v>
      </c>
      <c r="L20" s="21">
        <f>AVERAGE(L16:L17)+$H$3</f>
        <v>27.413</v>
      </c>
      <c r="M20" s="21">
        <f>AVERAGE(M16:M17)+$H$4</f>
        <v>20.870500000000003</v>
      </c>
      <c r="N20" s="21">
        <f>AVERAGE(N16:N17)+$H$4</f>
        <v>19.772000000000002</v>
      </c>
      <c r="O20" s="17"/>
      <c r="P20" s="17">
        <v>58.49</v>
      </c>
      <c r="Q20" s="17">
        <v>33.856000000000002</v>
      </c>
      <c r="R20" s="15">
        <v>23.622</v>
      </c>
      <c r="S20" s="17">
        <v>20.704999999999998</v>
      </c>
    </row>
    <row r="21" spans="1:19">
      <c r="A21" s="23">
        <v>13.01</v>
      </c>
      <c r="B21" s="23">
        <v>13.01</v>
      </c>
      <c r="C21" s="23">
        <v>0.71399999999999997</v>
      </c>
      <c r="D21" s="23">
        <v>0.64700000000000002</v>
      </c>
      <c r="E21" s="23">
        <v>6.8500000000000005E-2</v>
      </c>
      <c r="F21" s="23">
        <v>54</v>
      </c>
      <c r="G21" s="23">
        <v>75.03</v>
      </c>
      <c r="H21" s="23">
        <f>F21*(0.001)/G21</f>
        <v>7.1971211515393842E-4</v>
      </c>
      <c r="I21" s="23">
        <f>(0.000001)*$F$24/G21+$G$24*(0.000001)*(F21/(G21*G21))</f>
        <v>1.5246467053589064E-8</v>
      </c>
      <c r="J21" s="23"/>
      <c r="K21" s="23">
        <f>AVERAGE(P26:P27)+$H$2</f>
        <v>59.024000000000001</v>
      </c>
      <c r="L21" s="23">
        <f>AVERAGE(Q26:Q27)+$H$3</f>
        <v>34.630499999999998</v>
      </c>
      <c r="M21" s="23">
        <f>AVERAGE(R26:R27)+$H$4</f>
        <v>24.035</v>
      </c>
      <c r="N21" s="23">
        <f>AVERAGE(S26:S27)+$H$4</f>
        <v>21.211000000000002</v>
      </c>
      <c r="O21" s="17"/>
      <c r="P21" s="17"/>
      <c r="Q21" s="17"/>
      <c r="S21" s="17"/>
    </row>
    <row r="22" spans="1:19">
      <c r="A22" s="21">
        <v>13</v>
      </c>
      <c r="B22" s="21">
        <v>13</v>
      </c>
      <c r="C22" s="21">
        <v>0.71099999999999997</v>
      </c>
      <c r="D22" s="21">
        <v>0.64700000000000002</v>
      </c>
      <c r="E22" s="21">
        <v>6.8599999999999994E-2</v>
      </c>
      <c r="F22" s="21">
        <v>82</v>
      </c>
      <c r="G22" s="21">
        <v>75.489999999999995</v>
      </c>
      <c r="H22" s="21">
        <f>F22*(0.001)/G22</f>
        <v>1.0862365876275005E-3</v>
      </c>
      <c r="I22" s="21">
        <f>(0.000001)*$F$24/G22+$G$24*(0.000001)*(F22/(G22*G22))</f>
        <v>1.6124616737653995E-8</v>
      </c>
      <c r="J22" s="21"/>
      <c r="K22" s="21">
        <f>AVERAGE(P19:P20)+$H$2</f>
        <v>58.611500000000007</v>
      </c>
      <c r="L22" s="21">
        <f>AVERAGE(Q19:Q20)+$H$3</f>
        <v>33.864500000000007</v>
      </c>
      <c r="M22" s="21">
        <f>AVERAGE(R19:R20)+$H$4</f>
        <v>23.496000000000002</v>
      </c>
      <c r="N22" s="21">
        <f>AVERAGE(S19:S20)+$H$4</f>
        <v>20.519500000000001</v>
      </c>
      <c r="O22" s="17"/>
      <c r="P22" s="17"/>
      <c r="Q22" s="17"/>
    </row>
    <row r="23" spans="1:19">
      <c r="A23" s="24">
        <v>15.99</v>
      </c>
      <c r="B23" s="24">
        <v>15.99</v>
      </c>
      <c r="C23" s="24">
        <v>1.054</v>
      </c>
      <c r="D23" s="24">
        <v>0.79300000000000004</v>
      </c>
      <c r="E23" s="24">
        <v>0.1013</v>
      </c>
      <c r="F23" s="24">
        <v>54</v>
      </c>
      <c r="G23" s="24">
        <v>83.88</v>
      </c>
      <c r="H23" s="21">
        <f>F23*(0.001)/G23</f>
        <v>6.4377682403433478E-4</v>
      </c>
      <c r="I23" s="21">
        <f>(0.000001)*$F$24/G23+$G$24*(0.000001)*(F23/(G23*G23))</f>
        <v>1.3456787849390403E-8</v>
      </c>
      <c r="J23" s="24"/>
      <c r="K23" s="24">
        <f>AVERAGE(P23:P24)+$H$2</f>
        <v>76.867500000000007</v>
      </c>
      <c r="L23" s="24">
        <f>AVERAGE(Q23:Q24)+$H$3</f>
        <v>40.363500000000002</v>
      </c>
      <c r="M23" s="24">
        <f>AVERAGE(R23:R24)+$H$4</f>
        <v>25.760500000000004</v>
      </c>
      <c r="N23" s="24">
        <f>AVERAGE(S23:S24)+$H$4</f>
        <v>20.331500000000002</v>
      </c>
      <c r="P23" s="17">
        <v>76.629000000000005</v>
      </c>
      <c r="Q23" s="17">
        <v>40.301000000000002</v>
      </c>
      <c r="R23" s="15">
        <v>26.039000000000001</v>
      </c>
      <c r="S23" s="15">
        <v>20.975999999999999</v>
      </c>
    </row>
    <row r="24" spans="1:19">
      <c r="A24" s="25"/>
      <c r="B24" s="25">
        <v>1E-3</v>
      </c>
      <c r="C24" s="25">
        <v>1E-3</v>
      </c>
      <c r="D24" s="25">
        <v>1E-3</v>
      </c>
      <c r="E24" s="25">
        <v>2.0000000000000001E-4</v>
      </c>
      <c r="F24" s="25">
        <v>1</v>
      </c>
      <c r="G24" s="25">
        <v>0.2</v>
      </c>
      <c r="H24" s="15"/>
      <c r="I24" s="15"/>
      <c r="J24" s="25"/>
      <c r="K24" s="25">
        <v>0.03</v>
      </c>
      <c r="L24" s="25">
        <v>0.03</v>
      </c>
      <c r="M24" s="25">
        <v>0.03</v>
      </c>
      <c r="N24" s="25">
        <v>0.03</v>
      </c>
      <c r="O24" s="15"/>
      <c r="P24" s="17">
        <v>76.831000000000003</v>
      </c>
      <c r="Q24" s="17">
        <v>40.390999999999998</v>
      </c>
      <c r="R24" s="15">
        <v>25.806999999999999</v>
      </c>
      <c r="S24" s="15">
        <v>20.012</v>
      </c>
    </row>
    <row r="26" spans="1:19">
      <c r="A26" s="26" t="s">
        <v>11</v>
      </c>
      <c r="B26" s="26" t="s">
        <v>34</v>
      </c>
      <c r="C26" s="26"/>
      <c r="D26" s="26" t="s">
        <v>35</v>
      </c>
      <c r="E26" s="26"/>
      <c r="F26" s="26" t="s">
        <v>36</v>
      </c>
      <c r="G26" s="26"/>
      <c r="H26" s="26" t="s">
        <v>37</v>
      </c>
      <c r="I26" s="26"/>
      <c r="J26" s="26" t="s">
        <v>38</v>
      </c>
      <c r="K26" s="26"/>
      <c r="L26" s="26" t="s">
        <v>39</v>
      </c>
      <c r="M26" s="26"/>
      <c r="N26" s="27" t="s">
        <v>40</v>
      </c>
      <c r="O26" s="27"/>
      <c r="P26">
        <v>58.874000000000002</v>
      </c>
      <c r="Q26">
        <v>34.58</v>
      </c>
      <c r="R26">
        <v>24.155000000000001</v>
      </c>
      <c r="S26">
        <v>21.353999999999999</v>
      </c>
    </row>
    <row r="27" spans="1:19">
      <c r="A27" s="28">
        <v>7</v>
      </c>
      <c r="B27" s="28">
        <f>B19*D19</f>
        <v>2.4499999999999997</v>
      </c>
      <c r="C27" s="28">
        <f>D19*$B$24+B19*$D$24</f>
        <v>7.3499999999999998E-3</v>
      </c>
      <c r="D27" s="28">
        <f>E19*E19*$B$16</f>
        <v>4.2849000000000003E-3</v>
      </c>
      <c r="E27" s="28">
        <f>2*E19*$B$16*$E$24+E19*E19*$C$16</f>
        <v>4.8210317948717907E-3</v>
      </c>
      <c r="F27" s="28">
        <f>H19*(M19-N19)*4186</f>
        <v>1.5450671097211486</v>
      </c>
      <c r="G27" s="28">
        <f>I19*4186*(K19-L19)+2*H19*4166*$K$24</f>
        <v>0.17962890015709557</v>
      </c>
      <c r="H27" s="28">
        <f>1-L19/K19</f>
        <v>0.24114217839113494</v>
      </c>
      <c r="I27" s="28">
        <f>$L$24/K19+$K$24*L19/(K19*K19)</f>
        <v>1.649367320952939E-3</v>
      </c>
      <c r="J27" s="28">
        <f>D27/B27</f>
        <v>1.7489387755102045E-3</v>
      </c>
      <c r="K27" s="28">
        <f>ABS(E27/B27)+ABS(C27*E27/(B27*B27))</f>
        <v>1.9736713837781249E-3</v>
      </c>
      <c r="L27" s="28">
        <f>D27/(D27+F27)</f>
        <v>2.7656077980440313E-3</v>
      </c>
      <c r="M27" s="28">
        <f>G27*ABS(D27/( (D27+F27)*(D27+F27) ))+E27*ABS(  1/(D27+F27) - D27/( (D27+F27)*(D27+F27) )  )</f>
        <v>3.4236776184441834E-3</v>
      </c>
      <c r="N27" s="29">
        <f>B27-D27-F27</f>
        <v>0.90064799027885112</v>
      </c>
      <c r="O27" s="29">
        <f>C27+E27+G27</f>
        <v>0.19179993195196735</v>
      </c>
      <c r="P27" s="17">
        <v>58.899000000000001</v>
      </c>
      <c r="Q27" s="17">
        <v>34.646000000000001</v>
      </c>
      <c r="R27">
        <v>24.24</v>
      </c>
      <c r="S27">
        <v>21.393000000000001</v>
      </c>
    </row>
    <row r="28" spans="1:19">
      <c r="A28" s="28">
        <v>10.07</v>
      </c>
      <c r="B28" s="28">
        <f>B20*D20</f>
        <v>5.0450699999999999</v>
      </c>
      <c r="C28" s="28">
        <f>D20*$B$24+B20*$D$24</f>
        <v>1.0571000000000001E-2</v>
      </c>
      <c r="D28" s="28">
        <f>E20*E20*$B$16</f>
        <v>1.7305599999999997E-2</v>
      </c>
      <c r="E28" s="28">
        <f>2*E20*$B$16*$E$24+E20*E20*$C$16</f>
        <v>1.9302889567862323E-2</v>
      </c>
      <c r="F28" s="28">
        <f>H20*(M20-N20)*4186</f>
        <v>3.8995910051438942</v>
      </c>
      <c r="G28" s="28">
        <f>I20*4186*(K20-L20)+2*H20*4166*$K$24</f>
        <v>0.21300521186094137</v>
      </c>
      <c r="H28" s="28">
        <f>1-L20/K20</f>
        <v>0.35510962642326138</v>
      </c>
      <c r="I28" s="28">
        <f>$L$24/K20+$K$24*L20/(K20*K20)</f>
        <v>1.1608805685353854E-3</v>
      </c>
      <c r="J28" s="28">
        <f>D28/B28</f>
        <v>3.430200175616988E-3</v>
      </c>
      <c r="K28" s="28">
        <f>ABS(E28/B28)+ABS(C28*E28/(B28*B28))</f>
        <v>3.8341063970203436E-3</v>
      </c>
      <c r="L28" s="28">
        <f>D28/(D28+F28)</f>
        <v>4.4181916819742671E-3</v>
      </c>
      <c r="M28" s="28">
        <f>G28*ABS(D28/( (D28+F28)*(D28+F28) ))+E28*ABS(  1/(D28+F28) - D28/( (D28+F28)*(D28+F28) )  )</f>
        <v>5.1466008907468047E-3</v>
      </c>
      <c r="N28" s="29">
        <f>B28-D28-F28</f>
        <v>1.1281733948561055</v>
      </c>
      <c r="O28" s="29">
        <f>C28+E28+G28</f>
        <v>0.2428791014288037</v>
      </c>
    </row>
    <row r="29" spans="1:19">
      <c r="A29" s="30">
        <v>13.01</v>
      </c>
      <c r="B29" s="30">
        <f>B21*D21</f>
        <v>8.4174699999999998</v>
      </c>
      <c r="C29" s="30">
        <f>D21*$B$24+B21*$D$24</f>
        <v>1.3657000000000001E-2</v>
      </c>
      <c r="D29" s="30">
        <f>E21*E21*$B$16</f>
        <v>4.6922500000000013E-2</v>
      </c>
      <c r="E29" s="30">
        <f>2*E21*$B$16*$E$24+E21*E21*$C$16</f>
        <v>5.2160784147791468E-2</v>
      </c>
      <c r="F29" s="30">
        <f>H21*(M21-N21)*4186</f>
        <v>8.5079069172331003</v>
      </c>
      <c r="G29" s="30">
        <f>I21*4186*(K21-L21)+2*H21*4166*$K$24</f>
        <v>0.18145607521326268</v>
      </c>
      <c r="H29" s="30">
        <f>1-L21/K21</f>
        <v>0.41328103822174034</v>
      </c>
      <c r="I29" s="28">
        <f>$L$24/K21+$K$24*L21/(K21*K21)</f>
        <v>8.064781928257621E-4</v>
      </c>
      <c r="J29" s="30">
        <f>D29/B29</f>
        <v>5.5744184416457697E-3</v>
      </c>
      <c r="K29" s="28">
        <f>ABS(E29/B29)+ABS(C29*E29/(B29*B29))</f>
        <v>6.2067833781094374E-3</v>
      </c>
      <c r="L29" s="30">
        <f>D29/(D29+F29)</f>
        <v>5.4849135747204901E-3</v>
      </c>
      <c r="M29" s="30">
        <f>G29*ABS(D29/( (D29+F29)*(D29+F29) ))+E29*ABS(  1/(D29+F29) - D29/( (D29+F29)*(D29+F29) )  )</f>
        <v>6.1801299671038566E-3</v>
      </c>
      <c r="N29" s="31">
        <f>B29-D29-F29</f>
        <v>-0.13735941723310141</v>
      </c>
      <c r="O29" s="29">
        <f>C29+E29+G29</f>
        <v>0.24727385936105414</v>
      </c>
    </row>
    <row r="30" spans="1:19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/>
      <c r="O30" s="29"/>
    </row>
    <row r="31" spans="1:19">
      <c r="A31" s="28">
        <v>15.99</v>
      </c>
      <c r="B31" s="28">
        <f>B23*D23</f>
        <v>12.680070000000001</v>
      </c>
      <c r="C31" s="28">
        <f>D23*$B$24+B23*$D$24</f>
        <v>1.6782999999999999E-2</v>
      </c>
      <c r="D31" s="28">
        <f>E23*E23*$B$16</f>
        <v>0.10261690000000001</v>
      </c>
      <c r="E31" s="28">
        <f>2*E23*$B$16*$E$24+E23*E23*$C$16</f>
        <v>0.11387871356418565</v>
      </c>
      <c r="F31" s="28">
        <f>H23*(M23-N23)*4186</f>
        <v>14.630339484978547</v>
      </c>
      <c r="G31" s="28">
        <f>I23*4186*(K23-L23)+2*H23*4166*$K$24</f>
        <v>0.16297472941479857</v>
      </c>
      <c r="H31" s="28">
        <f>1-L23/K23</f>
        <v>0.47489511171821641</v>
      </c>
      <c r="I31" s="28">
        <f>$L$24/K23+$K$24*L23/(K23*K23)</f>
        <v>5.9522095356884903E-4</v>
      </c>
      <c r="J31" s="28">
        <f>D31/B31</f>
        <v>8.092770781233858E-3</v>
      </c>
      <c r="K31" s="28">
        <f>ABS(E31/B31)+ABS(C31*E31/(B31*B31))</f>
        <v>8.9928084285094897E-3</v>
      </c>
      <c r="L31" s="28">
        <f>D31/(D31+F31)</f>
        <v>6.9651261646729865E-3</v>
      </c>
      <c r="M31" s="28">
        <f>G31*ABS(D31/( (D31+F31)*(D31+F31) ))+E31*ABS(  1/(D31+F31) - D31/( (D31+F31)*(D31+F31) )  )</f>
        <v>7.7527327526215493E-3</v>
      </c>
      <c r="N31" s="29">
        <f>B31-D31-F31</f>
        <v>-2.0528863849785459</v>
      </c>
      <c r="O31" s="29">
        <f>C31+E31+G31</f>
        <v>0.29363644297898422</v>
      </c>
      <c r="R31" s="15"/>
      <c r="S31" s="15"/>
    </row>
    <row r="32" spans="1:19" s="15" customFormat="1"/>
    <row r="33" spans="1:37" ht="20">
      <c r="A33" s="1" t="s">
        <v>41</v>
      </c>
    </row>
    <row r="34" spans="1:37">
      <c r="A34" s="32" t="s">
        <v>19</v>
      </c>
      <c r="B34" s="32" t="s">
        <v>12</v>
      </c>
      <c r="C34" s="32" t="s">
        <v>14</v>
      </c>
      <c r="D34" s="32" t="s">
        <v>23</v>
      </c>
      <c r="E34" s="32" t="s">
        <v>24</v>
      </c>
      <c r="F34" s="32" t="s">
        <v>16</v>
      </c>
      <c r="G34" s="32" t="s">
        <v>25</v>
      </c>
      <c r="H34" s="32" t="s">
        <v>20</v>
      </c>
      <c r="I34" s="32" t="s">
        <v>21</v>
      </c>
      <c r="J34" s="32" t="s">
        <v>22</v>
      </c>
      <c r="K34" s="32" t="s">
        <v>42</v>
      </c>
      <c r="L34" s="32" t="s">
        <v>43</v>
      </c>
    </row>
    <row r="35" spans="1:37">
      <c r="A35" s="33">
        <f>33.879+$H$2</f>
        <v>34.016499999999994</v>
      </c>
      <c r="B35" s="34">
        <v>6.74</v>
      </c>
      <c r="C35" s="34">
        <v>0.33600000000000002</v>
      </c>
      <c r="D35" s="33">
        <v>42</v>
      </c>
      <c r="E35" s="33">
        <v>74.900000000000006</v>
      </c>
      <c r="F35" s="33">
        <f>D35*(0.001)/E35</f>
        <v>5.6074766355140187E-4</v>
      </c>
      <c r="G35" s="33">
        <f>(0.000001)*$F$24/E35+$G$24*(0.000001)*(D35/(E35*E35))</f>
        <v>1.4848458380644595E-8</v>
      </c>
      <c r="H35" s="33">
        <f>26.34+$H$3</f>
        <v>26.357500000000002</v>
      </c>
      <c r="I35" s="33">
        <f>22.855+$H$4</f>
        <v>22.692500000000003</v>
      </c>
      <c r="J35" s="33">
        <f>22.38+$H$5</f>
        <v>22.387499999999999</v>
      </c>
      <c r="K35">
        <f>K19-L19</f>
        <v>7.7144999999999939</v>
      </c>
      <c r="L35">
        <f>A35-H35</f>
        <v>7.6589999999999918</v>
      </c>
    </row>
    <row r="36" spans="1:37">
      <c r="A36" s="33"/>
      <c r="B36" s="34"/>
      <c r="C36" s="34"/>
      <c r="D36" s="33"/>
      <c r="E36" s="33"/>
      <c r="F36" s="33"/>
      <c r="G36" s="33"/>
      <c r="H36" s="33"/>
      <c r="I36" s="33"/>
      <c r="J36" s="33"/>
      <c r="W36" s="28">
        <v>13</v>
      </c>
      <c r="X36" s="28">
        <f>X28*Z28</f>
        <v>0</v>
      </c>
      <c r="Y36" s="28">
        <f>Z28*$B$24+X28*$D$24</f>
        <v>0</v>
      </c>
      <c r="Z36" s="28">
        <f>AA28*AA28*$B$16</f>
        <v>0</v>
      </c>
      <c r="AA36" s="28">
        <f>2*AA28*$B$16*$E$24+AA28*AA28*$C$16</f>
        <v>0</v>
      </c>
      <c r="AB36" s="28">
        <f>AD28*(AI28-AJ28)*4186</f>
        <v>0</v>
      </c>
      <c r="AC36" s="28">
        <f>AE28*4186*(AG28-AH28)+2*AD28*4166*$K$24</f>
        <v>0</v>
      </c>
      <c r="AD36" s="28" t="e">
        <f>1-AH28/AG28</f>
        <v>#DIV/0!</v>
      </c>
      <c r="AE36" s="28" t="e">
        <f>$L$24/AG28+$K$24*AH28/(AG28*AG28)</f>
        <v>#DIV/0!</v>
      </c>
      <c r="AF36" s="28" t="e">
        <f>Z36/X36</f>
        <v>#DIV/0!</v>
      </c>
      <c r="AG36" s="28" t="e">
        <f>ABS(AA36/X36)+ABS(Y36*AA36/(X36*X36))</f>
        <v>#DIV/0!</v>
      </c>
      <c r="AH36" s="28" t="e">
        <f>Z36/(Z36+AB36)</f>
        <v>#DIV/0!</v>
      </c>
      <c r="AI36" s="28" t="e">
        <f>AC36*ABS(Z36/( (Z36+AB36)*(Z36+AB36) ))+AA36*ABS(  1/(Z36+AB36) - Z36/( (Z36+AB36)*(Z36+AB36) )  )</f>
        <v>#DIV/0!</v>
      </c>
      <c r="AJ36" s="29">
        <f>X36-Z36-AB36</f>
        <v>0</v>
      </c>
      <c r="AK36" s="29">
        <f>Y36+AA36+AC36</f>
        <v>0</v>
      </c>
    </row>
    <row r="37" spans="1:37">
      <c r="A37" s="33"/>
      <c r="B37" s="34"/>
      <c r="C37" s="34"/>
      <c r="D37" s="33"/>
      <c r="E37" s="33"/>
      <c r="F37" s="33"/>
      <c r="G37" s="33"/>
      <c r="H37" s="33"/>
      <c r="I37" s="33"/>
      <c r="J37" s="33"/>
    </row>
    <row r="38" spans="1:37">
      <c r="A38" s="33">
        <f>77.417+$H$2</f>
        <v>77.554500000000004</v>
      </c>
      <c r="B38" s="34">
        <v>15.22</v>
      </c>
      <c r="C38" s="34">
        <v>0.755</v>
      </c>
      <c r="D38" s="33">
        <v>54</v>
      </c>
      <c r="E38" s="33">
        <v>75.25</v>
      </c>
      <c r="F38" s="33">
        <f>D38*(0.001)/E38</f>
        <v>7.1760797342192693E-4</v>
      </c>
      <c r="G38" s="33">
        <f>(0.000001)*$F$24/E38+$G$24*(0.000001)*(D38/(E38*E38))</f>
        <v>1.5196300261586517E-8</v>
      </c>
      <c r="H38" s="34">
        <f>41.058+$H$3</f>
        <v>41.075500000000005</v>
      </c>
      <c r="I38" s="34">
        <f>24.761+$H$3</f>
        <v>24.778500000000001</v>
      </c>
      <c r="J38" s="34">
        <f>22.129+$H$5</f>
        <v>22.136500000000002</v>
      </c>
      <c r="K38">
        <f>K23-L23</f>
        <v>36.504000000000005</v>
      </c>
      <c r="L38">
        <f>A38-H38</f>
        <v>36.478999999999999</v>
      </c>
    </row>
    <row r="39" spans="1:37">
      <c r="A39" s="35">
        <v>1E-3</v>
      </c>
      <c r="B39" s="35">
        <v>0.01</v>
      </c>
      <c r="C39" s="35">
        <v>1E-3</v>
      </c>
      <c r="D39" s="35">
        <v>1</v>
      </c>
      <c r="E39" s="35">
        <v>0.2</v>
      </c>
      <c r="F39" s="35"/>
      <c r="G39" s="35"/>
      <c r="H39" s="35">
        <v>1E-3</v>
      </c>
      <c r="I39" s="35">
        <v>1E-3</v>
      </c>
      <c r="J39" s="35">
        <v>1E-3</v>
      </c>
    </row>
    <row r="41" spans="1:37">
      <c r="A41" s="36" t="s">
        <v>12</v>
      </c>
      <c r="B41" s="36" t="s">
        <v>34</v>
      </c>
      <c r="C41" s="36"/>
      <c r="D41" s="36" t="s">
        <v>36</v>
      </c>
      <c r="E41" s="36"/>
      <c r="F41" s="36" t="s">
        <v>44</v>
      </c>
      <c r="G41" s="36"/>
      <c r="H41" s="36" t="s">
        <v>37</v>
      </c>
      <c r="I41" s="36"/>
      <c r="J41" s="36" t="s">
        <v>38</v>
      </c>
      <c r="K41" s="36"/>
      <c r="L41" s="36" t="s">
        <v>45</v>
      </c>
      <c r="M41" s="36"/>
    </row>
    <row r="42" spans="1:37">
      <c r="A42" s="37"/>
      <c r="B42" s="37">
        <f>B35*C35</f>
        <v>2.2646400000000004</v>
      </c>
      <c r="C42" s="37">
        <f>B35*$C$39+C35*$B$39</f>
        <v>1.0100000000000001E-2</v>
      </c>
      <c r="D42" s="37">
        <f>F35*(I35-J35)*4186</f>
        <v>0.71592336448598903</v>
      </c>
      <c r="E42" s="37">
        <f>4186*(G35*(I35-J35)+I39*F35+J39*F35)</f>
        <v>4.7135369115206575E-3</v>
      </c>
      <c r="F42" s="37">
        <f>D42</f>
        <v>0.71592336448598903</v>
      </c>
      <c r="G42" s="37"/>
      <c r="H42" s="37">
        <f>1-H35/A35</f>
        <v>0.22515543927211779</v>
      </c>
      <c r="I42" s="37">
        <f>$H$39*A35+$A$39*H35/(A35*A35)</f>
        <v>3.4039278491635752E-2</v>
      </c>
      <c r="J42" s="37">
        <f>D27/(D27+F27-D42)</f>
        <v>5.1412919684215757E-3</v>
      </c>
      <c r="K42" s="37">
        <f>(E27*(F27-D42)+G27*D27+D27*E42)/((D27+F27-D42)*(D27+F27-D42))</f>
        <v>6.8920162353487665E-3</v>
      </c>
      <c r="L42" s="37">
        <f>(A35-H35)/D42</f>
        <v>10.698072419383768</v>
      </c>
      <c r="M42" s="37">
        <f>( $A$39+$H$39+E42*(A35-H35)  )/D42</f>
        <v>5.3219354326691115E-2</v>
      </c>
    </row>
    <row r="43" spans="1:37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 t="e">
        <f t="shared" ref="M43:M45" si="1">( $A$39+$H$39+E43*(A36-H36)  )/D43</f>
        <v>#DIV/0!</v>
      </c>
    </row>
    <row r="44" spans="1:37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 t="e">
        <f t="shared" si="1"/>
        <v>#DIV/0!</v>
      </c>
    </row>
    <row r="45" spans="1:37">
      <c r="A45" s="37"/>
      <c r="B45" s="37">
        <f>B38*C38</f>
        <v>11.491100000000001</v>
      </c>
      <c r="C45" s="37">
        <f>B38*$C$39+C38*$B$39</f>
        <v>2.2770000000000002E-2</v>
      </c>
      <c r="D45" s="37">
        <f>F38*(I38-J38)*4186</f>
        <v>7.9363222325581377</v>
      </c>
      <c r="E45" s="37">
        <f>4186*(G38*(I38-J38)+I42*F38+J42*F38)</f>
        <v>0.11786285110325195</v>
      </c>
      <c r="F45" s="37">
        <f>D45</f>
        <v>7.9363222325581377</v>
      </c>
      <c r="G45" s="37"/>
      <c r="H45" s="37">
        <f>1-H38/A38</f>
        <v>0.47036600068339041</v>
      </c>
      <c r="I45" s="37">
        <f>$H$39*A38+$A$39*H38/(A38*A38)</f>
        <v>7.7561329184629102E-2</v>
      </c>
      <c r="J45" s="37">
        <f>D31/(D31+F31-D45)</f>
        <v>1.509819385577142E-2</v>
      </c>
      <c r="K45" s="37">
        <f>(E30*(F30-D45)+G30*D30+D30*E45)/((D30+F30-D45)*(D30+F30-D45))</f>
        <v>0</v>
      </c>
      <c r="L45" s="37">
        <f>(A38-H38)/D45</f>
        <v>4.59646155121421</v>
      </c>
      <c r="M45" s="37">
        <f t="shared" si="1"/>
        <v>0.54200406930919265</v>
      </c>
    </row>
    <row r="46" spans="1:37">
      <c r="A46" s="38"/>
      <c r="J46" t="s">
        <v>46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"/>
  <sheetViews>
    <sheetView workbookViewId="0">
      <selection activeCell="B13" sqref="B13"/>
    </sheetView>
  </sheetViews>
  <sheetFormatPr baseColWidth="10" defaultColWidth="8.83203125" defaultRowHeight="15" x14ac:dyDescent="0"/>
  <sheetData>
    <row r="2" spans="1:17">
      <c r="A2" s="6" t="s">
        <v>47</v>
      </c>
      <c r="B2" s="6" t="s">
        <v>48</v>
      </c>
      <c r="C2" s="6" t="s">
        <v>49</v>
      </c>
    </row>
    <row r="3" spans="1:17">
      <c r="A3" s="5">
        <v>7.66</v>
      </c>
      <c r="B3" s="5">
        <v>2.4060000000000001</v>
      </c>
      <c r="C3" s="5">
        <v>0.50349999999999995</v>
      </c>
    </row>
    <row r="4" spans="1:17">
      <c r="A4" s="5">
        <v>4.609</v>
      </c>
      <c r="B4" s="5">
        <v>1.4870000000000001</v>
      </c>
      <c r="C4" s="5">
        <v>0.29859999999999998</v>
      </c>
    </row>
    <row r="5" spans="1:17">
      <c r="A5" s="13">
        <v>1E-3</v>
      </c>
      <c r="B5" s="13">
        <v>1E-3</v>
      </c>
      <c r="C5" s="13">
        <v>2.0000000000000001E-4</v>
      </c>
      <c r="I5">
        <v>18.602</v>
      </c>
      <c r="J5">
        <v>28.007000000000001</v>
      </c>
      <c r="K5">
        <v>23.459</v>
      </c>
      <c r="L5">
        <v>22.582999999999998</v>
      </c>
    </row>
    <row r="6" spans="1:17">
      <c r="I6">
        <v>18.61</v>
      </c>
      <c r="J6">
        <v>28.053000000000001</v>
      </c>
      <c r="K6">
        <v>23.492000000000001</v>
      </c>
      <c r="L6">
        <v>22.594999999999999</v>
      </c>
    </row>
    <row r="7" spans="1:17">
      <c r="A7" s="20" t="s">
        <v>11</v>
      </c>
      <c r="B7" s="20" t="s">
        <v>12</v>
      </c>
      <c r="C7" s="20" t="s">
        <v>14</v>
      </c>
      <c r="D7" s="20" t="s">
        <v>23</v>
      </c>
      <c r="E7" s="20" t="s">
        <v>24</v>
      </c>
      <c r="F7" s="20" t="s">
        <v>16</v>
      </c>
      <c r="G7" s="20" t="s">
        <v>25</v>
      </c>
      <c r="H7" s="20" t="s">
        <v>17</v>
      </c>
      <c r="I7" s="20" t="s">
        <v>19</v>
      </c>
      <c r="J7" s="20" t="s">
        <v>20</v>
      </c>
      <c r="K7" s="20" t="s">
        <v>21</v>
      </c>
      <c r="L7" s="20" t="s">
        <v>22</v>
      </c>
      <c r="N7">
        <v>16.931999999999999</v>
      </c>
      <c r="O7">
        <v>24.42</v>
      </c>
      <c r="P7">
        <v>22.844000000000001</v>
      </c>
      <c r="Q7">
        <v>22.643999999999998</v>
      </c>
    </row>
    <row r="8" spans="1:17">
      <c r="A8" s="21">
        <v>6.16</v>
      </c>
      <c r="B8" s="21">
        <v>6.16</v>
      </c>
      <c r="C8" s="21">
        <v>0.307</v>
      </c>
      <c r="D8" s="21">
        <v>47</v>
      </c>
      <c r="E8" s="21">
        <v>74.92</v>
      </c>
      <c r="F8" s="21">
        <f>D8*(0.001)/E8</f>
        <v>6.273358248798719E-4</v>
      </c>
      <c r="G8" s="21">
        <f>(0.000001)*$D$10/E8+$E$10*(0.000001)*(D8/(E8*E8))</f>
        <v>1.3431304835141466E-8</v>
      </c>
      <c r="H8" s="21"/>
      <c r="I8" s="21">
        <f>AVERAGE(I5:I6)</f>
        <v>18.606000000000002</v>
      </c>
      <c r="J8" s="21">
        <f>AVERAGE(J5:J6)</f>
        <v>28.03</v>
      </c>
      <c r="K8" s="21">
        <f>AVERAGE(K5:K6)</f>
        <v>23.4755</v>
      </c>
      <c r="L8" s="21">
        <f>AVERAGE(L5:L6)</f>
        <v>22.588999999999999</v>
      </c>
      <c r="N8">
        <v>16.933</v>
      </c>
      <c r="O8">
        <v>24.416</v>
      </c>
      <c r="P8">
        <v>22.895</v>
      </c>
      <c r="Q8">
        <v>22.657</v>
      </c>
    </row>
    <row r="9" spans="1:17">
      <c r="A9" s="21">
        <v>3.4510000000000001</v>
      </c>
      <c r="B9" s="21">
        <v>3.4510000000000001</v>
      </c>
      <c r="C9" s="21">
        <v>0.17199999999999999</v>
      </c>
      <c r="D9" s="21">
        <v>56</v>
      </c>
      <c r="E9" s="21">
        <v>75.77</v>
      </c>
      <c r="F9" s="21">
        <f>D9*(0.001)/E9</f>
        <v>7.3907879107826323E-4</v>
      </c>
      <c r="G9" s="21">
        <f>(0.000001)*$D$10/E9+$E$10*(0.000001)*(D9/(E9*E9))</f>
        <v>1.3295377958437146E-8</v>
      </c>
      <c r="H9" s="21"/>
      <c r="I9" s="21">
        <f>AVERAGE(N7:N8)</f>
        <v>16.932499999999997</v>
      </c>
      <c r="J9" s="21">
        <f>AVERAGE(O7:O8)</f>
        <v>24.417999999999999</v>
      </c>
      <c r="K9" s="21">
        <f>AVERAGE(P7:P8)</f>
        <v>22.869500000000002</v>
      </c>
      <c r="L9" s="21">
        <f>AVERAGE(Q7:Q8)</f>
        <v>22.650500000000001</v>
      </c>
    </row>
    <row r="10" spans="1:17">
      <c r="A10" s="39">
        <v>1E-3</v>
      </c>
      <c r="B10" s="39">
        <v>1E-3</v>
      </c>
      <c r="C10" s="39">
        <v>1E-3</v>
      </c>
      <c r="D10" s="39">
        <v>1</v>
      </c>
      <c r="E10" s="39">
        <v>0.01</v>
      </c>
      <c r="F10" s="17"/>
      <c r="G10" s="17"/>
      <c r="H10" s="39"/>
      <c r="I10" s="39">
        <v>1E-3</v>
      </c>
      <c r="J10" s="39">
        <v>1E-3</v>
      </c>
      <c r="K10" s="39">
        <v>1E-3</v>
      </c>
      <c r="L10" s="39">
        <v>1E-3</v>
      </c>
    </row>
    <row r="12" spans="1:17">
      <c r="A12" s="40" t="s">
        <v>50</v>
      </c>
      <c r="B12" s="40"/>
      <c r="C12" s="40" t="s">
        <v>35</v>
      </c>
      <c r="D12" s="40"/>
      <c r="E12" s="40" t="s">
        <v>51</v>
      </c>
      <c r="F12" s="40"/>
      <c r="G12" s="40" t="s">
        <v>52</v>
      </c>
      <c r="H12" s="40"/>
      <c r="I12" s="40" t="s">
        <v>53</v>
      </c>
    </row>
    <row r="13" spans="1:17">
      <c r="A13" s="41">
        <f>B8*C8</f>
        <v>1.8911199999999999</v>
      </c>
      <c r="B13" s="41">
        <f>B8*C10+C8*B10</f>
        <v>6.4670000000000005E-3</v>
      </c>
      <c r="C13" s="41">
        <f>B3*C3</f>
        <v>1.2114209999999999</v>
      </c>
      <c r="D13" s="41">
        <f>B3*$C$5+C3*$B$5</f>
        <v>9.8470000000000003E-4</v>
      </c>
      <c r="E13" s="41">
        <f>F8*(K8-L8)*4180</f>
        <v>2.3246368126001111</v>
      </c>
      <c r="F13" s="41">
        <f>G8*4186*(I8-J8)+2*F8*4166*$I$10</f>
        <v>4.6971123751150543E-3</v>
      </c>
      <c r="G13" s="41">
        <f>E13/(B3*C3)</f>
        <v>1.9189338905303039</v>
      </c>
      <c r="H13" s="41">
        <f>F13/(B3*C3)+G13*$C$5/C3+G13*$B$5/B3</f>
        <v>5.4371573359882699E-3</v>
      </c>
      <c r="I13" s="41">
        <f>ABS(J8/(I8-J8))</f>
        <v>2.9743208828522922</v>
      </c>
    </row>
    <row r="14" spans="1:17">
      <c r="A14" s="41">
        <f>B9*C9</f>
        <v>0.59357199999999999</v>
      </c>
      <c r="B14" s="41">
        <f>B9*C10+C9*B10</f>
        <v>3.6229999999999999E-3</v>
      </c>
      <c r="C14" s="41">
        <f>B4*C4</f>
        <v>0.44401819999999997</v>
      </c>
      <c r="D14" s="41">
        <f>B4*$C$5+C4*$B$5</f>
        <v>5.9599999999999996E-4</v>
      </c>
      <c r="E14" s="41">
        <f>F9*(K9-L9)*4180</f>
        <v>0.67656750692886736</v>
      </c>
      <c r="F14" s="41">
        <f>G9*4186*(I9-J9)+2*F9*4166*$I$10</f>
        <v>5.7414030858148994E-3</v>
      </c>
      <c r="G14" s="41">
        <f>E14/(B4*C4)</f>
        <v>1.523738231741103</v>
      </c>
      <c r="H14" s="41">
        <f>F14/(B4*C4)+G14*$C$5/C4+G14*$B$5/B4</f>
        <v>1.497585250319153E-2</v>
      </c>
      <c r="I14" s="41">
        <f>ABS(J9/(I9-J9))</f>
        <v>3.2620399438915229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I-Peltier</vt:lpstr>
      <vt:lpstr>II-bomba de calor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Ferreira</dc:creator>
  <cp:lastModifiedBy>Joao Ferreira</cp:lastModifiedBy>
  <cp:revision>0</cp:revision>
  <dcterms:created xsi:type="dcterms:W3CDTF">2015-03-12T10:43:26Z</dcterms:created>
  <dcterms:modified xsi:type="dcterms:W3CDTF">2015-03-19T18:56:13Z</dcterms:modified>
  <dc:language>en-US</dc:language>
</cp:coreProperties>
</file>