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8800" windowHeight="17540" tabRatio="387"/>
  </bookViews>
  <sheets>
    <sheet name="Espetro da lampada" sheetId="1" r:id="rId1"/>
    <sheet name="Wien" sheetId="2" r:id="rId2"/>
    <sheet name="Stefan" sheetId="3" r:id="rId3"/>
    <sheet name="Leslei" sheetId="4" r:id="rId4"/>
    <sheet name="Sheet1" sheetId="5" r:id="rId5"/>
    <sheet name="Sheet3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P22" i="1"/>
  <c r="P25" i="1"/>
  <c r="P28" i="1"/>
  <c r="P31" i="1"/>
  <c r="P34" i="1"/>
  <c r="P37" i="1"/>
  <c r="Q19" i="1"/>
  <c r="Q20" i="1"/>
  <c r="Q21" i="1"/>
  <c r="P40" i="1"/>
  <c r="P43" i="1"/>
  <c r="P46" i="1"/>
  <c r="P49" i="1"/>
  <c r="P52" i="1"/>
  <c r="P55" i="1"/>
  <c r="P58" i="1"/>
  <c r="P61" i="1"/>
  <c r="P64" i="1"/>
  <c r="P67" i="1"/>
  <c r="P19" i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" i="5"/>
  <c r="C4" i="5"/>
  <c r="C5" i="5"/>
  <c r="C6" i="5"/>
  <c r="C7" i="5"/>
  <c r="C8" i="5"/>
  <c r="C9" i="5"/>
  <c r="C10" i="5"/>
  <c r="C2" i="5"/>
  <c r="O19" i="1"/>
  <c r="O16" i="1"/>
  <c r="P16" i="1"/>
  <c r="G13" i="1"/>
  <c r="N127" i="1"/>
  <c r="O127" i="1"/>
  <c r="N130" i="1"/>
  <c r="O130" i="1"/>
  <c r="G14" i="2"/>
  <c r="I14" i="2"/>
  <c r="K14" i="2"/>
  <c r="A8" i="2"/>
  <c r="A9" i="2"/>
  <c r="A10" i="2"/>
  <c r="A11" i="2"/>
  <c r="A12" i="2"/>
  <c r="A13" i="2"/>
  <c r="A14" i="2"/>
  <c r="G13" i="2"/>
  <c r="I13" i="2"/>
  <c r="K13" i="2"/>
  <c r="G12" i="2"/>
  <c r="I12" i="2"/>
  <c r="K12" i="2"/>
  <c r="G11" i="2"/>
  <c r="I11" i="2"/>
  <c r="K11" i="2"/>
  <c r="G10" i="2"/>
  <c r="I10" i="2"/>
  <c r="K10" i="2"/>
  <c r="G9" i="2"/>
  <c r="I9" i="2"/>
  <c r="K9" i="2"/>
  <c r="G8" i="2"/>
  <c r="I8" i="2"/>
  <c r="K8" i="2"/>
  <c r="G7" i="2"/>
  <c r="I7" i="2"/>
  <c r="K7" i="2"/>
  <c r="T205" i="1"/>
  <c r="Q204" i="1"/>
  <c r="S204" i="1"/>
  <c r="U204" i="1"/>
  <c r="T204" i="1"/>
  <c r="Q203" i="1"/>
  <c r="S203" i="1"/>
  <c r="U203" i="1"/>
  <c r="T203" i="1"/>
  <c r="B3" i="1"/>
  <c r="I160" i="1"/>
  <c r="I166" i="1"/>
  <c r="I178" i="1"/>
  <c r="I190" i="1"/>
  <c r="I196" i="1"/>
  <c r="I202" i="1"/>
  <c r="K202" i="1"/>
  <c r="B2" i="1"/>
  <c r="N202" i="1"/>
  <c r="O202" i="1"/>
  <c r="Q202" i="1"/>
  <c r="R202" i="1"/>
  <c r="S202" i="1"/>
  <c r="U202" i="1"/>
  <c r="T202" i="1"/>
  <c r="Q201" i="1"/>
  <c r="S201" i="1"/>
  <c r="U201" i="1"/>
  <c r="T201" i="1"/>
  <c r="Q200" i="1"/>
  <c r="S200" i="1"/>
  <c r="U200" i="1"/>
  <c r="T200" i="1"/>
  <c r="I157" i="1"/>
  <c r="I163" i="1"/>
  <c r="I172" i="1"/>
  <c r="I187" i="1"/>
  <c r="I193" i="1"/>
  <c r="I199" i="1"/>
  <c r="K199" i="1"/>
  <c r="N199" i="1"/>
  <c r="O199" i="1"/>
  <c r="Q199" i="1"/>
  <c r="R199" i="1"/>
  <c r="S199" i="1"/>
  <c r="U199" i="1"/>
  <c r="T199" i="1"/>
  <c r="Q198" i="1"/>
  <c r="S198" i="1"/>
  <c r="U198" i="1"/>
  <c r="T198" i="1"/>
  <c r="Q197" i="1"/>
  <c r="S197" i="1"/>
  <c r="U197" i="1"/>
  <c r="T197" i="1"/>
  <c r="K196" i="1"/>
  <c r="N196" i="1"/>
  <c r="O196" i="1"/>
  <c r="Q196" i="1"/>
  <c r="R196" i="1"/>
  <c r="S196" i="1"/>
  <c r="U196" i="1"/>
  <c r="T196" i="1"/>
  <c r="Q195" i="1"/>
  <c r="S195" i="1"/>
  <c r="U195" i="1"/>
  <c r="T195" i="1"/>
  <c r="Q194" i="1"/>
  <c r="S194" i="1"/>
  <c r="U194" i="1"/>
  <c r="T194" i="1"/>
  <c r="K193" i="1"/>
  <c r="N193" i="1"/>
  <c r="O193" i="1"/>
  <c r="Q193" i="1"/>
  <c r="R193" i="1"/>
  <c r="S193" i="1"/>
  <c r="U193" i="1"/>
  <c r="T193" i="1"/>
  <c r="Q192" i="1"/>
  <c r="S192" i="1"/>
  <c r="U192" i="1"/>
  <c r="T192" i="1"/>
  <c r="Q191" i="1"/>
  <c r="S191" i="1"/>
  <c r="U191" i="1"/>
  <c r="T191" i="1"/>
  <c r="K190" i="1"/>
  <c r="N190" i="1"/>
  <c r="O190" i="1"/>
  <c r="Q190" i="1"/>
  <c r="R190" i="1"/>
  <c r="S190" i="1"/>
  <c r="U190" i="1"/>
  <c r="T190" i="1"/>
  <c r="Q189" i="1"/>
  <c r="S189" i="1"/>
  <c r="U189" i="1"/>
  <c r="T189" i="1"/>
  <c r="Q188" i="1"/>
  <c r="S188" i="1"/>
  <c r="U188" i="1"/>
  <c r="T188" i="1"/>
  <c r="K187" i="1"/>
  <c r="N187" i="1"/>
  <c r="O187" i="1"/>
  <c r="Q187" i="1"/>
  <c r="R187" i="1"/>
  <c r="S187" i="1"/>
  <c r="U187" i="1"/>
  <c r="T187" i="1"/>
  <c r="Q186" i="1"/>
  <c r="S186" i="1"/>
  <c r="U186" i="1"/>
  <c r="T186" i="1"/>
  <c r="Q185" i="1"/>
  <c r="S185" i="1"/>
  <c r="U185" i="1"/>
  <c r="T185" i="1"/>
  <c r="K184" i="1"/>
  <c r="N184" i="1"/>
  <c r="O184" i="1"/>
  <c r="Q184" i="1"/>
  <c r="R184" i="1"/>
  <c r="S184" i="1"/>
  <c r="U184" i="1"/>
  <c r="T184" i="1"/>
  <c r="Q183" i="1"/>
  <c r="S183" i="1"/>
  <c r="U183" i="1"/>
  <c r="T183" i="1"/>
  <c r="Q182" i="1"/>
  <c r="S182" i="1"/>
  <c r="U182" i="1"/>
  <c r="T182" i="1"/>
  <c r="K181" i="1"/>
  <c r="N181" i="1"/>
  <c r="O181" i="1"/>
  <c r="Q181" i="1"/>
  <c r="R181" i="1"/>
  <c r="S181" i="1"/>
  <c r="U181" i="1"/>
  <c r="T181" i="1"/>
  <c r="Q180" i="1"/>
  <c r="S180" i="1"/>
  <c r="U180" i="1"/>
  <c r="T180" i="1"/>
  <c r="Q179" i="1"/>
  <c r="S179" i="1"/>
  <c r="U179" i="1"/>
  <c r="T179" i="1"/>
  <c r="K178" i="1"/>
  <c r="N178" i="1"/>
  <c r="O178" i="1"/>
  <c r="Q178" i="1"/>
  <c r="R178" i="1"/>
  <c r="S178" i="1"/>
  <c r="U178" i="1"/>
  <c r="T178" i="1"/>
  <c r="Q177" i="1"/>
  <c r="S177" i="1"/>
  <c r="U177" i="1"/>
  <c r="T177" i="1"/>
  <c r="Q176" i="1"/>
  <c r="S176" i="1"/>
  <c r="U176" i="1"/>
  <c r="T176" i="1"/>
  <c r="K175" i="1"/>
  <c r="N175" i="1"/>
  <c r="O175" i="1"/>
  <c r="Q175" i="1"/>
  <c r="R175" i="1"/>
  <c r="S175" i="1"/>
  <c r="U175" i="1"/>
  <c r="T175" i="1"/>
  <c r="Q174" i="1"/>
  <c r="S174" i="1"/>
  <c r="U174" i="1"/>
  <c r="T174" i="1"/>
  <c r="Q173" i="1"/>
  <c r="S173" i="1"/>
  <c r="U173" i="1"/>
  <c r="T173" i="1"/>
  <c r="K172" i="1"/>
  <c r="N172" i="1"/>
  <c r="O172" i="1"/>
  <c r="Q172" i="1"/>
  <c r="R172" i="1"/>
  <c r="S172" i="1"/>
  <c r="U172" i="1"/>
  <c r="T172" i="1"/>
  <c r="Q171" i="1"/>
  <c r="S171" i="1"/>
  <c r="U171" i="1"/>
  <c r="T171" i="1"/>
  <c r="Q170" i="1"/>
  <c r="S170" i="1"/>
  <c r="U170" i="1"/>
  <c r="T170" i="1"/>
  <c r="I169" i="1"/>
  <c r="K169" i="1"/>
  <c r="N169" i="1"/>
  <c r="O169" i="1"/>
  <c r="Q169" i="1"/>
  <c r="R169" i="1"/>
  <c r="S169" i="1"/>
  <c r="U169" i="1"/>
  <c r="T169" i="1"/>
  <c r="Q168" i="1"/>
  <c r="S168" i="1"/>
  <c r="U168" i="1"/>
  <c r="T168" i="1"/>
  <c r="Q167" i="1"/>
  <c r="S167" i="1"/>
  <c r="U167" i="1"/>
  <c r="T167" i="1"/>
  <c r="K166" i="1"/>
  <c r="N166" i="1"/>
  <c r="O166" i="1"/>
  <c r="Q166" i="1"/>
  <c r="R166" i="1"/>
  <c r="S166" i="1"/>
  <c r="U166" i="1"/>
  <c r="T166" i="1"/>
  <c r="Q165" i="1"/>
  <c r="S165" i="1"/>
  <c r="U165" i="1"/>
  <c r="T165" i="1"/>
  <c r="Q164" i="1"/>
  <c r="S164" i="1"/>
  <c r="U164" i="1"/>
  <c r="T164" i="1"/>
  <c r="K163" i="1"/>
  <c r="N163" i="1"/>
  <c r="O163" i="1"/>
  <c r="Q163" i="1"/>
  <c r="R163" i="1"/>
  <c r="S163" i="1"/>
  <c r="U163" i="1"/>
  <c r="T163" i="1"/>
  <c r="Q162" i="1"/>
  <c r="S162" i="1"/>
  <c r="U162" i="1"/>
  <c r="T162" i="1"/>
  <c r="Q161" i="1"/>
  <c r="S161" i="1"/>
  <c r="U161" i="1"/>
  <c r="T161" i="1"/>
  <c r="K160" i="1"/>
  <c r="N160" i="1"/>
  <c r="O160" i="1"/>
  <c r="Q160" i="1"/>
  <c r="R160" i="1"/>
  <c r="S160" i="1"/>
  <c r="U160" i="1"/>
  <c r="T160" i="1"/>
  <c r="Q159" i="1"/>
  <c r="S159" i="1"/>
  <c r="U159" i="1"/>
  <c r="T159" i="1"/>
  <c r="Q158" i="1"/>
  <c r="S158" i="1"/>
  <c r="U158" i="1"/>
  <c r="T158" i="1"/>
  <c r="K157" i="1"/>
  <c r="N157" i="1"/>
  <c r="O157" i="1"/>
  <c r="Q157" i="1"/>
  <c r="R157" i="1"/>
  <c r="S157" i="1"/>
  <c r="U157" i="1"/>
  <c r="T157" i="1"/>
  <c r="Q156" i="1"/>
  <c r="S156" i="1"/>
  <c r="U156" i="1"/>
  <c r="T156" i="1"/>
  <c r="Q155" i="1"/>
  <c r="S155" i="1"/>
  <c r="U155" i="1"/>
  <c r="T155" i="1"/>
  <c r="K154" i="1"/>
  <c r="N154" i="1"/>
  <c r="O154" i="1"/>
  <c r="Q154" i="1"/>
  <c r="R154" i="1"/>
  <c r="S154" i="1"/>
  <c r="U154" i="1"/>
  <c r="T154" i="1"/>
  <c r="Q153" i="1"/>
  <c r="S153" i="1"/>
  <c r="U153" i="1"/>
  <c r="T153" i="1"/>
  <c r="Q152" i="1"/>
  <c r="S152" i="1"/>
  <c r="U152" i="1"/>
  <c r="T152" i="1"/>
  <c r="K151" i="1"/>
  <c r="N151" i="1"/>
  <c r="O151" i="1"/>
  <c r="Q151" i="1"/>
  <c r="R151" i="1"/>
  <c r="T151" i="1"/>
  <c r="V149" i="1"/>
  <c r="S151" i="1"/>
  <c r="U151" i="1"/>
  <c r="W151" i="1"/>
  <c r="W149" i="1"/>
  <c r="X151" i="1"/>
  <c r="V151" i="1"/>
  <c r="F79" i="1"/>
  <c r="F151" i="1"/>
  <c r="G151" i="1"/>
  <c r="S150" i="1"/>
  <c r="U150" i="1"/>
  <c r="T150" i="1"/>
  <c r="X149" i="1"/>
  <c r="Q149" i="1"/>
  <c r="S149" i="1"/>
  <c r="U149" i="1"/>
  <c r="T149" i="1"/>
  <c r="Q148" i="1"/>
  <c r="S148" i="1"/>
  <c r="U148" i="1"/>
  <c r="T148" i="1"/>
  <c r="Q147" i="1"/>
  <c r="S147" i="1"/>
  <c r="U147" i="1"/>
  <c r="T147" i="1"/>
  <c r="Q146" i="1"/>
  <c r="S146" i="1"/>
  <c r="U146" i="1"/>
  <c r="T146" i="1"/>
  <c r="I145" i="1"/>
  <c r="K145" i="1"/>
  <c r="N145" i="1"/>
  <c r="O145" i="1"/>
  <c r="Q145" i="1"/>
  <c r="R145" i="1"/>
  <c r="S145" i="1"/>
  <c r="U145" i="1"/>
  <c r="T145" i="1"/>
  <c r="Q144" i="1"/>
  <c r="S144" i="1"/>
  <c r="U144" i="1"/>
  <c r="T144" i="1"/>
  <c r="Q143" i="1"/>
  <c r="S143" i="1"/>
  <c r="U143" i="1"/>
  <c r="T143" i="1"/>
  <c r="I142" i="1"/>
  <c r="K142" i="1"/>
  <c r="N142" i="1"/>
  <c r="O142" i="1"/>
  <c r="Q142" i="1"/>
  <c r="R142" i="1"/>
  <c r="S142" i="1"/>
  <c r="U142" i="1"/>
  <c r="T142" i="1"/>
  <c r="Q141" i="1"/>
  <c r="S141" i="1"/>
  <c r="U141" i="1"/>
  <c r="T141" i="1"/>
  <c r="Q140" i="1"/>
  <c r="S140" i="1"/>
  <c r="U140" i="1"/>
  <c r="T140" i="1"/>
  <c r="K139" i="1"/>
  <c r="N139" i="1"/>
  <c r="O139" i="1"/>
  <c r="Q139" i="1"/>
  <c r="R139" i="1"/>
  <c r="S139" i="1"/>
  <c r="U139" i="1"/>
  <c r="T139" i="1"/>
  <c r="Q138" i="1"/>
  <c r="S138" i="1"/>
  <c r="U138" i="1"/>
  <c r="T138" i="1"/>
  <c r="Q137" i="1"/>
  <c r="S137" i="1"/>
  <c r="U137" i="1"/>
  <c r="T137" i="1"/>
  <c r="K136" i="1"/>
  <c r="N136" i="1"/>
  <c r="O136" i="1"/>
  <c r="Q136" i="1"/>
  <c r="R136" i="1"/>
  <c r="S136" i="1"/>
  <c r="U136" i="1"/>
  <c r="T136" i="1"/>
  <c r="Q135" i="1"/>
  <c r="S135" i="1"/>
  <c r="U135" i="1"/>
  <c r="T135" i="1"/>
  <c r="Q134" i="1"/>
  <c r="S134" i="1"/>
  <c r="U134" i="1"/>
  <c r="T134" i="1"/>
  <c r="K133" i="1"/>
  <c r="N133" i="1"/>
  <c r="O133" i="1"/>
  <c r="Q133" i="1"/>
  <c r="R133" i="1"/>
  <c r="S133" i="1"/>
  <c r="U133" i="1"/>
  <c r="T133" i="1"/>
  <c r="U132" i="1"/>
  <c r="T132" i="1"/>
  <c r="Q132" i="1"/>
  <c r="U131" i="1"/>
  <c r="T131" i="1"/>
  <c r="Q131" i="1"/>
  <c r="I103" i="1"/>
  <c r="I112" i="1"/>
  <c r="I118" i="1"/>
  <c r="I124" i="1"/>
  <c r="I130" i="1"/>
  <c r="K130" i="1"/>
  <c r="Q130" i="1"/>
  <c r="R130" i="1"/>
  <c r="S130" i="1"/>
  <c r="U130" i="1"/>
  <c r="T130" i="1"/>
  <c r="U129" i="1"/>
  <c r="T129" i="1"/>
  <c r="Q129" i="1"/>
  <c r="U128" i="1"/>
  <c r="T128" i="1"/>
  <c r="Q128" i="1"/>
  <c r="I100" i="1"/>
  <c r="I109" i="1"/>
  <c r="I115" i="1"/>
  <c r="I121" i="1"/>
  <c r="I127" i="1"/>
  <c r="K127" i="1"/>
  <c r="Q127" i="1"/>
  <c r="R127" i="1"/>
  <c r="S127" i="1"/>
  <c r="U127" i="1"/>
  <c r="T127" i="1"/>
  <c r="U126" i="1"/>
  <c r="T126" i="1"/>
  <c r="Q126" i="1"/>
  <c r="U125" i="1"/>
  <c r="T125" i="1"/>
  <c r="Q125" i="1"/>
  <c r="K124" i="1"/>
  <c r="N124" i="1"/>
  <c r="O124" i="1"/>
  <c r="Q124" i="1"/>
  <c r="R124" i="1"/>
  <c r="S124" i="1"/>
  <c r="U124" i="1"/>
  <c r="T124" i="1"/>
  <c r="U123" i="1"/>
  <c r="T123" i="1"/>
  <c r="Q123" i="1"/>
  <c r="U122" i="1"/>
  <c r="T122" i="1"/>
  <c r="Q122" i="1"/>
  <c r="K121" i="1"/>
  <c r="N121" i="1"/>
  <c r="O121" i="1"/>
  <c r="Q121" i="1"/>
  <c r="R121" i="1"/>
  <c r="S121" i="1"/>
  <c r="U121" i="1"/>
  <c r="T121" i="1"/>
  <c r="U120" i="1"/>
  <c r="T120" i="1"/>
  <c r="Q120" i="1"/>
  <c r="U119" i="1"/>
  <c r="T119" i="1"/>
  <c r="Q119" i="1"/>
  <c r="K118" i="1"/>
  <c r="N118" i="1"/>
  <c r="O118" i="1"/>
  <c r="Q118" i="1"/>
  <c r="R118" i="1"/>
  <c r="S118" i="1"/>
  <c r="U118" i="1"/>
  <c r="T118" i="1"/>
  <c r="U117" i="1"/>
  <c r="T117" i="1"/>
  <c r="Q117" i="1"/>
  <c r="U116" i="1"/>
  <c r="T116" i="1"/>
  <c r="Q116" i="1"/>
  <c r="K115" i="1"/>
  <c r="N115" i="1"/>
  <c r="O115" i="1"/>
  <c r="Q115" i="1"/>
  <c r="R115" i="1"/>
  <c r="S115" i="1"/>
  <c r="U115" i="1"/>
  <c r="T115" i="1"/>
  <c r="U114" i="1"/>
  <c r="T114" i="1"/>
  <c r="Q114" i="1"/>
  <c r="U113" i="1"/>
  <c r="T113" i="1"/>
  <c r="Q113" i="1"/>
  <c r="K112" i="1"/>
  <c r="N112" i="1"/>
  <c r="O112" i="1"/>
  <c r="Q112" i="1"/>
  <c r="R112" i="1"/>
  <c r="S112" i="1"/>
  <c r="U112" i="1"/>
  <c r="T112" i="1"/>
  <c r="U111" i="1"/>
  <c r="T111" i="1"/>
  <c r="Q111" i="1"/>
  <c r="U110" i="1"/>
  <c r="T110" i="1"/>
  <c r="Q110" i="1"/>
  <c r="K109" i="1"/>
  <c r="N109" i="1"/>
  <c r="O109" i="1"/>
  <c r="Q109" i="1"/>
  <c r="R109" i="1"/>
  <c r="S109" i="1"/>
  <c r="U109" i="1"/>
  <c r="T109" i="1"/>
  <c r="U108" i="1"/>
  <c r="T108" i="1"/>
  <c r="Q108" i="1"/>
  <c r="U107" i="1"/>
  <c r="T107" i="1"/>
  <c r="Q107" i="1"/>
  <c r="I106" i="1"/>
  <c r="K106" i="1"/>
  <c r="N106" i="1"/>
  <c r="O106" i="1"/>
  <c r="Q106" i="1"/>
  <c r="R106" i="1"/>
  <c r="S106" i="1"/>
  <c r="U106" i="1"/>
  <c r="T106" i="1"/>
  <c r="U105" i="1"/>
  <c r="T105" i="1"/>
  <c r="Q105" i="1"/>
  <c r="U104" i="1"/>
  <c r="T104" i="1"/>
  <c r="Q104" i="1"/>
  <c r="K103" i="1"/>
  <c r="N103" i="1"/>
  <c r="O103" i="1"/>
  <c r="Q103" i="1"/>
  <c r="R103" i="1"/>
  <c r="S103" i="1"/>
  <c r="U103" i="1"/>
  <c r="T103" i="1"/>
  <c r="U102" i="1"/>
  <c r="T102" i="1"/>
  <c r="Q102" i="1"/>
  <c r="U101" i="1"/>
  <c r="T101" i="1"/>
  <c r="Q101" i="1"/>
  <c r="K100" i="1"/>
  <c r="N100" i="1"/>
  <c r="O100" i="1"/>
  <c r="Q100" i="1"/>
  <c r="R100" i="1"/>
  <c r="S100" i="1"/>
  <c r="U100" i="1"/>
  <c r="T100" i="1"/>
  <c r="U99" i="1"/>
  <c r="T99" i="1"/>
  <c r="Q99" i="1"/>
  <c r="U98" i="1"/>
  <c r="T98" i="1"/>
  <c r="Q98" i="1"/>
  <c r="K97" i="1"/>
  <c r="N97" i="1"/>
  <c r="O97" i="1"/>
  <c r="Q97" i="1"/>
  <c r="R97" i="1"/>
  <c r="S97" i="1"/>
  <c r="U97" i="1"/>
  <c r="T97" i="1"/>
  <c r="U96" i="1"/>
  <c r="T96" i="1"/>
  <c r="Q96" i="1"/>
  <c r="U95" i="1"/>
  <c r="T95" i="1"/>
  <c r="Q95" i="1"/>
  <c r="K94" i="1"/>
  <c r="N94" i="1"/>
  <c r="O94" i="1"/>
  <c r="Q94" i="1"/>
  <c r="R94" i="1"/>
  <c r="S94" i="1"/>
  <c r="U94" i="1"/>
  <c r="T94" i="1"/>
  <c r="U93" i="1"/>
  <c r="T93" i="1"/>
  <c r="Q93" i="1"/>
  <c r="U92" i="1"/>
  <c r="T92" i="1"/>
  <c r="Q92" i="1"/>
  <c r="K91" i="1"/>
  <c r="N91" i="1"/>
  <c r="O91" i="1"/>
  <c r="Q91" i="1"/>
  <c r="R91" i="1"/>
  <c r="S91" i="1"/>
  <c r="U91" i="1"/>
  <c r="T91" i="1"/>
  <c r="U90" i="1"/>
  <c r="T90" i="1"/>
  <c r="Q90" i="1"/>
  <c r="U89" i="1"/>
  <c r="T89" i="1"/>
  <c r="Q89" i="1"/>
  <c r="K88" i="1"/>
  <c r="N88" i="1"/>
  <c r="O88" i="1"/>
  <c r="Q88" i="1"/>
  <c r="R88" i="1"/>
  <c r="S88" i="1"/>
  <c r="U88" i="1"/>
  <c r="T88" i="1"/>
  <c r="U87" i="1"/>
  <c r="T87" i="1"/>
  <c r="Q87" i="1"/>
  <c r="U86" i="1"/>
  <c r="T86" i="1"/>
  <c r="Q86" i="1"/>
  <c r="K85" i="1"/>
  <c r="N85" i="1"/>
  <c r="O85" i="1"/>
  <c r="Q85" i="1"/>
  <c r="R85" i="1"/>
  <c r="S85" i="1"/>
  <c r="U85" i="1"/>
  <c r="T85" i="1"/>
  <c r="Q84" i="1"/>
  <c r="Q83" i="1"/>
  <c r="Q82" i="1"/>
  <c r="R82" i="1"/>
  <c r="S82" i="1"/>
  <c r="K82" i="1"/>
  <c r="N82" i="1"/>
  <c r="O82" i="1"/>
  <c r="Q81" i="1"/>
  <c r="Q80" i="1"/>
  <c r="Q79" i="1"/>
  <c r="R79" i="1"/>
  <c r="S79" i="1"/>
  <c r="K79" i="1"/>
  <c r="N79" i="1"/>
  <c r="O79" i="1"/>
  <c r="G79" i="1"/>
  <c r="V75" i="1"/>
  <c r="W78" i="1"/>
  <c r="W75" i="1"/>
  <c r="X78" i="1"/>
  <c r="V78" i="1"/>
  <c r="S78" i="1"/>
  <c r="Q77" i="1"/>
  <c r="S77" i="1"/>
  <c r="Q76" i="1"/>
  <c r="S76" i="1"/>
  <c r="X75" i="1"/>
  <c r="Q75" i="1"/>
  <c r="S75" i="1"/>
  <c r="Q74" i="1"/>
  <c r="S74" i="1"/>
  <c r="Q73" i="1"/>
  <c r="R73" i="1"/>
  <c r="S73" i="1"/>
  <c r="I37" i="1"/>
  <c r="I43" i="1"/>
  <c r="I58" i="1"/>
  <c r="I67" i="1"/>
  <c r="I73" i="1"/>
  <c r="K73" i="1"/>
  <c r="N73" i="1"/>
  <c r="O73" i="1"/>
  <c r="Q72" i="1"/>
  <c r="S72" i="1"/>
  <c r="Q71" i="1"/>
  <c r="S71" i="1"/>
  <c r="Q69" i="1"/>
  <c r="Q70" i="1"/>
  <c r="S69" i="1"/>
  <c r="W70" i="1"/>
  <c r="V70" i="1"/>
  <c r="R70" i="1"/>
  <c r="S70" i="1"/>
  <c r="I34" i="1"/>
  <c r="I40" i="1"/>
  <c r="I55" i="1"/>
  <c r="I64" i="1"/>
  <c r="I70" i="1"/>
  <c r="K70" i="1"/>
  <c r="N70" i="1"/>
  <c r="O70" i="1"/>
  <c r="Q68" i="1"/>
  <c r="S68" i="1"/>
  <c r="W69" i="1"/>
  <c r="V69" i="1"/>
  <c r="K67" i="1"/>
  <c r="N67" i="1"/>
  <c r="O67" i="1"/>
  <c r="Q67" i="1"/>
  <c r="R67" i="1"/>
  <c r="S67" i="1"/>
  <c r="W68" i="1"/>
  <c r="V68" i="1"/>
  <c r="Q66" i="1"/>
  <c r="S66" i="1"/>
  <c r="W67" i="1"/>
  <c r="V67" i="1"/>
  <c r="Q65" i="1"/>
  <c r="S65" i="1"/>
  <c r="W66" i="1"/>
  <c r="V66" i="1"/>
  <c r="K64" i="1"/>
  <c r="N64" i="1"/>
  <c r="O64" i="1"/>
  <c r="Q64" i="1"/>
  <c r="R64" i="1"/>
  <c r="S64" i="1"/>
  <c r="W65" i="1"/>
  <c r="V65" i="1"/>
  <c r="Q63" i="1"/>
  <c r="S63" i="1"/>
  <c r="W64" i="1"/>
  <c r="V64" i="1"/>
  <c r="Q62" i="1"/>
  <c r="S62" i="1"/>
  <c r="W63" i="1"/>
  <c r="V63" i="1"/>
  <c r="I52" i="1"/>
  <c r="I61" i="1"/>
  <c r="K61" i="1"/>
  <c r="N61" i="1"/>
  <c r="O61" i="1"/>
  <c r="Q61" i="1"/>
  <c r="R61" i="1"/>
  <c r="S61" i="1"/>
  <c r="W62" i="1"/>
  <c r="V62" i="1"/>
  <c r="Q60" i="1"/>
  <c r="S60" i="1"/>
  <c r="W61" i="1"/>
  <c r="V61" i="1"/>
  <c r="Q59" i="1"/>
  <c r="S59" i="1"/>
  <c r="W60" i="1"/>
  <c r="V60" i="1"/>
  <c r="K58" i="1"/>
  <c r="N58" i="1"/>
  <c r="O58" i="1"/>
  <c r="Q58" i="1"/>
  <c r="R58" i="1"/>
  <c r="S58" i="1"/>
  <c r="W59" i="1"/>
  <c r="V59" i="1"/>
  <c r="Q57" i="1"/>
  <c r="S57" i="1"/>
  <c r="W58" i="1"/>
  <c r="V58" i="1"/>
  <c r="Q56" i="1"/>
  <c r="S56" i="1"/>
  <c r="W57" i="1"/>
  <c r="V57" i="1"/>
  <c r="K55" i="1"/>
  <c r="N55" i="1"/>
  <c r="O55" i="1"/>
  <c r="Q55" i="1"/>
  <c r="R55" i="1"/>
  <c r="S55" i="1"/>
  <c r="W56" i="1"/>
  <c r="V56" i="1"/>
  <c r="Q54" i="1"/>
  <c r="S54" i="1"/>
  <c r="W55" i="1"/>
  <c r="V55" i="1"/>
  <c r="Q53" i="1"/>
  <c r="S53" i="1"/>
  <c r="W54" i="1"/>
  <c r="V54" i="1"/>
  <c r="K52" i="1"/>
  <c r="N52" i="1"/>
  <c r="O52" i="1"/>
  <c r="Q52" i="1"/>
  <c r="R52" i="1"/>
  <c r="S52" i="1"/>
  <c r="W53" i="1"/>
  <c r="V53" i="1"/>
  <c r="Q51" i="1"/>
  <c r="S51" i="1"/>
  <c r="W52" i="1"/>
  <c r="V52" i="1"/>
  <c r="Q50" i="1"/>
  <c r="S50" i="1"/>
  <c r="W51" i="1"/>
  <c r="V51" i="1"/>
  <c r="K49" i="1"/>
  <c r="N49" i="1"/>
  <c r="O49" i="1"/>
  <c r="Q49" i="1"/>
  <c r="R49" i="1"/>
  <c r="S49" i="1"/>
  <c r="W50" i="1"/>
  <c r="V50" i="1"/>
  <c r="Q48" i="1"/>
  <c r="S48" i="1"/>
  <c r="W49" i="1"/>
  <c r="V49" i="1"/>
  <c r="Q47" i="1"/>
  <c r="S47" i="1"/>
  <c r="W48" i="1"/>
  <c r="V48" i="1"/>
  <c r="K46" i="1"/>
  <c r="N46" i="1"/>
  <c r="O46" i="1"/>
  <c r="Q46" i="1"/>
  <c r="R46" i="1"/>
  <c r="S46" i="1"/>
  <c r="W47" i="1"/>
  <c r="V47" i="1"/>
  <c r="Q45" i="1"/>
  <c r="S45" i="1"/>
  <c r="W46" i="1"/>
  <c r="V46" i="1"/>
  <c r="Q44" i="1"/>
  <c r="S44" i="1"/>
  <c r="W45" i="1"/>
  <c r="V45" i="1"/>
  <c r="K43" i="1"/>
  <c r="N43" i="1"/>
  <c r="O43" i="1"/>
  <c r="Q43" i="1"/>
  <c r="R43" i="1"/>
  <c r="S43" i="1"/>
  <c r="W44" i="1"/>
  <c r="V44" i="1"/>
  <c r="Q42" i="1"/>
  <c r="S42" i="1"/>
  <c r="W43" i="1"/>
  <c r="V43" i="1"/>
  <c r="Q41" i="1"/>
  <c r="S41" i="1"/>
  <c r="W42" i="1"/>
  <c r="V42" i="1"/>
  <c r="K40" i="1"/>
  <c r="N40" i="1"/>
  <c r="O40" i="1"/>
  <c r="Q40" i="1"/>
  <c r="R40" i="1"/>
  <c r="S40" i="1"/>
  <c r="W41" i="1"/>
  <c r="V41" i="1"/>
  <c r="Q39" i="1"/>
  <c r="S39" i="1"/>
  <c r="W40" i="1"/>
  <c r="V40" i="1"/>
  <c r="Q38" i="1"/>
  <c r="S38" i="1"/>
  <c r="W39" i="1"/>
  <c r="V39" i="1"/>
  <c r="K37" i="1"/>
  <c r="N37" i="1"/>
  <c r="O37" i="1"/>
  <c r="Q37" i="1"/>
  <c r="R37" i="1"/>
  <c r="S37" i="1"/>
  <c r="W38" i="1"/>
  <c r="V38" i="1"/>
  <c r="Q36" i="1"/>
  <c r="S36" i="1"/>
  <c r="W37" i="1"/>
  <c r="V37" i="1"/>
  <c r="Q35" i="1"/>
  <c r="S35" i="1"/>
  <c r="W36" i="1"/>
  <c r="V36" i="1"/>
  <c r="K34" i="1"/>
  <c r="N34" i="1"/>
  <c r="O34" i="1"/>
  <c r="Q34" i="1"/>
  <c r="R34" i="1"/>
  <c r="S34" i="1"/>
  <c r="W35" i="1"/>
  <c r="V35" i="1"/>
  <c r="Q33" i="1"/>
  <c r="S33" i="1"/>
  <c r="W34" i="1"/>
  <c r="V34" i="1"/>
  <c r="Q32" i="1"/>
  <c r="S32" i="1"/>
  <c r="W33" i="1"/>
  <c r="V33" i="1"/>
  <c r="K31" i="1"/>
  <c r="N31" i="1"/>
  <c r="O31" i="1"/>
  <c r="Q31" i="1"/>
  <c r="R31" i="1"/>
  <c r="S31" i="1"/>
  <c r="W32" i="1"/>
  <c r="V32" i="1"/>
  <c r="Q30" i="1"/>
  <c r="S30" i="1"/>
  <c r="W31" i="1"/>
  <c r="V31" i="1"/>
  <c r="Q29" i="1"/>
  <c r="S29" i="1"/>
  <c r="W30" i="1"/>
  <c r="V30" i="1"/>
  <c r="K28" i="1"/>
  <c r="N28" i="1"/>
  <c r="O28" i="1"/>
  <c r="Q28" i="1"/>
  <c r="R28" i="1"/>
  <c r="S28" i="1"/>
  <c r="W29" i="1"/>
  <c r="V29" i="1"/>
  <c r="Q27" i="1"/>
  <c r="S27" i="1"/>
  <c r="W28" i="1"/>
  <c r="V28" i="1"/>
  <c r="Q26" i="1"/>
  <c r="S26" i="1"/>
  <c r="W27" i="1"/>
  <c r="V27" i="1"/>
  <c r="K25" i="1"/>
  <c r="N25" i="1"/>
  <c r="O25" i="1"/>
  <c r="Q25" i="1"/>
  <c r="R25" i="1"/>
  <c r="S25" i="1"/>
  <c r="W26" i="1"/>
  <c r="V26" i="1"/>
  <c r="Q24" i="1"/>
  <c r="S24" i="1"/>
  <c r="W25" i="1"/>
  <c r="V25" i="1"/>
  <c r="Q23" i="1"/>
  <c r="S23" i="1"/>
  <c r="W24" i="1"/>
  <c r="V24" i="1"/>
  <c r="K22" i="1"/>
  <c r="N22" i="1"/>
  <c r="O22" i="1"/>
  <c r="Q22" i="1"/>
  <c r="R22" i="1"/>
  <c r="S22" i="1"/>
  <c r="W23" i="1"/>
  <c r="V23" i="1"/>
  <c r="S21" i="1"/>
  <c r="W22" i="1"/>
  <c r="V22" i="1"/>
  <c r="S20" i="1"/>
  <c r="W21" i="1"/>
  <c r="V21" i="1"/>
  <c r="K19" i="1"/>
  <c r="N19" i="1"/>
  <c r="R19" i="1"/>
  <c r="S19" i="1"/>
  <c r="W20" i="1"/>
  <c r="V20" i="1"/>
  <c r="Q18" i="1"/>
  <c r="S18" i="1"/>
  <c r="W11" i="1"/>
  <c r="X11" i="1"/>
  <c r="W14" i="1"/>
  <c r="X17" i="1"/>
  <c r="W17" i="1"/>
  <c r="Q17" i="1"/>
  <c r="S17" i="1"/>
  <c r="Q16" i="1"/>
  <c r="R16" i="1"/>
  <c r="S16" i="1"/>
  <c r="K16" i="1"/>
  <c r="N16" i="1"/>
  <c r="Q15" i="1"/>
  <c r="S15" i="1"/>
  <c r="X14" i="1"/>
  <c r="Q14" i="1"/>
  <c r="S14" i="1"/>
  <c r="Q13" i="1"/>
  <c r="R13" i="1"/>
  <c r="S13" i="1"/>
  <c r="K13" i="1"/>
  <c r="O13" i="1"/>
  <c r="S9" i="1"/>
  <c r="O4" i="1"/>
  <c r="O5" i="1"/>
  <c r="O6" i="1"/>
  <c r="Q4" i="1"/>
  <c r="R4" i="1"/>
  <c r="O8" i="1"/>
  <c r="E8" i="1"/>
  <c r="G8" i="1"/>
  <c r="R7" i="1"/>
  <c r="P4" i="1"/>
  <c r="P5" i="1"/>
  <c r="P6" i="1"/>
  <c r="P7" i="1"/>
  <c r="E7" i="1"/>
  <c r="G7" i="1"/>
  <c r="E6" i="1"/>
  <c r="G6" i="1"/>
  <c r="F6" i="1"/>
</calcChain>
</file>

<file path=xl/sharedStrings.xml><?xml version="1.0" encoding="utf-8"?>
<sst xmlns="http://schemas.openxmlformats.org/spreadsheetml/2006/main" count="171" uniqueCount="88">
  <si>
    <t>Coisas do goniómetro</t>
  </si>
  <si>
    <t>α(rad)</t>
  </si>
  <si>
    <t>Υ(rad)</t>
  </si>
  <si>
    <t>θ</t>
  </si>
  <si>
    <t>D.minimo(max)</t>
  </si>
  <si>
    <t>D.minimo(min)</t>
  </si>
  <si>
    <t>Coisas da lâmpada</t>
  </si>
  <si>
    <t>(pequenas variações de temperatura)</t>
  </si>
  <si>
    <t>Rodrigo</t>
  </si>
  <si>
    <t>V(V)</t>
  </si>
  <si>
    <t>εV</t>
  </si>
  <si>
    <t>I</t>
  </si>
  <si>
    <t>εI</t>
  </si>
  <si>
    <t>R</t>
  </si>
  <si>
    <t>εR</t>
  </si>
  <si>
    <t>R/Rcerto</t>
  </si>
  <si>
    <t>T</t>
  </si>
  <si>
    <t>Henrique</t>
  </si>
  <si>
    <t>Cristina</t>
  </si>
  <si>
    <t>Espetro da lâmpada</t>
  </si>
  <si>
    <t>y = 6E+12x6 - 6E+13x5 + 2E+14x4 - 5E+14x3 + 6E+14x2 - 4E+14x + 1E+14</t>
  </si>
  <si>
    <t>Itotal</t>
  </si>
  <si>
    <t>Ivisivel</t>
  </si>
  <si>
    <t>h</t>
  </si>
  <si>
    <t>c</t>
  </si>
  <si>
    <t>Kb</t>
  </si>
  <si>
    <t>V</t>
  </si>
  <si>
    <t>τ máximo</t>
  </si>
  <si>
    <t>τ(rad)</t>
  </si>
  <si>
    <t>ετ(rad)</t>
  </si>
  <si>
    <t>θ(rad)</t>
  </si>
  <si>
    <t>εθ(rad)</t>
  </si>
  <si>
    <t>ang. Medido</t>
  </si>
  <si>
    <t>ang. Medido s</t>
  </si>
  <si>
    <t>δ(rad)</t>
  </si>
  <si>
    <t>δ_med</t>
  </si>
  <si>
    <t>εδ(rad)</t>
  </si>
  <si>
    <t>n</t>
  </si>
  <si>
    <t>Λ(m)</t>
  </si>
  <si>
    <t>εΛ</t>
  </si>
  <si>
    <t>εV(rad)</t>
  </si>
  <si>
    <t>y</t>
  </si>
  <si>
    <t>x</t>
  </si>
  <si>
    <t>Erro Itotal</t>
  </si>
  <si>
    <t>Erro Ivisivel</t>
  </si>
  <si>
    <t>Eficiencia</t>
  </si>
  <si>
    <t>Erro Eficiencia</t>
  </si>
  <si>
    <t>Integrais</t>
  </si>
  <si>
    <t>Erros</t>
  </si>
  <si>
    <t>Efficiencia</t>
  </si>
  <si>
    <t>ErroItotal</t>
  </si>
  <si>
    <t>ErroIvisivel</t>
  </si>
  <si>
    <t>=</t>
  </si>
  <si>
    <t>ErroEficiencia</t>
  </si>
  <si>
    <t>Sensor</t>
  </si>
  <si>
    <t>εT</t>
  </si>
  <si>
    <t>v(e-3)</t>
  </si>
  <si>
    <t>Preta</t>
  </si>
  <si>
    <t>Espelhada</t>
  </si>
  <si>
    <t>Branca A</t>
  </si>
  <si>
    <t>Branca B</t>
  </si>
  <si>
    <t>espelhada</t>
  </si>
  <si>
    <t>12.43</t>
  </si>
  <si>
    <t>0.66</t>
  </si>
  <si>
    <t>12.46</t>
  </si>
  <si>
    <t>3.46</t>
  </si>
  <si>
    <t>(12.54/94)</t>
  </si>
  <si>
    <t>resistência</t>
  </si>
  <si>
    <t>mcv</t>
  </si>
  <si>
    <t>temperatura ºc</t>
  </si>
  <si>
    <t>7.07</t>
  </si>
  <si>
    <t>0.26</t>
  </si>
  <si>
    <t>6.96</t>
  </si>
  <si>
    <t>(6.83/69)</t>
  </si>
  <si>
    <t>10.19k</t>
  </si>
  <si>
    <t>0.23e-3</t>
  </si>
  <si>
    <t>96.7k</t>
  </si>
  <si>
    <t>0.36</t>
  </si>
  <si>
    <t>89.1k</t>
  </si>
  <si>
    <t>0.40</t>
  </si>
  <si>
    <t>81.2</t>
  </si>
  <si>
    <t>0.50</t>
  </si>
  <si>
    <t>73.7</t>
  </si>
  <si>
    <t>0.43</t>
  </si>
  <si>
    <t>68.8</t>
  </si>
  <si>
    <t>0.38</t>
  </si>
  <si>
    <t>59.5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</si>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</sst>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00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B3A2C7"/>
        <bgColor rgb="FFB1A0C7"/>
      </patternFill>
    </fill>
    <fill>
      <patternFill patternType="solid">
        <fgColor rgb="FFE6E0EC"/>
        <bgColor rgb="FFE4DFEC"/>
      </patternFill>
    </fill>
    <fill>
      <patternFill patternType="solid">
        <fgColor rgb="FF9BBB59"/>
        <bgColor rgb="FF95B3D7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FFFF00"/>
        <bgColor rgb="FFFFCC00"/>
      </patternFill>
    </fill>
    <fill>
      <patternFill patternType="solid">
        <fgColor rgb="FF95B3D7"/>
        <bgColor rgb="FF93CDDD"/>
      </patternFill>
    </fill>
    <fill>
      <patternFill patternType="solid">
        <fgColor rgb="FFDCE6F2"/>
        <bgColor rgb="FFE4DFEC"/>
      </patternFill>
    </fill>
    <fill>
      <patternFill patternType="solid">
        <fgColor rgb="FFFF0000"/>
        <bgColor rgb="FF993300"/>
      </patternFill>
    </fill>
    <fill>
      <patternFill patternType="solid">
        <fgColor rgb="FF008000"/>
        <bgColor rgb="FF008080"/>
      </patternFill>
    </fill>
    <fill>
      <patternFill patternType="solid">
        <fgColor rgb="FFFDEADA"/>
        <bgColor rgb="FFFDE9D9"/>
      </patternFill>
    </fill>
    <fill>
      <patternFill patternType="solid">
        <fgColor rgb="FF93CDDD"/>
        <bgColor rgb="FF99CCFF"/>
      </patternFill>
    </fill>
    <fill>
      <patternFill patternType="solid">
        <fgColor rgb="FFFDE9D9"/>
        <bgColor rgb="FFFDEADA"/>
      </patternFill>
    </fill>
    <fill>
      <patternFill patternType="solid">
        <fgColor rgb="FFB1A0C7"/>
        <bgColor rgb="FFB3A2C7"/>
      </patternFill>
    </fill>
    <fill>
      <patternFill patternType="solid">
        <fgColor rgb="FFE4DFEC"/>
        <bgColor rgb="FFE6E0EC"/>
      </patternFill>
    </fill>
    <fill>
      <patternFill patternType="solid">
        <fgColor rgb="FFD7E4BD"/>
        <bgColor rgb="FFE4DFEC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14" borderId="2" xfId="0" applyFon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1" fillId="0" borderId="0" xfId="0" applyFont="1"/>
    <xf numFmtId="0" fontId="0" fillId="17" borderId="0" xfId="0" applyFont="1" applyFill="1"/>
    <xf numFmtId="0" fontId="0" fillId="18" borderId="0" xfId="0" applyFont="1" applyFill="1"/>
    <xf numFmtId="0" fontId="0" fillId="10" borderId="0" xfId="0" applyFont="1" applyFill="1"/>
    <xf numFmtId="11" fontId="0" fillId="11" borderId="0" xfId="0" applyNumberFormat="1" applyFill="1"/>
    <xf numFmtId="0" fontId="0" fillId="11" borderId="0" xfId="0" applyFill="1"/>
    <xf numFmtId="0" fontId="0" fillId="5" borderId="0" xfId="0" applyFont="1" applyFill="1"/>
    <xf numFmtId="0" fontId="0" fillId="2" borderId="0" xfId="0" applyFill="1" applyBorder="1" applyAlignment="1"/>
    <xf numFmtId="0" fontId="0" fillId="6" borderId="0" xfId="0" applyFont="1" applyFill="1"/>
    <xf numFmtId="0" fontId="0" fillId="14" borderId="0" xfId="0" applyFill="1"/>
    <xf numFmtId="11" fontId="0" fillId="14" borderId="0" xfId="0" applyNumberFormat="1" applyFill="1"/>
    <xf numFmtId="0" fontId="0" fillId="2" borderId="0" xfId="0" applyFill="1"/>
    <xf numFmtId="0" fontId="0" fillId="19" borderId="0" xfId="0" applyFill="1"/>
    <xf numFmtId="0" fontId="2" fillId="5" borderId="1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DDD"/>
      <rgbColor rgb="FF878787"/>
      <rgbColor rgb="FF95B3D7"/>
      <rgbColor rgb="FF993366"/>
      <rgbColor rgb="FFEBF1DE"/>
      <rgbColor rgb="FFDCE6F2"/>
      <rgbColor rgb="FF660066"/>
      <rgbColor rgb="FFFF8080"/>
      <rgbColor rgb="FF0066CC"/>
      <rgbColor rgb="FFE4DFEC"/>
      <rgbColor rgb="FF000080"/>
      <rgbColor rgb="FFFF00FF"/>
      <rgbColor rgb="FFFDE9D9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DEADA"/>
      <rgbColor rgb="FF99CCFF"/>
      <rgbColor rgb="FFFCD5B5"/>
      <rgbColor rgb="FFB3A2C7"/>
      <rgbColor rgb="FFFCD5B4"/>
      <rgbColor rgb="FF3366FF"/>
      <rgbColor rgb="FF33CCCC"/>
      <rgbColor rgb="FF9BBB59"/>
      <rgbColor rgb="FFFFCC00"/>
      <rgbColor rgb="FFF79646"/>
      <rgbColor rgb="FFFF6600"/>
      <rgbColor rgb="FF666699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575190288713911"/>
                  <c:y val="-0.338333697871099"/>
                </c:manualLayout>
              </c:layout>
              <c:numFmt formatCode="General" sourceLinked="0"/>
            </c:trendlineLbl>
          </c:trendline>
          <c:xVal>
            <c:numRef>
              <c:f>Sheet1!$D$1:$D$200</c:f>
              <c:numCache>
                <c:formatCode>General</c:formatCode>
                <c:ptCount val="200"/>
                <c:pt idx="0">
                  <c:v>1.6242</c:v>
                </c:pt>
                <c:pt idx="1">
                  <c:v>1.6228</c:v>
                </c:pt>
                <c:pt idx="2">
                  <c:v>1.6225</c:v>
                </c:pt>
                <c:pt idx="3">
                  <c:v>1.6223</c:v>
                </c:pt>
                <c:pt idx="4">
                  <c:v>1.6221</c:v>
                </c:pt>
                <c:pt idx="5">
                  <c:v>1.6218</c:v>
                </c:pt>
                <c:pt idx="6">
                  <c:v>1.6216</c:v>
                </c:pt>
                <c:pt idx="7">
                  <c:v>1.6213</c:v>
                </c:pt>
                <c:pt idx="8">
                  <c:v>1.6211</c:v>
                </c:pt>
                <c:pt idx="9">
                  <c:v>1.6209</c:v>
                </c:pt>
                <c:pt idx="10">
                  <c:v>1.6206</c:v>
                </c:pt>
                <c:pt idx="11">
                  <c:v>1.6204</c:v>
                </c:pt>
                <c:pt idx="12">
                  <c:v>1.6202</c:v>
                </c:pt>
                <c:pt idx="13">
                  <c:v>1.6197</c:v>
                </c:pt>
                <c:pt idx="14">
                  <c:v>1.6195</c:v>
                </c:pt>
                <c:pt idx="15">
                  <c:v>1.6192</c:v>
                </c:pt>
                <c:pt idx="16">
                  <c:v>1.619</c:v>
                </c:pt>
                <c:pt idx="17">
                  <c:v>1.6187</c:v>
                </c:pt>
                <c:pt idx="18">
                  <c:v>1.6185</c:v>
                </c:pt>
                <c:pt idx="19">
                  <c:v>1.6183</c:v>
                </c:pt>
                <c:pt idx="20">
                  <c:v>1.618</c:v>
                </c:pt>
                <c:pt idx="21">
                  <c:v>1.6178</c:v>
                </c:pt>
                <c:pt idx="22">
                  <c:v>1.6176</c:v>
                </c:pt>
                <c:pt idx="23">
                  <c:v>1.6173</c:v>
                </c:pt>
                <c:pt idx="24">
                  <c:v>1.6171</c:v>
                </c:pt>
                <c:pt idx="25">
                  <c:v>1.6169</c:v>
                </c:pt>
                <c:pt idx="26">
                  <c:v>1.6157</c:v>
                </c:pt>
                <c:pt idx="27">
                  <c:v>1.6154</c:v>
                </c:pt>
                <c:pt idx="28">
                  <c:v>1.6152</c:v>
                </c:pt>
                <c:pt idx="29">
                  <c:v>1.615</c:v>
                </c:pt>
                <c:pt idx="30">
                  <c:v>1.6147</c:v>
                </c:pt>
                <c:pt idx="31">
                  <c:v>1.6145</c:v>
                </c:pt>
                <c:pt idx="32">
                  <c:v>1.6133</c:v>
                </c:pt>
                <c:pt idx="33">
                  <c:v>1.6131</c:v>
                </c:pt>
                <c:pt idx="34">
                  <c:v>1.6129</c:v>
                </c:pt>
                <c:pt idx="35">
                  <c:v>1.6126</c:v>
                </c:pt>
                <c:pt idx="36">
                  <c:v>1.6124</c:v>
                </c:pt>
                <c:pt idx="37">
                  <c:v>1.6122</c:v>
                </c:pt>
                <c:pt idx="38">
                  <c:v>1.6119</c:v>
                </c:pt>
                <c:pt idx="39">
                  <c:v>1.611</c:v>
                </c:pt>
                <c:pt idx="40">
                  <c:v>1.6107</c:v>
                </c:pt>
                <c:pt idx="41">
                  <c:v>1.6105</c:v>
                </c:pt>
                <c:pt idx="42">
                  <c:v>1.6103</c:v>
                </c:pt>
                <c:pt idx="43">
                  <c:v>1.6086</c:v>
                </c:pt>
                <c:pt idx="44">
                  <c:v>1.6084</c:v>
                </c:pt>
                <c:pt idx="45">
                  <c:v>1.6082</c:v>
                </c:pt>
                <c:pt idx="46">
                  <c:v>1.6065</c:v>
                </c:pt>
                <c:pt idx="47">
                  <c:v>1.6063</c:v>
                </c:pt>
                <c:pt idx="48">
                  <c:v>1.6061</c:v>
                </c:pt>
                <c:pt idx="49">
                  <c:v>1.6058</c:v>
                </c:pt>
                <c:pt idx="50">
                  <c:v>1.6056</c:v>
                </c:pt>
                <c:pt idx="51">
                  <c:v>1.6054</c:v>
                </c:pt>
                <c:pt idx="52">
                  <c:v>1.604</c:v>
                </c:pt>
                <c:pt idx="53">
                  <c:v>1.6037</c:v>
                </c:pt>
                <c:pt idx="54">
                  <c:v>1.6035</c:v>
                </c:pt>
                <c:pt idx="55">
                  <c:v>1.6033</c:v>
                </c:pt>
                <c:pt idx="56">
                  <c:v>1.603</c:v>
                </c:pt>
                <c:pt idx="57">
                  <c:v>1.6016</c:v>
                </c:pt>
                <c:pt idx="58">
                  <c:v>1.6014</c:v>
                </c:pt>
                <c:pt idx="59">
                  <c:v>1.6011</c:v>
                </c:pt>
                <c:pt idx="60">
                  <c:v>1.6009</c:v>
                </c:pt>
                <c:pt idx="61">
                  <c:v>1.6007</c:v>
                </c:pt>
                <c:pt idx="62">
                  <c:v>1.6004</c:v>
                </c:pt>
                <c:pt idx="63">
                  <c:v>1.6002</c:v>
                </c:pt>
                <c:pt idx="64">
                  <c:v>1.5991</c:v>
                </c:pt>
                <c:pt idx="65">
                  <c:v>1.5988</c:v>
                </c:pt>
                <c:pt idx="66">
                  <c:v>1.5986</c:v>
                </c:pt>
                <c:pt idx="67">
                  <c:v>1.5984</c:v>
                </c:pt>
                <c:pt idx="68">
                  <c:v>1.5981</c:v>
                </c:pt>
                <c:pt idx="69">
                  <c:v>1.597</c:v>
                </c:pt>
                <c:pt idx="70">
                  <c:v>1.5967</c:v>
                </c:pt>
                <c:pt idx="71">
                  <c:v>1.5965</c:v>
                </c:pt>
                <c:pt idx="72">
                  <c:v>1.5963</c:v>
                </c:pt>
                <c:pt idx="73">
                  <c:v>1.596</c:v>
                </c:pt>
                <c:pt idx="74">
                  <c:v>1.5958</c:v>
                </c:pt>
                <c:pt idx="75">
                  <c:v>1.5942</c:v>
                </c:pt>
                <c:pt idx="76">
                  <c:v>1.5939</c:v>
                </c:pt>
                <c:pt idx="77">
                  <c:v>1.5937</c:v>
                </c:pt>
                <c:pt idx="78">
                  <c:v>1.5935</c:v>
                </c:pt>
                <c:pt idx="79">
                  <c:v>1.5932</c:v>
                </c:pt>
                <c:pt idx="80">
                  <c:v>1.593</c:v>
                </c:pt>
                <c:pt idx="81">
                  <c:v>1.5928</c:v>
                </c:pt>
                <c:pt idx="82">
                  <c:v>1.5925</c:v>
                </c:pt>
                <c:pt idx="83">
                  <c:v>1.5911</c:v>
                </c:pt>
                <c:pt idx="84">
                  <c:v>1.5909</c:v>
                </c:pt>
                <c:pt idx="85">
                  <c:v>1.5907</c:v>
                </c:pt>
                <c:pt idx="86">
                  <c:v>1.5905</c:v>
                </c:pt>
                <c:pt idx="87">
                  <c:v>1.5902</c:v>
                </c:pt>
                <c:pt idx="88">
                  <c:v>1.59</c:v>
                </c:pt>
                <c:pt idx="89">
                  <c:v>1.5886</c:v>
                </c:pt>
                <c:pt idx="90">
                  <c:v>1.5884</c:v>
                </c:pt>
                <c:pt idx="91">
                  <c:v>1.5881</c:v>
                </c:pt>
                <c:pt idx="92">
                  <c:v>1.5879</c:v>
                </c:pt>
                <c:pt idx="93">
                  <c:v>1.5877</c:v>
                </c:pt>
                <c:pt idx="94">
                  <c:v>1.5874</c:v>
                </c:pt>
                <c:pt idx="95">
                  <c:v>1.5872</c:v>
                </c:pt>
                <c:pt idx="96">
                  <c:v>1.5854</c:v>
                </c:pt>
                <c:pt idx="97">
                  <c:v>1.5851</c:v>
                </c:pt>
                <c:pt idx="98">
                  <c:v>1.5849</c:v>
                </c:pt>
                <c:pt idx="99">
                  <c:v>1.5847</c:v>
                </c:pt>
                <c:pt idx="100">
                  <c:v>1.5844</c:v>
                </c:pt>
                <c:pt idx="101">
                  <c:v>1.5842</c:v>
                </c:pt>
                <c:pt idx="102">
                  <c:v>1.584</c:v>
                </c:pt>
                <c:pt idx="103">
                  <c:v>1.5837</c:v>
                </c:pt>
                <c:pt idx="104">
                  <c:v>1.5835</c:v>
                </c:pt>
                <c:pt idx="105">
                  <c:v>1.5817</c:v>
                </c:pt>
                <c:pt idx="106">
                  <c:v>1.5814</c:v>
                </c:pt>
                <c:pt idx="107">
                  <c:v>1.5812</c:v>
                </c:pt>
                <c:pt idx="108">
                  <c:v>1.581</c:v>
                </c:pt>
                <c:pt idx="109">
                  <c:v>1.5807</c:v>
                </c:pt>
                <c:pt idx="110">
                  <c:v>1.5805</c:v>
                </c:pt>
                <c:pt idx="111">
                  <c:v>1.5803</c:v>
                </c:pt>
                <c:pt idx="112">
                  <c:v>1.5801</c:v>
                </c:pt>
                <c:pt idx="113">
                  <c:v>1.5798</c:v>
                </c:pt>
                <c:pt idx="114">
                  <c:v>1.5796</c:v>
                </c:pt>
                <c:pt idx="115">
                  <c:v>1.5794</c:v>
                </c:pt>
                <c:pt idx="116">
                  <c:v>1.5791</c:v>
                </c:pt>
                <c:pt idx="117">
                  <c:v>1.5789</c:v>
                </c:pt>
                <c:pt idx="118">
                  <c:v>1.5787</c:v>
                </c:pt>
                <c:pt idx="119">
                  <c:v>1.5784</c:v>
                </c:pt>
                <c:pt idx="120">
                  <c:v>1.5782</c:v>
                </c:pt>
                <c:pt idx="121">
                  <c:v>1.578</c:v>
                </c:pt>
                <c:pt idx="122">
                  <c:v>1.5778</c:v>
                </c:pt>
              </c:numCache>
            </c:numRef>
          </c:xVal>
          <c:yVal>
            <c:numRef>
              <c:f>Sheet1!$E$1:$E$200</c:f>
              <c:numCache>
                <c:formatCode>General</c:formatCode>
                <c:ptCount val="200"/>
                <c:pt idx="0">
                  <c:v>515.1</c:v>
                </c:pt>
                <c:pt idx="1">
                  <c:v>527.4</c:v>
                </c:pt>
                <c:pt idx="2">
                  <c:v>529.5</c:v>
                </c:pt>
                <c:pt idx="3">
                  <c:v>531.6</c:v>
                </c:pt>
                <c:pt idx="4">
                  <c:v>533.8</c:v>
                </c:pt>
                <c:pt idx="5">
                  <c:v>535.9</c:v>
                </c:pt>
                <c:pt idx="6">
                  <c:v>538.1</c:v>
                </c:pt>
                <c:pt idx="7">
                  <c:v>540.3</c:v>
                </c:pt>
                <c:pt idx="8">
                  <c:v>542.5</c:v>
                </c:pt>
                <c:pt idx="9">
                  <c:v>544.7</c:v>
                </c:pt>
                <c:pt idx="10">
                  <c:v>546.9</c:v>
                </c:pt>
                <c:pt idx="11">
                  <c:v>549.2</c:v>
                </c:pt>
                <c:pt idx="12">
                  <c:v>551.4</c:v>
                </c:pt>
                <c:pt idx="13">
                  <c:v>556.1</c:v>
                </c:pt>
                <c:pt idx="14">
                  <c:v>558.4</c:v>
                </c:pt>
                <c:pt idx="15">
                  <c:v>560.8</c:v>
                </c:pt>
                <c:pt idx="16">
                  <c:v>563.2</c:v>
                </c:pt>
                <c:pt idx="17">
                  <c:v>565.6</c:v>
                </c:pt>
                <c:pt idx="18">
                  <c:v>568.1</c:v>
                </c:pt>
                <c:pt idx="19">
                  <c:v>570.6</c:v>
                </c:pt>
                <c:pt idx="20">
                  <c:v>573.1</c:v>
                </c:pt>
                <c:pt idx="21">
                  <c:v>575.7</c:v>
                </c:pt>
                <c:pt idx="22">
                  <c:v>578.3</c:v>
                </c:pt>
                <c:pt idx="23">
                  <c:v>580.9</c:v>
                </c:pt>
                <c:pt idx="24">
                  <c:v>583.5</c:v>
                </c:pt>
                <c:pt idx="25">
                  <c:v>586.2</c:v>
                </c:pt>
                <c:pt idx="26">
                  <c:v>600.3</c:v>
                </c:pt>
                <c:pt idx="27">
                  <c:v>603.3</c:v>
                </c:pt>
                <c:pt idx="28">
                  <c:v>606.2</c:v>
                </c:pt>
                <c:pt idx="29">
                  <c:v>609.3</c:v>
                </c:pt>
                <c:pt idx="30">
                  <c:v>612.4</c:v>
                </c:pt>
                <c:pt idx="31">
                  <c:v>615.5</c:v>
                </c:pt>
                <c:pt idx="32">
                  <c:v>631.9</c:v>
                </c:pt>
                <c:pt idx="33">
                  <c:v>635.4</c:v>
                </c:pt>
                <c:pt idx="34">
                  <c:v>638.9</c:v>
                </c:pt>
                <c:pt idx="35">
                  <c:v>642.5</c:v>
                </c:pt>
                <c:pt idx="36">
                  <c:v>646.1</c:v>
                </c:pt>
                <c:pt idx="37">
                  <c:v>649.8</c:v>
                </c:pt>
                <c:pt idx="38">
                  <c:v>653.6</c:v>
                </c:pt>
                <c:pt idx="39">
                  <c:v>669.4</c:v>
                </c:pt>
                <c:pt idx="40">
                  <c:v>673.6</c:v>
                </c:pt>
                <c:pt idx="41">
                  <c:v>677.8</c:v>
                </c:pt>
                <c:pt idx="42">
                  <c:v>682.1</c:v>
                </c:pt>
                <c:pt idx="43">
                  <c:v>714.6</c:v>
                </c:pt>
                <c:pt idx="44">
                  <c:v>719.6</c:v>
                </c:pt>
                <c:pt idx="45">
                  <c:v>724.7</c:v>
                </c:pt>
                <c:pt idx="46">
                  <c:v>763.7</c:v>
                </c:pt>
                <c:pt idx="47">
                  <c:v>769.7</c:v>
                </c:pt>
                <c:pt idx="48">
                  <c:v>775.8</c:v>
                </c:pt>
                <c:pt idx="49">
                  <c:v>782.1</c:v>
                </c:pt>
                <c:pt idx="50">
                  <c:v>788.6</c:v>
                </c:pt>
                <c:pt idx="51">
                  <c:v>795.1</c:v>
                </c:pt>
                <c:pt idx="52">
                  <c:v>837.6</c:v>
                </c:pt>
                <c:pt idx="53">
                  <c:v>845.2</c:v>
                </c:pt>
                <c:pt idx="54">
                  <c:v>853.0</c:v>
                </c:pt>
                <c:pt idx="55">
                  <c:v>861.0</c:v>
                </c:pt>
                <c:pt idx="56">
                  <c:v>869.2</c:v>
                </c:pt>
                <c:pt idx="57">
                  <c:v>922.2</c:v>
                </c:pt>
                <c:pt idx="58">
                  <c:v>931.7</c:v>
                </c:pt>
                <c:pt idx="59">
                  <c:v>941.5</c:v>
                </c:pt>
                <c:pt idx="60">
                  <c:v>951.5</c:v>
                </c:pt>
                <c:pt idx="61">
                  <c:v>961.8</c:v>
                </c:pt>
                <c:pt idx="62">
                  <c:v>972.3</c:v>
                </c:pt>
                <c:pt idx="63">
                  <c:v>983.0</c:v>
                </c:pt>
                <c:pt idx="64">
                  <c:v>1040.6</c:v>
                </c:pt>
                <c:pt idx="65">
                  <c:v>1053.0</c:v>
                </c:pt>
                <c:pt idx="66">
                  <c:v>1065.7</c:v>
                </c:pt>
                <c:pt idx="67">
                  <c:v>1078.7</c:v>
                </c:pt>
                <c:pt idx="68">
                  <c:v>1092.0</c:v>
                </c:pt>
                <c:pt idx="69">
                  <c:v>1163.7</c:v>
                </c:pt>
                <c:pt idx="70">
                  <c:v>1179.2</c:v>
                </c:pt>
                <c:pt idx="71">
                  <c:v>1195.0</c:v>
                </c:pt>
                <c:pt idx="72">
                  <c:v>1211.2</c:v>
                </c:pt>
                <c:pt idx="73">
                  <c:v>1227.9</c:v>
                </c:pt>
                <c:pt idx="74">
                  <c:v>1245.0</c:v>
                </c:pt>
                <c:pt idx="75">
                  <c:v>1377.9</c:v>
                </c:pt>
                <c:pt idx="76">
                  <c:v>1398.9</c:v>
                </c:pt>
                <c:pt idx="77">
                  <c:v>1420.5</c:v>
                </c:pt>
                <c:pt idx="78">
                  <c:v>1442.7</c:v>
                </c:pt>
                <c:pt idx="79">
                  <c:v>1465.5</c:v>
                </c:pt>
                <c:pt idx="80">
                  <c:v>1489.0</c:v>
                </c:pt>
                <c:pt idx="81">
                  <c:v>1513.1</c:v>
                </c:pt>
                <c:pt idx="82">
                  <c:v>1537.8</c:v>
                </c:pt>
                <c:pt idx="83">
                  <c:v>1701.6</c:v>
                </c:pt>
                <c:pt idx="84">
                  <c:v>1731.7</c:v>
                </c:pt>
                <c:pt idx="85">
                  <c:v>1762.6</c:v>
                </c:pt>
                <c:pt idx="86">
                  <c:v>1794.5</c:v>
                </c:pt>
                <c:pt idx="87">
                  <c:v>1827.2</c:v>
                </c:pt>
                <c:pt idx="88">
                  <c:v>1861.0</c:v>
                </c:pt>
                <c:pt idx="89">
                  <c:v>2085.6</c:v>
                </c:pt>
                <c:pt idx="90">
                  <c:v>2127.1</c:v>
                </c:pt>
                <c:pt idx="91">
                  <c:v>2169.8</c:v>
                </c:pt>
                <c:pt idx="92">
                  <c:v>2213.9</c:v>
                </c:pt>
                <c:pt idx="93">
                  <c:v>2259.3</c:v>
                </c:pt>
                <c:pt idx="94">
                  <c:v>2306.2</c:v>
                </c:pt>
                <c:pt idx="95">
                  <c:v>2354.5</c:v>
                </c:pt>
                <c:pt idx="96">
                  <c:v>2801.0</c:v>
                </c:pt>
                <c:pt idx="97">
                  <c:v>2865.3</c:v>
                </c:pt>
                <c:pt idx="98">
                  <c:v>2931.7</c:v>
                </c:pt>
                <c:pt idx="99">
                  <c:v>3000.4</c:v>
                </c:pt>
                <c:pt idx="100">
                  <c:v>3071.3</c:v>
                </c:pt>
                <c:pt idx="101">
                  <c:v>3144.7</c:v>
                </c:pt>
                <c:pt idx="102">
                  <c:v>3220.5</c:v>
                </c:pt>
                <c:pt idx="103">
                  <c:v>3298.9</c:v>
                </c:pt>
                <c:pt idx="104">
                  <c:v>3380.0</c:v>
                </c:pt>
                <c:pt idx="105">
                  <c:v>4140.1</c:v>
                </c:pt>
                <c:pt idx="106">
                  <c:v>4251.1</c:v>
                </c:pt>
                <c:pt idx="107">
                  <c:v>4366.0</c:v>
                </c:pt>
                <c:pt idx="108">
                  <c:v>4485.2</c:v>
                </c:pt>
                <c:pt idx="109">
                  <c:v>4608.8</c:v>
                </c:pt>
                <c:pt idx="110">
                  <c:v>4737.0</c:v>
                </c:pt>
                <c:pt idx="111">
                  <c:v>4869.9</c:v>
                </c:pt>
                <c:pt idx="112">
                  <c:v>5007.9</c:v>
                </c:pt>
                <c:pt idx="113">
                  <c:v>5151.1</c:v>
                </c:pt>
                <c:pt idx="114">
                  <c:v>5299.7</c:v>
                </c:pt>
                <c:pt idx="115">
                  <c:v>5454.0</c:v>
                </c:pt>
                <c:pt idx="116">
                  <c:v>5614.2</c:v>
                </c:pt>
                <c:pt idx="117">
                  <c:v>5780.6</c:v>
                </c:pt>
                <c:pt idx="118">
                  <c:v>5953.5</c:v>
                </c:pt>
                <c:pt idx="119">
                  <c:v>6133.2</c:v>
                </c:pt>
                <c:pt idx="120">
                  <c:v>6320.0</c:v>
                </c:pt>
                <c:pt idx="121">
                  <c:v>6514.2</c:v>
                </c:pt>
                <c:pt idx="122">
                  <c:v>6716.1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37992"/>
        <c:axId val="2133055656"/>
      </c:scatterChart>
      <c:valAx>
        <c:axId val="21372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55656"/>
        <c:crosses val="autoZero"/>
        <c:crossBetween val="midCat"/>
      </c:valAx>
      <c:valAx>
        <c:axId val="213305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3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316678040244969"/>
                  <c:y val="-0.628024934383202"/>
                </c:manualLayout>
              </c:layout>
              <c:numFmt formatCode="0.000000000000000000E+00" sourceLinked="0"/>
            </c:trendlineLbl>
          </c:trendline>
          <c:xVal>
            <c:numRef>
              <c:f>Sheet1!$A$1:$A$200</c:f>
              <c:numCache>
                <c:formatCode>0.00000</c:formatCode>
                <c:ptCount val="200"/>
                <c:pt idx="0">
                  <c:v>1.6242</c:v>
                </c:pt>
                <c:pt idx="1">
                  <c:v>1.6239</c:v>
                </c:pt>
                <c:pt idx="2">
                  <c:v>1.6237</c:v>
                </c:pt>
                <c:pt idx="3">
                  <c:v>1.6235</c:v>
                </c:pt>
                <c:pt idx="4">
                  <c:v>1.6232</c:v>
                </c:pt>
                <c:pt idx="5">
                  <c:v>1.623</c:v>
                </c:pt>
                <c:pt idx="6">
                  <c:v>1.6228</c:v>
                </c:pt>
                <c:pt idx="7">
                  <c:v>1.6225</c:v>
                </c:pt>
                <c:pt idx="8">
                  <c:v>1.6223</c:v>
                </c:pt>
                <c:pt idx="9">
                  <c:v>1.6221</c:v>
                </c:pt>
                <c:pt idx="10">
                  <c:v>1.6218</c:v>
                </c:pt>
                <c:pt idx="11">
                  <c:v>1.6216</c:v>
                </c:pt>
                <c:pt idx="12">
                  <c:v>1.6213</c:v>
                </c:pt>
                <c:pt idx="13">
                  <c:v>1.6211</c:v>
                </c:pt>
                <c:pt idx="14">
                  <c:v>1.6209</c:v>
                </c:pt>
                <c:pt idx="15">
                  <c:v>1.6206</c:v>
                </c:pt>
                <c:pt idx="16">
                  <c:v>1.6204</c:v>
                </c:pt>
                <c:pt idx="17">
                  <c:v>1.6202</c:v>
                </c:pt>
                <c:pt idx="18">
                  <c:v>1.6199</c:v>
                </c:pt>
                <c:pt idx="19">
                  <c:v>1.6197</c:v>
                </c:pt>
                <c:pt idx="20">
                  <c:v>1.6195</c:v>
                </c:pt>
                <c:pt idx="21">
                  <c:v>1.6192</c:v>
                </c:pt>
                <c:pt idx="22">
                  <c:v>1.619</c:v>
                </c:pt>
                <c:pt idx="23">
                  <c:v>1.6187</c:v>
                </c:pt>
                <c:pt idx="24">
                  <c:v>1.6185</c:v>
                </c:pt>
                <c:pt idx="25">
                  <c:v>1.6183</c:v>
                </c:pt>
                <c:pt idx="26">
                  <c:v>1.618</c:v>
                </c:pt>
                <c:pt idx="27">
                  <c:v>1.6178</c:v>
                </c:pt>
                <c:pt idx="28">
                  <c:v>1.6176</c:v>
                </c:pt>
                <c:pt idx="29">
                  <c:v>1.6173</c:v>
                </c:pt>
                <c:pt idx="30">
                  <c:v>1.6171</c:v>
                </c:pt>
                <c:pt idx="31">
                  <c:v>1.6169</c:v>
                </c:pt>
                <c:pt idx="32">
                  <c:v>1.6166</c:v>
                </c:pt>
                <c:pt idx="33">
                  <c:v>1.6164</c:v>
                </c:pt>
                <c:pt idx="34">
                  <c:v>1.6162</c:v>
                </c:pt>
                <c:pt idx="35">
                  <c:v>1.6159</c:v>
                </c:pt>
                <c:pt idx="36">
                  <c:v>1.6157</c:v>
                </c:pt>
                <c:pt idx="37">
                  <c:v>1.6154</c:v>
                </c:pt>
                <c:pt idx="38">
                  <c:v>1.6152</c:v>
                </c:pt>
                <c:pt idx="39">
                  <c:v>1.615</c:v>
                </c:pt>
                <c:pt idx="40">
                  <c:v>1.6147</c:v>
                </c:pt>
                <c:pt idx="41">
                  <c:v>1.6145</c:v>
                </c:pt>
                <c:pt idx="42">
                  <c:v>1.6143</c:v>
                </c:pt>
                <c:pt idx="43">
                  <c:v>1.614</c:v>
                </c:pt>
                <c:pt idx="44">
                  <c:v>1.6138</c:v>
                </c:pt>
                <c:pt idx="45">
                  <c:v>1.6136</c:v>
                </c:pt>
                <c:pt idx="46">
                  <c:v>1.6133</c:v>
                </c:pt>
                <c:pt idx="47">
                  <c:v>1.6131</c:v>
                </c:pt>
                <c:pt idx="48">
                  <c:v>1.6129</c:v>
                </c:pt>
                <c:pt idx="49">
                  <c:v>1.6126</c:v>
                </c:pt>
                <c:pt idx="50">
                  <c:v>1.6124</c:v>
                </c:pt>
                <c:pt idx="51">
                  <c:v>1.6122</c:v>
                </c:pt>
                <c:pt idx="52">
                  <c:v>1.6119</c:v>
                </c:pt>
                <c:pt idx="53">
                  <c:v>1.6117</c:v>
                </c:pt>
                <c:pt idx="54">
                  <c:v>1.6114</c:v>
                </c:pt>
                <c:pt idx="55">
                  <c:v>1.6112</c:v>
                </c:pt>
                <c:pt idx="56">
                  <c:v>1.611</c:v>
                </c:pt>
                <c:pt idx="57">
                  <c:v>1.6107</c:v>
                </c:pt>
                <c:pt idx="58">
                  <c:v>1.6105</c:v>
                </c:pt>
                <c:pt idx="59">
                  <c:v>1.6103</c:v>
                </c:pt>
                <c:pt idx="60">
                  <c:v>1.61</c:v>
                </c:pt>
                <c:pt idx="61">
                  <c:v>1.6098</c:v>
                </c:pt>
                <c:pt idx="62">
                  <c:v>1.6096</c:v>
                </c:pt>
                <c:pt idx="63">
                  <c:v>1.6093</c:v>
                </c:pt>
                <c:pt idx="64">
                  <c:v>1.6091</c:v>
                </c:pt>
                <c:pt idx="65">
                  <c:v>1.6089</c:v>
                </c:pt>
                <c:pt idx="66">
                  <c:v>1.6086</c:v>
                </c:pt>
                <c:pt idx="67">
                  <c:v>1.6084</c:v>
                </c:pt>
                <c:pt idx="68">
                  <c:v>1.6082</c:v>
                </c:pt>
                <c:pt idx="69">
                  <c:v>1.6079</c:v>
                </c:pt>
                <c:pt idx="70">
                  <c:v>1.6077</c:v>
                </c:pt>
                <c:pt idx="71">
                  <c:v>1.6075</c:v>
                </c:pt>
                <c:pt idx="72">
                  <c:v>1.6072</c:v>
                </c:pt>
                <c:pt idx="73">
                  <c:v>1.607</c:v>
                </c:pt>
                <c:pt idx="74">
                  <c:v>1.6068</c:v>
                </c:pt>
                <c:pt idx="75">
                  <c:v>1.6065</c:v>
                </c:pt>
                <c:pt idx="76">
                  <c:v>1.6063</c:v>
                </c:pt>
                <c:pt idx="77">
                  <c:v>1.6061</c:v>
                </c:pt>
                <c:pt idx="78">
                  <c:v>1.6058</c:v>
                </c:pt>
                <c:pt idx="79">
                  <c:v>1.6056</c:v>
                </c:pt>
                <c:pt idx="80">
                  <c:v>1.6054</c:v>
                </c:pt>
                <c:pt idx="81">
                  <c:v>1.6051</c:v>
                </c:pt>
                <c:pt idx="82">
                  <c:v>1.6049</c:v>
                </c:pt>
                <c:pt idx="83">
                  <c:v>1.6047</c:v>
                </c:pt>
                <c:pt idx="84">
                  <c:v>1.6044</c:v>
                </c:pt>
                <c:pt idx="85">
                  <c:v>1.6042</c:v>
                </c:pt>
                <c:pt idx="86">
                  <c:v>1.604</c:v>
                </c:pt>
                <c:pt idx="87">
                  <c:v>1.6037</c:v>
                </c:pt>
                <c:pt idx="88">
                  <c:v>1.6035</c:v>
                </c:pt>
                <c:pt idx="89">
                  <c:v>1.6033</c:v>
                </c:pt>
                <c:pt idx="90">
                  <c:v>1.603</c:v>
                </c:pt>
                <c:pt idx="91">
                  <c:v>1.6028</c:v>
                </c:pt>
                <c:pt idx="92">
                  <c:v>1.6025</c:v>
                </c:pt>
                <c:pt idx="93">
                  <c:v>1.6023</c:v>
                </c:pt>
                <c:pt idx="94">
                  <c:v>1.6021</c:v>
                </c:pt>
                <c:pt idx="95">
                  <c:v>1.6018</c:v>
                </c:pt>
                <c:pt idx="96">
                  <c:v>1.6016</c:v>
                </c:pt>
                <c:pt idx="97">
                  <c:v>1.6014</c:v>
                </c:pt>
                <c:pt idx="98">
                  <c:v>1.6011</c:v>
                </c:pt>
                <c:pt idx="99">
                  <c:v>1.6009</c:v>
                </c:pt>
                <c:pt idx="100">
                  <c:v>1.6007</c:v>
                </c:pt>
                <c:pt idx="101">
                  <c:v>1.6004</c:v>
                </c:pt>
                <c:pt idx="102">
                  <c:v>1.6002</c:v>
                </c:pt>
                <c:pt idx="103">
                  <c:v>1.6</c:v>
                </c:pt>
                <c:pt idx="104">
                  <c:v>1.5997</c:v>
                </c:pt>
                <c:pt idx="105">
                  <c:v>1.5995</c:v>
                </c:pt>
                <c:pt idx="106">
                  <c:v>1.5993</c:v>
                </c:pt>
                <c:pt idx="107">
                  <c:v>1.5991</c:v>
                </c:pt>
                <c:pt idx="108">
                  <c:v>1.5988</c:v>
                </c:pt>
                <c:pt idx="109">
                  <c:v>1.5986</c:v>
                </c:pt>
                <c:pt idx="110">
                  <c:v>1.5984</c:v>
                </c:pt>
                <c:pt idx="111">
                  <c:v>1.5981</c:v>
                </c:pt>
                <c:pt idx="112">
                  <c:v>1.5979</c:v>
                </c:pt>
                <c:pt idx="113">
                  <c:v>1.5977</c:v>
                </c:pt>
                <c:pt idx="114">
                  <c:v>1.5974</c:v>
                </c:pt>
                <c:pt idx="115">
                  <c:v>1.5972</c:v>
                </c:pt>
                <c:pt idx="116">
                  <c:v>1.597</c:v>
                </c:pt>
                <c:pt idx="117">
                  <c:v>1.5967</c:v>
                </c:pt>
                <c:pt idx="118">
                  <c:v>1.5965</c:v>
                </c:pt>
                <c:pt idx="119">
                  <c:v>1.5963</c:v>
                </c:pt>
                <c:pt idx="120">
                  <c:v>1.596</c:v>
                </c:pt>
                <c:pt idx="121">
                  <c:v>1.5958</c:v>
                </c:pt>
                <c:pt idx="122">
                  <c:v>1.5956</c:v>
                </c:pt>
                <c:pt idx="123">
                  <c:v>1.5953</c:v>
                </c:pt>
                <c:pt idx="124">
                  <c:v>1.5951</c:v>
                </c:pt>
                <c:pt idx="125">
                  <c:v>1.5949</c:v>
                </c:pt>
                <c:pt idx="126">
                  <c:v>1.5946</c:v>
                </c:pt>
                <c:pt idx="127">
                  <c:v>1.5944</c:v>
                </c:pt>
                <c:pt idx="128">
                  <c:v>1.5942</c:v>
                </c:pt>
                <c:pt idx="129">
                  <c:v>1.5939</c:v>
                </c:pt>
                <c:pt idx="130">
                  <c:v>1.5937</c:v>
                </c:pt>
                <c:pt idx="131">
                  <c:v>1.5935</c:v>
                </c:pt>
                <c:pt idx="132">
                  <c:v>1.5932</c:v>
                </c:pt>
                <c:pt idx="133">
                  <c:v>1.593</c:v>
                </c:pt>
                <c:pt idx="134">
                  <c:v>1.5928</c:v>
                </c:pt>
                <c:pt idx="135">
                  <c:v>1.5925</c:v>
                </c:pt>
                <c:pt idx="136">
                  <c:v>1.5923</c:v>
                </c:pt>
                <c:pt idx="137">
                  <c:v>1.5921</c:v>
                </c:pt>
                <c:pt idx="138">
                  <c:v>1.5918</c:v>
                </c:pt>
                <c:pt idx="139">
                  <c:v>1.5916</c:v>
                </c:pt>
                <c:pt idx="140">
                  <c:v>1.5914</c:v>
                </c:pt>
                <c:pt idx="141">
                  <c:v>1.5911</c:v>
                </c:pt>
                <c:pt idx="142">
                  <c:v>1.5909</c:v>
                </c:pt>
                <c:pt idx="143">
                  <c:v>1.5907</c:v>
                </c:pt>
                <c:pt idx="144">
                  <c:v>1.5905</c:v>
                </c:pt>
                <c:pt idx="145">
                  <c:v>1.5902</c:v>
                </c:pt>
                <c:pt idx="146">
                  <c:v>1.59</c:v>
                </c:pt>
                <c:pt idx="147">
                  <c:v>1.5898</c:v>
                </c:pt>
                <c:pt idx="148">
                  <c:v>1.5895</c:v>
                </c:pt>
                <c:pt idx="149">
                  <c:v>1.5893</c:v>
                </c:pt>
                <c:pt idx="150">
                  <c:v>1.5891</c:v>
                </c:pt>
                <c:pt idx="151">
                  <c:v>1.5888</c:v>
                </c:pt>
                <c:pt idx="152">
                  <c:v>1.5886</c:v>
                </c:pt>
                <c:pt idx="153">
                  <c:v>1.5884</c:v>
                </c:pt>
                <c:pt idx="154">
                  <c:v>1.5881</c:v>
                </c:pt>
                <c:pt idx="155">
                  <c:v>1.5879</c:v>
                </c:pt>
                <c:pt idx="156">
                  <c:v>1.5877</c:v>
                </c:pt>
                <c:pt idx="157">
                  <c:v>1.5874</c:v>
                </c:pt>
                <c:pt idx="158">
                  <c:v>1.5872</c:v>
                </c:pt>
                <c:pt idx="159">
                  <c:v>1.587</c:v>
                </c:pt>
                <c:pt idx="160">
                  <c:v>1.5867</c:v>
                </c:pt>
                <c:pt idx="161">
                  <c:v>1.5865</c:v>
                </c:pt>
                <c:pt idx="162">
                  <c:v>1.5863</c:v>
                </c:pt>
                <c:pt idx="163">
                  <c:v>1.5861</c:v>
                </c:pt>
                <c:pt idx="164">
                  <c:v>1.5858</c:v>
                </c:pt>
                <c:pt idx="165">
                  <c:v>1.5856</c:v>
                </c:pt>
                <c:pt idx="166">
                  <c:v>1.5854</c:v>
                </c:pt>
                <c:pt idx="167">
                  <c:v>1.5851</c:v>
                </c:pt>
                <c:pt idx="168">
                  <c:v>1.5849</c:v>
                </c:pt>
                <c:pt idx="169">
                  <c:v>1.5847</c:v>
                </c:pt>
                <c:pt idx="170">
                  <c:v>1.5844</c:v>
                </c:pt>
                <c:pt idx="171">
                  <c:v>1.5842</c:v>
                </c:pt>
                <c:pt idx="172">
                  <c:v>1.584</c:v>
                </c:pt>
                <c:pt idx="173">
                  <c:v>1.5837</c:v>
                </c:pt>
                <c:pt idx="174">
                  <c:v>1.5835</c:v>
                </c:pt>
                <c:pt idx="175">
                  <c:v>1.5833</c:v>
                </c:pt>
                <c:pt idx="176">
                  <c:v>1.5831</c:v>
                </c:pt>
                <c:pt idx="177">
                  <c:v>1.5828</c:v>
                </c:pt>
                <c:pt idx="178">
                  <c:v>1.5826</c:v>
                </c:pt>
                <c:pt idx="179">
                  <c:v>1.5824</c:v>
                </c:pt>
                <c:pt idx="180">
                  <c:v>1.5821</c:v>
                </c:pt>
                <c:pt idx="181">
                  <c:v>1.5819</c:v>
                </c:pt>
                <c:pt idx="182">
                  <c:v>1.5817</c:v>
                </c:pt>
                <c:pt idx="183">
                  <c:v>1.5814</c:v>
                </c:pt>
                <c:pt idx="184">
                  <c:v>1.5812</c:v>
                </c:pt>
                <c:pt idx="185">
                  <c:v>1.581</c:v>
                </c:pt>
                <c:pt idx="186">
                  <c:v>1.5807</c:v>
                </c:pt>
                <c:pt idx="187">
                  <c:v>1.5805</c:v>
                </c:pt>
                <c:pt idx="188">
                  <c:v>1.5803</c:v>
                </c:pt>
                <c:pt idx="189">
                  <c:v>1.5801</c:v>
                </c:pt>
                <c:pt idx="190">
                  <c:v>1.5798</c:v>
                </c:pt>
                <c:pt idx="191">
                  <c:v>1.5796</c:v>
                </c:pt>
                <c:pt idx="192">
                  <c:v>1.5794</c:v>
                </c:pt>
                <c:pt idx="193">
                  <c:v>1.5791</c:v>
                </c:pt>
                <c:pt idx="194">
                  <c:v>1.5789</c:v>
                </c:pt>
                <c:pt idx="195">
                  <c:v>1.5787</c:v>
                </c:pt>
                <c:pt idx="196">
                  <c:v>1.5784</c:v>
                </c:pt>
                <c:pt idx="197">
                  <c:v>1.5782</c:v>
                </c:pt>
                <c:pt idx="198">
                  <c:v>1.578</c:v>
                </c:pt>
                <c:pt idx="199">
                  <c:v>1.5778</c:v>
                </c:pt>
              </c:numCache>
            </c:numRef>
          </c:xVal>
          <c:yVal>
            <c:numRef>
              <c:f>Sheet1!$B$1:$B$200</c:f>
              <c:numCache>
                <c:formatCode>0.00000</c:formatCode>
                <c:ptCount val="200"/>
                <c:pt idx="0">
                  <c:v>515.1</c:v>
                </c:pt>
                <c:pt idx="1">
                  <c:v>517.1</c:v>
                </c:pt>
                <c:pt idx="2">
                  <c:v>519.2</c:v>
                </c:pt>
                <c:pt idx="3">
                  <c:v>521.2</c:v>
                </c:pt>
                <c:pt idx="4">
                  <c:v>523.3</c:v>
                </c:pt>
                <c:pt idx="5">
                  <c:v>525.3</c:v>
                </c:pt>
                <c:pt idx="6">
                  <c:v>527.4</c:v>
                </c:pt>
                <c:pt idx="7">
                  <c:v>529.5</c:v>
                </c:pt>
                <c:pt idx="8">
                  <c:v>531.6</c:v>
                </c:pt>
                <c:pt idx="9">
                  <c:v>533.8</c:v>
                </c:pt>
                <c:pt idx="10">
                  <c:v>535.9</c:v>
                </c:pt>
                <c:pt idx="11">
                  <c:v>538.1</c:v>
                </c:pt>
                <c:pt idx="12">
                  <c:v>540.3</c:v>
                </c:pt>
                <c:pt idx="13">
                  <c:v>542.5</c:v>
                </c:pt>
                <c:pt idx="14">
                  <c:v>544.7</c:v>
                </c:pt>
                <c:pt idx="15">
                  <c:v>546.9</c:v>
                </c:pt>
                <c:pt idx="16">
                  <c:v>549.2</c:v>
                </c:pt>
                <c:pt idx="17">
                  <c:v>551.4</c:v>
                </c:pt>
                <c:pt idx="18">
                  <c:v>553.7</c:v>
                </c:pt>
                <c:pt idx="19">
                  <c:v>556.1</c:v>
                </c:pt>
                <c:pt idx="20">
                  <c:v>558.4</c:v>
                </c:pt>
                <c:pt idx="21">
                  <c:v>560.8</c:v>
                </c:pt>
                <c:pt idx="22">
                  <c:v>563.2</c:v>
                </c:pt>
                <c:pt idx="23">
                  <c:v>565.6</c:v>
                </c:pt>
                <c:pt idx="24">
                  <c:v>568.1</c:v>
                </c:pt>
                <c:pt idx="25">
                  <c:v>570.6</c:v>
                </c:pt>
                <c:pt idx="26">
                  <c:v>573.1</c:v>
                </c:pt>
                <c:pt idx="27">
                  <c:v>575.7</c:v>
                </c:pt>
                <c:pt idx="28">
                  <c:v>578.3</c:v>
                </c:pt>
                <c:pt idx="29">
                  <c:v>580.9</c:v>
                </c:pt>
                <c:pt idx="30">
                  <c:v>583.5</c:v>
                </c:pt>
                <c:pt idx="31">
                  <c:v>586.2</c:v>
                </c:pt>
                <c:pt idx="32">
                  <c:v>589.0</c:v>
                </c:pt>
                <c:pt idx="33">
                  <c:v>591.7</c:v>
                </c:pt>
                <c:pt idx="34">
                  <c:v>594.6</c:v>
                </c:pt>
                <c:pt idx="35">
                  <c:v>597.4</c:v>
                </c:pt>
                <c:pt idx="36">
                  <c:v>600.3</c:v>
                </c:pt>
                <c:pt idx="37">
                  <c:v>603.3</c:v>
                </c:pt>
                <c:pt idx="38">
                  <c:v>606.2</c:v>
                </c:pt>
                <c:pt idx="39">
                  <c:v>609.3</c:v>
                </c:pt>
                <c:pt idx="40">
                  <c:v>612.4</c:v>
                </c:pt>
                <c:pt idx="41">
                  <c:v>615.5</c:v>
                </c:pt>
                <c:pt idx="42">
                  <c:v>618.7</c:v>
                </c:pt>
                <c:pt idx="43">
                  <c:v>621.9</c:v>
                </c:pt>
                <c:pt idx="44">
                  <c:v>625.2</c:v>
                </c:pt>
                <c:pt idx="45">
                  <c:v>628.5</c:v>
                </c:pt>
                <c:pt idx="46">
                  <c:v>631.9</c:v>
                </c:pt>
                <c:pt idx="47">
                  <c:v>635.4</c:v>
                </c:pt>
                <c:pt idx="48">
                  <c:v>638.9</c:v>
                </c:pt>
                <c:pt idx="49">
                  <c:v>642.5</c:v>
                </c:pt>
                <c:pt idx="50">
                  <c:v>646.1</c:v>
                </c:pt>
                <c:pt idx="51">
                  <c:v>649.8</c:v>
                </c:pt>
                <c:pt idx="52">
                  <c:v>653.6</c:v>
                </c:pt>
                <c:pt idx="53">
                  <c:v>657.5</c:v>
                </c:pt>
                <c:pt idx="54">
                  <c:v>661.4</c:v>
                </c:pt>
                <c:pt idx="55">
                  <c:v>665.4</c:v>
                </c:pt>
                <c:pt idx="56">
                  <c:v>669.4</c:v>
                </c:pt>
                <c:pt idx="57">
                  <c:v>673.6</c:v>
                </c:pt>
                <c:pt idx="58">
                  <c:v>677.8</c:v>
                </c:pt>
                <c:pt idx="59">
                  <c:v>682.1</c:v>
                </c:pt>
                <c:pt idx="60">
                  <c:v>686.5</c:v>
                </c:pt>
                <c:pt idx="61">
                  <c:v>690.9</c:v>
                </c:pt>
                <c:pt idx="62">
                  <c:v>695.5</c:v>
                </c:pt>
                <c:pt idx="63">
                  <c:v>700.1</c:v>
                </c:pt>
                <c:pt idx="64">
                  <c:v>704.8</c:v>
                </c:pt>
                <c:pt idx="65">
                  <c:v>709.7</c:v>
                </c:pt>
                <c:pt idx="66">
                  <c:v>714.6</c:v>
                </c:pt>
                <c:pt idx="67">
                  <c:v>719.6</c:v>
                </c:pt>
                <c:pt idx="68">
                  <c:v>724.7</c:v>
                </c:pt>
                <c:pt idx="69">
                  <c:v>730.0</c:v>
                </c:pt>
                <c:pt idx="70">
                  <c:v>735.3</c:v>
                </c:pt>
                <c:pt idx="71">
                  <c:v>740.7</c:v>
                </c:pt>
                <c:pt idx="72">
                  <c:v>746.3</c:v>
                </c:pt>
                <c:pt idx="73">
                  <c:v>752.0</c:v>
                </c:pt>
                <c:pt idx="74">
                  <c:v>757.7</c:v>
                </c:pt>
                <c:pt idx="75">
                  <c:v>763.7</c:v>
                </c:pt>
                <c:pt idx="76">
                  <c:v>769.7</c:v>
                </c:pt>
                <c:pt idx="77">
                  <c:v>775.8</c:v>
                </c:pt>
                <c:pt idx="78">
                  <c:v>782.1</c:v>
                </c:pt>
                <c:pt idx="79">
                  <c:v>788.6</c:v>
                </c:pt>
                <c:pt idx="80">
                  <c:v>795.1</c:v>
                </c:pt>
                <c:pt idx="81">
                  <c:v>801.8</c:v>
                </c:pt>
                <c:pt idx="82">
                  <c:v>808.7</c:v>
                </c:pt>
                <c:pt idx="83">
                  <c:v>815.7</c:v>
                </c:pt>
                <c:pt idx="84">
                  <c:v>822.8</c:v>
                </c:pt>
                <c:pt idx="85">
                  <c:v>830.1</c:v>
                </c:pt>
                <c:pt idx="86">
                  <c:v>837.6</c:v>
                </c:pt>
                <c:pt idx="87">
                  <c:v>845.2</c:v>
                </c:pt>
                <c:pt idx="88">
                  <c:v>853.0</c:v>
                </c:pt>
                <c:pt idx="89">
                  <c:v>861.0</c:v>
                </c:pt>
                <c:pt idx="90">
                  <c:v>869.2</c:v>
                </c:pt>
                <c:pt idx="91">
                  <c:v>877.5</c:v>
                </c:pt>
                <c:pt idx="92">
                  <c:v>886.1</c:v>
                </c:pt>
                <c:pt idx="93">
                  <c:v>894.8</c:v>
                </c:pt>
                <c:pt idx="94">
                  <c:v>903.7</c:v>
                </c:pt>
                <c:pt idx="95">
                  <c:v>912.8</c:v>
                </c:pt>
                <c:pt idx="96">
                  <c:v>922.2</c:v>
                </c:pt>
                <c:pt idx="97">
                  <c:v>931.7</c:v>
                </c:pt>
                <c:pt idx="98">
                  <c:v>941.5</c:v>
                </c:pt>
                <c:pt idx="99">
                  <c:v>951.5</c:v>
                </c:pt>
                <c:pt idx="100">
                  <c:v>961.8</c:v>
                </c:pt>
                <c:pt idx="101">
                  <c:v>972.3</c:v>
                </c:pt>
                <c:pt idx="102">
                  <c:v>983.0</c:v>
                </c:pt>
                <c:pt idx="103">
                  <c:v>994.0</c:v>
                </c:pt>
                <c:pt idx="104">
                  <c:v>1005.2</c:v>
                </c:pt>
                <c:pt idx="105">
                  <c:v>1016.8</c:v>
                </c:pt>
                <c:pt idx="106">
                  <c:v>1028.6</c:v>
                </c:pt>
                <c:pt idx="107">
                  <c:v>1040.6</c:v>
                </c:pt>
                <c:pt idx="108">
                  <c:v>1053.0</c:v>
                </c:pt>
                <c:pt idx="109">
                  <c:v>1065.7</c:v>
                </c:pt>
                <c:pt idx="110">
                  <c:v>1078.7</c:v>
                </c:pt>
                <c:pt idx="111">
                  <c:v>1092.0</c:v>
                </c:pt>
                <c:pt idx="112">
                  <c:v>1105.7</c:v>
                </c:pt>
                <c:pt idx="113">
                  <c:v>1119.6</c:v>
                </c:pt>
                <c:pt idx="114">
                  <c:v>1134.0</c:v>
                </c:pt>
                <c:pt idx="115">
                  <c:v>1148.7</c:v>
                </c:pt>
                <c:pt idx="116">
                  <c:v>1163.7</c:v>
                </c:pt>
                <c:pt idx="117">
                  <c:v>1179.2</c:v>
                </c:pt>
                <c:pt idx="118">
                  <c:v>1195.0</c:v>
                </c:pt>
                <c:pt idx="119">
                  <c:v>1211.2</c:v>
                </c:pt>
                <c:pt idx="120">
                  <c:v>1227.9</c:v>
                </c:pt>
                <c:pt idx="121">
                  <c:v>1245.0</c:v>
                </c:pt>
                <c:pt idx="122">
                  <c:v>1262.5</c:v>
                </c:pt>
                <c:pt idx="123">
                  <c:v>1280.5</c:v>
                </c:pt>
                <c:pt idx="124">
                  <c:v>1299.0</c:v>
                </c:pt>
                <c:pt idx="125">
                  <c:v>1317.9</c:v>
                </c:pt>
                <c:pt idx="126">
                  <c:v>1337.4</c:v>
                </c:pt>
                <c:pt idx="127">
                  <c:v>1357.4</c:v>
                </c:pt>
                <c:pt idx="128">
                  <c:v>1377.9</c:v>
                </c:pt>
                <c:pt idx="129">
                  <c:v>1398.9</c:v>
                </c:pt>
                <c:pt idx="130">
                  <c:v>1420.5</c:v>
                </c:pt>
                <c:pt idx="131">
                  <c:v>1442.7</c:v>
                </c:pt>
                <c:pt idx="132">
                  <c:v>1465.5</c:v>
                </c:pt>
                <c:pt idx="133">
                  <c:v>1489.0</c:v>
                </c:pt>
                <c:pt idx="134">
                  <c:v>1513.1</c:v>
                </c:pt>
                <c:pt idx="135">
                  <c:v>1537.8</c:v>
                </c:pt>
                <c:pt idx="136">
                  <c:v>1563.3</c:v>
                </c:pt>
                <c:pt idx="137">
                  <c:v>1589.4</c:v>
                </c:pt>
                <c:pt idx="138">
                  <c:v>1616.3</c:v>
                </c:pt>
                <c:pt idx="139">
                  <c:v>1643.9</c:v>
                </c:pt>
                <c:pt idx="140">
                  <c:v>1672.4</c:v>
                </c:pt>
                <c:pt idx="141">
                  <c:v>1701.6</c:v>
                </c:pt>
                <c:pt idx="142">
                  <c:v>1731.7</c:v>
                </c:pt>
                <c:pt idx="143">
                  <c:v>1762.6</c:v>
                </c:pt>
                <c:pt idx="144">
                  <c:v>1794.5</c:v>
                </c:pt>
                <c:pt idx="145">
                  <c:v>1827.2</c:v>
                </c:pt>
                <c:pt idx="146">
                  <c:v>1861.0</c:v>
                </c:pt>
                <c:pt idx="147">
                  <c:v>1895.7</c:v>
                </c:pt>
                <c:pt idx="148">
                  <c:v>1931.5</c:v>
                </c:pt>
                <c:pt idx="149">
                  <c:v>1968.3</c:v>
                </c:pt>
                <c:pt idx="150">
                  <c:v>2006.2</c:v>
                </c:pt>
                <c:pt idx="151">
                  <c:v>2045.3</c:v>
                </c:pt>
                <c:pt idx="152">
                  <c:v>2085.6</c:v>
                </c:pt>
                <c:pt idx="153">
                  <c:v>2127.1</c:v>
                </c:pt>
                <c:pt idx="154">
                  <c:v>2169.8</c:v>
                </c:pt>
                <c:pt idx="155">
                  <c:v>2213.9</c:v>
                </c:pt>
                <c:pt idx="156">
                  <c:v>2259.3</c:v>
                </c:pt>
                <c:pt idx="157">
                  <c:v>2306.2</c:v>
                </c:pt>
                <c:pt idx="158">
                  <c:v>2354.5</c:v>
                </c:pt>
                <c:pt idx="159">
                  <c:v>2404.3</c:v>
                </c:pt>
                <c:pt idx="160">
                  <c:v>2455.8</c:v>
                </c:pt>
                <c:pt idx="161">
                  <c:v>2508.8</c:v>
                </c:pt>
                <c:pt idx="162">
                  <c:v>2563.6</c:v>
                </c:pt>
                <c:pt idx="163">
                  <c:v>2620.1</c:v>
                </c:pt>
                <c:pt idx="164">
                  <c:v>2678.5</c:v>
                </c:pt>
                <c:pt idx="165">
                  <c:v>2738.8</c:v>
                </c:pt>
                <c:pt idx="166">
                  <c:v>2801.0</c:v>
                </c:pt>
                <c:pt idx="167">
                  <c:v>2865.3</c:v>
                </c:pt>
                <c:pt idx="168">
                  <c:v>2931.7</c:v>
                </c:pt>
                <c:pt idx="169">
                  <c:v>3000.4</c:v>
                </c:pt>
                <c:pt idx="170">
                  <c:v>3071.3</c:v>
                </c:pt>
                <c:pt idx="171">
                  <c:v>3144.7</c:v>
                </c:pt>
                <c:pt idx="172">
                  <c:v>3220.5</c:v>
                </c:pt>
                <c:pt idx="173">
                  <c:v>3298.9</c:v>
                </c:pt>
                <c:pt idx="174">
                  <c:v>3380.0</c:v>
                </c:pt>
                <c:pt idx="175">
                  <c:v>3463.9</c:v>
                </c:pt>
                <c:pt idx="176">
                  <c:v>3550.8</c:v>
                </c:pt>
                <c:pt idx="177">
                  <c:v>3640.7</c:v>
                </c:pt>
                <c:pt idx="178">
                  <c:v>3733.7</c:v>
                </c:pt>
                <c:pt idx="179">
                  <c:v>3830.0</c:v>
                </c:pt>
                <c:pt idx="180">
                  <c:v>3929.8</c:v>
                </c:pt>
                <c:pt idx="181">
                  <c:v>4033.1</c:v>
                </c:pt>
                <c:pt idx="182">
                  <c:v>4140.1</c:v>
                </c:pt>
                <c:pt idx="183">
                  <c:v>4251.1</c:v>
                </c:pt>
                <c:pt idx="184">
                  <c:v>4366.0</c:v>
                </c:pt>
                <c:pt idx="185">
                  <c:v>4485.2</c:v>
                </c:pt>
                <c:pt idx="186">
                  <c:v>4608.8</c:v>
                </c:pt>
                <c:pt idx="187">
                  <c:v>4737.0</c:v>
                </c:pt>
                <c:pt idx="188">
                  <c:v>4869.9</c:v>
                </c:pt>
                <c:pt idx="189">
                  <c:v>5007.9</c:v>
                </c:pt>
                <c:pt idx="190">
                  <c:v>5151.1</c:v>
                </c:pt>
                <c:pt idx="191">
                  <c:v>5299.7</c:v>
                </c:pt>
                <c:pt idx="192">
                  <c:v>5454.0</c:v>
                </c:pt>
                <c:pt idx="193">
                  <c:v>5614.2</c:v>
                </c:pt>
                <c:pt idx="194">
                  <c:v>5780.6</c:v>
                </c:pt>
                <c:pt idx="195">
                  <c:v>5953.5</c:v>
                </c:pt>
                <c:pt idx="196">
                  <c:v>6133.2</c:v>
                </c:pt>
                <c:pt idx="197">
                  <c:v>6320.0</c:v>
                </c:pt>
                <c:pt idx="198">
                  <c:v>6514.2</c:v>
                </c:pt>
                <c:pt idx="199">
                  <c:v>6716.1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60584"/>
        <c:axId val="2137948664"/>
      </c:scatterChart>
      <c:valAx>
        <c:axId val="213076058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2137948664"/>
        <c:crosses val="autoZero"/>
        <c:crossBetween val="midCat"/>
      </c:valAx>
      <c:valAx>
        <c:axId val="21379486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3076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375920</xdr:colOff>
      <xdr:row>92</xdr:row>
      <xdr:rowOff>182880</xdr:rowOff>
    </xdr:from>
    <xdr:to>
      <xdr:col>14</xdr:col>
      <xdr:colOff>254000</xdr:colOff>
      <xdr:row>107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10</xdr:row>
      <xdr:rowOff>111760</xdr:rowOff>
    </xdr:from>
    <xdr:to>
      <xdr:col>14</xdr:col>
      <xdr:colOff>132080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9"/>
  <sheetViews>
    <sheetView tabSelected="1" workbookViewId="0">
      <selection activeCell="N13" sqref="N13:N15"/>
    </sheetView>
  </sheetViews>
  <sheetFormatPr baseColWidth="10" defaultColWidth="8.83203125" defaultRowHeight="15" x14ac:dyDescent="0"/>
  <cols>
    <col min="1" max="15" width="8.83203125" style="15"/>
    <col min="16" max="16" width="12.83203125" style="15" bestFit="1" customWidth="1"/>
    <col min="17" max="1025" width="8.83203125" style="15"/>
  </cols>
  <sheetData>
    <row r="1" spans="1:35" ht="20">
      <c r="A1" s="16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5">
        <v>1.6242000000000001</v>
      </c>
      <c r="X1"/>
      <c r="Y1" s="17">
        <v>1.6242000000000001</v>
      </c>
      <c r="Z1" s="17">
        <v>515.1</v>
      </c>
      <c r="AC1" s="15">
        <v>1</v>
      </c>
      <c r="AD1" s="15">
        <v>292.35000000000002</v>
      </c>
      <c r="AH1" s="14">
        <v>543.16770231227895</v>
      </c>
      <c r="AI1" s="13">
        <v>10.393333333333301</v>
      </c>
    </row>
    <row r="2" spans="1:35">
      <c r="A2" s="19" t="s">
        <v>1</v>
      </c>
      <c r="B2" s="20">
        <f>PI()/3</f>
        <v>1.0471975511965976</v>
      </c>
      <c r="C2" s="2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 s="15">
        <v>1.5778000000000001</v>
      </c>
      <c r="X2"/>
      <c r="Y2" s="17">
        <v>1.6238999999999999</v>
      </c>
      <c r="Z2" s="17">
        <v>517.1</v>
      </c>
      <c r="AC2" s="15">
        <v>1.0366249999999999</v>
      </c>
      <c r="AD2" s="15">
        <v>300</v>
      </c>
      <c r="AH2" s="14"/>
      <c r="AI2" s="13"/>
    </row>
    <row r="3" spans="1:35">
      <c r="A3" s="19" t="s">
        <v>2</v>
      </c>
      <c r="B3" s="20">
        <f>D3*PI()/180</f>
        <v>4.782202150464463</v>
      </c>
      <c r="C3" s="20"/>
      <c r="D3" s="15">
        <v>274</v>
      </c>
      <c r="E3" s="15">
        <v>1</v>
      </c>
      <c r="F3"/>
      <c r="G3"/>
      <c r="H3"/>
      <c r="I3"/>
      <c r="J3"/>
      <c r="K3"/>
      <c r="L3"/>
      <c r="M3"/>
      <c r="N3" s="21" t="s">
        <v>3</v>
      </c>
      <c r="O3" s="21"/>
      <c r="P3" s="21"/>
      <c r="Q3" s="21" t="s">
        <v>4</v>
      </c>
      <c r="R3" s="21" t="s">
        <v>5</v>
      </c>
      <c r="S3"/>
      <c r="T3"/>
      <c r="U3"/>
      <c r="V3"/>
      <c r="W3"/>
      <c r="X3"/>
      <c r="Y3" s="17">
        <v>1.6236999999999999</v>
      </c>
      <c r="Z3" s="17">
        <v>519.20000000000005</v>
      </c>
      <c r="AC3" s="15">
        <v>1.5223359999999999</v>
      </c>
      <c r="AD3" s="15">
        <v>400</v>
      </c>
      <c r="AH3" s="14"/>
      <c r="AI3" s="13"/>
    </row>
    <row r="4" spans="1:35" ht="20">
      <c r="A4" s="16" t="s">
        <v>6</v>
      </c>
      <c r="B4"/>
      <c r="C4" s="15" t="s">
        <v>7</v>
      </c>
      <c r="D4"/>
      <c r="E4"/>
      <c r="F4"/>
      <c r="G4"/>
      <c r="H4"/>
      <c r="I4"/>
      <c r="J4"/>
      <c r="K4"/>
      <c r="L4"/>
      <c r="M4"/>
      <c r="N4" s="15" t="s">
        <v>8</v>
      </c>
      <c r="O4" s="15">
        <f>256</f>
        <v>256</v>
      </c>
      <c r="P4" s="15">
        <f>O4*PI()/180</f>
        <v>4.4680428851054836</v>
      </c>
      <c r="Q4" s="15">
        <f>202+56/60</f>
        <v>202.93333333333334</v>
      </c>
      <c r="R4" s="15">
        <f>201+58/60</f>
        <v>201.96666666666667</v>
      </c>
      <c r="S4"/>
      <c r="T4"/>
      <c r="U4"/>
      <c r="V4"/>
      <c r="W4"/>
      <c r="X4"/>
      <c r="Y4" s="17">
        <v>1.6234999999999999</v>
      </c>
      <c r="Z4" s="17">
        <v>521.20000000000005</v>
      </c>
      <c r="AC4" s="15">
        <v>2.0211939999999999</v>
      </c>
      <c r="AD4" s="15">
        <v>500</v>
      </c>
      <c r="AH4" s="14">
        <v>551.426882839531</v>
      </c>
      <c r="AI4" s="13">
        <v>10.38</v>
      </c>
    </row>
    <row r="5" spans="1:35">
      <c r="A5" s="22" t="s">
        <v>9</v>
      </c>
      <c r="B5" s="22" t="s">
        <v>10</v>
      </c>
      <c r="C5" s="22" t="s">
        <v>11</v>
      </c>
      <c r="D5" s="22" t="s">
        <v>12</v>
      </c>
      <c r="E5" s="22" t="s">
        <v>13</v>
      </c>
      <c r="F5" s="22" t="s">
        <v>14</v>
      </c>
      <c r="G5" s="22" t="s">
        <v>15</v>
      </c>
      <c r="H5" s="22" t="s">
        <v>16</v>
      </c>
      <c r="I5" s="22"/>
      <c r="J5" s="22"/>
      <c r="K5"/>
      <c r="L5"/>
      <c r="M5"/>
      <c r="N5" s="15" t="s">
        <v>17</v>
      </c>
      <c r="O5" s="15">
        <f>256+15/60</f>
        <v>256.25</v>
      </c>
      <c r="P5" s="15">
        <f>O5*PI()/180</f>
        <v>4.4724062082354692</v>
      </c>
      <c r="Q5"/>
      <c r="R5"/>
      <c r="S5"/>
      <c r="T5"/>
      <c r="U5"/>
      <c r="V5"/>
      <c r="W5"/>
      <c r="X5"/>
      <c r="Y5" s="17">
        <v>1.6232</v>
      </c>
      <c r="Z5" s="17">
        <v>523.29999999999995</v>
      </c>
      <c r="AC5" s="15">
        <v>2.5335350000000001</v>
      </c>
      <c r="AD5" s="15">
        <v>600</v>
      </c>
      <c r="AH5" s="14"/>
      <c r="AI5" s="13"/>
    </row>
    <row r="6" spans="1:35">
      <c r="A6" s="23">
        <v>12.02</v>
      </c>
      <c r="B6" s="23"/>
      <c r="C6" s="23">
        <v>1.69</v>
      </c>
      <c r="D6" s="23"/>
      <c r="E6" s="23">
        <f>A6/C6</f>
        <v>7.1124260355029589</v>
      </c>
      <c r="F6" s="23">
        <f>A6*D6+C6*B6</f>
        <v>0</v>
      </c>
      <c r="G6" s="23">
        <f>E6/0.4911</f>
        <v>14.482643118515494</v>
      </c>
      <c r="H6" s="24">
        <v>2404.3113920000001</v>
      </c>
      <c r="I6" s="23"/>
      <c r="J6" s="23"/>
      <c r="K6"/>
      <c r="L6"/>
      <c r="M6"/>
      <c r="N6" s="15" t="s">
        <v>18</v>
      </c>
      <c r="O6" s="15">
        <f>255+50/60</f>
        <v>255.83333333333334</v>
      </c>
      <c r="P6" s="15">
        <f>O6*PI()/180</f>
        <v>4.465134003018826</v>
      </c>
      <c r="Q6"/>
      <c r="R6"/>
      <c r="S6"/>
      <c r="T6"/>
      <c r="U6"/>
      <c r="V6"/>
      <c r="W6"/>
      <c r="X6"/>
      <c r="Y6" s="17">
        <v>1.623</v>
      </c>
      <c r="Z6" s="17">
        <v>525.29999999999995</v>
      </c>
      <c r="AC6" s="15">
        <v>3.0596990000000002</v>
      </c>
      <c r="AD6" s="15">
        <v>700</v>
      </c>
      <c r="AH6" s="14"/>
      <c r="AI6" s="13"/>
    </row>
    <row r="7" spans="1:35">
      <c r="A7" s="23">
        <v>9</v>
      </c>
      <c r="B7" s="23"/>
      <c r="C7" s="23">
        <v>1.49</v>
      </c>
      <c r="D7" s="23"/>
      <c r="E7" s="23">
        <f>A7/C7</f>
        <v>6.0402684563758386</v>
      </c>
      <c r="F7" s="23"/>
      <c r="G7" s="23">
        <f>E7/0.4911</f>
        <v>12.299467433060148</v>
      </c>
      <c r="H7" s="24">
        <v>2130.088553</v>
      </c>
      <c r="I7" s="23"/>
      <c r="J7" s="23"/>
      <c r="K7"/>
      <c r="L7"/>
      <c r="M7"/>
      <c r="N7"/>
      <c r="O7"/>
      <c r="P7" s="25">
        <f>AVERAGE(P4:P6)</f>
        <v>4.4685276987865921</v>
      </c>
      <c r="Q7"/>
      <c r="R7" s="25">
        <f>AVERAGE(Q4:R4)*PI()/180</f>
        <v>3.5334190706625197</v>
      </c>
      <c r="S7"/>
      <c r="T7"/>
      <c r="U7"/>
      <c r="V7"/>
      <c r="W7"/>
      <c r="X7"/>
      <c r="Y7" s="17">
        <v>1.6228</v>
      </c>
      <c r="Z7" s="17">
        <v>527.4</v>
      </c>
      <c r="AC7" s="15">
        <v>3.6000230000000002</v>
      </c>
      <c r="AD7" s="15">
        <v>800</v>
      </c>
      <c r="AH7" s="14">
        <v>561.00359358091396</v>
      </c>
      <c r="AI7" s="13">
        <v>9.8433333333333302</v>
      </c>
    </row>
    <row r="8" spans="1:35">
      <c r="A8" s="23">
        <v>5.97</v>
      </c>
      <c r="B8" s="23"/>
      <c r="C8" s="23">
        <v>1.1599999999999999</v>
      </c>
      <c r="D8" s="23"/>
      <c r="E8" s="23">
        <f>A8/C8</f>
        <v>5.1465517241379315</v>
      </c>
      <c r="F8" s="23"/>
      <c r="G8" s="23">
        <f>E8/0.4911</f>
        <v>10.479641059128348</v>
      </c>
      <c r="H8" s="24">
        <v>1886.753768</v>
      </c>
      <c r="I8" s="23"/>
      <c r="J8" s="23"/>
      <c r="K8"/>
      <c r="L8"/>
      <c r="M8"/>
      <c r="N8"/>
      <c r="O8">
        <f>AVERAGE(O4:O6)-AVERAGE(Q4:R4)</f>
        <v>53.577777777777783</v>
      </c>
      <c r="P8"/>
      <c r="Q8"/>
      <c r="R8"/>
      <c r="S8"/>
      <c r="T8"/>
      <c r="U8"/>
      <c r="V8"/>
      <c r="W8"/>
      <c r="X8"/>
      <c r="Y8" s="17">
        <v>1.6225000000000001</v>
      </c>
      <c r="Z8" s="17">
        <v>529.5</v>
      </c>
      <c r="AC8" s="15">
        <v>4.1548449999999999</v>
      </c>
      <c r="AD8" s="15">
        <v>900</v>
      </c>
      <c r="AH8" s="14"/>
      <c r="AI8" s="13"/>
    </row>
    <row r="9" spans="1: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>
        <f>0.001</f>
        <v>1E-3</v>
      </c>
      <c r="T9"/>
      <c r="U9"/>
      <c r="V9"/>
      <c r="W9"/>
      <c r="X9"/>
      <c r="Y9" s="17">
        <v>1.6223000000000001</v>
      </c>
      <c r="Z9" s="17">
        <v>531.6</v>
      </c>
      <c r="AC9" s="15">
        <v>4.7245030000000003</v>
      </c>
      <c r="AD9" s="15">
        <v>1000</v>
      </c>
      <c r="AH9" s="14"/>
      <c r="AI9" s="13"/>
    </row>
    <row r="10" spans="1:35" ht="20">
      <c r="A10" s="16" t="s">
        <v>19</v>
      </c>
      <c r="B10"/>
      <c r="C10"/>
      <c r="D10"/>
      <c r="E10"/>
      <c r="F10"/>
      <c r="G10"/>
      <c r="H10"/>
      <c r="I10"/>
      <c r="J10"/>
      <c r="K10" s="15" t="s">
        <v>20</v>
      </c>
      <c r="L10"/>
      <c r="M10"/>
      <c r="N10"/>
      <c r="O10"/>
      <c r="P10"/>
      <c r="Q10"/>
      <c r="R10"/>
      <c r="S10"/>
      <c r="T10"/>
      <c r="U10"/>
      <c r="V10"/>
      <c r="W10" s="15" t="s">
        <v>21</v>
      </c>
      <c r="X10" t="s">
        <v>22</v>
      </c>
      <c r="Y10" s="17">
        <v>1.6221000000000001</v>
      </c>
      <c r="Z10" s="17">
        <v>533.79999999999995</v>
      </c>
      <c r="AC10" s="15">
        <v>5.3093360000000001</v>
      </c>
      <c r="AD10" s="15">
        <v>1100</v>
      </c>
      <c r="AH10" s="14">
        <v>577.53852058230405</v>
      </c>
      <c r="AI10" s="13">
        <v>8.7233333333333292</v>
      </c>
    </row>
    <row r="11" spans="1:35">
      <c r="A11" s="26" t="s">
        <v>23</v>
      </c>
      <c r="B11" s="27">
        <v>6.6260695699999996E-34</v>
      </c>
      <c r="C11" s="26" t="s">
        <v>24</v>
      </c>
      <c r="D11" s="28">
        <v>2998792458</v>
      </c>
      <c r="E11" s="26" t="s">
        <v>25</v>
      </c>
      <c r="F11" s="27">
        <v>1.3806488E-23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5">
        <f ca="1">SUM(V20:V67)</f>
        <v>17.179105849357605</v>
      </c>
      <c r="X11">
        <f ca="1">V20+V23+V26+V29+V32</f>
        <v>0.50180692050893771</v>
      </c>
      <c r="Y11" s="17">
        <v>1.6217999999999999</v>
      </c>
      <c r="Z11" s="17">
        <v>535.9</v>
      </c>
      <c r="AC11" s="15">
        <v>5.9096789999999997</v>
      </c>
      <c r="AD11" s="15">
        <v>1200</v>
      </c>
      <c r="AH11" s="14"/>
      <c r="AI11" s="13"/>
    </row>
    <row r="12" spans="1:35">
      <c r="A12" s="21" t="s">
        <v>26</v>
      </c>
      <c r="B12" s="21" t="s">
        <v>16</v>
      </c>
      <c r="C12" s="21" t="s">
        <v>27</v>
      </c>
      <c r="D12" s="21" t="s">
        <v>28</v>
      </c>
      <c r="E12" s="21" t="s">
        <v>29</v>
      </c>
      <c r="F12" s="21" t="s">
        <v>3</v>
      </c>
      <c r="G12" s="21" t="s">
        <v>30</v>
      </c>
      <c r="H12" s="21" t="s">
        <v>31</v>
      </c>
      <c r="I12" s="21" t="s">
        <v>32</v>
      </c>
      <c r="J12" s="21" t="s">
        <v>33</v>
      </c>
      <c r="K12" s="21" t="s">
        <v>34</v>
      </c>
      <c r="L12" s="21" t="s">
        <v>35</v>
      </c>
      <c r="M12" s="21" t="s">
        <v>36</v>
      </c>
      <c r="N12" s="21" t="s">
        <v>37</v>
      </c>
      <c r="O12" s="21" t="s">
        <v>38</v>
      </c>
      <c r="P12" s="21" t="s">
        <v>39</v>
      </c>
      <c r="Q12" s="21" t="s">
        <v>26</v>
      </c>
      <c r="R12" s="21"/>
      <c r="S12" s="21" t="s">
        <v>40</v>
      </c>
      <c r="T12" s="15" t="s">
        <v>41</v>
      </c>
      <c r="U12" s="15" t="s">
        <v>42</v>
      </c>
      <c r="V12"/>
      <c r="W12"/>
      <c r="X12"/>
      <c r="Y12" s="17">
        <v>1.6215999999999999</v>
      </c>
      <c r="Z12" s="17">
        <v>538.1</v>
      </c>
      <c r="AC12" s="15">
        <v>6.5258729999999998</v>
      </c>
      <c r="AD12" s="15">
        <v>1300</v>
      </c>
      <c r="AH12" s="14"/>
      <c r="AI12" s="13"/>
    </row>
    <row r="13" spans="1:35">
      <c r="A13" s="12">
        <v>12.02</v>
      </c>
      <c r="B13" s="11"/>
      <c r="C13" s="11"/>
      <c r="D13" s="11"/>
      <c r="E13" s="11"/>
      <c r="F13" s="11">
        <v>43.3</v>
      </c>
      <c r="G13" s="13">
        <f>F13*PI()/180</f>
        <v>0.75572756611354464</v>
      </c>
      <c r="H13" s="13"/>
      <c r="I13" s="13">
        <v>221</v>
      </c>
      <c r="J13" s="13">
        <v>25</v>
      </c>
      <c r="K13" s="11">
        <f>$B$3-(I13+J13/60)*PI()/180</f>
        <v>0.91775229834035166</v>
      </c>
      <c r="L13" s="10"/>
      <c r="M13" s="13"/>
      <c r="N13" s="9">
        <f>SQRT(SIN($G$13)*SIN($G$13) + (SIN(K13-$G$13+$B$2)  + COS($B$2)*SIN($G$13) )* (SIN(K13-$G$13+$B$2)  + COS($B$2)*SIN($G$13) )/(SIN($B$2)*SIN($B$2))   )</f>
        <v>1.6275478721465466</v>
      </c>
      <c r="O13" s="14" t="e">
        <f ca="1">FORECAST(N13,OFFSET($Z$1:$Z$200,MATCH(N13,$Y$1:$Y$200,-1)-1,0,2),OFFSET($Y$1:$Y$200,MATCH(N13,$Y$1:$Y$200,-1)-1,0,2))</f>
        <v>#N/A</v>
      </c>
      <c r="P13" s="13"/>
      <c r="Q13" s="15">
        <f>0.05*(0.001)</f>
        <v>5.0000000000000002E-5</v>
      </c>
      <c r="R13" s="13">
        <f>AVERAGE(Q13:Q15)</f>
        <v>5.2333333333333343E-5</v>
      </c>
      <c r="S13" s="14">
        <f t="shared" ref="S13:S44" si="0">MAX(ABS(Q13-R13),ABS(Q14-R13),ABS(Q15-R13))</f>
        <v>1.466666666666666E-5</v>
      </c>
      <c r="T13" s="23"/>
      <c r="U13" s="23"/>
      <c r="V13"/>
      <c r="W13" s="15" t="s">
        <v>43</v>
      </c>
      <c r="X13" s="29" t="s">
        <v>44</v>
      </c>
      <c r="Y13" s="17">
        <v>1.6213</v>
      </c>
      <c r="Z13" s="17">
        <v>540.29999999999995</v>
      </c>
      <c r="AC13" s="15">
        <v>7.1582540000000003</v>
      </c>
      <c r="AD13" s="15">
        <v>1400</v>
      </c>
      <c r="AH13" s="14">
        <v>616.72366095220798</v>
      </c>
      <c r="AI13" s="13">
        <v>7.7933333333333303</v>
      </c>
    </row>
    <row r="14" spans="1:35">
      <c r="A14" s="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9"/>
      <c r="O14" s="14"/>
      <c r="P14" s="13"/>
      <c r="Q14" s="15">
        <f>0.04*(0.001)</f>
        <v>4.0000000000000003E-5</v>
      </c>
      <c r="R14" s="13"/>
      <c r="S14" s="14">
        <f t="shared" si="0"/>
        <v>6.7000000000000002E-5</v>
      </c>
      <c r="T14" s="23"/>
      <c r="U14" s="23"/>
      <c r="V14"/>
      <c r="W14" s="15">
        <f ca="1">SUM(W20:W67)</f>
        <v>0.12579552143850095</v>
      </c>
      <c r="X14" s="29">
        <f ca="1">W20+W23+W26+W29+W32</f>
        <v>4.9773255020174149E-3</v>
      </c>
      <c r="Y14" s="17">
        <v>1.6211</v>
      </c>
      <c r="Z14" s="17">
        <v>542.5</v>
      </c>
      <c r="AC14" s="15">
        <v>7.8071609999999998</v>
      </c>
      <c r="AD14" s="15">
        <v>1500</v>
      </c>
      <c r="AH14" s="14"/>
      <c r="AI14" s="13"/>
    </row>
    <row r="15" spans="1:35">
      <c r="A15" s="12"/>
      <c r="B15" s="11"/>
      <c r="C15" s="11"/>
      <c r="D15" s="11"/>
      <c r="E15" s="11"/>
      <c r="F15" s="11"/>
      <c r="G15" s="11"/>
      <c r="H15" s="13"/>
      <c r="I15" s="13"/>
      <c r="J15" s="13"/>
      <c r="K15" s="11"/>
      <c r="L15" s="10"/>
      <c r="M15" s="10"/>
      <c r="N15" s="9"/>
      <c r="O15" s="14"/>
      <c r="P15" s="13"/>
      <c r="Q15" s="15">
        <f>0.067*(0.001)</f>
        <v>6.7000000000000002E-5</v>
      </c>
      <c r="R15" s="13"/>
      <c r="S15" s="14">
        <f t="shared" si="0"/>
        <v>7.0000000000000007E-5</v>
      </c>
      <c r="T15"/>
      <c r="U15"/>
      <c r="V15"/>
      <c r="W15"/>
      <c r="X15" s="29"/>
      <c r="Y15" s="17">
        <v>1.6209</v>
      </c>
      <c r="Z15" s="17">
        <v>544.70000000000005</v>
      </c>
      <c r="AC15" s="15">
        <v>8.4729320000000001</v>
      </c>
      <c r="AD15" s="15">
        <v>1600</v>
      </c>
      <c r="AH15" s="14"/>
      <c r="AI15" s="13"/>
    </row>
    <row r="16" spans="1:35">
      <c r="A16" s="12"/>
      <c r="B16" s="11"/>
      <c r="C16" s="11"/>
      <c r="D16" s="11"/>
      <c r="E16" s="11"/>
      <c r="F16" s="11"/>
      <c r="G16" s="11"/>
      <c r="H16" s="13"/>
      <c r="I16" s="13">
        <v>221</v>
      </c>
      <c r="J16" s="13">
        <v>46</v>
      </c>
      <c r="K16" s="11">
        <f>$B$3-(I16+J16/60)*PI()/180</f>
        <v>0.911643645958371</v>
      </c>
      <c r="L16" s="10"/>
      <c r="M16" s="10"/>
      <c r="N16" s="9">
        <f>SQRT(SIN($G$13)*SIN($G$13) + (SIN(K16-$G$13+$B$2)  + COS($B$2)*SIN($G$13) )* (SIN(K16-$G$13+$B$2)  + COS($B$2)*SIN($G$13) )/(SIN($B$2)*SIN($B$2))   )</f>
        <v>1.6252670903532294</v>
      </c>
      <c r="O16" s="14" t="e">
        <f ca="1">FORECAST(N16,OFFSET($Z$1:$Z$200,MATCH(N16,$Y$1:$Y$200,-1)-1,0,2),OFFSET($Y$1:$Y$200,MATCH(N16,$Y$1:$Y$200,-1)-1,0,2))</f>
        <v>#N/A</v>
      </c>
      <c r="P16" s="13" t="e">
        <f ca="1">(6000000000000*O16^6)-(60000000000000*O16^5) + 200000000000000*O16^4 - 500000000000000*O16^3 + 600000000000000*O16^2 - 400000000000000*O16 + 100000000000000</f>
        <v>#N/A</v>
      </c>
      <c r="Q16" s="15">
        <f>0.05*(0.001)</f>
        <v>5.0000000000000002E-5</v>
      </c>
      <c r="R16" s="13">
        <f>AVERAGE(Q16:Q18)</f>
        <v>6.0000000000000002E-5</v>
      </c>
      <c r="S16" s="14">
        <f t="shared" si="0"/>
        <v>1.0000000000000006E-5</v>
      </c>
      <c r="T16" s="23"/>
      <c r="U16" s="23"/>
      <c r="V16"/>
      <c r="W16" s="15" t="s">
        <v>45</v>
      </c>
      <c r="X16" s="29" t="s">
        <v>46</v>
      </c>
      <c r="Y16" s="17">
        <v>1.6206</v>
      </c>
      <c r="Z16" s="17">
        <v>546.9</v>
      </c>
      <c r="AC16" s="15">
        <v>9.1559039999999996</v>
      </c>
      <c r="AD16" s="15">
        <v>1700</v>
      </c>
      <c r="AH16" s="14">
        <v>669.48700842642597</v>
      </c>
      <c r="AI16" s="13">
        <v>5.5566666666666702</v>
      </c>
    </row>
    <row r="17" spans="1:3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9"/>
      <c r="O17" s="14"/>
      <c r="P17" s="13"/>
      <c r="Q17" s="15">
        <f>0.07*(0.001)</f>
        <v>7.0000000000000007E-5</v>
      </c>
      <c r="R17" s="13"/>
      <c r="S17" s="14">
        <f t="shared" si="0"/>
        <v>1E-4</v>
      </c>
      <c r="T17" s="23"/>
      <c r="U17" s="23"/>
      <c r="V17"/>
      <c r="W17" s="15">
        <f ca="1">X11/W11*100</f>
        <v>2.9210304943065606</v>
      </c>
      <c r="X17" s="29">
        <f ca="1">(1/W11*X41+(X11/(W11*W11))*W14)*100</f>
        <v>2.1389504051678946E-2</v>
      </c>
      <c r="Y17" s="17">
        <v>1.6204000000000001</v>
      </c>
      <c r="Z17" s="17">
        <v>549.20000000000005</v>
      </c>
      <c r="AC17" s="15">
        <v>9.8564150000000001</v>
      </c>
      <c r="AD17" s="15">
        <v>1800</v>
      </c>
      <c r="AH17" s="14"/>
      <c r="AI17" s="13"/>
    </row>
    <row r="18" spans="1:35">
      <c r="A18" s="12"/>
      <c r="B18" s="11"/>
      <c r="C18" s="11"/>
      <c r="D18" s="11"/>
      <c r="E18" s="11"/>
      <c r="F18" s="11"/>
      <c r="G18" s="11"/>
      <c r="H18" s="13"/>
      <c r="I18" s="13"/>
      <c r="J18" s="13"/>
      <c r="K18" s="11"/>
      <c r="L18" s="10"/>
      <c r="M18" s="10"/>
      <c r="N18" s="9"/>
      <c r="O18" s="14"/>
      <c r="P18" s="13"/>
      <c r="Q18" s="15">
        <f>0.06*(0.001)</f>
        <v>6.0000000000000002E-5</v>
      </c>
      <c r="R18" s="13"/>
      <c r="S18" s="14">
        <f t="shared" si="0"/>
        <v>1E-4</v>
      </c>
      <c r="T18"/>
      <c r="U18"/>
      <c r="V18"/>
      <c r="W18"/>
      <c r="X18" s="29"/>
      <c r="Y18" s="17">
        <v>1.6202000000000001</v>
      </c>
      <c r="Z18" s="17">
        <v>551.4</v>
      </c>
      <c r="AC18" s="15">
        <v>10.5748</v>
      </c>
      <c r="AD18" s="15">
        <v>1900</v>
      </c>
      <c r="AH18" s="14"/>
      <c r="AI18" s="13"/>
    </row>
    <row r="19" spans="1:35">
      <c r="A19" s="12"/>
      <c r="B19" s="11"/>
      <c r="C19" s="11"/>
      <c r="D19" s="11"/>
      <c r="E19" s="11"/>
      <c r="F19" s="11"/>
      <c r="G19" s="11"/>
      <c r="H19" s="13"/>
      <c r="I19" s="13">
        <v>222</v>
      </c>
      <c r="J19" s="13">
        <v>10</v>
      </c>
      <c r="K19" s="11">
        <f>$B$3-(I19+J19/60)*PI()/180</f>
        <v>0.90466232895039456</v>
      </c>
      <c r="L19" s="10"/>
      <c r="M19" s="10"/>
      <c r="N19" s="9">
        <f>SQRT(SIN($G$13)*SIN($G$13) + (SIN(K19-$G$13+$B$2)  + COS($B$2)*SIN($G$13) )* (SIN(K19-$G$13+$B$2)  + COS($B$2)*SIN($G$13) )/(SIN($B$2)*SIN($B$2))   )</f>
        <v>1.6226167156273128</v>
      </c>
      <c r="O19" s="14">
        <f ca="1">FORECAST(N19,OFFSET($Z$1:$Z$200,MATCH(N19,$Y$1:$Y$200,-1)-1,0,2),OFFSET($Y$1:$Y$200,MATCH(N19,$Y$1:$Y$200,-1)-1,0,2))</f>
        <v>528.68299060881145</v>
      </c>
      <c r="P19" s="13">
        <f>0.3*0.0002* ( 6*5*5967724283888*N19^4 - 5*4*57523186975072.9*N19^3 + 4*3*231027637870601*N19^2 - 3*2*494859333352060*N19 + 2*596238855356041)/8</f>
        <v>45.345423750000002</v>
      </c>
      <c r="Q19" s="15">
        <f>0.1*(0.001)</f>
        <v>1E-4</v>
      </c>
      <c r="R19" s="13">
        <f>AVERAGE(Q19:Q21)</f>
        <v>7.6666666666666669E-5</v>
      </c>
      <c r="S19" s="14">
        <f t="shared" si="0"/>
        <v>2.3333333333333336E-5</v>
      </c>
      <c r="T19" s="23"/>
      <c r="U19" s="23"/>
      <c r="V19" s="15" t="s">
        <v>47</v>
      </c>
      <c r="W19" s="15" t="s">
        <v>48</v>
      </c>
      <c r="X19" s="29"/>
      <c r="Y19" s="17">
        <v>1.6198999999999999</v>
      </c>
      <c r="Z19" s="17">
        <v>553.70000000000005</v>
      </c>
      <c r="AC19" s="15">
        <v>11.31141</v>
      </c>
      <c r="AD19" s="15">
        <v>2000</v>
      </c>
      <c r="AH19" s="14">
        <v>743.20479239572899</v>
      </c>
      <c r="AI19" s="13">
        <v>3.6733333333333298</v>
      </c>
    </row>
    <row r="20" spans="1:3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9"/>
      <c r="O20" s="14"/>
      <c r="P20" s="13"/>
      <c r="Q20" s="15">
        <f>0.06*(0.001)</f>
        <v>6.0000000000000002E-5</v>
      </c>
      <c r="R20" s="13"/>
      <c r="S20" s="14">
        <f t="shared" si="0"/>
        <v>2.5000000000000001E-4</v>
      </c>
      <c r="T20" s="23"/>
      <c r="U20" s="23"/>
      <c r="V20" s="15">
        <f t="shared" ref="V20:V65" ca="1" si="1">(O22-O19)*(R22+R19)/2</f>
        <v>2.5158165639331399E-3</v>
      </c>
      <c r="W20" s="15">
        <f t="shared" ref="W20:W51" ca="1" si="2">(O22-O19)*(S22+S19)/2</f>
        <v>3.5940236627616276E-4</v>
      </c>
      <c r="X20"/>
      <c r="Y20" s="17">
        <v>1.6196999999999999</v>
      </c>
      <c r="Z20" s="17">
        <v>556.1</v>
      </c>
      <c r="AC20" s="15">
        <v>12.06657</v>
      </c>
      <c r="AD20" s="15">
        <v>2100</v>
      </c>
      <c r="AH20" s="14"/>
      <c r="AI20" s="13"/>
    </row>
    <row r="21" spans="1:35">
      <c r="A21" s="12"/>
      <c r="B21" s="11"/>
      <c r="C21" s="11"/>
      <c r="D21" s="11"/>
      <c r="E21" s="11"/>
      <c r="F21" s="11"/>
      <c r="G21" s="11"/>
      <c r="H21" s="13"/>
      <c r="I21" s="13"/>
      <c r="J21" s="13"/>
      <c r="K21" s="11"/>
      <c r="L21" s="10"/>
      <c r="M21" s="10"/>
      <c r="N21" s="9"/>
      <c r="O21" s="14"/>
      <c r="P21" s="13"/>
      <c r="Q21" s="15">
        <f>0.07*(0.001)</f>
        <v>7.0000000000000007E-5</v>
      </c>
      <c r="R21" s="13"/>
      <c r="S21" s="14">
        <f t="shared" si="0"/>
        <v>2.7E-4</v>
      </c>
      <c r="T21"/>
      <c r="U21"/>
      <c r="V21" s="15">
        <f t="shared" si="1"/>
        <v>0</v>
      </c>
      <c r="W21" s="15">
        <f t="shared" si="2"/>
        <v>0</v>
      </c>
      <c r="X21"/>
      <c r="Y21" s="17">
        <v>1.6194999999999999</v>
      </c>
      <c r="Z21" s="17">
        <v>558.4</v>
      </c>
      <c r="AC21" s="15">
        <v>12.84061</v>
      </c>
      <c r="AD21" s="15">
        <v>2200</v>
      </c>
      <c r="AH21" s="14"/>
      <c r="AI21" s="13"/>
    </row>
    <row r="22" spans="1:35">
      <c r="A22" s="12"/>
      <c r="B22" s="11"/>
      <c r="C22" s="11"/>
      <c r="D22" s="11"/>
      <c r="E22" s="11"/>
      <c r="F22" s="11"/>
      <c r="G22" s="11"/>
      <c r="H22" s="13"/>
      <c r="I22" s="13">
        <v>222</v>
      </c>
      <c r="J22" s="13">
        <v>24</v>
      </c>
      <c r="K22" s="11">
        <f>$B$3-(I22+J22/60)*PI()/180</f>
        <v>0.90058989402907441</v>
      </c>
      <c r="L22" s="10"/>
      <c r="M22" s="10"/>
      <c r="N22" s="9">
        <f>SQRT(SIN($G$13)*SIN($G$13) + (SIN(K22-$G$13+$B$2)  + COS($B$2)*SIN($G$13) )* (SIN(K22-$G$13+$B$2)  + COS($B$2)*SIN($G$13) )/(SIN($B$2)*SIN($B$2))   )</f>
        <v>1.6210491740672857</v>
      </c>
      <c r="O22" s="14">
        <f ca="1">FORECAST(N22,OFFSET($Z$1:$Z$200,MATCH(N22,$Y$1:$Y$200,-1)-1,0,2),OFFSET($Y$1:$Y$200,MATCH(N22,$Y$1:$Y$200,-1)-1,0,2))</f>
        <v>543.05908525985797</v>
      </c>
      <c r="P22" s="13">
        <f t="shared" ref="P22:P39" si="3">0.3*0.0002* ( 6*5*5967724283888*N22^4 - 5*4*57523186975072.9*N22^3 + 4*3*231027637870601*N22^2 - 3*2*494859333352060*N22 + 2*596238855356041)/8</f>
        <v>23.561865000000001</v>
      </c>
      <c r="Q22" s="15">
        <f>0.25*(0.001)</f>
        <v>2.5000000000000001E-4</v>
      </c>
      <c r="R22" s="13">
        <f>AVERAGE(Q22:Q24)</f>
        <v>2.7333333333333333E-4</v>
      </c>
      <c r="S22" s="14">
        <f t="shared" si="0"/>
        <v>2.6666666666666646E-5</v>
      </c>
      <c r="T22" s="23"/>
      <c r="U22" s="23"/>
      <c r="V22" s="15">
        <f t="shared" si="1"/>
        <v>0</v>
      </c>
      <c r="W22" s="15">
        <f t="shared" si="2"/>
        <v>0</v>
      </c>
      <c r="X22"/>
      <c r="Y22" s="17">
        <v>1.6192</v>
      </c>
      <c r="Z22" s="17">
        <v>560.79999999999995</v>
      </c>
      <c r="AC22" s="15">
        <v>13.633889999999999</v>
      </c>
      <c r="AD22" s="15">
        <v>2300</v>
      </c>
      <c r="AH22" s="14">
        <v>851.59860059803805</v>
      </c>
      <c r="AI22" s="13">
        <v>2.2366666666666699</v>
      </c>
    </row>
    <row r="23" spans="1:3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9"/>
      <c r="O23" s="14"/>
      <c r="P23" s="13"/>
      <c r="Q23" s="15">
        <f>0.27*(0.001)</f>
        <v>2.7E-4</v>
      </c>
      <c r="R23" s="13"/>
      <c r="S23" s="14">
        <f t="shared" si="0"/>
        <v>7.1000000000000002E-4</v>
      </c>
      <c r="T23" s="23"/>
      <c r="U23" s="23"/>
      <c r="V23" s="15">
        <f t="shared" ca="1" si="1"/>
        <v>8.8332149403200291E-3</v>
      </c>
      <c r="W23" s="15">
        <f t="shared" ca="1" si="2"/>
        <v>4.9396267758368461E-4</v>
      </c>
      <c r="X23"/>
      <c r="Y23" s="17">
        <v>1.619</v>
      </c>
      <c r="Z23" s="17">
        <v>563.20000000000005</v>
      </c>
      <c r="AC23" s="15">
        <v>14.44674</v>
      </c>
      <c r="AD23" s="15">
        <v>2400</v>
      </c>
      <c r="AH23" s="14"/>
      <c r="AI23" s="13"/>
    </row>
    <row r="24" spans="1:35">
      <c r="A24" s="12"/>
      <c r="B24" s="11"/>
      <c r="C24" s="11"/>
      <c r="D24" s="11"/>
      <c r="E24" s="11"/>
      <c r="F24" s="11"/>
      <c r="G24" s="11"/>
      <c r="H24" s="13"/>
      <c r="I24" s="13"/>
      <c r="J24" s="13"/>
      <c r="K24" s="11"/>
      <c r="L24" s="10"/>
      <c r="M24" s="10"/>
      <c r="N24" s="9"/>
      <c r="O24" s="14"/>
      <c r="P24" s="13"/>
      <c r="Q24" s="15">
        <f>0.3*(0.001)</f>
        <v>2.9999999999999997E-4</v>
      </c>
      <c r="R24" s="13"/>
      <c r="S24" s="14">
        <f t="shared" si="0"/>
        <v>7.5000000000000002E-4</v>
      </c>
      <c r="T24"/>
      <c r="U24"/>
      <c r="V24" s="15">
        <f t="shared" si="1"/>
        <v>0</v>
      </c>
      <c r="W24" s="15">
        <f t="shared" si="2"/>
        <v>0</v>
      </c>
      <c r="X24"/>
      <c r="Y24" s="17">
        <v>1.6187</v>
      </c>
      <c r="Z24" s="17">
        <v>565.6</v>
      </c>
      <c r="AC24" s="15">
        <v>15.279489999999999</v>
      </c>
      <c r="AD24" s="15">
        <v>2500</v>
      </c>
      <c r="AH24" s="14"/>
      <c r="AI24" s="13"/>
    </row>
    <row r="25" spans="1:35">
      <c r="A25" s="12"/>
      <c r="B25" s="11"/>
      <c r="C25" s="11"/>
      <c r="D25" s="11"/>
      <c r="E25" s="11"/>
      <c r="F25" s="11"/>
      <c r="G25" s="11"/>
      <c r="H25" s="13"/>
      <c r="I25" s="13">
        <v>222</v>
      </c>
      <c r="J25" s="13">
        <v>40</v>
      </c>
      <c r="K25" s="11">
        <f>$B$3-(I25+J25/60)*PI()/180</f>
        <v>0.89593568269042256</v>
      </c>
      <c r="L25" s="10"/>
      <c r="M25" s="10"/>
      <c r="N25" s="9">
        <f>SQRT(SIN($G$13)*SIN($G$13) + (SIN(K25-$G$13+$B$2)  + COS($B$2)*SIN($G$13) )* (SIN(K25-$G$13+$B$2)  + COS($B$2)*SIN($G$13) )/(SIN($B$2)*SIN($B$2))   )</f>
        <v>1.6192383672355306</v>
      </c>
      <c r="O25" s="14">
        <f ca="1">FORECAST(N25,OFFSET($Z$1:$Z$200,MATCH(N25,$Y$1:$Y$200,-1)-1,0,2),OFFSET($Y$1:$Y$200,MATCH(N25,$Y$1:$Y$200,-1)-1,0,2))</f>
        <v>560.49306211575276</v>
      </c>
      <c r="P25" s="13">
        <f t="shared" ref="P25:P39" si="4">0.3*0.0002* ( 6*5*5967724283888*N25^4 - 5*4*57523186975072.9*N25^3 + 4*3*231027637870601*N25^2 - 3*2*494859333352060*N25 + 2*596238855356041)/8</f>
        <v>8.1553424999999997</v>
      </c>
      <c r="Q25" s="15">
        <f>0.71*(0.001)</f>
        <v>7.1000000000000002E-4</v>
      </c>
      <c r="R25" s="13">
        <f>AVERAGE(Q25:Q27)</f>
        <v>7.3999999999999988E-4</v>
      </c>
      <c r="S25" s="14">
        <f t="shared" si="0"/>
        <v>2.9999999999999862E-5</v>
      </c>
      <c r="T25" s="23"/>
      <c r="U25" s="23"/>
      <c r="V25" s="15">
        <f t="shared" si="1"/>
        <v>0</v>
      </c>
      <c r="W25" s="15">
        <f t="shared" si="2"/>
        <v>0</v>
      </c>
      <c r="X25"/>
      <c r="Y25" s="17">
        <v>1.6185</v>
      </c>
      <c r="Z25" s="17">
        <v>568.1</v>
      </c>
      <c r="AC25" s="15">
        <v>16.132480000000001</v>
      </c>
      <c r="AD25" s="15">
        <v>2600</v>
      </c>
      <c r="AH25" s="14">
        <v>999.50498970082106</v>
      </c>
      <c r="AI25" s="13">
        <v>1.21333333333333</v>
      </c>
    </row>
    <row r="26" spans="1: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9"/>
      <c r="O26" s="14"/>
      <c r="P26" s="13"/>
      <c r="Q26" s="15">
        <f>0.75*(0.001)</f>
        <v>7.5000000000000002E-4</v>
      </c>
      <c r="R26" s="13"/>
      <c r="S26" s="14">
        <f t="shared" si="0"/>
        <v>1.4499999999999999E-3</v>
      </c>
      <c r="T26" s="23"/>
      <c r="U26" s="23"/>
      <c r="V26" s="15">
        <f t="shared" ca="1" si="1"/>
        <v>6.713229420951157E-2</v>
      </c>
      <c r="W26" s="15">
        <f t="shared" ca="1" si="2"/>
        <v>1.5257339593070718E-3</v>
      </c>
      <c r="X26"/>
      <c r="Y26" s="17">
        <v>1.6183000000000001</v>
      </c>
      <c r="Z26" s="17">
        <v>570.6</v>
      </c>
      <c r="AC26" s="15">
        <v>17.006049999999998</v>
      </c>
      <c r="AD26" s="15">
        <v>2700</v>
      </c>
      <c r="AH26" s="14"/>
      <c r="AI26" s="13"/>
    </row>
    <row r="27" spans="1:35">
      <c r="A27" s="12"/>
      <c r="B27" s="11"/>
      <c r="C27" s="11"/>
      <c r="D27" s="11"/>
      <c r="E27" s="11"/>
      <c r="F27" s="11"/>
      <c r="G27" s="11"/>
      <c r="H27" s="13"/>
      <c r="I27" s="13"/>
      <c r="J27" s="13"/>
      <c r="K27" s="11"/>
      <c r="L27" s="10"/>
      <c r="M27" s="10"/>
      <c r="N27" s="9"/>
      <c r="O27" s="14"/>
      <c r="P27" s="13"/>
      <c r="Q27" s="15">
        <f>0.76*(0.001)</f>
        <v>7.6000000000000004E-4</v>
      </c>
      <c r="R27" s="13"/>
      <c r="S27" s="14">
        <f t="shared" si="0"/>
        <v>1.48E-3</v>
      </c>
      <c r="T27"/>
      <c r="U27"/>
      <c r="V27" s="15">
        <f t="shared" si="1"/>
        <v>0</v>
      </c>
      <c r="W27" s="15">
        <f t="shared" si="2"/>
        <v>0</v>
      </c>
      <c r="X27"/>
      <c r="Y27" s="17">
        <v>1.6180000000000001</v>
      </c>
      <c r="Z27" s="17">
        <v>573.1</v>
      </c>
      <c r="AC27" s="15">
        <v>17.900539999999999</v>
      </c>
      <c r="AD27" s="15">
        <v>2800</v>
      </c>
      <c r="AH27" s="14"/>
      <c r="AI27" s="13"/>
    </row>
    <row r="28" spans="1:35">
      <c r="A28" s="12"/>
      <c r="B28" s="11"/>
      <c r="C28" s="11"/>
      <c r="D28" s="11"/>
      <c r="E28" s="11"/>
      <c r="F28" s="11"/>
      <c r="G28" s="11"/>
      <c r="H28" s="13"/>
      <c r="I28" s="13">
        <v>223</v>
      </c>
      <c r="J28" s="13">
        <v>25</v>
      </c>
      <c r="K28" s="11">
        <f>$B$3-(I28+J28/60)*PI()/180</f>
        <v>0.88284571330046502</v>
      </c>
      <c r="L28" s="10"/>
      <c r="M28" s="10"/>
      <c r="N28" s="9">
        <f>SQRT(SIN($G$13)*SIN($G$13) + (SIN(K28-$G$13+$B$2)  + COS($B$2)*SIN($G$13) )* (SIN(K28-$G$13+$B$2)  + COS($B$2)*SIN($G$13) )/(SIN($B$2)*SIN($B$2))   )</f>
        <v>1.6140353980792468</v>
      </c>
      <c r="O28" s="14">
        <f ca="1">FORECAST(N28,OFFSET($Z$1:$Z$200,MATCH(N28,$Y$1:$Y$200,-1)-1,0,2),OFFSET($Y$1:$Y$200,MATCH(N28,$Y$1:$Y$200,-1)-1,0,2))</f>
        <v>621.522420488036</v>
      </c>
      <c r="P28" s="13">
        <f t="shared" ref="P28:P39" si="5">0.3*0.0002* ( 6*5*5967724283888*N28^4 - 5*4*57523186975072.9*N28^3 + 4*3*231027637870601*N28^2 - 3*2*494859333352060*N28 + 2*596238855356041)/8</f>
        <v>0.68865375000000006</v>
      </c>
      <c r="Q28" s="15">
        <f>1.45*(0.001)</f>
        <v>1.4499999999999999E-3</v>
      </c>
      <c r="R28" s="13">
        <f>AVERAGE(Q28:Q30)</f>
        <v>1.4600000000000001E-3</v>
      </c>
      <c r="S28" s="14">
        <f t="shared" si="0"/>
        <v>1.9999999999999836E-5</v>
      </c>
      <c r="T28" s="23"/>
      <c r="U28" s="23"/>
      <c r="V28" s="15">
        <f t="shared" si="1"/>
        <v>0</v>
      </c>
      <c r="W28" s="15">
        <f t="shared" si="2"/>
        <v>0</v>
      </c>
      <c r="X28"/>
      <c r="Y28" s="17">
        <v>1.6177999999999999</v>
      </c>
      <c r="Z28" s="17">
        <v>575.70000000000005</v>
      </c>
      <c r="AC28" s="15">
        <v>18.816289999999999</v>
      </c>
      <c r="AD28" s="15">
        <v>2900</v>
      </c>
      <c r="AH28" s="14">
        <v>1444.51455441643</v>
      </c>
      <c r="AI28" s="13">
        <v>0.31333333333333302</v>
      </c>
    </row>
    <row r="29" spans="1:35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9"/>
      <c r="O29" s="14"/>
      <c r="P29" s="13"/>
      <c r="Q29" s="15">
        <f>1.48*(0.001)</f>
        <v>1.48E-3</v>
      </c>
      <c r="R29" s="13"/>
      <c r="S29" s="14">
        <f t="shared" si="0"/>
        <v>2.2200000000000002E-3</v>
      </c>
      <c r="T29" s="23"/>
      <c r="U29" s="23"/>
      <c r="V29" s="15">
        <f t="shared" ca="1" si="1"/>
        <v>7.0180298792092879E-2</v>
      </c>
      <c r="W29" s="15">
        <f t="shared" ca="1" si="2"/>
        <v>8.2119161502898215E-4</v>
      </c>
      <c r="X29"/>
      <c r="Y29" s="17">
        <v>1.6175999999999999</v>
      </c>
      <c r="Z29" s="17">
        <v>578.29999999999995</v>
      </c>
      <c r="AC29" s="15">
        <v>19.753630000000001</v>
      </c>
      <c r="AD29" s="15">
        <v>3000</v>
      </c>
      <c r="AH29" s="14"/>
      <c r="AI29" s="13"/>
    </row>
    <row r="30" spans="1:35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1"/>
      <c r="L30" s="10"/>
      <c r="M30" s="10"/>
      <c r="N30" s="9"/>
      <c r="O30" s="14"/>
      <c r="P30" s="13"/>
      <c r="Q30" s="15">
        <f>1.45*(0.001)</f>
        <v>1.4499999999999999E-3</v>
      </c>
      <c r="R30" s="13"/>
      <c r="S30" s="14">
        <f t="shared" si="0"/>
        <v>2.2599999999999999E-3</v>
      </c>
      <c r="T30"/>
      <c r="U30"/>
      <c r="V30" s="15">
        <f t="shared" si="1"/>
        <v>0</v>
      </c>
      <c r="W30" s="15">
        <f t="shared" si="2"/>
        <v>0</v>
      </c>
      <c r="X30"/>
      <c r="Y30" s="17">
        <v>1.6173</v>
      </c>
      <c r="Z30" s="17">
        <v>580.9</v>
      </c>
      <c r="AC30" s="15">
        <v>20.712910000000001</v>
      </c>
      <c r="AD30" s="15">
        <v>3100</v>
      </c>
      <c r="AH30" s="14"/>
      <c r="AI30" s="13"/>
    </row>
    <row r="31" spans="1:35">
      <c r="A31" s="12"/>
      <c r="B31" s="11"/>
      <c r="C31" s="11"/>
      <c r="D31" s="11"/>
      <c r="E31" s="11"/>
      <c r="F31" s="11"/>
      <c r="G31" s="11"/>
      <c r="H31" s="13"/>
      <c r="I31" s="13">
        <v>223</v>
      </c>
      <c r="J31" s="13">
        <v>46</v>
      </c>
      <c r="K31" s="11">
        <f>$B$3-(I31+J31/60)*PI()/180</f>
        <v>0.8767370609184848</v>
      </c>
      <c r="L31" s="10"/>
      <c r="M31" s="10"/>
      <c r="N31" s="9">
        <f>SQRT(SIN($G$13)*SIN($G$13) + (SIN(K31-$G$13+$B$2)  + COS($B$2)*SIN($G$13) )* (SIN(K31-$G$13+$B$2)  + COS($B$2)*SIN($G$13) )/(SIN($B$2)*SIN($B$2))   )</f>
        <v>1.6115520329268527</v>
      </c>
      <c r="O31" s="14">
        <f ca="1">FORECAST(N31,OFFSET($Z$1:$Z$200,MATCH(N31,$Y$1:$Y$200,-1)-1,0,2),OFFSET($Y$1:$Y$200,MATCH(N31,$Y$1:$Y$200,-1)-1,0,2))</f>
        <v>659.42357195091245</v>
      </c>
      <c r="P31" s="13">
        <f t="shared" ref="P31:P39" si="6">0.3*0.0002* ( 6*5*5967724283888*N31^4 - 5*4*57523186975072.9*N31^3 + 4*3*231027637870601*N31^2 - 3*2*494859333352060*N31 + 2*596238855356041)/8</f>
        <v>6.6758924999999998</v>
      </c>
      <c r="Q31" s="15">
        <f>2.22*(0.001)</f>
        <v>2.2200000000000002E-3</v>
      </c>
      <c r="R31" s="13">
        <f>AVERAGE(Q31:Q33)</f>
        <v>2.2433333333333333E-3</v>
      </c>
      <c r="S31" s="14">
        <f t="shared" si="0"/>
        <v>2.3333333333333105E-5</v>
      </c>
      <c r="T31" s="23"/>
      <c r="U31" s="23"/>
      <c r="V31" s="15">
        <f t="shared" si="1"/>
        <v>0</v>
      </c>
      <c r="W31" s="15">
        <f t="shared" si="2"/>
        <v>0</v>
      </c>
      <c r="X31"/>
      <c r="Y31" s="17">
        <v>1.6171</v>
      </c>
      <c r="Z31" s="17">
        <v>583.5</v>
      </c>
      <c r="AC31" s="15">
        <v>21.69445</v>
      </c>
      <c r="AD31" s="15">
        <v>3200</v>
      </c>
      <c r="AH31" s="14">
        <v>1990.6378781804201</v>
      </c>
      <c r="AI31" s="13">
        <v>2.66666666666667E-2</v>
      </c>
    </row>
    <row r="32" spans="1:35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9"/>
      <c r="O32" s="14"/>
      <c r="P32" s="13"/>
      <c r="Q32" s="15">
        <f>2.26*(0.001)</f>
        <v>2.2599999999999999E-3</v>
      </c>
      <c r="R32" s="13"/>
      <c r="S32" s="14">
        <f t="shared" si="0"/>
        <v>5.0499999999999998E-3</v>
      </c>
      <c r="T32" s="23"/>
      <c r="U32" s="23"/>
      <c r="V32" s="15">
        <f t="shared" ca="1" si="1"/>
        <v>0.35314529600308003</v>
      </c>
      <c r="W32" s="15">
        <f t="shared" ca="1" si="2"/>
        <v>1.7770348838215138E-3</v>
      </c>
      <c r="X32"/>
      <c r="Y32" s="17">
        <v>1.6169</v>
      </c>
      <c r="Z32" s="17">
        <v>586.20000000000005</v>
      </c>
      <c r="AC32" s="15">
        <v>22.698609999999999</v>
      </c>
      <c r="AD32" s="15">
        <v>3300</v>
      </c>
      <c r="AH32" s="14"/>
      <c r="AI32" s="13"/>
    </row>
    <row r="33" spans="1:35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1"/>
      <c r="L33" s="10"/>
      <c r="M33" s="10"/>
      <c r="N33" s="9"/>
      <c r="O33" s="14"/>
      <c r="P33" s="13"/>
      <c r="Q33" s="15">
        <f>2.25*(0.001)</f>
        <v>2.2500000000000003E-3</v>
      </c>
      <c r="R33" s="13"/>
      <c r="S33" s="14">
        <f t="shared" si="0"/>
        <v>5.0499999999999998E-3</v>
      </c>
      <c r="T33"/>
      <c r="U33"/>
      <c r="V33" s="15">
        <f t="shared" si="1"/>
        <v>0</v>
      </c>
      <c r="W33" s="15">
        <f t="shared" si="2"/>
        <v>0</v>
      </c>
      <c r="X33"/>
      <c r="Y33" s="17">
        <v>1.6166</v>
      </c>
      <c r="Z33" s="17">
        <v>589</v>
      </c>
      <c r="AC33" s="15">
        <v>23.725709999999999</v>
      </c>
      <c r="AD33" s="15">
        <v>3400</v>
      </c>
      <c r="AH33" s="14"/>
      <c r="AI33" s="13"/>
    </row>
    <row r="34" spans="1:35">
      <c r="A34" s="12"/>
      <c r="B34" s="11"/>
      <c r="C34" s="11"/>
      <c r="D34" s="11"/>
      <c r="E34" s="11"/>
      <c r="F34" s="11"/>
      <c r="G34" s="11"/>
      <c r="H34" s="13"/>
      <c r="I34" s="13">
        <f>I28+1</f>
        <v>224</v>
      </c>
      <c r="J34" s="13">
        <v>25</v>
      </c>
      <c r="K34" s="11">
        <f>$B$3-(I34+J34/60)*PI()/180</f>
        <v>0.86539242078052192</v>
      </c>
      <c r="L34" s="10"/>
      <c r="M34" s="10"/>
      <c r="N34" s="9">
        <f>SQRT(SIN($G$13)*SIN($G$13) + (SIN(K34-$G$13+$B$2)  + COS($B$2)*SIN($G$13) )* (SIN(K34-$G$13+$B$2)  + COS($B$2)*SIN($G$13) )/(SIN($B$2)*SIN($B$2))   )</f>
        <v>1.6068472720199267</v>
      </c>
      <c r="O34" s="14">
        <f ca="1">FORECAST(N34,OFFSET($Z$1:$Z$200,MATCH(N34,$Y$1:$Y$200,-1)-1,0,2),OFFSET($Y$1:$Y$200,MATCH(N34,$Y$1:$Y$200,-1)-1,0,2))</f>
        <v>756.3527474320872</v>
      </c>
      <c r="P34" s="13">
        <f t="shared" ref="P34:P39" si="7">0.3*0.0002* ( 6*5*5967724283888*N34^4 - 5*4*57523186975072.9*N34^3 + 4*3*231027637870601*N34^2 - 3*2*494859333352060*N34 + 2*596238855356041)/8</f>
        <v>20.513437500000002</v>
      </c>
      <c r="Q34" s="15">
        <f>5.05*(0.001)</f>
        <v>5.0499999999999998E-3</v>
      </c>
      <c r="R34" s="13">
        <f>AVERAGE(Q34:Q36)</f>
        <v>5.0433333333333337E-3</v>
      </c>
      <c r="S34" s="14">
        <f t="shared" si="0"/>
        <v>1.3333333333333079E-5</v>
      </c>
      <c r="T34" s="23"/>
      <c r="U34" s="23"/>
      <c r="V34" s="15">
        <f t="shared" si="1"/>
        <v>0</v>
      </c>
      <c r="W34" s="15">
        <f t="shared" si="2"/>
        <v>0</v>
      </c>
      <c r="X34"/>
      <c r="Y34" s="17">
        <v>1.6164000000000001</v>
      </c>
      <c r="Z34" s="17">
        <v>591.70000000000005</v>
      </c>
      <c r="AC34" s="15">
        <v>24.77609</v>
      </c>
      <c r="AD34" s="15">
        <v>3500</v>
      </c>
    </row>
    <row r="35" spans="1:35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9"/>
      <c r="O35" s="14"/>
      <c r="P35" s="13"/>
      <c r="Q35" s="15">
        <f>5.03*(0.001)</f>
        <v>5.0300000000000006E-3</v>
      </c>
      <c r="R35" s="13"/>
      <c r="S35" s="14">
        <f t="shared" si="0"/>
        <v>7.7000000000000002E-3</v>
      </c>
      <c r="T35" s="23"/>
      <c r="U35" s="23"/>
      <c r="V35" s="15">
        <f t="shared" ca="1" si="1"/>
        <v>0.57756823718457062</v>
      </c>
      <c r="W35" s="15">
        <f t="shared" ca="1" si="2"/>
        <v>3.0342434314923803E-3</v>
      </c>
      <c r="X35"/>
      <c r="Y35" s="17">
        <v>1.6162000000000001</v>
      </c>
      <c r="Z35" s="17">
        <v>594.6</v>
      </c>
      <c r="AC35" s="15">
        <v>25.850100000000001</v>
      </c>
      <c r="AD35" s="15">
        <v>3600</v>
      </c>
    </row>
    <row r="36" spans="1:35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1"/>
      <c r="L36" s="10"/>
      <c r="M36" s="10"/>
      <c r="N36" s="9"/>
      <c r="O36" s="14"/>
      <c r="P36" s="13"/>
      <c r="Q36" s="15">
        <f>5.05*(0.001)</f>
        <v>5.0499999999999998E-3</v>
      </c>
      <c r="R36" s="13"/>
      <c r="S36" s="14">
        <f t="shared" si="0"/>
        <v>7.7000000000000002E-3</v>
      </c>
      <c r="T36"/>
      <c r="U36"/>
      <c r="V36" s="15">
        <f t="shared" si="1"/>
        <v>0</v>
      </c>
      <c r="W36" s="15">
        <f t="shared" si="2"/>
        <v>0</v>
      </c>
      <c r="X36"/>
      <c r="Y36" s="17">
        <v>1.6158999999999999</v>
      </c>
      <c r="Z36" s="17">
        <v>597.4</v>
      </c>
    </row>
    <row r="37" spans="1:35">
      <c r="A37" s="12"/>
      <c r="B37" s="11"/>
      <c r="C37" s="11"/>
      <c r="D37" s="11"/>
      <c r="E37" s="11"/>
      <c r="F37" s="11"/>
      <c r="G37" s="11"/>
      <c r="H37" s="13"/>
      <c r="I37" s="13">
        <f>I31+1</f>
        <v>224</v>
      </c>
      <c r="J37" s="13">
        <v>51</v>
      </c>
      <c r="K37" s="11">
        <f>$B$3-(I37+J37/60)*PI()/180</f>
        <v>0.85782932735521289</v>
      </c>
      <c r="L37" s="10"/>
      <c r="M37" s="10"/>
      <c r="N37" s="9">
        <f>SQRT(SIN($G$13)*SIN($G$13) + (SIN(K37-$G$13+$B$2)  + COS($B$2)*SIN($G$13) )* (SIN(K37-$G$13+$B$2)  + COS($B$2)*SIN($G$13) )/(SIN($B$2)*SIN($B$2))   )</f>
        <v>1.6036441012723881</v>
      </c>
      <c r="O37" s="14">
        <f ca="1">FORECAST(N37,OFFSET($Z$1:$Z$200,MATCH(N37,$Y$1:$Y$200,-1)-1,0,2),OFFSET($Y$1:$Y$200,MATCH(N37,$Y$1:$Y$200,-1)-1,0,2))</f>
        <v>847.38005037685798</v>
      </c>
      <c r="P37" s="13">
        <f t="shared" ref="P37:P39" si="8">0.3*0.0002* ( 6*5*5967724283888*N37^4 - 5*4*57523186975072.9*N37^3 + 4*3*231027637870601*N37^2 - 3*2*494859333352060*N37 + 2*596238855356041)/8</f>
        <v>28.2524625</v>
      </c>
      <c r="Q37" s="15">
        <f>7.7*(0.001)</f>
        <v>7.7000000000000002E-3</v>
      </c>
      <c r="R37" s="13">
        <f>AVERAGE(Q37:Q39)</f>
        <v>7.6466666666666662E-3</v>
      </c>
      <c r="S37" s="14">
        <f t="shared" si="0"/>
        <v>5.3333333333334051E-5</v>
      </c>
      <c r="T37" s="23"/>
      <c r="U37" s="23"/>
      <c r="V37" s="15">
        <f t="shared" si="1"/>
        <v>0</v>
      </c>
      <c r="W37" s="15">
        <f t="shared" si="2"/>
        <v>0</v>
      </c>
      <c r="X37"/>
      <c r="Y37" s="17">
        <v>1.6156999999999999</v>
      </c>
      <c r="Z37" s="17">
        <v>600.29999999999995</v>
      </c>
    </row>
    <row r="38" spans="1:3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9"/>
      <c r="O38" s="14"/>
      <c r="P38" s="13"/>
      <c r="Q38" s="15">
        <f>7.64*(0.001)</f>
        <v>7.6400000000000001E-3</v>
      </c>
      <c r="R38" s="13"/>
      <c r="S38" s="14">
        <f t="shared" si="0"/>
        <v>9.9600000000000018E-3</v>
      </c>
      <c r="T38" s="23"/>
      <c r="U38" s="23"/>
      <c r="V38" s="15">
        <f t="shared" ca="1" si="1"/>
        <v>1.2821025487816631</v>
      </c>
      <c r="W38" s="15">
        <f t="shared" ca="1" si="2"/>
        <v>9.0117390396888368E-3</v>
      </c>
      <c r="X38"/>
      <c r="Y38" s="17">
        <v>1.6153999999999999</v>
      </c>
      <c r="Z38" s="17">
        <v>603.29999999999995</v>
      </c>
    </row>
    <row r="39" spans="1:35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1"/>
      <c r="L39" s="10"/>
      <c r="M39" s="10"/>
      <c r="N39" s="9"/>
      <c r="O39" s="14"/>
      <c r="P39" s="13"/>
      <c r="Q39" s="15">
        <f>7.6*(0.001)</f>
        <v>7.6E-3</v>
      </c>
      <c r="R39" s="13"/>
      <c r="S39" s="14">
        <f t="shared" si="0"/>
        <v>9.9600000000000018E-3</v>
      </c>
      <c r="T39"/>
      <c r="U39"/>
      <c r="V39" s="15">
        <f t="shared" si="1"/>
        <v>0</v>
      </c>
      <c r="W39" s="15">
        <f t="shared" si="2"/>
        <v>0</v>
      </c>
      <c r="X39"/>
      <c r="Y39" s="17">
        <v>1.6152</v>
      </c>
      <c r="Z39" s="17">
        <v>606.20000000000005</v>
      </c>
    </row>
    <row r="40" spans="1:35">
      <c r="A40" s="12"/>
      <c r="B40" s="11"/>
      <c r="C40" s="11"/>
      <c r="D40" s="11"/>
      <c r="E40" s="11"/>
      <c r="F40" s="11"/>
      <c r="G40" s="11"/>
      <c r="H40" s="13"/>
      <c r="I40" s="13">
        <f>I34+1</f>
        <v>225</v>
      </c>
      <c r="J40" s="13">
        <v>20</v>
      </c>
      <c r="K40" s="11">
        <f>$B$3-(I40+J40/60)*PI()/180</f>
        <v>0.84939356930390719</v>
      </c>
      <c r="L40" s="10"/>
      <c r="M40" s="10"/>
      <c r="N40" s="8">
        <f>SQRT(SIN($G$13)*SIN($G$13) + (SIN(K40-$G$13+$B$2)  + COS($B$2)*SIN($G$13) )* (SIN(K40-$G$13+$B$2)  + COS($B$2)*SIN($G$13) )/(SIN($B$2)*SIN($B$2))   )</f>
        <v>1.6000087934703899</v>
      </c>
      <c r="O40" s="14">
        <f ca="1">FORECAST(N40,OFFSET($Z$1:$Z$200,MATCH(N40,$Y$1:$Y$200,-1)-1,0,2),OFFSET($Y$1:$Y$200,MATCH(N40,$Y$1:$Y$200,-1)-1,0,2))</f>
        <v>993.51635912856727</v>
      </c>
      <c r="P40" s="13">
        <f t="shared" ref="P31:P69" si="9">0.3*0.0002* ( 6*5*5967724283888*N40^4 - 5*4*57523186975072.9*N40^3 + 4*3*231027637870601*N40^2 - 3*2*494859333352060*N40 + 2*596238855356041)/8</f>
        <v>36.918476249999998</v>
      </c>
      <c r="Q40" s="15">
        <f>9.96*(0.001)</f>
        <v>9.9600000000000018E-3</v>
      </c>
      <c r="R40" s="13">
        <f>AVERAGE(Q40:Q42)</f>
        <v>9.9000000000000008E-3</v>
      </c>
      <c r="S40" s="14">
        <f t="shared" si="0"/>
        <v>7.0000000000000617E-5</v>
      </c>
      <c r="T40" s="23"/>
      <c r="U40" s="23"/>
      <c r="V40" s="15">
        <f t="shared" si="1"/>
        <v>0</v>
      </c>
      <c r="W40" s="15">
        <f t="shared" si="2"/>
        <v>0</v>
      </c>
      <c r="X40"/>
      <c r="Y40" s="17">
        <v>1.615</v>
      </c>
      <c r="Z40" s="17">
        <v>609.29999999999995</v>
      </c>
    </row>
    <row r="41" spans="1:3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8"/>
      <c r="O41" s="14"/>
      <c r="P41" s="13"/>
      <c r="Q41" s="15">
        <f>9.83*(0.001)</f>
        <v>9.8300000000000002E-3</v>
      </c>
      <c r="R41" s="13"/>
      <c r="S41" s="14">
        <f t="shared" si="0"/>
        <v>1.042E-2</v>
      </c>
      <c r="T41" s="23"/>
      <c r="U41" s="23"/>
      <c r="V41" s="15">
        <f t="shared" ca="1" si="1"/>
        <v>1.5692264352496605</v>
      </c>
      <c r="W41" s="15">
        <f t="shared" ca="1" si="2"/>
        <v>7.9904762635906162E-3</v>
      </c>
      <c r="X41"/>
      <c r="Y41" s="17">
        <v>1.6147</v>
      </c>
      <c r="Z41" s="17">
        <v>612.4</v>
      </c>
    </row>
    <row r="42" spans="1:35">
      <c r="A42" s="12"/>
      <c r="B42" s="11"/>
      <c r="C42" s="11"/>
      <c r="D42" s="11"/>
      <c r="E42" s="11"/>
      <c r="F42" s="11"/>
      <c r="G42" s="11"/>
      <c r="H42" s="13"/>
      <c r="I42" s="13"/>
      <c r="J42" s="13"/>
      <c r="K42" s="11"/>
      <c r="L42" s="10"/>
      <c r="M42" s="10"/>
      <c r="N42" s="8"/>
      <c r="O42" s="14"/>
      <c r="P42" s="13"/>
      <c r="Q42" s="15">
        <f>9.91*(0.001)</f>
        <v>9.9100000000000004E-3</v>
      </c>
      <c r="R42" s="13"/>
      <c r="S42" s="14">
        <f t="shared" si="0"/>
        <v>1.042E-2</v>
      </c>
      <c r="T42"/>
      <c r="U42"/>
      <c r="V42" s="15">
        <f t="shared" si="1"/>
        <v>0</v>
      </c>
      <c r="W42" s="15">
        <f t="shared" si="2"/>
        <v>0</v>
      </c>
      <c r="X42"/>
      <c r="Y42" s="17">
        <v>1.6145</v>
      </c>
      <c r="Z42" s="17">
        <v>615.5</v>
      </c>
    </row>
    <row r="43" spans="1:35">
      <c r="A43" s="12"/>
      <c r="B43" s="11"/>
      <c r="C43" s="11"/>
      <c r="D43" s="11"/>
      <c r="E43" s="11"/>
      <c r="F43" s="11"/>
      <c r="G43" s="11"/>
      <c r="H43" s="13"/>
      <c r="I43" s="13">
        <f>I37+1</f>
        <v>225</v>
      </c>
      <c r="J43" s="13">
        <v>42</v>
      </c>
      <c r="K43" s="11">
        <f>$B$3-(I43+J43/60)*PI()/180</f>
        <v>0.84299402871326112</v>
      </c>
      <c r="L43" s="10"/>
      <c r="M43" s="10"/>
      <c r="N43" s="7">
        <f>SQRT(SIN($G$13)*SIN($G$13) + (SIN(K43-$G$13+$B$2)  + COS($B$2)*SIN($G$13) )* (SIN(K43-$G$13+$B$2)  + COS($B$2)*SIN($G$13) )/(SIN($B$2)*SIN($B$2))   )</f>
        <v>1.5972072008377705</v>
      </c>
      <c r="O43" s="14">
        <f ca="1">FORECAST(N43,OFFSET($Z$1:$Z$200,MATCH(N43,$Y$1:$Y$200,-1)-1,0,2),OFFSET($Y$1:$Y$200,MATCH(N43,$Y$1:$Y$200,-1)-1,0,2))</f>
        <v>1148.1707384238689</v>
      </c>
      <c r="P43" s="13">
        <f t="shared" ref="P34:P69" si="10">0.3*0.0002* ( 6*5*5967724283888*N43^4 - 5*4*57523186975072.9*N43^3 + 4*3*231027637870601*N43^2 - 3*2*494859333352060*N43 + 2*596238855356041)/8</f>
        <v>47.789782500000001</v>
      </c>
      <c r="Q43" s="15">
        <f>10.42*(0.001)</f>
        <v>1.042E-2</v>
      </c>
      <c r="R43" s="13">
        <f>AVERAGE(Q43:Q45)</f>
        <v>1.0393333333333333E-2</v>
      </c>
      <c r="S43" s="14">
        <f t="shared" si="0"/>
        <v>3.3333333333333132E-5</v>
      </c>
      <c r="T43" s="23"/>
      <c r="U43" s="23"/>
      <c r="V43" s="15">
        <f t="shared" si="1"/>
        <v>0</v>
      </c>
      <c r="W43" s="15">
        <f t="shared" si="2"/>
        <v>0</v>
      </c>
      <c r="X43"/>
      <c r="Y43" s="17">
        <v>1.6143000000000001</v>
      </c>
      <c r="Z43" s="17">
        <v>618.70000000000005</v>
      </c>
    </row>
    <row r="44" spans="1:35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7"/>
      <c r="O44" s="14"/>
      <c r="P44" s="13"/>
      <c r="Q44" s="15">
        <f>10.36*(0.001)</f>
        <v>1.0359999999999999E-2</v>
      </c>
      <c r="R44" s="13"/>
      <c r="S44" s="14">
        <f t="shared" si="0"/>
        <v>1.0400000000000001E-2</v>
      </c>
      <c r="T44" s="23"/>
      <c r="U44" s="23"/>
      <c r="V44" s="15">
        <f t="shared" ca="1" si="1"/>
        <v>0.43287725604723026</v>
      </c>
      <c r="W44" s="15">
        <f t="shared" ca="1" si="2"/>
        <v>1.7365101734885579E-3</v>
      </c>
      <c r="X44"/>
      <c r="Y44" s="17">
        <v>1.6140000000000001</v>
      </c>
      <c r="Z44" s="17">
        <v>621.9</v>
      </c>
    </row>
    <row r="45" spans="1:35">
      <c r="A45" s="12"/>
      <c r="B45" s="11"/>
      <c r="C45" s="11"/>
      <c r="D45" s="11"/>
      <c r="E45" s="11"/>
      <c r="F45" s="11"/>
      <c r="G45" s="11"/>
      <c r="H45" s="13"/>
      <c r="I45" s="13"/>
      <c r="J45" s="13"/>
      <c r="K45" s="11"/>
      <c r="L45" s="10"/>
      <c r="M45" s="10"/>
      <c r="N45" s="7"/>
      <c r="O45" s="14"/>
      <c r="P45" s="13"/>
      <c r="Q45" s="15">
        <f>10.4*(0.001)</f>
        <v>1.0400000000000001E-2</v>
      </c>
      <c r="R45" s="13"/>
      <c r="S45" s="14">
        <f t="shared" ref="S45:S76" si="11">MAX(ABS(Q45-R45),ABS(Q46-R45),ABS(Q47-R45))</f>
        <v>1.043E-2</v>
      </c>
      <c r="T45"/>
      <c r="U45"/>
      <c r="V45" s="15">
        <f t="shared" si="1"/>
        <v>0</v>
      </c>
      <c r="W45" s="15">
        <f t="shared" si="2"/>
        <v>0</v>
      </c>
      <c r="X45"/>
      <c r="Y45" s="17">
        <v>1.6137999999999999</v>
      </c>
      <c r="Z45" s="17">
        <v>625.20000000000005</v>
      </c>
    </row>
    <row r="46" spans="1:35">
      <c r="A46" s="12"/>
      <c r="B46" s="11"/>
      <c r="C46" s="11"/>
      <c r="D46" s="11"/>
      <c r="E46" s="11"/>
      <c r="F46" s="11"/>
      <c r="G46" s="11"/>
      <c r="H46" s="13"/>
      <c r="I46" s="13">
        <v>225</v>
      </c>
      <c r="J46" s="13">
        <v>47</v>
      </c>
      <c r="K46" s="11">
        <f>$B$3-(I46+J46/60)*PI()/180</f>
        <v>0.84153958766993275</v>
      </c>
      <c r="L46" s="10"/>
      <c r="M46" s="10"/>
      <c r="N46" s="7">
        <f>SQRT(SIN($G$13)*SIN($G$13) + (SIN(K46-$G$13+$B$2)  + COS($B$2)*SIN($G$13) )* (SIN(K46-$G$13+$B$2)  + COS($B$2)*SIN($G$13) )/(SIN($B$2)*SIN($B$2))   )</f>
        <v>1.5965652280685114</v>
      </c>
      <c r="O46" s="14">
        <f ca="1">FORECAST(N46,OFFSET($Z$1:$Z$200,MATCH(N46,$Y$1:$Y$200,-1)-1,0,2),OFFSET($Y$1:$Y$200,MATCH(N46,$Y$1:$Y$200,-1)-1,0,2))</f>
        <v>1189.8469825875945</v>
      </c>
      <c r="P46" s="13">
        <f t="shared" ref="P46:P69" si="12">0.3*0.0002* ( 6*5*5967724283888*N46^4 - 5*4*57523186975072.9*N46^3 + 4*3*231027637870601*N46^2 - 3*2*494859333352060*N46 + 2*596238855356041)/8</f>
        <v>51.395973750000003</v>
      </c>
      <c r="Q46" s="15">
        <f>10.36*(0.001)</f>
        <v>1.0359999999999999E-2</v>
      </c>
      <c r="R46" s="13">
        <f>AVERAGE(Q46:Q48)</f>
        <v>1.038E-2</v>
      </c>
      <c r="S46" s="14">
        <f t="shared" si="11"/>
        <v>4.9999999999999697E-5</v>
      </c>
      <c r="T46" s="23"/>
      <c r="U46" s="23"/>
      <c r="V46" s="15">
        <f t="shared" si="1"/>
        <v>0</v>
      </c>
      <c r="W46" s="15">
        <f t="shared" si="2"/>
        <v>0</v>
      </c>
      <c r="X46"/>
      <c r="Y46" s="17">
        <v>1.6135999999999999</v>
      </c>
      <c r="Z46" s="17">
        <v>628.5</v>
      </c>
    </row>
    <row r="47" spans="1:35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7"/>
      <c r="O47" s="14"/>
      <c r="P47" s="13"/>
      <c r="Q47" s="15">
        <f>10.43*(0.001)</f>
        <v>1.043E-2</v>
      </c>
      <c r="R47" s="13"/>
      <c r="S47" s="14">
        <f t="shared" si="11"/>
        <v>1.043E-2</v>
      </c>
      <c r="T47" s="23"/>
      <c r="U47" s="23"/>
      <c r="V47" s="15">
        <f t="shared" ca="1" si="1"/>
        <v>0.56450062167736126</v>
      </c>
      <c r="W47" s="15">
        <f t="shared" ca="1" si="2"/>
        <v>2.6982887800632094E-3</v>
      </c>
      <c r="X47"/>
      <c r="Y47" s="17">
        <v>1.6133</v>
      </c>
      <c r="Z47" s="17">
        <v>631.9</v>
      </c>
    </row>
    <row r="48" spans="1:35">
      <c r="A48" s="12"/>
      <c r="B48" s="11"/>
      <c r="C48" s="11"/>
      <c r="D48" s="11"/>
      <c r="E48" s="11"/>
      <c r="F48" s="11"/>
      <c r="G48" s="11"/>
      <c r="H48" s="13"/>
      <c r="I48" s="13"/>
      <c r="J48" s="13"/>
      <c r="K48" s="11"/>
      <c r="L48" s="10"/>
      <c r="M48" s="10"/>
      <c r="N48" s="7"/>
      <c r="O48" s="14"/>
      <c r="P48" s="13"/>
      <c r="Q48" s="15">
        <f>10.35*(0.001)</f>
        <v>1.035E-2</v>
      </c>
      <c r="R48" s="13"/>
      <c r="S48" s="14">
        <f t="shared" si="11"/>
        <v>1.035E-2</v>
      </c>
      <c r="T48"/>
      <c r="U48"/>
      <c r="V48" s="15">
        <f t="shared" si="1"/>
        <v>0</v>
      </c>
      <c r="W48" s="15">
        <f t="shared" si="2"/>
        <v>0</v>
      </c>
      <c r="X48"/>
      <c r="Y48" s="17">
        <v>1.6131</v>
      </c>
      <c r="Z48" s="17">
        <v>635.4</v>
      </c>
    </row>
    <row r="49" spans="1:26">
      <c r="A49" s="12"/>
      <c r="B49" s="11"/>
      <c r="C49" s="11"/>
      <c r="D49" s="11"/>
      <c r="E49" s="11"/>
      <c r="F49" s="11"/>
      <c r="G49" s="11"/>
      <c r="H49" s="13"/>
      <c r="I49" s="13">
        <v>225</v>
      </c>
      <c r="J49" s="13">
        <v>53</v>
      </c>
      <c r="K49" s="11">
        <f>$B$3-(I49+J49/60)*PI()/180</f>
        <v>0.83979425841793853</v>
      </c>
      <c r="L49" s="10"/>
      <c r="M49" s="10"/>
      <c r="N49" s="7">
        <f>SQRT(SIN($G$13)*SIN($G$13) + (SIN(K49-$G$13+$B$2)  + COS($B$2)*SIN($G$13) )* (SIN(K49-$G$13+$B$2)  + COS($B$2)*SIN($G$13) )/(SIN($B$2)*SIN($B$2))   )</f>
        <v>1.595792301177112</v>
      </c>
      <c r="O49" s="14">
        <f ca="1">FORECAST(N49,OFFSET($Z$1:$Z$200,MATCH(N49,$Y$1:$Y$200,-1)-1,0,2),OFFSET($Y$1:$Y$200,MATCH(N49,$Y$1:$Y$200,-1)-1,0,2))</f>
        <v>1245.6736470026954</v>
      </c>
      <c r="P49" s="13">
        <f t="shared" si="9"/>
        <v>56.515155</v>
      </c>
      <c r="Q49" s="15">
        <f>9.82*(0.001)</f>
        <v>9.8200000000000006E-3</v>
      </c>
      <c r="R49" s="13">
        <f>AVERAGE(Q49:Q51)</f>
        <v>9.8433333333333341E-3</v>
      </c>
      <c r="S49" s="14">
        <f t="shared" si="11"/>
        <v>4.6666666666667078E-5</v>
      </c>
      <c r="T49" s="23"/>
      <c r="U49" s="23"/>
      <c r="V49" s="15">
        <f t="shared" si="1"/>
        <v>0</v>
      </c>
      <c r="W49" s="15">
        <f t="shared" si="2"/>
        <v>0</v>
      </c>
      <c r="X49"/>
      <c r="Y49" s="17">
        <v>1.6129</v>
      </c>
      <c r="Z49" s="17">
        <v>638.9</v>
      </c>
    </row>
    <row r="50" spans="1:26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7"/>
      <c r="O50" s="14"/>
      <c r="P50" s="13"/>
      <c r="Q50" s="15">
        <f>9.89*(0.001)</f>
        <v>9.8900000000000012E-3</v>
      </c>
      <c r="R50" s="13"/>
      <c r="S50" s="14">
        <f t="shared" si="11"/>
        <v>9.8900000000000012E-3</v>
      </c>
      <c r="T50" s="23"/>
      <c r="U50" s="23"/>
      <c r="V50" s="15">
        <f t="shared" ca="1" si="1"/>
        <v>0.83482223069004258</v>
      </c>
      <c r="W50" s="15">
        <f t="shared" ca="1" si="2"/>
        <v>3.7469579474418199E-3</v>
      </c>
      <c r="X50"/>
      <c r="Y50" s="17">
        <v>1.6126</v>
      </c>
      <c r="Z50" s="17">
        <v>642.5</v>
      </c>
    </row>
    <row r="51" spans="1:26">
      <c r="A51" s="12"/>
      <c r="B51" s="11"/>
      <c r="C51" s="11"/>
      <c r="D51" s="11"/>
      <c r="E51" s="11"/>
      <c r="F51" s="11"/>
      <c r="G51" s="11"/>
      <c r="H51" s="13"/>
      <c r="I51" s="13"/>
      <c r="J51" s="13"/>
      <c r="K51" s="11"/>
      <c r="L51" s="10"/>
      <c r="M51" s="10"/>
      <c r="N51" s="7"/>
      <c r="O51" s="14"/>
      <c r="P51" s="13"/>
      <c r="Q51" s="15">
        <f>9.82*(0.001)</f>
        <v>9.8200000000000006E-3</v>
      </c>
      <c r="R51" s="13"/>
      <c r="S51" s="14">
        <f t="shared" si="11"/>
        <v>9.8200000000000006E-3</v>
      </c>
      <c r="T51"/>
      <c r="U51"/>
      <c r="V51" s="15">
        <f t="shared" si="1"/>
        <v>0</v>
      </c>
      <c r="W51" s="15">
        <f t="shared" si="2"/>
        <v>0</v>
      </c>
      <c r="X51"/>
      <c r="Y51" s="17">
        <v>1.6124000000000001</v>
      </c>
      <c r="Z51" s="17">
        <v>646.1</v>
      </c>
    </row>
    <row r="52" spans="1:26">
      <c r="A52" s="12"/>
      <c r="B52" s="11"/>
      <c r="C52" s="11"/>
      <c r="D52" s="11"/>
      <c r="E52" s="11"/>
      <c r="F52" s="11"/>
      <c r="G52" s="11"/>
      <c r="H52" s="13"/>
      <c r="I52" s="13">
        <f>I40+1</f>
        <v>226</v>
      </c>
      <c r="J52" s="13">
        <v>2</v>
      </c>
      <c r="K52" s="11">
        <f>$B$3-(I52+J52/60)*PI()/180</f>
        <v>0.83717626453994676</v>
      </c>
      <c r="L52" s="10"/>
      <c r="M52" s="10"/>
      <c r="N52" s="7">
        <f>SQRT(SIN($G$13)*SIN($G$13) + (SIN(K52-$G$13+$B$2)  + COS($B$2)*SIN($G$13) )* (SIN(K52-$G$13+$B$2)  + COS($B$2)*SIN($G$13) )/(SIN($B$2)*SIN($B$2))   )</f>
        <v>1.5946276824962875</v>
      </c>
      <c r="O52" s="14">
        <f ca="1">FORECAST(N52,OFFSET($Z$1:$Z$200,MATCH(N52,$Y$1:$Y$200,-1)-1,0,2),OFFSET($Y$1:$Y$200,MATCH(N52,$Y$1:$Y$200,-1)-1,0,2))</f>
        <v>1335.6006377412996</v>
      </c>
      <c r="P52" s="13">
        <f t="shared" si="10"/>
        <v>66.159562500000007</v>
      </c>
      <c r="Q52" s="15">
        <f>8.7*(0.001)</f>
        <v>8.6999999999999994E-3</v>
      </c>
      <c r="R52" s="13">
        <f>AVERAGE(Q52:Q54)</f>
        <v>8.7233333333333347E-3</v>
      </c>
      <c r="S52" s="14">
        <f t="shared" si="11"/>
        <v>3.6666666666665751E-5</v>
      </c>
      <c r="T52" s="23"/>
      <c r="U52" s="23"/>
      <c r="V52" s="15">
        <f t="shared" si="1"/>
        <v>0</v>
      </c>
      <c r="W52" s="15">
        <f t="shared" ref="W52:W83" si="13">(O54-O51)*(S54+S51)/2</f>
        <v>0</v>
      </c>
      <c r="X52"/>
      <c r="Y52" s="17">
        <v>1.6122000000000001</v>
      </c>
      <c r="Z52" s="17">
        <v>649.79999999999995</v>
      </c>
    </row>
    <row r="53" spans="1:26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7"/>
      <c r="O53" s="14"/>
      <c r="P53" s="13"/>
      <c r="Q53" s="15">
        <f>8.71*(0.001)</f>
        <v>8.7100000000000007E-3</v>
      </c>
      <c r="R53" s="13"/>
      <c r="S53" s="14">
        <f t="shared" si="11"/>
        <v>8.7600000000000004E-3</v>
      </c>
      <c r="T53" s="23"/>
      <c r="U53" s="23"/>
      <c r="V53" s="15">
        <f t="shared" ca="1" si="1"/>
        <v>2.04370399083012</v>
      </c>
      <c r="W53" s="15">
        <f t="shared" ca="1" si="13"/>
        <v>8.6615103546784731E-3</v>
      </c>
      <c r="X53"/>
      <c r="Y53" s="17">
        <v>1.6119000000000001</v>
      </c>
      <c r="Z53" s="17">
        <v>653.6</v>
      </c>
    </row>
    <row r="54" spans="1:26">
      <c r="A54" s="12"/>
      <c r="B54" s="11"/>
      <c r="C54" s="11"/>
      <c r="D54" s="11"/>
      <c r="E54" s="11"/>
      <c r="F54" s="11"/>
      <c r="G54" s="11"/>
      <c r="H54" s="13"/>
      <c r="I54" s="13"/>
      <c r="J54" s="13"/>
      <c r="K54" s="11"/>
      <c r="L54" s="10"/>
      <c r="M54" s="10"/>
      <c r="N54" s="7"/>
      <c r="O54" s="14"/>
      <c r="P54" s="13"/>
      <c r="Q54" s="15">
        <f>8.76*(0.001)</f>
        <v>8.7600000000000004E-3</v>
      </c>
      <c r="R54" s="13"/>
      <c r="S54" s="14">
        <f t="shared" si="11"/>
        <v>8.7600000000000004E-3</v>
      </c>
      <c r="T54"/>
      <c r="U54"/>
      <c r="V54" s="15">
        <f t="shared" si="1"/>
        <v>0</v>
      </c>
      <c r="W54" s="15">
        <f t="shared" si="13"/>
        <v>0</v>
      </c>
      <c r="X54"/>
      <c r="Y54" s="17">
        <v>1.6116999999999999</v>
      </c>
      <c r="Z54" s="17">
        <v>657.5</v>
      </c>
    </row>
    <row r="55" spans="1:26">
      <c r="A55" s="12"/>
      <c r="B55" s="11"/>
      <c r="C55" s="11"/>
      <c r="D55" s="11"/>
      <c r="E55" s="11"/>
      <c r="F55" s="11"/>
      <c r="G55" s="11"/>
      <c r="H55" s="13"/>
      <c r="I55" s="13">
        <f>I40+1</f>
        <v>226</v>
      </c>
      <c r="J55" s="13">
        <v>21</v>
      </c>
      <c r="K55" s="11">
        <f>$B$3-(I55+J55/60)*PI()/180</f>
        <v>0.83164938857529869</v>
      </c>
      <c r="L55" s="10"/>
      <c r="M55" s="6"/>
      <c r="N55" s="7">
        <f>SQRT(SIN($G$13)*SIN($G$13) + (SIN(K55-$G$13+$B$2)  + COS($B$2)*SIN($G$13) )* (SIN(K55-$G$13+$B$2)  + COS($B$2)*SIN($G$13) )/(SIN($B$2)*SIN($B$2))   )</f>
        <v>1.5921484876462784</v>
      </c>
      <c r="O55" s="14">
        <f ca="1">FORECAST(N55,OFFSET($Z$1:$Z$200,MATCH(N55,$Y$1:$Y$200,-1)-1,0,2),OFFSET($Y$1:$Y$200,MATCH(N55,$Y$1:$Y$200,-1)-1,0,2))</f>
        <v>1583.0723621606885</v>
      </c>
      <c r="P55" s="13">
        <f t="shared" ref="P55:P69" si="14">0.3*0.0002* ( 6*5*5967724283888*N55^4 - 5*4*57523186975072.9*N55^3 + 4*3*231027637870601*N55^2 - 3*2*494859333352060*N55 + 2*596238855356041)/8</f>
        <v>96.933390000000003</v>
      </c>
      <c r="Q55" s="15">
        <f>7.82*(0.001)</f>
        <v>7.8200000000000006E-3</v>
      </c>
      <c r="R55" s="13">
        <f>AVERAGE(Q55:Q57)</f>
        <v>7.7933333333333327E-3</v>
      </c>
      <c r="S55" s="14">
        <f t="shared" si="11"/>
        <v>3.3333333333333132E-5</v>
      </c>
      <c r="T55" s="23"/>
      <c r="U55" s="23"/>
      <c r="V55" s="15">
        <f t="shared" si="1"/>
        <v>0</v>
      </c>
      <c r="W55" s="15">
        <f t="shared" si="13"/>
        <v>0</v>
      </c>
      <c r="X55"/>
      <c r="Y55" s="17">
        <v>1.6113999999999999</v>
      </c>
      <c r="Z55" s="17">
        <v>661.4</v>
      </c>
    </row>
    <row r="56" spans="1:26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7"/>
      <c r="O56" s="14"/>
      <c r="P56" s="13"/>
      <c r="Q56" s="15">
        <f>7.8*(0.001)</f>
        <v>7.7999999999999996E-3</v>
      </c>
      <c r="R56" s="13"/>
      <c r="S56" s="14">
        <f t="shared" si="11"/>
        <v>7.7999999999999996E-3</v>
      </c>
      <c r="T56" s="23"/>
      <c r="U56" s="23"/>
      <c r="V56" s="15">
        <f t="shared" ca="1" si="1"/>
        <v>2.3187673211088469</v>
      </c>
      <c r="W56" s="15">
        <f t="shared" ca="1" si="13"/>
        <v>6.9476174415246533E-3</v>
      </c>
      <c r="X56"/>
      <c r="Y56" s="17">
        <v>1.6112</v>
      </c>
      <c r="Z56" s="17">
        <v>665.4</v>
      </c>
    </row>
    <row r="57" spans="1:26">
      <c r="A57" s="12"/>
      <c r="B57" s="11"/>
      <c r="C57" s="11"/>
      <c r="D57" s="11"/>
      <c r="E57" s="11"/>
      <c r="F57" s="11"/>
      <c r="G57" s="11"/>
      <c r="H57" s="13"/>
      <c r="I57" s="13"/>
      <c r="J57" s="13"/>
      <c r="K57" s="11"/>
      <c r="L57" s="10"/>
      <c r="M57" s="6"/>
      <c r="N57" s="7"/>
      <c r="O57" s="14"/>
      <c r="P57" s="13"/>
      <c r="Q57" s="15">
        <f>7.76*(0.001)</f>
        <v>7.7599999999999995E-3</v>
      </c>
      <c r="R57" s="13"/>
      <c r="S57" s="14">
        <f t="shared" si="11"/>
        <v>7.7599999999999995E-3</v>
      </c>
      <c r="T57"/>
      <c r="U57"/>
      <c r="V57" s="15">
        <f t="shared" si="1"/>
        <v>0</v>
      </c>
      <c r="W57" s="15">
        <f t="shared" si="13"/>
        <v>0</v>
      </c>
      <c r="X57"/>
      <c r="Y57" s="17">
        <v>1.611</v>
      </c>
      <c r="Z57" s="17">
        <v>669.4</v>
      </c>
    </row>
    <row r="58" spans="1:26">
      <c r="A58" s="12"/>
      <c r="B58" s="11"/>
      <c r="C58" s="11"/>
      <c r="D58" s="11"/>
      <c r="E58" s="11"/>
      <c r="F58" s="11"/>
      <c r="G58" s="11"/>
      <c r="H58" s="13"/>
      <c r="I58" s="13">
        <f>I43+1</f>
        <v>226</v>
      </c>
      <c r="J58" s="13">
        <v>41</v>
      </c>
      <c r="K58" s="11">
        <f>$B$3-(I58+J58/60)*PI()/180</f>
        <v>0.82583162440198388</v>
      </c>
      <c r="L58" s="10"/>
      <c r="M58" s="6"/>
      <c r="N58" s="7">
        <f>SQRT(SIN($G$13)*SIN($G$13) + (SIN(K58-$G$13+$B$2)  + COS($B$2)*SIN($G$13) )* (SIN(K58-$G$13+$B$2)  + COS($B$2)*SIN($G$13) )/(SIN($B$2)*SIN($B$2))   )</f>
        <v>1.5895087717801375</v>
      </c>
      <c r="O58" s="14">
        <f ca="1">FORECAST(N58,OFFSET($Z$1:$Z$200,MATCH(N58,$Y$1:$Y$200,-1)-1,0,2),OFFSET($Y$1:$Y$200,MATCH(N58,$Y$1:$Y$200,-1)-1,0,2))</f>
        <v>1930.4532342369203</v>
      </c>
      <c r="P58" s="13">
        <f t="shared" si="9"/>
        <v>151.17256499999999</v>
      </c>
      <c r="Q58" s="15">
        <f>5.55*(0.001)</f>
        <v>5.5500000000000002E-3</v>
      </c>
      <c r="R58" s="13">
        <f>AVERAGE(Q58:Q60)</f>
        <v>5.5566666666666672E-3</v>
      </c>
      <c r="S58" s="14">
        <f t="shared" si="11"/>
        <v>6.6666666666669733E-6</v>
      </c>
      <c r="T58" s="23"/>
      <c r="U58" s="23"/>
      <c r="V58" s="15">
        <f t="shared" si="1"/>
        <v>0</v>
      </c>
      <c r="W58" s="15">
        <f t="shared" si="13"/>
        <v>0</v>
      </c>
      <c r="X58"/>
      <c r="Y58" s="17">
        <v>1.6107</v>
      </c>
      <c r="Z58" s="17">
        <v>673.6</v>
      </c>
    </row>
    <row r="59" spans="1:26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7"/>
      <c r="O59" s="14"/>
      <c r="P59" s="13"/>
      <c r="Q59" s="15">
        <f>5.56*(0.001)</f>
        <v>5.5599999999999998E-3</v>
      </c>
      <c r="R59" s="13"/>
      <c r="S59" s="14">
        <f t="shared" si="11"/>
        <v>5.5599999999999998E-3</v>
      </c>
      <c r="T59" s="23"/>
      <c r="U59" s="23"/>
      <c r="V59" s="15">
        <f t="shared" ca="1" si="1"/>
        <v>2.4212634210276613</v>
      </c>
      <c r="W59" s="15">
        <f t="shared" ca="1" si="13"/>
        <v>8.7441799242603032E-3</v>
      </c>
      <c r="X59"/>
      <c r="Y59" s="17">
        <v>1.6105</v>
      </c>
      <c r="Z59" s="17">
        <v>677.8</v>
      </c>
    </row>
    <row r="60" spans="1:26">
      <c r="A60" s="12"/>
      <c r="B60" s="11"/>
      <c r="C60" s="11"/>
      <c r="D60" s="11"/>
      <c r="E60" s="11"/>
      <c r="F60" s="11"/>
      <c r="G60" s="11"/>
      <c r="H60" s="13"/>
      <c r="I60" s="13"/>
      <c r="J60" s="13"/>
      <c r="K60" s="11"/>
      <c r="L60" s="10"/>
      <c r="M60" s="6"/>
      <c r="N60" s="7"/>
      <c r="O60" s="14"/>
      <c r="P60" s="13"/>
      <c r="Q60" s="15">
        <f>5.56*(0.001)</f>
        <v>5.5599999999999998E-3</v>
      </c>
      <c r="R60" s="13"/>
      <c r="S60" s="14">
        <f t="shared" si="11"/>
        <v>5.5599999999999998E-3</v>
      </c>
      <c r="T60"/>
      <c r="U60"/>
      <c r="V60" s="15">
        <f t="shared" si="1"/>
        <v>0</v>
      </c>
      <c r="W60" s="15">
        <f t="shared" si="13"/>
        <v>0</v>
      </c>
      <c r="X60"/>
      <c r="Y60" s="17">
        <v>1.6103000000000001</v>
      </c>
      <c r="Z60" s="17">
        <v>682.1</v>
      </c>
    </row>
    <row r="61" spans="1:26">
      <c r="A61" s="12"/>
      <c r="B61" s="11"/>
      <c r="C61" s="11"/>
      <c r="D61" s="11"/>
      <c r="E61" s="11"/>
      <c r="F61" s="11"/>
      <c r="G61" s="11"/>
      <c r="H61" s="13"/>
      <c r="I61" s="13">
        <f>I52+1</f>
        <v>227</v>
      </c>
      <c r="J61" s="13">
        <v>2</v>
      </c>
      <c r="K61" s="11">
        <f>$B$3-(I61+J61/60)*PI()/180</f>
        <v>0.81972297202000322</v>
      </c>
      <c r="L61" s="10"/>
      <c r="M61" s="6"/>
      <c r="N61" s="7">
        <f>SQRT(SIN($G$13)*SIN($G$13) + (SIN(K61-$G$13+$B$2)  + COS($B$2)*SIN($G$13) )* (SIN(K61-$G$13+$B$2)  + COS($B$2)*SIN($G$13) )/(SIN($B$2)*SIN($B$2))   )</f>
        <v>1.5867040541959658</v>
      </c>
      <c r="O61" s="14">
        <f ca="1">FORECAST(N61,OFFSET($Z$1:$Z$200,MATCH(N61,$Y$1:$Y$200,-1)-1,0,2),OFFSET($Y$1:$Y$200,MATCH(N61,$Y$1:$Y$200,-1)-1,0,2))</f>
        <v>2455.1040296925348</v>
      </c>
      <c r="P61" s="13">
        <f t="shared" si="10"/>
        <v>243.31033500000001</v>
      </c>
      <c r="Q61" s="15">
        <f>3.67*(0.001)</f>
        <v>3.6700000000000001E-3</v>
      </c>
      <c r="R61" s="13">
        <f>AVERAGE(Q61:Q63)</f>
        <v>3.6733333333333336E-3</v>
      </c>
      <c r="S61" s="14">
        <f t="shared" si="11"/>
        <v>2.6666666666666592E-5</v>
      </c>
      <c r="T61" s="23"/>
      <c r="U61" s="23"/>
      <c r="V61" s="15">
        <f t="shared" si="1"/>
        <v>0</v>
      </c>
      <c r="W61" s="15">
        <f t="shared" si="13"/>
        <v>0</v>
      </c>
      <c r="X61"/>
      <c r="Y61" s="17">
        <v>1.61</v>
      </c>
      <c r="Z61" s="17">
        <v>686.5</v>
      </c>
    </row>
    <row r="62" spans="1:26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7"/>
      <c r="O62" s="14"/>
      <c r="P62" s="13"/>
      <c r="Q62" s="15">
        <f>3.65*(0.001)</f>
        <v>3.65E-3</v>
      </c>
      <c r="R62" s="13"/>
      <c r="S62" s="14">
        <f t="shared" si="11"/>
        <v>3.7000000000000002E-3</v>
      </c>
      <c r="T62" s="23"/>
      <c r="U62" s="23"/>
      <c r="V62" s="15">
        <f t="shared" ca="1" si="1"/>
        <v>2.4705066618886771</v>
      </c>
      <c r="W62" s="15">
        <f t="shared" ca="1" si="13"/>
        <v>1.8114262044304948E-2</v>
      </c>
      <c r="X62"/>
      <c r="Y62" s="17">
        <v>1.6097999999999999</v>
      </c>
      <c r="Z62" s="17">
        <v>690.9</v>
      </c>
    </row>
    <row r="63" spans="1:26">
      <c r="A63" s="12"/>
      <c r="B63" s="11"/>
      <c r="C63" s="11"/>
      <c r="D63" s="11"/>
      <c r="E63" s="11"/>
      <c r="F63" s="11"/>
      <c r="G63" s="11"/>
      <c r="H63" s="13"/>
      <c r="I63" s="13"/>
      <c r="J63" s="13"/>
      <c r="K63" s="11"/>
      <c r="L63" s="10"/>
      <c r="M63" s="6"/>
      <c r="N63" s="7"/>
      <c r="O63" s="14"/>
      <c r="P63" s="13"/>
      <c r="Q63" s="15">
        <f>3.7*(0.001)</f>
        <v>3.7000000000000002E-3</v>
      </c>
      <c r="R63" s="13"/>
      <c r="S63" s="14">
        <f t="shared" si="11"/>
        <v>3.7000000000000002E-3</v>
      </c>
      <c r="T63"/>
      <c r="U63"/>
      <c r="V63" s="15">
        <f t="shared" si="1"/>
        <v>0</v>
      </c>
      <c r="W63" s="15">
        <f t="shared" si="13"/>
        <v>0</v>
      </c>
      <c r="X63"/>
      <c r="Y63" s="17">
        <v>1.6095999999999999</v>
      </c>
      <c r="Z63" s="17">
        <v>695.5</v>
      </c>
    </row>
    <row r="64" spans="1:26">
      <c r="A64" s="12"/>
      <c r="B64" s="11"/>
      <c r="C64" s="11"/>
      <c r="D64" s="11"/>
      <c r="E64" s="11"/>
      <c r="F64" s="11"/>
      <c r="G64" s="11"/>
      <c r="H64" s="13"/>
      <c r="I64" s="13">
        <f>I55+1</f>
        <v>227</v>
      </c>
      <c r="J64" s="13">
        <v>24</v>
      </c>
      <c r="K64" s="11">
        <f>$B$3-(I64+J64/60)*PI()/180</f>
        <v>0.81332343142935759</v>
      </c>
      <c r="L64" s="10"/>
      <c r="M64" s="6"/>
      <c r="N64" s="7">
        <f>SQRT(SIN($G$13)*SIN($G$13) + (SIN(K64-$G$13+$B$2)  + COS($B$2)*SIN($G$13) )* (SIN(K64-$G$13+$B$2)  + COS($B$2)*SIN($G$13) )/(SIN($B$2)*SIN($B$2))   )</f>
        <v>1.5837296675002202</v>
      </c>
      <c r="O64" s="14">
        <f ca="1">FORECAST(N64,OFFSET($Z$1:$Z$200,MATCH(N64,$Y$1:$Y$200,-1)-1,0,2),OFFSET($Y$1:$Y$200,MATCH(N64,$Y$1:$Y$200,-1)-1,0,2))</f>
        <v>3291.1468932758435</v>
      </c>
      <c r="P64" s="13">
        <f t="shared" ref="P64:P69" si="15">0.3*0.0002* ( 6*5*5967724283888*N64^4 - 5*4*57523186975072.9*N64^3 + 4*3*231027637870601*N64^2 - 3*2*494859333352060*N64 + 2*596238855356041)/8</f>
        <v>394.23504000000003</v>
      </c>
      <c r="Q64" s="15">
        <f>2.22*(0.001)</f>
        <v>2.2200000000000002E-3</v>
      </c>
      <c r="R64" s="13">
        <f>AVERAGE(Q64:Q66)</f>
        <v>2.2366666666666668E-3</v>
      </c>
      <c r="S64" s="14">
        <f t="shared" si="11"/>
        <v>1.6666666666666566E-5</v>
      </c>
      <c r="T64" s="23"/>
      <c r="U64" s="23"/>
      <c r="V64" s="15">
        <f t="shared" si="1"/>
        <v>0</v>
      </c>
      <c r="W64" s="15">
        <f t="shared" si="13"/>
        <v>0</v>
      </c>
      <c r="X64"/>
      <c r="Y64" s="17">
        <v>1.6093</v>
      </c>
      <c r="Z64" s="17">
        <v>700.1</v>
      </c>
    </row>
    <row r="65" spans="1:26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7"/>
      <c r="O65" s="14"/>
      <c r="P65" s="13"/>
      <c r="Q65" s="15">
        <f>2.24*(0.001)</f>
        <v>2.2400000000000002E-3</v>
      </c>
      <c r="R65" s="13"/>
      <c r="S65" s="14">
        <f t="shared" si="11"/>
        <v>2.2500000000000003E-3</v>
      </c>
      <c r="T65" s="23"/>
      <c r="U65" s="23"/>
      <c r="V65" s="15">
        <f t="shared" ca="1" si="1"/>
        <v>2.161960204362833</v>
      </c>
      <c r="W65" s="15">
        <f t="shared" ca="1" si="13"/>
        <v>5.0132410535949745E-2</v>
      </c>
      <c r="X65"/>
      <c r="Y65" s="17">
        <v>1.6091</v>
      </c>
      <c r="Z65" s="17">
        <v>704.8</v>
      </c>
    </row>
    <row r="66" spans="1:26">
      <c r="A66" s="12"/>
      <c r="B66" s="11"/>
      <c r="C66" s="11"/>
      <c r="D66" s="11"/>
      <c r="E66" s="11"/>
      <c r="F66" s="11"/>
      <c r="G66" s="11"/>
      <c r="H66" s="13"/>
      <c r="I66" s="13"/>
      <c r="J66" s="13"/>
      <c r="K66" s="11"/>
      <c r="L66" s="10"/>
      <c r="M66" s="6"/>
      <c r="N66" s="7"/>
      <c r="O66" s="14"/>
      <c r="P66" s="13"/>
      <c r="Q66" s="15">
        <f>2.25*(0.001)</f>
        <v>2.2500000000000003E-3</v>
      </c>
      <c r="R66" s="13"/>
      <c r="S66" s="14">
        <f t="shared" si="11"/>
        <v>2.2500000000000003E-3</v>
      </c>
      <c r="T66"/>
      <c r="U66"/>
      <c r="V66" s="15">
        <f>(O68-O65)/2*(R68+R65)</f>
        <v>0</v>
      </c>
      <c r="W66" s="15">
        <f t="shared" si="13"/>
        <v>0</v>
      </c>
      <c r="X66"/>
      <c r="Y66" s="17">
        <v>1.6089</v>
      </c>
      <c r="Z66" s="17">
        <v>709.7</v>
      </c>
    </row>
    <row r="67" spans="1:26">
      <c r="A67" s="12"/>
      <c r="B67" s="11"/>
      <c r="C67" s="11"/>
      <c r="D67" s="11"/>
      <c r="E67" s="11"/>
      <c r="F67" s="11"/>
      <c r="G67" s="11"/>
      <c r="H67" s="13"/>
      <c r="I67" s="13">
        <f>I58+1</f>
        <v>227</v>
      </c>
      <c r="J67" s="13">
        <v>45</v>
      </c>
      <c r="K67" s="11">
        <f>$B$3-(I67+J67/60)*PI()/180</f>
        <v>0.80721477904737737</v>
      </c>
      <c r="L67" s="10"/>
      <c r="M67" s="6"/>
      <c r="N67" s="7">
        <f>SQRT(SIN($G$13)*SIN($G$13) + (SIN(K67-$G$13+$B$2)  + COS($B$2)*SIN($G$13) )* (SIN(K67-$G$13+$B$2)  + COS($B$2)*SIN($G$13) )/(SIN($B$2)*SIN($B$2))   )</f>
        <v>1.5808561719498186</v>
      </c>
      <c r="O67" s="14">
        <f ca="1">FORECAST(N67,OFFSET($Z$1:$Z$200,MATCH(N67,$Y$1:$Y$200,-1)-1,0,2),OFFSET($Y$1:$Y$200,MATCH(N67,$Y$1:$Y$200,-1)-1,0,2))</f>
        <v>4544.4571566745872</v>
      </c>
      <c r="P67" s="13">
        <f t="shared" si="9"/>
        <v>608.70058125000003</v>
      </c>
      <c r="Q67" s="15">
        <f>1.15*(0.001)</f>
        <v>1.15E-3</v>
      </c>
      <c r="R67" s="13">
        <f>AVERAGE(Q67:Q69)</f>
        <v>1.2133333333333334E-3</v>
      </c>
      <c r="S67" s="14">
        <f t="shared" si="11"/>
        <v>6.3333333333333427E-5</v>
      </c>
      <c r="T67" s="23"/>
      <c r="U67" s="23"/>
      <c r="V67" s="15">
        <f>(O69-O66)/2*(R69+R66)</f>
        <v>0</v>
      </c>
      <c r="W67" s="15">
        <f t="shared" si="13"/>
        <v>0</v>
      </c>
      <c r="X67"/>
      <c r="Y67" s="17">
        <v>1.6086</v>
      </c>
      <c r="Z67" s="17">
        <v>714.6</v>
      </c>
    </row>
    <row r="68" spans="1:26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7"/>
      <c r="O68" s="14"/>
      <c r="P68" s="13"/>
      <c r="Q68" s="15">
        <f>1.22*(0.001)</f>
        <v>1.2199999999999999E-3</v>
      </c>
      <c r="R68" s="13"/>
      <c r="S68" s="14">
        <f t="shared" si="11"/>
        <v>1.2700000000000001E-3</v>
      </c>
      <c r="T68" s="23"/>
      <c r="U68" s="23"/>
      <c r="V68" s="15" t="e">
        <f ca="1">(O70-O67)/2*(R70+R67)</f>
        <v>#DIV/0!</v>
      </c>
      <c r="W68" s="15" t="e">
        <f t="shared" ca="1" si="13"/>
        <v>#DIV/0!</v>
      </c>
      <c r="X68"/>
      <c r="Y68" s="17">
        <v>1.6084000000000001</v>
      </c>
      <c r="Z68" s="17">
        <v>719.6</v>
      </c>
    </row>
    <row r="69" spans="1:26">
      <c r="A69" s="12"/>
      <c r="B69" s="11"/>
      <c r="C69" s="11"/>
      <c r="D69" s="11"/>
      <c r="E69" s="11"/>
      <c r="F69" s="11"/>
      <c r="G69" s="11"/>
      <c r="H69" s="13"/>
      <c r="I69" s="13"/>
      <c r="J69" s="13"/>
      <c r="K69" s="11"/>
      <c r="L69" s="10"/>
      <c r="M69" s="6"/>
      <c r="N69" s="7"/>
      <c r="O69" s="14"/>
      <c r="P69" s="13"/>
      <c r="Q69" s="15">
        <f>1.27*(0.001)</f>
        <v>1.2700000000000001E-3</v>
      </c>
      <c r="R69" s="13"/>
      <c r="S69" s="14">
        <f t="shared" si="11"/>
        <v>1.2700000000000001E-3</v>
      </c>
      <c r="T69"/>
      <c r="U69"/>
      <c r="V69" s="15">
        <f>(O71-O68)/2*(R71+R68)</f>
        <v>0</v>
      </c>
      <c r="W69" s="15">
        <f t="shared" si="13"/>
        <v>0</v>
      </c>
      <c r="X69"/>
      <c r="Y69" s="17">
        <v>1.6082000000000001</v>
      </c>
      <c r="Z69" s="17">
        <v>724.7</v>
      </c>
    </row>
    <row r="70" spans="1:26">
      <c r="A70" s="12"/>
      <c r="B70" s="11"/>
      <c r="C70" s="11"/>
      <c r="D70" s="11"/>
      <c r="E70" s="11"/>
      <c r="F70" s="11"/>
      <c r="G70" s="11"/>
      <c r="H70" s="13"/>
      <c r="I70" s="13">
        <f>I64+1</f>
        <v>228</v>
      </c>
      <c r="J70" s="13">
        <v>21</v>
      </c>
      <c r="K70" s="11">
        <f>$B$3-(I70+J70/60)*PI()/180</f>
        <v>0.79674280353541116</v>
      </c>
      <c r="L70" s="10"/>
      <c r="M70" s="6"/>
      <c r="N70" s="7">
        <f>SQRT(SIN($G$13)*SIN($G$13) + (SIN(K70-$G$13+$B$2)  + COS($B$2)*SIN($G$13) )* (SIN(K70-$G$13+$B$2)  + COS($B$2)*SIN($G$13) )/(SIN($B$2)*SIN($B$2))   )</f>
        <v>1.5758526770533665</v>
      </c>
      <c r="O70" s="14" t="e">
        <f ca="1">FORECAST(N70,OFFSET($Z$1:$Z$200,MATCH(N70,$Y$1:$Y$200,-1)-1,0,2),OFFSET($Y$1:$Y$200,MATCH(N70,$Y$1:$Y$200,-1)-1,0,2))</f>
        <v>#DIV/0!</v>
      </c>
      <c r="P70" s="13"/>
      <c r="Q70" s="15">
        <f>0.3*(0.001)</f>
        <v>2.9999999999999997E-4</v>
      </c>
      <c r="R70" s="13">
        <f>AVERAGE(Q70:Q72)</f>
        <v>3.1333333333333338E-4</v>
      </c>
      <c r="S70" s="14">
        <f t="shared" si="11"/>
        <v>1.3333333333333404E-5</v>
      </c>
      <c r="T70" s="23"/>
      <c r="U70" s="23"/>
      <c r="V70" s="15">
        <f>(O72-O69)/2*(R72+R69)</f>
        <v>0</v>
      </c>
      <c r="W70" s="15">
        <f t="shared" si="13"/>
        <v>0</v>
      </c>
      <c r="X70"/>
      <c r="Y70" s="17">
        <v>1.6079000000000001</v>
      </c>
      <c r="Z70" s="17">
        <v>730</v>
      </c>
    </row>
    <row r="71" spans="1:26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7"/>
      <c r="O71" s="14"/>
      <c r="P71" s="13"/>
      <c r="Q71" s="15">
        <f>0.32*(0.001)</f>
        <v>3.2000000000000003E-4</v>
      </c>
      <c r="R71" s="13"/>
      <c r="S71" s="14">
        <f t="shared" si="11"/>
        <v>3.2000000000000003E-4</v>
      </c>
      <c r="T71" s="23"/>
      <c r="U71" s="23"/>
      <c r="V71"/>
      <c r="W71"/>
      <c r="X71"/>
      <c r="Y71" s="17">
        <v>1.6076999999999999</v>
      </c>
      <c r="Z71" s="17">
        <v>735.3</v>
      </c>
    </row>
    <row r="72" spans="1:26">
      <c r="A72" s="12"/>
      <c r="B72" s="11"/>
      <c r="C72" s="11"/>
      <c r="D72" s="11"/>
      <c r="E72" s="11"/>
      <c r="F72" s="11"/>
      <c r="G72" s="13"/>
      <c r="H72" s="13"/>
      <c r="I72" s="13"/>
      <c r="J72" s="13"/>
      <c r="K72" s="11"/>
      <c r="L72" s="10"/>
      <c r="M72" s="6"/>
      <c r="N72" s="7"/>
      <c r="O72" s="14"/>
      <c r="P72" s="13"/>
      <c r="Q72" s="15">
        <f>0.32*(0.001)</f>
        <v>3.2000000000000003E-4</v>
      </c>
      <c r="R72" s="13"/>
      <c r="S72" s="14">
        <f t="shared" si="11"/>
        <v>3.2000000000000003E-4</v>
      </c>
      <c r="T72"/>
      <c r="U72"/>
      <c r="V72"/>
      <c r="W72"/>
      <c r="X72"/>
      <c r="Y72" s="17">
        <v>1.6074999999999999</v>
      </c>
      <c r="Z72" s="17">
        <v>740.7</v>
      </c>
    </row>
    <row r="73" spans="1:26">
      <c r="A73"/>
      <c r="B73"/>
      <c r="C73"/>
      <c r="D73"/>
      <c r="E73"/>
      <c r="F73"/>
      <c r="G73"/>
      <c r="H73" s="13"/>
      <c r="I73" s="13">
        <f>I67+1</f>
        <v>228</v>
      </c>
      <c r="J73" s="13">
        <v>45</v>
      </c>
      <c r="K73" s="11">
        <f>$B$3-(I73+J73/60)*PI()/180</f>
        <v>0.78976148652743428</v>
      </c>
      <c r="L73" s="10"/>
      <c r="M73" s="6"/>
      <c r="N73" s="7">
        <f>SQRT(SIN($G$13)*SIN($G$13) + (SIN(K73-$G$13+$B$2)  + COS($B$2)*SIN($G$13) )* (SIN(K73-$G$13+$B$2)  + COS($B$2)*SIN($G$13) )/(SIN($B$2)*SIN($B$2))   )</f>
        <v>1.5724629628954327</v>
      </c>
      <c r="O73" s="14" t="e">
        <f ca="1">FORECAST(N73,OFFSET($Z$1:$Z$200,MATCH(N73,$Y$1:$Y$200,-1)-1,0,2),OFFSET($Y$1:$Y$200,MATCH(N73,$Y$1:$Y$200,-1)-1,0,2))</f>
        <v>#DIV/0!</v>
      </c>
      <c r="P73" s="13"/>
      <c r="Q73" s="15">
        <f>0.02*(0.001)</f>
        <v>2.0000000000000002E-5</v>
      </c>
      <c r="R73" s="13">
        <f>AVERAGE(Q73:Q75)</f>
        <v>2.666666666666667E-5</v>
      </c>
      <c r="S73" s="14">
        <f t="shared" si="11"/>
        <v>2.3333333333333332E-5</v>
      </c>
      <c r="T73" s="23"/>
      <c r="U73" s="23"/>
      <c r="V73"/>
      <c r="W73"/>
      <c r="X73"/>
      <c r="Y73" s="17">
        <v>1.6072</v>
      </c>
      <c r="Z73" s="17">
        <v>746.3</v>
      </c>
    </row>
    <row r="74" spans="1:26">
      <c r="A74"/>
      <c r="B74"/>
      <c r="C74"/>
      <c r="D74"/>
      <c r="E74"/>
      <c r="F74"/>
      <c r="G74"/>
      <c r="H74" s="13"/>
      <c r="I74" s="13"/>
      <c r="J74" s="13"/>
      <c r="K74" s="13"/>
      <c r="L74" s="13"/>
      <c r="M74" s="6"/>
      <c r="N74" s="7"/>
      <c r="O74" s="14"/>
      <c r="P74" s="13"/>
      <c r="Q74" s="15">
        <f>0.01*(0.001)</f>
        <v>1.0000000000000001E-5</v>
      </c>
      <c r="R74" s="13"/>
      <c r="S74" s="14">
        <f t="shared" si="11"/>
        <v>5.0000000000000002E-5</v>
      </c>
      <c r="T74" s="23"/>
      <c r="U74" s="23"/>
      <c r="V74" s="15" t="s">
        <v>21</v>
      </c>
      <c r="W74" s="15" t="s">
        <v>22</v>
      </c>
      <c r="X74" s="15" t="s">
        <v>49</v>
      </c>
      <c r="Y74" s="17">
        <v>1.607</v>
      </c>
      <c r="Z74" s="17">
        <v>752</v>
      </c>
    </row>
    <row r="75" spans="1:26">
      <c r="A75"/>
      <c r="B75"/>
      <c r="C75"/>
      <c r="D75"/>
      <c r="E75"/>
      <c r="F75"/>
      <c r="G75"/>
      <c r="H75" s="13"/>
      <c r="I75" s="13"/>
      <c r="J75" s="13"/>
      <c r="K75" s="11"/>
      <c r="L75" s="10"/>
      <c r="M75" s="6"/>
      <c r="N75" s="7"/>
      <c r="O75" s="14"/>
      <c r="P75" s="13"/>
      <c r="Q75" s="15">
        <f>0.05*(0.001)</f>
        <v>5.0000000000000002E-5</v>
      </c>
      <c r="R75" s="13"/>
      <c r="S75" s="14">
        <f t="shared" si="11"/>
        <v>5.0000000000000002E-5</v>
      </c>
      <c r="T75"/>
      <c r="U75"/>
      <c r="V75" s="15">
        <f ca="1">SUM(T85:T121)</f>
        <v>10.411551032053582</v>
      </c>
      <c r="W75" s="15">
        <f ca="1">T85+T88+T91+T94+T97</f>
        <v>0.17114824333457568</v>
      </c>
      <c r="X75" s="15">
        <f ca="1">W75/V75*100</f>
        <v>1.6438304226495086</v>
      </c>
      <c r="Y75" s="17">
        <v>1.6068</v>
      </c>
      <c r="Z75" s="17">
        <v>757.7</v>
      </c>
    </row>
    <row r="76" spans="1:2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s="15">
        <f>(0.001)*0</f>
        <v>0</v>
      </c>
      <c r="R76"/>
      <c r="S76" s="18" t="e">
        <f t="shared" si="11"/>
        <v>#VALUE!</v>
      </c>
      <c r="T76"/>
      <c r="U76"/>
      <c r="V76"/>
      <c r="W76"/>
      <c r="X76"/>
      <c r="Y76" s="17">
        <v>1.6065</v>
      </c>
      <c r="Z76" s="17">
        <v>763.7</v>
      </c>
    </row>
    <row r="77" spans="1:2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s="15">
        <f>(0.001)*0</f>
        <v>0</v>
      </c>
      <c r="R77"/>
      <c r="S77" s="18" t="e">
        <f t="shared" ref="S77:S108" si="16">MAX(ABS(Q77-R77),ABS(Q78-R77),ABS(Q79-R77))</f>
        <v>#VALUE!</v>
      </c>
      <c r="T77"/>
      <c r="U77"/>
      <c r="V77" s="15" t="s">
        <v>50</v>
      </c>
      <c r="W77" s="15" t="s">
        <v>51</v>
      </c>
      <c r="X77" s="15" t="s">
        <v>46</v>
      </c>
      <c r="Y77" s="17">
        <v>1.6063000000000001</v>
      </c>
      <c r="Z77" s="17">
        <v>769.7</v>
      </c>
    </row>
    <row r="78" spans="1:26">
      <c r="A78" s="22" t="s">
        <v>26</v>
      </c>
      <c r="B78" s="22" t="s">
        <v>16</v>
      </c>
      <c r="C78" s="22" t="s">
        <v>27</v>
      </c>
      <c r="D78" s="22" t="s">
        <v>28</v>
      </c>
      <c r="E78" s="22" t="s">
        <v>29</v>
      </c>
      <c r="F78" s="22" t="s">
        <v>3</v>
      </c>
      <c r="G78" s="22" t="s">
        <v>30</v>
      </c>
      <c r="H78" s="22" t="s">
        <v>31</v>
      </c>
      <c r="I78" s="22" t="s">
        <v>32</v>
      </c>
      <c r="J78" s="22" t="s">
        <v>33</v>
      </c>
      <c r="K78" s="22" t="s">
        <v>34</v>
      </c>
      <c r="L78" s="22" t="s">
        <v>35</v>
      </c>
      <c r="M78" s="22" t="s">
        <v>36</v>
      </c>
      <c r="N78" s="22" t="s">
        <v>37</v>
      </c>
      <c r="O78" s="22" t="s">
        <v>38</v>
      </c>
      <c r="P78" s="22" t="s">
        <v>39</v>
      </c>
      <c r="Q78" s="15" t="s">
        <v>26</v>
      </c>
      <c r="R78" s="22"/>
      <c r="S78" s="18" t="e">
        <f t="shared" si="16"/>
        <v>#VALUE!</v>
      </c>
      <c r="T78" s="15" t="s">
        <v>47</v>
      </c>
      <c r="U78" s="15" t="s">
        <v>48</v>
      </c>
      <c r="V78" s="15">
        <f ca="1">SUM(U85:U121)</f>
        <v>8.0758836762543737E-2</v>
      </c>
      <c r="W78" s="15">
        <f ca="1">SUM(U85:U100)</f>
        <v>4.0574704306312699E-3</v>
      </c>
      <c r="X78" s="15">
        <f ca="1">(1/V75*W78+(W75/(V75*V75))*W78)*100</f>
        <v>3.9611469523254499E-2</v>
      </c>
      <c r="Y78" s="17">
        <v>1.6061000000000001</v>
      </c>
      <c r="Z78" s="17">
        <v>775.8</v>
      </c>
    </row>
    <row r="79" spans="1:26">
      <c r="A79" s="5">
        <v>9</v>
      </c>
      <c r="B79" s="4"/>
      <c r="C79" s="4"/>
      <c r="D79" s="4"/>
      <c r="E79" s="4"/>
      <c r="F79" s="4">
        <f>F13</f>
        <v>43.3</v>
      </c>
      <c r="G79" s="3">
        <f>F79*PI()/180</f>
        <v>0.75572756611354464</v>
      </c>
      <c r="H79" s="3"/>
      <c r="I79" s="3">
        <v>221</v>
      </c>
      <c r="J79" s="3">
        <v>20</v>
      </c>
      <c r="K79" s="4">
        <f>$B$3-(I79+J79/60)*PI()/180</f>
        <v>0.91920673938368003</v>
      </c>
      <c r="L79" s="2"/>
      <c r="M79" s="3"/>
      <c r="N79" s="9">
        <f>SQRT(SIN($G$13)*SIN($G$13) + (SIN(K79-$G$13+$B$2)  + COS($B$2)*SIN($G$13) )* (SIN(K79-$G$13+$B$2)  + COS($B$2)*SIN($G$13) )/(SIN($B$2)*SIN($B$2))   )</f>
        <v>1.6280856329488436</v>
      </c>
      <c r="O79" s="1" t="e">
        <f ca="1">FORECAST(N79,OFFSET($Z$1:$Z$200,MATCH(N79,$Y$1:$Y$200,-1)-1,0,2),OFFSET($Y$1:$Y$200,MATCH(N79,$Y$1:$Y$200,-1)-1,0,2))</f>
        <v>#N/A</v>
      </c>
      <c r="P79" s="3"/>
      <c r="Q79" s="15">
        <f>0.05*(0.001)</f>
        <v>5.0000000000000002E-5</v>
      </c>
      <c r="R79" s="3">
        <f>AVERAGE(Q79:Q81)</f>
        <v>5.333333333333334E-5</v>
      </c>
      <c r="S79" s="18">
        <f t="shared" si="16"/>
        <v>6.6666666666666616E-6</v>
      </c>
      <c r="T79" s="15" t="s">
        <v>52</v>
      </c>
      <c r="U79"/>
      <c r="V79"/>
      <c r="W79"/>
      <c r="X79"/>
      <c r="Y79" s="17">
        <v>1.6057999999999999</v>
      </c>
      <c r="Z79" s="17">
        <v>782.1</v>
      </c>
    </row>
    <row r="80" spans="1:26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9"/>
      <c r="O80" s="1"/>
      <c r="P80" s="3"/>
      <c r="Q80" s="15">
        <f>0.06*(0.001)</f>
        <v>6.0000000000000002E-5</v>
      </c>
      <c r="R80" s="3"/>
      <c r="S80" s="18">
        <v>0</v>
      </c>
      <c r="T80"/>
      <c r="U80"/>
      <c r="V80"/>
      <c r="W80"/>
      <c r="X80"/>
      <c r="Y80" s="17">
        <v>1.6055999999999999</v>
      </c>
      <c r="Z80" s="17">
        <v>788.6</v>
      </c>
    </row>
    <row r="81" spans="1:26">
      <c r="A81" s="5"/>
      <c r="B81" s="4"/>
      <c r="C81" s="4"/>
      <c r="D81" s="4"/>
      <c r="E81" s="4"/>
      <c r="F81" s="4"/>
      <c r="G81" s="4"/>
      <c r="H81" s="3"/>
      <c r="I81" s="3"/>
      <c r="J81" s="3"/>
      <c r="K81" s="4"/>
      <c r="L81" s="2"/>
      <c r="M81" s="2"/>
      <c r="N81" s="9"/>
      <c r="O81" s="1"/>
      <c r="P81" s="3"/>
      <c r="Q81" s="15">
        <f>0.05*(0.001)</f>
        <v>5.0000000000000002E-5</v>
      </c>
      <c r="R81" s="3"/>
      <c r="S81" s="18">
        <v>0</v>
      </c>
      <c r="T81"/>
      <c r="U81"/>
      <c r="V81"/>
      <c r="W81"/>
      <c r="X81"/>
      <c r="Y81" s="17">
        <v>1.6053999999999999</v>
      </c>
      <c r="Z81" s="17">
        <v>795.1</v>
      </c>
    </row>
    <row r="82" spans="1:26">
      <c r="A82" s="5"/>
      <c r="B82" s="4"/>
      <c r="C82" s="4"/>
      <c r="D82" s="4"/>
      <c r="E82" s="4"/>
      <c r="F82" s="4"/>
      <c r="G82" s="4"/>
      <c r="H82" s="3"/>
      <c r="I82" s="3">
        <v>221</v>
      </c>
      <c r="J82" s="3">
        <v>42</v>
      </c>
      <c r="K82" s="4">
        <f>$B$3-(I82+J82/60)*PI()/180</f>
        <v>0.91280719879303485</v>
      </c>
      <c r="L82" s="2"/>
      <c r="M82" s="2"/>
      <c r="N82" s="9">
        <f>SQRT(SIN($G$13)*SIN($G$13) + (SIN(K82-$G$13+$B$2)  + COS($B$2)*SIN($G$13) )* (SIN(K82-$G$13+$B$2)  + COS($B$2)*SIN($G$13) )/(SIN($B$2)*SIN($B$2))   )</f>
        <v>1.6257042848670298</v>
      </c>
      <c r="O82" s="1" t="e">
        <f ca="1">FORECAST(N82,OFFSET($Z$1:$Z$200,MATCH(N82,$Y$1:$Y$200,-1)-1,0,2),OFFSET($Y$1:$Y$200,MATCH(N82,$Y$1:$Y$200,-1)-1,0,2))</f>
        <v>#N/A</v>
      </c>
      <c r="P82" s="3"/>
      <c r="Q82" s="15">
        <f>0.02*(0.001)</f>
        <v>2.0000000000000002E-5</v>
      </c>
      <c r="R82" s="3">
        <f>AVERAGE(Q82:Q84)</f>
        <v>4.3333333333333341E-5</v>
      </c>
      <c r="S82" s="18">
        <f>MAX(ABS(Q82-R82),ABS(Q83-R82),ABS(Q84-R82))</f>
        <v>2.3333333333333339E-5</v>
      </c>
      <c r="T82"/>
      <c r="U82"/>
      <c r="V82"/>
      <c r="W82"/>
      <c r="X82"/>
      <c r="Y82" s="17">
        <v>1.6051</v>
      </c>
      <c r="Z82" s="17">
        <v>801.8</v>
      </c>
    </row>
    <row r="83" spans="1:26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9"/>
      <c r="O83" s="1"/>
      <c r="P83" s="3"/>
      <c r="Q83" s="15">
        <f>0.05*(0.001)</f>
        <v>5.0000000000000002E-5</v>
      </c>
      <c r="R83" s="3"/>
      <c r="S83" s="18">
        <v>0</v>
      </c>
      <c r="T83"/>
      <c r="U83"/>
      <c r="V83"/>
      <c r="W83"/>
      <c r="X83"/>
      <c r="Y83" s="17">
        <v>1.6049</v>
      </c>
      <c r="Z83" s="17">
        <v>808.7</v>
      </c>
    </row>
    <row r="84" spans="1:26">
      <c r="A84" s="5"/>
      <c r="B84" s="4"/>
      <c r="C84" s="4"/>
      <c r="D84" s="4"/>
      <c r="E84" s="4"/>
      <c r="F84" s="4"/>
      <c r="G84" s="4"/>
      <c r="H84" s="3"/>
      <c r="I84" s="3"/>
      <c r="J84" s="3"/>
      <c r="K84" s="4"/>
      <c r="L84" s="2"/>
      <c r="M84" s="2"/>
      <c r="N84" s="9"/>
      <c r="O84" s="1"/>
      <c r="P84" s="3"/>
      <c r="Q84" s="15">
        <f>0.06*(0.001)</f>
        <v>6.0000000000000002E-5</v>
      </c>
      <c r="R84" s="3"/>
      <c r="S84" s="18">
        <v>0</v>
      </c>
      <c r="T84"/>
      <c r="U84"/>
      <c r="V84"/>
      <c r="W84"/>
      <c r="X84"/>
      <c r="Y84" s="17">
        <v>1.6047</v>
      </c>
      <c r="Z84" s="17">
        <v>815.7</v>
      </c>
    </row>
    <row r="85" spans="1:26">
      <c r="A85" s="5"/>
      <c r="B85" s="4"/>
      <c r="C85" s="4"/>
      <c r="D85" s="4"/>
      <c r="E85" s="4"/>
      <c r="F85" s="4"/>
      <c r="G85" s="4"/>
      <c r="H85" s="3"/>
      <c r="I85" s="3">
        <v>222</v>
      </c>
      <c r="J85" s="3">
        <v>21</v>
      </c>
      <c r="K85" s="4">
        <f>$B$3-(I85+J85/60)*PI()/180</f>
        <v>0.90146255865507152</v>
      </c>
      <c r="L85" s="2"/>
      <c r="M85" s="2"/>
      <c r="N85" s="9">
        <f>SQRT(SIN($G$13)*SIN($G$13) + (SIN(K85-$G$13+$B$2)  + COS($B$2)*SIN($G$13) )* (SIN(K85-$G$13+$B$2)  + COS($B$2)*SIN($G$13) )/(SIN($B$2)*SIN($B$2))   )</f>
        <v>1.6213864062422152</v>
      </c>
      <c r="O85" s="1">
        <f ca="1">FORECAST(N85,OFFSET($Z$1:$Z$200,MATCH(N85,$Y$1:$Y$200,-1)-1,0,2),OFFSET($Y$1:$Y$200,MATCH(N85,$Y$1:$Y$200,-1)-1,0,2))</f>
        <v>539.66635422375475</v>
      </c>
      <c r="P85" s="3"/>
      <c r="Q85" s="15">
        <f>0.11*(0.001)</f>
        <v>1.1E-4</v>
      </c>
      <c r="R85" s="3">
        <f>AVERAGE(Q85:Q87)</f>
        <v>1.0666666666666668E-4</v>
      </c>
      <c r="S85" s="18">
        <f>MAX(ABS(Q85-R85),ABS(Q86-R85),ABS(Q87-R85))</f>
        <v>6.6666666666666751E-6</v>
      </c>
      <c r="T85" s="15">
        <f t="shared" ref="T85:T123" ca="1" si="17">(O88-O85)*(R88+R85)/2</f>
        <v>4.5072049284908501E-3</v>
      </c>
      <c r="U85" s="15">
        <f t="shared" ref="U85:U116" ca="1" si="18">(O88-O85)*(S88+S85)/2</f>
        <v>3.3698728437314771E-4</v>
      </c>
      <c r="V85"/>
      <c r="W85"/>
      <c r="X85"/>
      <c r="Y85" s="17">
        <v>1.6044</v>
      </c>
      <c r="Z85" s="17">
        <v>822.8</v>
      </c>
    </row>
    <row r="86" spans="1:2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9"/>
      <c r="O86" s="1"/>
      <c r="P86" s="3"/>
      <c r="Q86" s="15">
        <f>0.1*(0.001)</f>
        <v>1E-4</v>
      </c>
      <c r="R86" s="3"/>
      <c r="S86" s="18">
        <v>0</v>
      </c>
      <c r="T86" s="15">
        <f t="shared" si="17"/>
        <v>0</v>
      </c>
      <c r="U86" s="15">
        <f t="shared" si="18"/>
        <v>0</v>
      </c>
      <c r="V86"/>
      <c r="W86"/>
      <c r="X86"/>
      <c r="Y86" s="17">
        <v>1.6042000000000001</v>
      </c>
      <c r="Z86" s="17">
        <v>830.1</v>
      </c>
    </row>
    <row r="87" spans="1:26">
      <c r="A87" s="5"/>
      <c r="B87" s="4"/>
      <c r="C87" s="4"/>
      <c r="D87" s="4"/>
      <c r="E87" s="4"/>
      <c r="F87" s="4"/>
      <c r="G87" s="4"/>
      <c r="H87" s="3"/>
      <c r="I87" s="3"/>
      <c r="J87" s="3"/>
      <c r="K87" s="4"/>
      <c r="L87" s="2"/>
      <c r="M87" s="2"/>
      <c r="N87" s="9"/>
      <c r="O87" s="1"/>
      <c r="P87" s="3"/>
      <c r="Q87" s="15">
        <f>0.11*(0.001)</f>
        <v>1.1E-4</v>
      </c>
      <c r="R87" s="3"/>
      <c r="S87" s="18">
        <v>0</v>
      </c>
      <c r="T87" s="15">
        <f t="shared" si="17"/>
        <v>0</v>
      </c>
      <c r="U87" s="15">
        <f t="shared" si="18"/>
        <v>0</v>
      </c>
      <c r="V87"/>
      <c r="W87"/>
      <c r="X87"/>
      <c r="Y87" s="17">
        <v>1.6040000000000001</v>
      </c>
      <c r="Z87" s="17">
        <v>837.6</v>
      </c>
    </row>
    <row r="88" spans="1:26">
      <c r="A88" s="5"/>
      <c r="B88" s="4"/>
      <c r="C88" s="4"/>
      <c r="D88" s="4"/>
      <c r="E88" s="4"/>
      <c r="F88" s="4"/>
      <c r="G88" s="4"/>
      <c r="H88" s="3"/>
      <c r="I88" s="3">
        <v>222</v>
      </c>
      <c r="J88" s="3">
        <v>44</v>
      </c>
      <c r="K88" s="4">
        <f>$B$3-(I88+J88/60)*PI()/180</f>
        <v>0.8947721298557596</v>
      </c>
      <c r="L88" s="2"/>
      <c r="M88" s="2"/>
      <c r="N88" s="9">
        <f>SQRT(SIN($G$13)*SIN($G$13) + (SIN(K88-$G$13+$B$2)  + COS($B$2)*SIN($G$13) )* (SIN(K88-$G$13+$B$2)  + COS($B$2)*SIN($G$13) )/(SIN($B$2)*SIN($B$2))   )</f>
        <v>1.6187824499310324</v>
      </c>
      <c r="O88" s="1">
        <f ca="1">FORECAST(N88,OFFSET($Z$1:$Z$200,MATCH(N88,$Y$1:$Y$200,-1)-1,0,2),OFFSET($Y$1:$Y$200,MATCH(N88,$Y$1:$Y$200,-1)-1,0,2))</f>
        <v>564.94040055174082</v>
      </c>
      <c r="P88" s="3"/>
      <c r="Q88" s="15">
        <f>0.26*(0.001)</f>
        <v>2.6000000000000003E-4</v>
      </c>
      <c r="R88" s="3">
        <f>AVERAGE(Q88:Q90)</f>
        <v>2.5000000000000001E-4</v>
      </c>
      <c r="S88" s="18">
        <f>MAX(ABS(Q88-R88),ABS(Q89-R88),ABS(Q90-R88))</f>
        <v>1.9999999999999998E-5</v>
      </c>
      <c r="T88" s="15">
        <f t="shared" ca="1" si="17"/>
        <v>1.8010250908954421E-2</v>
      </c>
      <c r="U88" s="15">
        <f t="shared" ca="1" si="18"/>
        <v>1.2169088451996224E-3</v>
      </c>
      <c r="V88"/>
      <c r="W88"/>
      <c r="X88"/>
      <c r="Y88" s="17">
        <v>1.6036999999999999</v>
      </c>
      <c r="Z88" s="17">
        <v>845.2</v>
      </c>
    </row>
    <row r="89" spans="1:26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9"/>
      <c r="O89" s="1"/>
      <c r="P89" s="3"/>
      <c r="Q89" s="15">
        <f>0.26*(0.001)</f>
        <v>2.6000000000000003E-4</v>
      </c>
      <c r="R89" s="3"/>
      <c r="S89" s="18">
        <v>0</v>
      </c>
      <c r="T89" s="15">
        <f t="shared" si="17"/>
        <v>0</v>
      </c>
      <c r="U89" s="15">
        <f t="shared" si="18"/>
        <v>0</v>
      </c>
      <c r="V89"/>
      <c r="W89"/>
      <c r="X89"/>
      <c r="Y89" s="17">
        <v>1.6034999999999999</v>
      </c>
      <c r="Z89" s="17">
        <v>853</v>
      </c>
    </row>
    <row r="90" spans="1:26">
      <c r="A90" s="5"/>
      <c r="B90" s="4"/>
      <c r="C90" s="4"/>
      <c r="D90" s="4"/>
      <c r="E90" s="4"/>
      <c r="F90" s="4"/>
      <c r="G90" s="4"/>
      <c r="H90" s="3"/>
      <c r="I90" s="3"/>
      <c r="J90" s="3"/>
      <c r="K90" s="4"/>
      <c r="L90" s="2"/>
      <c r="M90" s="2"/>
      <c r="N90" s="9"/>
      <c r="O90" s="1"/>
      <c r="P90" s="3"/>
      <c r="Q90" s="15">
        <f>0.23*(0.001)</f>
        <v>2.3000000000000001E-4</v>
      </c>
      <c r="R90" s="3"/>
      <c r="S90" s="18">
        <v>0</v>
      </c>
      <c r="T90" s="15">
        <f t="shared" si="17"/>
        <v>0</v>
      </c>
      <c r="U90" s="15">
        <f t="shared" si="18"/>
        <v>0</v>
      </c>
      <c r="V90"/>
      <c r="W90"/>
      <c r="X90"/>
      <c r="Y90" s="17">
        <v>1.6032999999999999</v>
      </c>
      <c r="Z90" s="17">
        <v>861</v>
      </c>
    </row>
    <row r="91" spans="1:26">
      <c r="A91" s="5"/>
      <c r="B91" s="4"/>
      <c r="C91" s="4"/>
      <c r="D91" s="4"/>
      <c r="E91" s="4"/>
      <c r="F91" s="4"/>
      <c r="G91" s="4"/>
      <c r="H91" s="3"/>
      <c r="I91" s="3">
        <v>223</v>
      </c>
      <c r="J91" s="3">
        <v>20</v>
      </c>
      <c r="K91" s="4">
        <f>$B$3-(I91+J91/60)*PI()/180</f>
        <v>0.88430015434379339</v>
      </c>
      <c r="L91" s="2"/>
      <c r="M91" s="2"/>
      <c r="N91" s="9">
        <f>SQRT(SIN($G$13)*SIN($G$13) + (SIN(K91-$G$13+$B$2)  + COS($B$2)*SIN($G$13) )* (SIN(K91-$G$13+$B$2)  + COS($B$2)*SIN($G$13) )/(SIN($B$2)*SIN($B$2))   )</f>
        <v>1.6146214997187274</v>
      </c>
      <c r="O91" s="1">
        <f ca="1">FORECAST(N91,OFFSET($Z$1:$Z$200,MATCH(N91,$Y$1:$Y$200,-1)-1,0,2),OFFSET($Y$1:$Y$200,MATCH(N91,$Y$1:$Y$200,-1)-1,0,2))</f>
        <v>613.61675435972575</v>
      </c>
      <c r="P91" s="3"/>
      <c r="Q91" s="15">
        <f>0.5*(0.001)</f>
        <v>5.0000000000000001E-4</v>
      </c>
      <c r="R91" s="3">
        <f>AVERAGE(Q91:Q93)</f>
        <v>4.8999999999999998E-4</v>
      </c>
      <c r="S91" s="18">
        <f>MAX(ABS(Q91-R91),ABS(Q92-R91),ABS(Q93-R91))</f>
        <v>2.999999999999997E-5</v>
      </c>
      <c r="T91" s="15">
        <f t="shared" ca="1" si="17"/>
        <v>2.4082533724696983E-2</v>
      </c>
      <c r="U91" s="15">
        <f t="shared" ca="1" si="18"/>
        <v>8.6009049016774709E-4</v>
      </c>
      <c r="V91"/>
      <c r="W91"/>
      <c r="X91"/>
      <c r="Y91" s="17">
        <v>1.603</v>
      </c>
      <c r="Z91" s="17">
        <v>869.2</v>
      </c>
    </row>
    <row r="92" spans="1:26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9"/>
      <c r="O92" s="1"/>
      <c r="P92" s="3"/>
      <c r="Q92" s="15">
        <f>0.51*(0.001)</f>
        <v>5.1000000000000004E-4</v>
      </c>
      <c r="R92" s="3"/>
      <c r="S92" s="18">
        <v>0</v>
      </c>
      <c r="T92" s="15">
        <f t="shared" si="17"/>
        <v>0</v>
      </c>
      <c r="U92" s="15">
        <f t="shared" si="18"/>
        <v>0</v>
      </c>
      <c r="V92"/>
      <c r="W92"/>
      <c r="X92"/>
      <c r="Y92" s="17">
        <v>1.6028</v>
      </c>
      <c r="Z92" s="17">
        <v>877.5</v>
      </c>
    </row>
    <row r="93" spans="1:26">
      <c r="A93" s="5"/>
      <c r="B93" s="4"/>
      <c r="C93" s="4"/>
      <c r="D93" s="4"/>
      <c r="E93" s="4"/>
      <c r="F93" s="4"/>
      <c r="G93" s="4"/>
      <c r="H93" s="3"/>
      <c r="I93" s="3"/>
      <c r="J93" s="3"/>
      <c r="K93" s="4"/>
      <c r="L93" s="2"/>
      <c r="M93" s="2"/>
      <c r="N93" s="9"/>
      <c r="O93" s="1"/>
      <c r="P93" s="3"/>
      <c r="Q93" s="15">
        <f>0.46*(0.001)</f>
        <v>4.6000000000000001E-4</v>
      </c>
      <c r="R93" s="3"/>
      <c r="S93" s="18">
        <v>0</v>
      </c>
      <c r="T93" s="15">
        <f t="shared" si="17"/>
        <v>0</v>
      </c>
      <c r="U93" s="15">
        <f t="shared" si="18"/>
        <v>0</v>
      </c>
      <c r="V93"/>
      <c r="W93"/>
      <c r="X93"/>
      <c r="Y93" s="17">
        <v>1.6025</v>
      </c>
      <c r="Z93" s="17">
        <v>886.1</v>
      </c>
    </row>
    <row r="94" spans="1:26">
      <c r="A94" s="5"/>
      <c r="B94" s="4"/>
      <c r="C94" s="4"/>
      <c r="D94" s="4"/>
      <c r="E94" s="4"/>
      <c r="F94" s="4"/>
      <c r="G94" s="4"/>
      <c r="H94" s="3"/>
      <c r="I94" s="3">
        <v>223</v>
      </c>
      <c r="J94" s="3">
        <v>41</v>
      </c>
      <c r="K94" s="4">
        <f>$B$3-(I94+J94/60)*PI()/180</f>
        <v>0.87819150196181361</v>
      </c>
      <c r="L94" s="2"/>
      <c r="M94" s="2"/>
      <c r="N94" s="9">
        <f>SQRT(SIN($G$13)*SIN($G$13) + (SIN(K94-$G$13+$B$2)  + COS($B$2)*SIN($G$13) )* (SIN(K94-$G$13+$B$2)  + COS($B$2)*SIN($G$13) )/(SIN($B$2)*SIN($B$2))   )</f>
        <v>1.6121464914184016</v>
      </c>
      <c r="O94" s="1">
        <f ca="1">FORECAST(N94,OFFSET($Z$1:$Z$200,MATCH(N94,$Y$1:$Y$200,-1)-1,0,2),OFFSET($Y$1:$Y$200,MATCH(N94,$Y$1:$Y$200,-1)-1,0,2))</f>
        <v>650.47777536691501</v>
      </c>
      <c r="P94" s="3"/>
      <c r="Q94" s="15">
        <f>0.83*(0.001)</f>
        <v>8.3000000000000001E-4</v>
      </c>
      <c r="R94" s="3">
        <f>AVERAGE(Q94:Q96)</f>
        <v>8.166666666666666E-4</v>
      </c>
      <c r="S94" s="18">
        <f>MAX(ABS(Q94-R94),ABS(Q95-R94),ABS(Q96-R94))</f>
        <v>1.6666666666666566E-5</v>
      </c>
      <c r="T94" s="15">
        <f t="shared" ca="1" si="17"/>
        <v>3.4468227177296973E-2</v>
      </c>
      <c r="U94" s="15">
        <f t="shared" ca="1" si="18"/>
        <v>4.5183069333534922E-4</v>
      </c>
      <c r="V94"/>
      <c r="W94"/>
      <c r="X94"/>
      <c r="Y94" s="17">
        <v>1.6023000000000001</v>
      </c>
      <c r="Z94" s="17">
        <v>894.8</v>
      </c>
    </row>
    <row r="95" spans="1:26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9"/>
      <c r="O95" s="1"/>
      <c r="P95" s="3"/>
      <c r="Q95" s="15">
        <f>0.8*(0.001)</f>
        <v>8.0000000000000004E-4</v>
      </c>
      <c r="R95" s="3"/>
      <c r="S95" s="18">
        <v>0</v>
      </c>
      <c r="T95" s="15">
        <f t="shared" si="17"/>
        <v>0</v>
      </c>
      <c r="U95" s="15">
        <f t="shared" si="18"/>
        <v>0</v>
      </c>
      <c r="V95"/>
      <c r="W95"/>
      <c r="X95"/>
      <c r="Y95" s="17">
        <v>1.6021000000000001</v>
      </c>
      <c r="Z95" s="17">
        <v>903.7</v>
      </c>
    </row>
    <row r="96" spans="1:26">
      <c r="A96" s="5"/>
      <c r="B96" s="4"/>
      <c r="C96" s="4"/>
      <c r="D96" s="4"/>
      <c r="E96" s="4"/>
      <c r="F96" s="4"/>
      <c r="G96" s="4"/>
      <c r="H96" s="3"/>
      <c r="I96" s="3"/>
      <c r="J96" s="3"/>
      <c r="K96" s="4"/>
      <c r="L96" s="2"/>
      <c r="M96" s="2"/>
      <c r="N96" s="9"/>
      <c r="O96" s="1"/>
      <c r="P96" s="3"/>
      <c r="Q96" s="15">
        <f>0.82*(0.001)</f>
        <v>8.1999999999999998E-4</v>
      </c>
      <c r="R96" s="3"/>
      <c r="S96" s="18">
        <v>0</v>
      </c>
      <c r="T96" s="15">
        <f t="shared" si="17"/>
        <v>0</v>
      </c>
      <c r="U96" s="15">
        <f t="shared" si="18"/>
        <v>0</v>
      </c>
      <c r="V96"/>
      <c r="W96"/>
      <c r="X96"/>
      <c r="Y96" s="17">
        <v>1.6017999999999999</v>
      </c>
      <c r="Z96" s="17">
        <v>912.8</v>
      </c>
    </row>
    <row r="97" spans="1:26">
      <c r="A97" s="5"/>
      <c r="B97" s="4"/>
      <c r="C97" s="4"/>
      <c r="D97" s="4"/>
      <c r="E97" s="4"/>
      <c r="F97" s="4"/>
      <c r="G97" s="4"/>
      <c r="H97" s="3"/>
      <c r="I97" s="3">
        <v>224</v>
      </c>
      <c r="J97" s="3">
        <v>0</v>
      </c>
      <c r="K97" s="4">
        <f>$B$3-(I97+J97/60)*PI()/180</f>
        <v>0.87266462599716466</v>
      </c>
      <c r="L97" s="2"/>
      <c r="M97" s="2"/>
      <c r="N97" s="9">
        <f>SQRT(SIN($G$13)*SIN($G$13) + (SIN(K97-$G$13+$B$2)  + COS($B$2)*SIN($G$13) )* (SIN(K97-$G$13+$B$2)  + COS($B$2)*SIN($G$13) )/(SIN($B$2)*SIN($B$2))   )</f>
        <v>1.6098769945222753</v>
      </c>
      <c r="O97" s="1">
        <f ca="1">FORECAST(N97,OFFSET($Z$1:$Z$200,MATCH(N97,$Y$1:$Y$200,-1)-1,0,2),OFFSET($Y$1:$Y$200,MATCH(N97,$Y$1:$Y$200,-1)-1,0,2))</f>
        <v>689.20612050994532</v>
      </c>
      <c r="P97" s="3"/>
      <c r="Q97" s="15">
        <f>0.96*(0.001)</f>
        <v>9.6000000000000002E-4</v>
      </c>
      <c r="R97" s="3">
        <f>AVERAGE(Q97:Q99)</f>
        <v>9.633333333333334E-4</v>
      </c>
      <c r="S97" s="18">
        <f>MAX(ABS(Q97-R97),ABS(Q98-R97),ABS(Q99-R97))</f>
        <v>6.6666666666665396E-6</v>
      </c>
      <c r="T97" s="15">
        <f t="shared" ca="1" si="17"/>
        <v>9.0080026595136448E-2</v>
      </c>
      <c r="U97" s="15">
        <f t="shared" ca="1" si="18"/>
        <v>5.0155916812436464E-4</v>
      </c>
      <c r="V97"/>
      <c r="W97"/>
      <c r="X97"/>
      <c r="Y97" s="17">
        <v>1.6015999999999999</v>
      </c>
      <c r="Z97" s="17">
        <v>922.2</v>
      </c>
    </row>
    <row r="98" spans="1:26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9"/>
      <c r="O98" s="1"/>
      <c r="P98" s="3"/>
      <c r="Q98" s="15">
        <f>0.96*(0.001)</f>
        <v>9.6000000000000002E-4</v>
      </c>
      <c r="R98" s="3"/>
      <c r="S98" s="18">
        <v>0</v>
      </c>
      <c r="T98" s="15">
        <f t="shared" si="17"/>
        <v>0</v>
      </c>
      <c r="U98" s="15">
        <f t="shared" si="18"/>
        <v>0</v>
      </c>
      <c r="V98"/>
      <c r="W98"/>
      <c r="X98"/>
      <c r="Y98" s="17">
        <v>1.6013999999999999</v>
      </c>
      <c r="Z98" s="17">
        <v>931.7</v>
      </c>
    </row>
    <row r="99" spans="1:26">
      <c r="A99" s="5"/>
      <c r="B99" s="4"/>
      <c r="C99" s="4"/>
      <c r="D99" s="4"/>
      <c r="E99" s="4"/>
      <c r="F99" s="4"/>
      <c r="G99" s="4"/>
      <c r="H99" s="3"/>
      <c r="I99" s="3"/>
      <c r="J99" s="3"/>
      <c r="K99" s="4"/>
      <c r="L99" s="2"/>
      <c r="M99" s="2"/>
      <c r="N99" s="9"/>
      <c r="O99" s="1"/>
      <c r="P99" s="3"/>
      <c r="Q99" s="15">
        <f>0.97*(0.001)</f>
        <v>9.6999999999999994E-4</v>
      </c>
      <c r="R99" s="3"/>
      <c r="S99" s="18">
        <v>0</v>
      </c>
      <c r="T99" s="15">
        <f t="shared" si="17"/>
        <v>0</v>
      </c>
      <c r="U99" s="15">
        <f t="shared" si="18"/>
        <v>0</v>
      </c>
      <c r="V99"/>
      <c r="W99"/>
      <c r="X99"/>
      <c r="Y99" s="17">
        <v>1.6011</v>
      </c>
      <c r="Z99" s="17">
        <v>941.5</v>
      </c>
    </row>
    <row r="100" spans="1:26">
      <c r="A100" s="5"/>
      <c r="B100" s="4"/>
      <c r="C100" s="4"/>
      <c r="D100" s="4"/>
      <c r="E100" s="4"/>
      <c r="F100" s="4"/>
      <c r="G100" s="4"/>
      <c r="H100" s="3"/>
      <c r="I100" s="3">
        <f>I91+1</f>
        <v>224</v>
      </c>
      <c r="J100" s="3">
        <v>23</v>
      </c>
      <c r="K100" s="4">
        <f>$B$3-(I100+J100/60)*PI()/180</f>
        <v>0.86597419719785318</v>
      </c>
      <c r="L100" s="2"/>
      <c r="M100" s="2"/>
      <c r="N100" s="9">
        <f>SQRT(SIN($G$13)*SIN($G$13) + (SIN(K100-$G$13+$B$2)  + COS($B$2)*SIN($G$13) )* (SIN(K100-$G$13+$B$2)  + COS($B$2)*SIN($G$13) )/(SIN($B$2)*SIN($B$2))   )</f>
        <v>1.6070914659408817</v>
      </c>
      <c r="O100" s="1">
        <f ca="1">FORECAST(N100,OFFSET($Z$1:$Z$200,MATCH(N100,$Y$1:$Y$200,-1)-1,0,2),OFFSET($Y$1:$Y$200,MATCH(N100,$Y$1:$Y$200,-1)-1,0,2))</f>
        <v>749.39322068486945</v>
      </c>
      <c r="P100" s="3"/>
      <c r="Q100" s="15">
        <f>2.03*(0.001)</f>
        <v>2.0299999999999997E-3</v>
      </c>
      <c r="R100" s="3">
        <f>AVERAGE(Q100:Q102)</f>
        <v>2.0300000000000001E-3</v>
      </c>
      <c r="S100" s="18">
        <f>MAX(ABS(Q100-R100),ABS(Q101-R100),ABS(Q102-R100))</f>
        <v>1.0000000000000026E-5</v>
      </c>
      <c r="T100" s="15">
        <f t="shared" ca="1" si="17"/>
        <v>0.12973766249303356</v>
      </c>
      <c r="U100" s="15">
        <f t="shared" ca="1" si="18"/>
        <v>6.9009394943103891E-4</v>
      </c>
      <c r="V100"/>
      <c r="W100"/>
      <c r="X100"/>
      <c r="Y100" s="17">
        <v>1.6009</v>
      </c>
      <c r="Z100" s="17">
        <v>951.5</v>
      </c>
    </row>
    <row r="101" spans="1:26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9"/>
      <c r="O101" s="1"/>
      <c r="P101" s="3"/>
      <c r="Q101" s="15">
        <f>2.02*(0.001)</f>
        <v>2.0200000000000001E-3</v>
      </c>
      <c r="R101" s="3"/>
      <c r="S101" s="18">
        <v>0</v>
      </c>
      <c r="T101" s="15">
        <f t="shared" si="17"/>
        <v>0</v>
      </c>
      <c r="U101" s="15">
        <f t="shared" si="18"/>
        <v>0</v>
      </c>
      <c r="V101"/>
      <c r="W101"/>
      <c r="X101"/>
      <c r="Y101" s="17">
        <v>1.6007</v>
      </c>
      <c r="Z101" s="17">
        <v>961.8</v>
      </c>
    </row>
    <row r="102" spans="1:26">
      <c r="A102" s="5"/>
      <c r="B102" s="4"/>
      <c r="C102" s="4"/>
      <c r="D102" s="4"/>
      <c r="E102" s="4"/>
      <c r="F102" s="4"/>
      <c r="G102" s="4"/>
      <c r="H102" s="3"/>
      <c r="I102" s="3"/>
      <c r="J102" s="3"/>
      <c r="K102" s="4"/>
      <c r="L102" s="2"/>
      <c r="M102" s="2"/>
      <c r="N102" s="9"/>
      <c r="O102" s="1"/>
      <c r="P102" s="3"/>
      <c r="Q102" s="15">
        <f>2.04*(0.001)</f>
        <v>2.0400000000000001E-3</v>
      </c>
      <c r="R102" s="3"/>
      <c r="S102" s="18">
        <v>0</v>
      </c>
      <c r="T102" s="15">
        <f t="shared" si="17"/>
        <v>0</v>
      </c>
      <c r="U102" s="15">
        <f t="shared" si="18"/>
        <v>0</v>
      </c>
      <c r="V102"/>
      <c r="W102"/>
      <c r="X102"/>
      <c r="Y102" s="17">
        <v>1.6004</v>
      </c>
      <c r="Z102" s="17">
        <v>972.3</v>
      </c>
    </row>
    <row r="103" spans="1:26">
      <c r="A103" s="5"/>
      <c r="B103" s="4"/>
      <c r="C103" s="4"/>
      <c r="D103" s="4"/>
      <c r="E103" s="4"/>
      <c r="F103" s="4"/>
      <c r="G103" s="4"/>
      <c r="H103" s="3"/>
      <c r="I103" s="3">
        <f>I94+1</f>
        <v>224</v>
      </c>
      <c r="J103" s="3">
        <v>39</v>
      </c>
      <c r="K103" s="4">
        <f>$B$3-(I103+J103/60)*PI()/180</f>
        <v>0.86131998585920133</v>
      </c>
      <c r="L103" s="2"/>
      <c r="M103" s="2"/>
      <c r="N103" s="9">
        <f>SQRT(SIN($G$13)*SIN($G$13) + (SIN(K103-$G$13+$B$2)  + COS($B$2)*SIN($G$13) )* (SIN(K103-$G$13+$B$2)  + COS($B$2)*SIN($G$13) )/(SIN($B$2)*SIN($B$2))   )</f>
        <v>1.6051290925272148</v>
      </c>
      <c r="O103" s="1">
        <f ca="1">FORECAST(N103,OFFSET($Z$1:$Z$200,MATCH(N103,$Y$1:$Y$200,-1)-1,0,2),OFFSET($Y$1:$Y$200,MATCH(N103,$Y$1:$Y$200,-1)-1,0,2))</f>
        <v>801.15026689219667</v>
      </c>
      <c r="P103" s="3"/>
      <c r="Q103" s="15">
        <f>2.97*(0.001)</f>
        <v>2.9700000000000004E-3</v>
      </c>
      <c r="R103" s="3">
        <f>AVERAGE(Q103:Q105)</f>
        <v>2.9833333333333331E-3</v>
      </c>
      <c r="S103" s="18">
        <f>MAX(ABS(Q103-R103),ABS(Q104-R103),ABS(Q105-R103))</f>
        <v>1.6666666666667E-5</v>
      </c>
      <c r="T103" s="15">
        <f t="shared" ca="1" si="17"/>
        <v>0.29304243833299226</v>
      </c>
      <c r="U103" s="15">
        <f t="shared" ca="1" si="18"/>
        <v>2.8306081994544578E-3</v>
      </c>
      <c r="V103"/>
      <c r="W103"/>
      <c r="X103"/>
      <c r="Y103" s="17">
        <v>1.6002000000000001</v>
      </c>
      <c r="Z103" s="17">
        <v>983</v>
      </c>
    </row>
    <row r="104" spans="1:26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9"/>
      <c r="O104" s="1"/>
      <c r="P104" s="3"/>
      <c r="Q104" s="15">
        <f>3*(0.001)</f>
        <v>3.0000000000000001E-3</v>
      </c>
      <c r="R104" s="3"/>
      <c r="S104" s="18">
        <v>0</v>
      </c>
      <c r="T104" s="15">
        <f t="shared" si="17"/>
        <v>0</v>
      </c>
      <c r="U104" s="15">
        <f t="shared" si="18"/>
        <v>0</v>
      </c>
      <c r="V104"/>
      <c r="W104"/>
      <c r="X104"/>
      <c r="Y104" s="17">
        <v>1.6</v>
      </c>
      <c r="Z104" s="17">
        <v>994</v>
      </c>
    </row>
    <row r="105" spans="1:26">
      <c r="A105" s="5"/>
      <c r="B105" s="4"/>
      <c r="C105" s="4"/>
      <c r="D105" s="4"/>
      <c r="E105" s="4"/>
      <c r="F105" s="4"/>
      <c r="G105" s="4"/>
      <c r="H105" s="3"/>
      <c r="I105" s="3"/>
      <c r="J105" s="3"/>
      <c r="K105" s="4"/>
      <c r="L105" s="2"/>
      <c r="M105" s="2"/>
      <c r="N105" s="9"/>
      <c r="O105" s="1"/>
      <c r="P105" s="3"/>
      <c r="Q105" s="15">
        <f>2.98*(0.001)</f>
        <v>2.98E-3</v>
      </c>
      <c r="R105" s="3"/>
      <c r="S105" s="18">
        <v>0</v>
      </c>
      <c r="T105" s="15">
        <f t="shared" si="17"/>
        <v>0</v>
      </c>
      <c r="U105" s="15">
        <f t="shared" si="18"/>
        <v>0</v>
      </c>
      <c r="V105"/>
      <c r="W105"/>
      <c r="X105"/>
      <c r="Y105" s="17">
        <v>1.5996999999999999</v>
      </c>
      <c r="Z105" s="17">
        <v>1005.2</v>
      </c>
    </row>
    <row r="106" spans="1:26">
      <c r="A106" s="5"/>
      <c r="B106" s="4"/>
      <c r="C106" s="4"/>
      <c r="D106" s="4"/>
      <c r="E106" s="4"/>
      <c r="F106" s="4"/>
      <c r="G106" s="4"/>
      <c r="H106" s="3"/>
      <c r="I106" s="3">
        <f>I97+1</f>
        <v>225</v>
      </c>
      <c r="J106" s="3">
        <v>1</v>
      </c>
      <c r="K106" s="4">
        <f>$B$3-(I106+J106/60)*PI()/180</f>
        <v>0.85492044526855571</v>
      </c>
      <c r="L106" s="2"/>
      <c r="M106" s="2"/>
      <c r="N106" s="9">
        <f>SQRT(SIN($G$13)*SIN($G$13) + (SIN(K106-$G$13+$B$2)  + COS($B$2)*SIN($G$13) )* (SIN(K106-$G$13+$B$2)  + COS($B$2)*SIN($G$13) )/(SIN($B$2)*SIN($B$2))   )</f>
        <v>1.6023979794426808</v>
      </c>
      <c r="O106" s="1">
        <f ca="1">FORECAST(N106,OFFSET($Z$1:$Z$200,MATCH(N106,$Y$1:$Y$200,-1)-1,0,2),OFFSET($Y$1:$Y$200,MATCH(N106,$Y$1:$Y$200,-1)-1,0,2))</f>
        <v>890.53789424338902</v>
      </c>
      <c r="P106" s="3"/>
      <c r="Q106" s="15">
        <f>3.55*(0.001)</f>
        <v>3.5499999999999998E-3</v>
      </c>
      <c r="R106" s="3">
        <f>AVERAGE(Q106:Q108)</f>
        <v>3.5733333333333333E-3</v>
      </c>
      <c r="S106" s="18">
        <f>MAX(ABS(Q106-R106),ABS(Q107-R106),ABS(Q108-R106))</f>
        <v>4.6666666666667078E-5</v>
      </c>
      <c r="T106" s="15">
        <f t="shared" ca="1" si="17"/>
        <v>0.50662850210688704</v>
      </c>
      <c r="U106" s="15">
        <f t="shared" ca="1" si="18"/>
        <v>1.0132570042137768E-2</v>
      </c>
      <c r="V106"/>
      <c r="W106"/>
      <c r="X106"/>
      <c r="Y106" s="17">
        <v>1.5994999999999999</v>
      </c>
      <c r="Z106" s="17">
        <v>1016.8</v>
      </c>
    </row>
    <row r="107" spans="1:26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9"/>
      <c r="O107" s="1"/>
      <c r="P107" s="3"/>
      <c r="Q107" s="15">
        <f>3.62*(0.001)</f>
        <v>3.6200000000000004E-3</v>
      </c>
      <c r="R107" s="3"/>
      <c r="S107" s="18">
        <v>0</v>
      </c>
      <c r="T107" s="15">
        <f t="shared" si="17"/>
        <v>0</v>
      </c>
      <c r="U107" s="15">
        <f t="shared" si="18"/>
        <v>0</v>
      </c>
      <c r="V107"/>
      <c r="W107"/>
      <c r="X107"/>
      <c r="Y107" s="17">
        <v>1.5992999999999999</v>
      </c>
      <c r="Z107" s="17">
        <v>1028.5999999999999</v>
      </c>
    </row>
    <row r="108" spans="1:26">
      <c r="A108" s="5"/>
      <c r="B108" s="4"/>
      <c r="C108" s="4"/>
      <c r="D108" s="4"/>
      <c r="E108" s="4"/>
      <c r="F108" s="4"/>
      <c r="G108" s="4"/>
      <c r="H108" s="3"/>
      <c r="I108" s="3"/>
      <c r="J108" s="3"/>
      <c r="K108" s="4"/>
      <c r="L108" s="2"/>
      <c r="M108" s="2"/>
      <c r="N108" s="9"/>
      <c r="O108" s="1"/>
      <c r="P108" s="3"/>
      <c r="Q108" s="15">
        <f>3.55*(0.001)</f>
        <v>3.5499999999999998E-3</v>
      </c>
      <c r="R108" s="3"/>
      <c r="S108" s="18">
        <v>0</v>
      </c>
      <c r="T108" s="15">
        <f t="shared" si="17"/>
        <v>0</v>
      </c>
      <c r="U108" s="15">
        <f t="shared" si="18"/>
        <v>0</v>
      </c>
      <c r="V108"/>
      <c r="W108"/>
      <c r="X108"/>
      <c r="Y108" s="17">
        <v>1.5991</v>
      </c>
      <c r="Z108" s="17">
        <v>1040.5999999999999</v>
      </c>
    </row>
    <row r="109" spans="1:26">
      <c r="A109" s="5"/>
      <c r="B109" s="4"/>
      <c r="C109" s="4"/>
      <c r="D109" s="4"/>
      <c r="E109" s="4"/>
      <c r="F109" s="4"/>
      <c r="G109" s="4"/>
      <c r="H109" s="3"/>
      <c r="I109" s="3">
        <f>I100+1</f>
        <v>225</v>
      </c>
      <c r="J109" s="3">
        <v>22</v>
      </c>
      <c r="K109" s="4">
        <f>$B$3-(I109+J109/60)*PI()/180</f>
        <v>0.84881179288657593</v>
      </c>
      <c r="L109" s="2"/>
      <c r="M109" s="2"/>
      <c r="N109" s="43">
        <f>SQRT(SIN($G$13)*SIN($G$13) + (SIN(K109-$G$13+$B$2)  + COS($B$2)*SIN($G$13) )* (SIN(K109-$G$13+$B$2)  + COS($B$2)*SIN($G$13) )/(SIN($B$2)*SIN($B$2))   )</f>
        <v>1.5997556605583205</v>
      </c>
      <c r="O109" s="1">
        <f ca="1">FORECAST(N109,OFFSET($Z$1:$Z$200,MATCH(N109,$Y$1:$Y$200,-1)-1,0,2),OFFSET($Y$1:$Y$200,MATCH(N109,$Y$1:$Y$200,-1)-1,0,2))</f>
        <v>1003.1220058226972</v>
      </c>
      <c r="P109" s="3"/>
      <c r="Q109" s="15">
        <f>5.56*(0.001)</f>
        <v>5.5599999999999998E-3</v>
      </c>
      <c r="R109" s="3">
        <f>AVERAGE(Q109:Q111)</f>
        <v>5.4266666666666664E-3</v>
      </c>
      <c r="S109" s="18">
        <f>MAX(ABS(Q109-R109),ABS(Q110-R109),ABS(Q111-R109))</f>
        <v>1.3333333333333339E-4</v>
      </c>
      <c r="T109" s="15">
        <f t="shared" ca="1" si="17"/>
        <v>0.82701952371434717</v>
      </c>
      <c r="U109" s="15">
        <f t="shared" ca="1" si="18"/>
        <v>1.1362150720425068E-2</v>
      </c>
      <c r="V109"/>
      <c r="W109"/>
      <c r="X109"/>
      <c r="Y109" s="17">
        <v>1.5988</v>
      </c>
      <c r="Z109" s="17">
        <v>1053</v>
      </c>
    </row>
    <row r="110" spans="1:26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3"/>
      <c r="O110" s="1"/>
      <c r="P110" s="3"/>
      <c r="Q110" s="15">
        <f>5.36*(0.001)</f>
        <v>5.3600000000000002E-3</v>
      </c>
      <c r="R110" s="3"/>
      <c r="S110" s="18">
        <v>0</v>
      </c>
      <c r="T110" s="15">
        <f t="shared" si="17"/>
        <v>0</v>
      </c>
      <c r="U110" s="15">
        <f t="shared" si="18"/>
        <v>0</v>
      </c>
      <c r="V110"/>
      <c r="W110"/>
      <c r="X110"/>
      <c r="Y110" s="17">
        <v>1.5986</v>
      </c>
      <c r="Z110" s="17">
        <v>1065.7</v>
      </c>
    </row>
    <row r="111" spans="1:26">
      <c r="A111" s="5"/>
      <c r="B111" s="4"/>
      <c r="C111" s="4"/>
      <c r="D111" s="4"/>
      <c r="E111" s="4"/>
      <c r="F111" s="4"/>
      <c r="G111" s="4"/>
      <c r="H111" s="3"/>
      <c r="I111" s="3"/>
      <c r="J111" s="3"/>
      <c r="K111" s="4"/>
      <c r="L111" s="2"/>
      <c r="M111" s="2"/>
      <c r="N111" s="43"/>
      <c r="O111" s="1"/>
      <c r="P111" s="3"/>
      <c r="Q111" s="15">
        <f>5.36*(0.001)</f>
        <v>5.3600000000000002E-3</v>
      </c>
      <c r="R111" s="3"/>
      <c r="S111" s="18">
        <v>0</v>
      </c>
      <c r="T111" s="15">
        <f t="shared" si="17"/>
        <v>0</v>
      </c>
      <c r="U111" s="15">
        <f t="shared" si="18"/>
        <v>0</v>
      </c>
      <c r="V111"/>
      <c r="W111"/>
      <c r="X111"/>
      <c r="Y111" s="17">
        <v>1.5984</v>
      </c>
      <c r="Z111" s="17">
        <v>1078.7</v>
      </c>
    </row>
    <row r="112" spans="1:26">
      <c r="A112" s="5"/>
      <c r="B112" s="4"/>
      <c r="C112" s="4"/>
      <c r="D112" s="4"/>
      <c r="E112" s="4"/>
      <c r="F112" s="4"/>
      <c r="G112" s="4"/>
      <c r="H112" s="3"/>
      <c r="I112" s="3">
        <f>I103+1</f>
        <v>225</v>
      </c>
      <c r="J112" s="3">
        <v>42</v>
      </c>
      <c r="K112" s="4">
        <f>$B$3-(I112+J112/60)*PI()/180</f>
        <v>0.84299402871326112</v>
      </c>
      <c r="L112" s="2"/>
      <c r="M112" s="2"/>
      <c r="N112" s="43">
        <f>SQRT(SIN($G$13)*SIN($G$13) + (SIN(K112-$G$13+$B$2)  + COS($B$2)*SIN($G$13) )* (SIN(K112-$G$13+$B$2)  + COS($B$2)*SIN($G$13) )/(SIN($B$2)*SIN($B$2))   )</f>
        <v>1.5972072008377705</v>
      </c>
      <c r="O112" s="1">
        <f ca="1">FORECAST(N112,OFFSET($Z$1:$Z$200,MATCH(N112,$Y$1:$Y$200,-1)-1,0,2),OFFSET($Y$1:$Y$200,MATCH(N112,$Y$1:$Y$200,-1)-1,0,2))</f>
        <v>1148.1707384238689</v>
      </c>
      <c r="P112" s="3"/>
      <c r="Q112" s="15">
        <f>6*(0.001)</f>
        <v>6.0000000000000001E-3</v>
      </c>
      <c r="R112" s="3">
        <f>AVERAGE(Q112:Q114)</f>
        <v>5.9766666666666675E-3</v>
      </c>
      <c r="S112" s="18">
        <f>MAX(ABS(Q112-R112),ABS(Q113-R112),ABS(Q114-R112))</f>
        <v>2.3333333333332672E-5</v>
      </c>
      <c r="T112" s="15">
        <f t="shared" ca="1" si="17"/>
        <v>2.3781870458008418</v>
      </c>
      <c r="U112" s="15">
        <f t="shared" ca="1" si="18"/>
        <v>7.2483603956134271E-3</v>
      </c>
      <c r="V112"/>
      <c r="W112"/>
      <c r="X112"/>
      <c r="Y112" s="17">
        <v>1.5981000000000001</v>
      </c>
      <c r="Z112" s="17">
        <v>1092</v>
      </c>
    </row>
    <row r="113" spans="1:26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3"/>
      <c r="O113" s="1"/>
      <c r="P113" s="3"/>
      <c r="Q113" s="15">
        <f>5.96*(0.001)</f>
        <v>5.96E-3</v>
      </c>
      <c r="R113" s="3"/>
      <c r="S113" s="18">
        <v>0</v>
      </c>
      <c r="T113" s="15">
        <f t="shared" si="17"/>
        <v>0</v>
      </c>
      <c r="U113" s="15">
        <f t="shared" si="18"/>
        <v>0</v>
      </c>
      <c r="V113"/>
      <c r="W113"/>
      <c r="X113"/>
      <c r="Y113" s="17">
        <v>1.5979000000000001</v>
      </c>
      <c r="Z113" s="17">
        <v>1105.7</v>
      </c>
    </row>
    <row r="114" spans="1:26">
      <c r="A114" s="5"/>
      <c r="B114" s="4"/>
      <c r="C114" s="4"/>
      <c r="D114" s="4"/>
      <c r="E114" s="4"/>
      <c r="F114" s="4"/>
      <c r="G114" s="4"/>
      <c r="H114" s="3"/>
      <c r="I114" s="3"/>
      <c r="J114" s="3"/>
      <c r="K114" s="4"/>
      <c r="L114" s="2"/>
      <c r="M114" s="2"/>
      <c r="N114" s="43"/>
      <c r="O114" s="1"/>
      <c r="P114" s="3"/>
      <c r="Q114" s="15">
        <f>5.97*(0.001)</f>
        <v>5.9699999999999996E-3</v>
      </c>
      <c r="R114" s="3"/>
      <c r="S114" s="18">
        <v>0</v>
      </c>
      <c r="T114" s="15">
        <f t="shared" si="17"/>
        <v>0</v>
      </c>
      <c r="U114" s="15">
        <f t="shared" si="18"/>
        <v>0</v>
      </c>
      <c r="V114"/>
      <c r="W114"/>
      <c r="X114"/>
      <c r="Y114" s="17">
        <v>1.5976999999999999</v>
      </c>
      <c r="Z114" s="17">
        <v>1119.5999999999999</v>
      </c>
    </row>
    <row r="115" spans="1:26">
      <c r="A115" s="5"/>
      <c r="B115" s="4"/>
      <c r="C115" s="4"/>
      <c r="D115" s="4"/>
      <c r="E115" s="4"/>
      <c r="F115" s="4"/>
      <c r="G115" s="4"/>
      <c r="H115" s="3"/>
      <c r="I115" s="3">
        <f>I109+1</f>
        <v>226</v>
      </c>
      <c r="J115" s="3">
        <v>21</v>
      </c>
      <c r="K115" s="4">
        <f>$B$3-(I115+J115/60)*PI()/180</f>
        <v>0.83164938857529869</v>
      </c>
      <c r="L115" s="2"/>
      <c r="M115" s="2"/>
      <c r="N115" s="43">
        <f>SQRT(SIN($G$13)*SIN($G$13) + (SIN(K115-$G$13+$B$2)  + COS($B$2)*SIN($G$13) )* (SIN(K115-$G$13+$B$2)  + COS($B$2)*SIN($G$13) )/(SIN($B$2)*SIN($B$2))   )</f>
        <v>1.5921484876462784</v>
      </c>
      <c r="O115" s="1">
        <f ca="1">FORECAST(N115,OFFSET($Z$1:$Z$200,MATCH(N115,$Y$1:$Y$200,-1)-1,0,2),OFFSET($Y$1:$Y$200,MATCH(N115,$Y$1:$Y$200,-1)-1,0,2))</f>
        <v>1583.0723621606885</v>
      </c>
      <c r="P115" s="3"/>
      <c r="Q115" s="15">
        <f>4.96*(0.001)</f>
        <v>4.96E-3</v>
      </c>
      <c r="R115" s="3">
        <f>AVERAGE(Q115:Q117)</f>
        <v>4.96E-3</v>
      </c>
      <c r="S115" s="18">
        <f>MAX(ABS(Q115-R115),ABS(Q116-R115),ABS(Q117-R115))</f>
        <v>9.9999999999995925E-6</v>
      </c>
      <c r="T115" s="15">
        <f t="shared" ca="1" si="17"/>
        <v>1.4482924690801897</v>
      </c>
      <c r="U115" s="15">
        <f t="shared" ca="1" si="18"/>
        <v>5.525724796185353E-3</v>
      </c>
      <c r="V115"/>
      <c r="W115"/>
      <c r="X115"/>
      <c r="Y115" s="17">
        <v>1.5973999999999999</v>
      </c>
      <c r="Z115" s="17">
        <v>1134</v>
      </c>
    </row>
    <row r="116" spans="1:2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3"/>
      <c r="O116" s="1"/>
      <c r="P116" s="3"/>
      <c r="Q116" s="15">
        <f>4.95*(0.001)</f>
        <v>4.9500000000000004E-3</v>
      </c>
      <c r="R116" s="3"/>
      <c r="S116" s="18">
        <v>0</v>
      </c>
      <c r="T116" s="15">
        <f t="shared" si="17"/>
        <v>0</v>
      </c>
      <c r="U116" s="15">
        <f t="shared" si="18"/>
        <v>0</v>
      </c>
      <c r="V116"/>
      <c r="W116"/>
      <c r="X116"/>
      <c r="Y116" s="17">
        <v>1.5972</v>
      </c>
      <c r="Z116" s="17">
        <v>1148.7</v>
      </c>
    </row>
    <row r="117" spans="1:26">
      <c r="A117" s="5"/>
      <c r="B117" s="4"/>
      <c r="C117" s="4"/>
      <c r="D117" s="4"/>
      <c r="E117" s="4"/>
      <c r="F117" s="4"/>
      <c r="G117" s="4"/>
      <c r="H117" s="3"/>
      <c r="I117" s="3"/>
      <c r="J117" s="3"/>
      <c r="K117" s="4"/>
      <c r="L117" s="2"/>
      <c r="M117" s="2"/>
      <c r="N117" s="43"/>
      <c r="O117" s="1"/>
      <c r="P117" s="3"/>
      <c r="Q117" s="15">
        <f>4.97*(0.001)</f>
        <v>4.9699999999999996E-3</v>
      </c>
      <c r="R117" s="3"/>
      <c r="S117" s="18">
        <v>0</v>
      </c>
      <c r="T117" s="15">
        <f t="shared" si="17"/>
        <v>0</v>
      </c>
      <c r="U117" s="15">
        <f t="shared" ref="U117:U148" si="19">(O120-O117)*(S120+S117)/2</f>
        <v>0</v>
      </c>
      <c r="V117"/>
      <c r="W117"/>
      <c r="X117"/>
      <c r="Y117" s="17">
        <v>1.597</v>
      </c>
      <c r="Z117" s="17">
        <v>1163.7</v>
      </c>
    </row>
    <row r="118" spans="1:26">
      <c r="A118" s="5"/>
      <c r="B118" s="4"/>
      <c r="C118" s="4"/>
      <c r="D118" s="4"/>
      <c r="E118" s="4"/>
      <c r="F118" s="4"/>
      <c r="G118" s="4"/>
      <c r="H118" s="3"/>
      <c r="I118" s="3">
        <f>I112+1</f>
        <v>226</v>
      </c>
      <c r="J118" s="3">
        <v>40</v>
      </c>
      <c r="K118" s="4">
        <f>$B$3-(I118+J118/60)*PI()/180</f>
        <v>0.82612251261064973</v>
      </c>
      <c r="L118" s="2"/>
      <c r="M118" s="44"/>
      <c r="N118" s="43">
        <f>SQRT(SIN($G$13)*SIN($G$13) + (SIN(K118-$G$13+$B$2)  + COS($B$2)*SIN($G$13) )* (SIN(K118-$G$13+$B$2)  + COS($B$2)*SIN($G$13) )/(SIN($B$2)*SIN($B$2))   )</f>
        <v>1.5896414872910742</v>
      </c>
      <c r="O118" s="1">
        <f ca="1">FORECAST(N118,OFFSET($Z$1:$Z$200,MATCH(N118,$Y$1:$Y$200,-1)-1,0,2),OFFSET($Y$1:$Y$200,MATCH(N118,$Y$1:$Y$200,-1)-1,0,2))</f>
        <v>1914.6158499318117</v>
      </c>
      <c r="P118" s="3"/>
      <c r="Q118" s="15">
        <f>3.76*(0.001)</f>
        <v>3.7599999999999999E-3</v>
      </c>
      <c r="R118" s="3">
        <f>AVERAGE(Q118:Q120)</f>
        <v>3.7766666666666665E-3</v>
      </c>
      <c r="S118" s="18">
        <f>MAX(ABS(Q118-R118),ABS(Q119-R118),ABS(Q120-R118))</f>
        <v>2.3333333333333539E-5</v>
      </c>
      <c r="T118" s="15">
        <f t="shared" ca="1" si="17"/>
        <v>3.5720980574777625</v>
      </c>
      <c r="U118" s="15">
        <f t="shared" ca="1" si="19"/>
        <v>2.5236402461307365E-2</v>
      </c>
      <c r="V118"/>
      <c r="W118"/>
      <c r="X118"/>
      <c r="Y118" s="17">
        <v>1.5967</v>
      </c>
      <c r="Z118" s="17">
        <v>1179.2</v>
      </c>
    </row>
    <row r="119" spans="1:26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4"/>
      <c r="N119" s="43"/>
      <c r="O119" s="1"/>
      <c r="P119" s="3"/>
      <c r="Q119" s="15">
        <f>3.8*(0.001)</f>
        <v>3.8E-3</v>
      </c>
      <c r="R119" s="3"/>
      <c r="S119" s="18">
        <v>0</v>
      </c>
      <c r="T119" s="15">
        <f t="shared" si="17"/>
        <v>0</v>
      </c>
      <c r="U119" s="15">
        <f t="shared" si="19"/>
        <v>0</v>
      </c>
      <c r="V119"/>
      <c r="W119"/>
      <c r="X119"/>
      <c r="Y119" s="17">
        <v>1.5965</v>
      </c>
      <c r="Z119" s="17">
        <v>1195</v>
      </c>
    </row>
    <row r="120" spans="1:26">
      <c r="A120" s="5"/>
      <c r="B120" s="4"/>
      <c r="C120" s="4"/>
      <c r="D120" s="4"/>
      <c r="E120" s="4"/>
      <c r="F120" s="4"/>
      <c r="G120" s="4"/>
      <c r="H120" s="3"/>
      <c r="I120" s="3"/>
      <c r="J120" s="3"/>
      <c r="K120" s="4"/>
      <c r="L120" s="2"/>
      <c r="M120" s="44"/>
      <c r="N120" s="43"/>
      <c r="O120" s="1"/>
      <c r="P120" s="3"/>
      <c r="Q120" s="15">
        <f>3.77*(0.001)</f>
        <v>3.7699999999999999E-3</v>
      </c>
      <c r="R120" s="3"/>
      <c r="S120" s="18">
        <v>0</v>
      </c>
      <c r="T120" s="15">
        <f t="shared" si="17"/>
        <v>0</v>
      </c>
      <c r="U120" s="15">
        <f t="shared" si="19"/>
        <v>0</v>
      </c>
      <c r="V120"/>
      <c r="W120"/>
      <c r="X120"/>
      <c r="Y120" s="17">
        <v>1.5963000000000001</v>
      </c>
      <c r="Z120" s="17">
        <v>1211.2</v>
      </c>
    </row>
    <row r="121" spans="1:26">
      <c r="A121" s="5"/>
      <c r="B121" s="4"/>
      <c r="C121" s="4"/>
      <c r="D121" s="4"/>
      <c r="E121" s="4"/>
      <c r="F121" s="4"/>
      <c r="G121" s="4"/>
      <c r="H121" s="3"/>
      <c r="I121" s="3">
        <f>I115+1</f>
        <v>227</v>
      </c>
      <c r="J121" s="3">
        <v>24</v>
      </c>
      <c r="K121" s="4">
        <f>$B$3-(I121+J121/60)*PI()/180</f>
        <v>0.81332343142935759</v>
      </c>
      <c r="L121" s="2"/>
      <c r="M121" s="44"/>
      <c r="N121" s="43">
        <f>SQRT(SIN($G$13)*SIN($G$13) + (SIN(K121-$G$13+$B$2)  + COS($B$2)*SIN($G$13) )* (SIN(K121-$G$13+$B$2)  + COS($B$2)*SIN($G$13) )/(SIN($B$2)*SIN($B$2))   )</f>
        <v>1.5837296675002202</v>
      </c>
      <c r="O121" s="1">
        <f ca="1">FORECAST(N121,OFFSET($Z$1:$Z$200,MATCH(N121,$Y$1:$Y$200,-1)-1,0,2),OFFSET($Y$1:$Y$200,MATCH(N121,$Y$1:$Y$200,-1)-1,0,2))</f>
        <v>3291.1468932758435</v>
      </c>
      <c r="P121" s="3"/>
      <c r="Q121" s="15">
        <f>1.42*(0.001)</f>
        <v>1.42E-3</v>
      </c>
      <c r="R121" s="3">
        <f>AVERAGE(Q121:Q123)</f>
        <v>1.4133333333333333E-3</v>
      </c>
      <c r="S121" s="18">
        <f>MAX(ABS(Q121-R121),ABS(Q122-R121),ABS(Q123-R121))</f>
        <v>1.3333333333333296E-5</v>
      </c>
      <c r="T121" s="15">
        <f t="shared" ca="1" si="17"/>
        <v>1.0853970897129543</v>
      </c>
      <c r="U121" s="15">
        <f t="shared" ca="1" si="19"/>
        <v>1.4365549716789034E-2</v>
      </c>
      <c r="V121"/>
      <c r="W121"/>
      <c r="X121"/>
      <c r="Y121" s="17">
        <v>1.5960000000000001</v>
      </c>
      <c r="Z121" s="17">
        <v>1227.9000000000001</v>
      </c>
    </row>
    <row r="122" spans="1:26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4"/>
      <c r="N122" s="43"/>
      <c r="O122" s="1"/>
      <c r="P122" s="3"/>
      <c r="Q122" s="15">
        <f>1.42*(0.001)</f>
        <v>1.42E-3</v>
      </c>
      <c r="R122" s="3"/>
      <c r="S122" s="18">
        <v>0</v>
      </c>
      <c r="T122" s="15">
        <f t="shared" si="17"/>
        <v>0</v>
      </c>
      <c r="U122" s="15">
        <f t="shared" si="19"/>
        <v>0</v>
      </c>
      <c r="V122"/>
      <c r="W122"/>
      <c r="X122"/>
      <c r="Y122" s="17">
        <v>1.5958000000000001</v>
      </c>
      <c r="Z122" s="17">
        <v>1245</v>
      </c>
    </row>
    <row r="123" spans="1:26">
      <c r="A123" s="5"/>
      <c r="B123" s="4"/>
      <c r="C123" s="4"/>
      <c r="D123" s="4"/>
      <c r="E123" s="4"/>
      <c r="F123" s="4"/>
      <c r="G123" s="4"/>
      <c r="H123" s="3"/>
      <c r="I123" s="3"/>
      <c r="J123" s="3"/>
      <c r="K123" s="4"/>
      <c r="L123" s="2"/>
      <c r="M123" s="44"/>
      <c r="N123" s="43"/>
      <c r="O123" s="1"/>
      <c r="P123" s="3"/>
      <c r="Q123" s="15">
        <f>1.4*(0.001)</f>
        <v>1.4E-3</v>
      </c>
      <c r="R123" s="3"/>
      <c r="S123" s="18">
        <v>0</v>
      </c>
      <c r="T123" s="15">
        <f t="shared" si="17"/>
        <v>0</v>
      </c>
      <c r="U123" s="15">
        <f t="shared" si="19"/>
        <v>0</v>
      </c>
      <c r="V123"/>
      <c r="W123"/>
      <c r="X123"/>
      <c r="Y123" s="17">
        <v>1.5955999999999999</v>
      </c>
      <c r="Z123" s="17">
        <v>1262.5</v>
      </c>
    </row>
    <row r="124" spans="1:26">
      <c r="A124" s="5"/>
      <c r="B124" s="4"/>
      <c r="C124" s="4"/>
      <c r="D124" s="4"/>
      <c r="E124" s="4"/>
      <c r="F124" s="4"/>
      <c r="G124" s="4"/>
      <c r="H124" s="3"/>
      <c r="I124" s="3">
        <f>I118+1</f>
        <v>227</v>
      </c>
      <c r="J124" s="3">
        <v>41</v>
      </c>
      <c r="K124" s="4">
        <f>$B$3-(I124+J124/60)*PI()/180</f>
        <v>0.80837833188204078</v>
      </c>
      <c r="L124" s="2"/>
      <c r="M124" s="44"/>
      <c r="N124" s="43">
        <f>SQRT(SIN($G$13)*SIN($G$13) + (SIN(K124-$G$13+$B$2)  + COS($B$2)*SIN($G$13) )* (SIN(K124-$G$13+$B$2)  + COS($B$2)*SIN($G$13) )/(SIN($B$2)*SIN($B$2))   )</f>
        <v>1.5814060805196528</v>
      </c>
      <c r="O124" s="1">
        <f ca="1">FORECAST(N124,OFFSET($Z$1:$Z$200,MATCH(N124,$Y$1:$Y$200,-1)-1,0,2),OFFSET($Y$1:$Y$200,MATCH(N124,$Y$1:$Y$200,-1)-1,0,2))</f>
        <v>4248.8502077284502</v>
      </c>
      <c r="P124" s="3"/>
      <c r="Q124" s="15">
        <f>0.87*(0.001)</f>
        <v>8.7000000000000001E-4</v>
      </c>
      <c r="R124" s="3">
        <f>AVERAGE(Q124:Q126)</f>
        <v>8.5333333333333344E-4</v>
      </c>
      <c r="S124" s="18">
        <f>MAX(ABS(Q124-R124),ABS(Q125-R124),ABS(Q126-R124))</f>
        <v>1.6666666666666566E-5</v>
      </c>
      <c r="T124" s="15" t="e">
        <f ca="1">(O127-O124)*(R124)/2</f>
        <v>#DIV/0!</v>
      </c>
      <c r="U124" s="15" t="e">
        <f t="shared" ca="1" si="19"/>
        <v>#DIV/0!</v>
      </c>
      <c r="V124"/>
      <c r="W124"/>
      <c r="X124"/>
      <c r="Y124" s="17">
        <v>1.5952999999999999</v>
      </c>
      <c r="Z124" s="17">
        <v>1280.5</v>
      </c>
    </row>
    <row r="125" spans="1:26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4"/>
      <c r="N125" s="43"/>
      <c r="O125" s="1"/>
      <c r="P125" s="3"/>
      <c r="Q125" s="15">
        <f>0.84*(0.001)</f>
        <v>8.4000000000000003E-4</v>
      </c>
      <c r="R125" s="3"/>
      <c r="S125" s="18">
        <v>0</v>
      </c>
      <c r="T125" s="15">
        <f t="shared" ref="T125:T156" si="20">(O128-O125)*(R128+R125)/2</f>
        <v>0</v>
      </c>
      <c r="U125" s="15">
        <f t="shared" si="19"/>
        <v>0</v>
      </c>
      <c r="V125"/>
      <c r="W125"/>
      <c r="X125"/>
      <c r="Y125" s="17">
        <v>1.5951</v>
      </c>
      <c r="Z125" s="17">
        <v>1299</v>
      </c>
    </row>
    <row r="126" spans="1:26">
      <c r="A126" s="5"/>
      <c r="B126" s="4"/>
      <c r="C126" s="4"/>
      <c r="D126" s="4"/>
      <c r="E126" s="4"/>
      <c r="F126" s="4"/>
      <c r="G126" s="4"/>
      <c r="H126" s="3"/>
      <c r="I126" s="3"/>
      <c r="J126" s="3"/>
      <c r="K126" s="4"/>
      <c r="L126" s="2"/>
      <c r="M126" s="44"/>
      <c r="N126" s="43"/>
      <c r="O126" s="1"/>
      <c r="P126" s="3"/>
      <c r="Q126" s="15">
        <f>0.85*(0.001)</f>
        <v>8.4999999999999995E-4</v>
      </c>
      <c r="R126" s="3"/>
      <c r="S126" s="18">
        <v>0</v>
      </c>
      <c r="T126" s="15">
        <f t="shared" si="20"/>
        <v>0</v>
      </c>
      <c r="U126" s="15">
        <f t="shared" si="19"/>
        <v>0</v>
      </c>
      <c r="V126"/>
      <c r="W126"/>
      <c r="X126"/>
      <c r="Y126" s="17">
        <v>1.5949</v>
      </c>
      <c r="Z126" s="17">
        <v>1317.9</v>
      </c>
    </row>
    <row r="127" spans="1:26">
      <c r="A127" s="5"/>
      <c r="B127" s="4"/>
      <c r="C127" s="4"/>
      <c r="D127" s="4"/>
      <c r="E127" s="4"/>
      <c r="F127" s="4"/>
      <c r="G127" s="4"/>
      <c r="H127" s="3"/>
      <c r="I127" s="3">
        <f>I121+1</f>
        <v>228</v>
      </c>
      <c r="J127" s="3">
        <v>22</v>
      </c>
      <c r="K127" s="4">
        <f>$B$3-(I127+J127/60)*PI()/180</f>
        <v>0.79645191532674531</v>
      </c>
      <c r="L127" s="2"/>
      <c r="M127" s="44"/>
      <c r="N127" s="43">
        <f>SQRT(SIN($G$13)*SIN($G$13) + (SIN(K127-$G$13+$B$2)  + COS($B$2)*SIN($G$13) )* (SIN(K127-$G$13+$B$2)  + COS($B$2)*SIN($G$13) )/(SIN($B$2)*SIN($B$2))   )</f>
        <v>1.5757122997958219</v>
      </c>
      <c r="O127" s="1" t="e">
        <f t="shared" ref="O127" ca="1" si="21">FORECAST(N127,OFFSET($Z$1:$Z$200,MATCH(N127,$Y$1:$Y$200,-1)-1,0,2),OFFSET($Y$1:$Y$200,MATCH(N127,$Y$1:$Y$200,-1)-1,0,2))</f>
        <v>#DIV/0!</v>
      </c>
      <c r="P127" s="3"/>
      <c r="Q127" s="15">
        <f>0.12*(0.001)</f>
        <v>1.2E-4</v>
      </c>
      <c r="R127" s="3">
        <f>AVERAGE(Q127:Q129)</f>
        <v>1.3333333333333337E-4</v>
      </c>
      <c r="S127" s="18">
        <f>MAX(ABS(Q127-R127),ABS(Q128-R127),ABS(Q129-R127))</f>
        <v>1.3333333333333364E-5</v>
      </c>
      <c r="T127" s="15" t="e">
        <f t="shared" ca="1" si="20"/>
        <v>#DIV/0!</v>
      </c>
      <c r="U127" s="15" t="e">
        <f t="shared" ca="1" si="19"/>
        <v>#DIV/0!</v>
      </c>
      <c r="V127"/>
      <c r="W127"/>
      <c r="X127"/>
      <c r="Y127" s="17">
        <v>1.5946</v>
      </c>
      <c r="Z127" s="17">
        <v>1337.4</v>
      </c>
    </row>
    <row r="128" spans="1:26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4"/>
      <c r="N128" s="43"/>
      <c r="O128" s="1"/>
      <c r="P128" s="3"/>
      <c r="Q128" s="15">
        <f>0.14*(0.001)</f>
        <v>1.4000000000000001E-4</v>
      </c>
      <c r="R128" s="3"/>
      <c r="S128" s="18">
        <v>0</v>
      </c>
      <c r="T128" s="15">
        <f t="shared" si="20"/>
        <v>0</v>
      </c>
      <c r="U128" s="15">
        <f t="shared" si="19"/>
        <v>0</v>
      </c>
      <c r="V128"/>
      <c r="W128"/>
      <c r="X128"/>
      <c r="Y128" s="17">
        <v>1.5944</v>
      </c>
      <c r="Z128" s="17">
        <v>1357.4</v>
      </c>
    </row>
    <row r="129" spans="1:26">
      <c r="A129" s="5"/>
      <c r="B129" s="4"/>
      <c r="C129" s="4"/>
      <c r="D129" s="4"/>
      <c r="E129" s="4"/>
      <c r="F129" s="4"/>
      <c r="G129" s="4"/>
      <c r="H129" s="3"/>
      <c r="I129" s="3"/>
      <c r="J129" s="3"/>
      <c r="K129" s="4"/>
      <c r="L129" s="2"/>
      <c r="M129" s="44"/>
      <c r="N129" s="43"/>
      <c r="O129" s="1"/>
      <c r="P129" s="3"/>
      <c r="Q129" s="15">
        <f>0.14*(0.001)</f>
        <v>1.4000000000000001E-4</v>
      </c>
      <c r="R129" s="3"/>
      <c r="S129" s="18">
        <v>0</v>
      </c>
      <c r="T129" s="15">
        <f t="shared" si="20"/>
        <v>0</v>
      </c>
      <c r="U129" s="15">
        <f t="shared" si="19"/>
        <v>0</v>
      </c>
      <c r="V129"/>
      <c r="W129"/>
      <c r="X129"/>
      <c r="Y129" s="17">
        <v>1.5942000000000001</v>
      </c>
      <c r="Z129" s="17">
        <v>1377.9</v>
      </c>
    </row>
    <row r="130" spans="1:26">
      <c r="A130" s="5"/>
      <c r="B130" s="4"/>
      <c r="C130" s="4"/>
      <c r="D130" s="4"/>
      <c r="E130" s="4"/>
      <c r="F130" s="4"/>
      <c r="G130" s="4"/>
      <c r="H130" s="3"/>
      <c r="I130" s="3">
        <f>I124+1</f>
        <v>228</v>
      </c>
      <c r="J130" s="3">
        <v>39</v>
      </c>
      <c r="K130" s="4">
        <f>$B$3-(I130+J130/60)*PI()/180</f>
        <v>0.7915068157794285</v>
      </c>
      <c r="L130" s="2"/>
      <c r="M130" s="44"/>
      <c r="N130" s="43">
        <f>SQRT(SIN($G$13)*SIN($G$13) + (SIN(K130-$G$13+$B$2)  + COS($B$2)*SIN($G$13) )* (SIN(K130-$G$13+$B$2)  + COS($B$2)*SIN($G$13) )/(SIN($B$2)*SIN($B$2))   )</f>
        <v>1.5733144282065492</v>
      </c>
      <c r="O130" s="1" t="e">
        <f t="shared" ref="O130" ca="1" si="22">FORECAST(N130,OFFSET($Z$1:$Z$200,MATCH(N130,$Y$1:$Y$200,-1)-1,0,2),OFFSET($Y$1:$Y$200,MATCH(N130,$Y$1:$Y$200,-1)-1,0,2))</f>
        <v>#DIV/0!</v>
      </c>
      <c r="P130" s="3"/>
      <c r="Q130" s="15">
        <f>0.01*(0.001)</f>
        <v>1.0000000000000001E-5</v>
      </c>
      <c r="R130" s="3">
        <f>AVERAGE(Q130:Q132)</f>
        <v>1.6666666666666671E-5</v>
      </c>
      <c r="S130" s="18">
        <f>MAX(ABS(Q130-R130),ABS(Q131-R130),ABS(Q132-R130))</f>
        <v>6.66666666666667E-6</v>
      </c>
      <c r="T130" s="15" t="e">
        <f t="shared" ca="1" si="20"/>
        <v>#DIV/0!</v>
      </c>
      <c r="U130" s="15" t="e">
        <f t="shared" ca="1" si="19"/>
        <v>#DIV/0!</v>
      </c>
      <c r="V130"/>
      <c r="W130"/>
      <c r="X130"/>
      <c r="Y130" s="17">
        <v>1.5939000000000001</v>
      </c>
      <c r="Z130" s="17">
        <v>1398.9</v>
      </c>
    </row>
    <row r="131" spans="1:26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4"/>
      <c r="N131" s="43"/>
      <c r="O131" s="1"/>
      <c r="P131" s="3"/>
      <c r="Q131" s="15">
        <f>0.02*(0.001)</f>
        <v>2.0000000000000002E-5</v>
      </c>
      <c r="R131" s="3"/>
      <c r="S131" s="18">
        <v>0</v>
      </c>
      <c r="T131" s="15">
        <f t="shared" si="20"/>
        <v>0</v>
      </c>
      <c r="U131" s="15">
        <f t="shared" si="19"/>
        <v>0</v>
      </c>
      <c r="V131"/>
      <c r="W131"/>
      <c r="X131"/>
      <c r="Y131" s="17">
        <v>1.5936999999999999</v>
      </c>
      <c r="Z131" s="17">
        <v>1420.5</v>
      </c>
    </row>
    <row r="132" spans="1:26">
      <c r="A132" s="5"/>
      <c r="B132" s="4"/>
      <c r="C132" s="4"/>
      <c r="D132" s="4"/>
      <c r="E132" s="4"/>
      <c r="F132" s="4"/>
      <c r="G132" s="4"/>
      <c r="H132" s="3"/>
      <c r="I132" s="3"/>
      <c r="J132" s="3"/>
      <c r="K132" s="4"/>
      <c r="L132" s="2"/>
      <c r="M132" s="44"/>
      <c r="N132" s="43"/>
      <c r="O132" s="1"/>
      <c r="P132" s="3"/>
      <c r="Q132" s="15">
        <f>0.02*(0.001)</f>
        <v>2.0000000000000002E-5</v>
      </c>
      <c r="R132" s="3"/>
      <c r="S132" s="18">
        <v>0</v>
      </c>
      <c r="T132" s="15">
        <f t="shared" si="20"/>
        <v>0</v>
      </c>
      <c r="U132" s="15">
        <f t="shared" si="19"/>
        <v>0</v>
      </c>
      <c r="V132"/>
      <c r="W132"/>
      <c r="X132"/>
      <c r="Y132" s="17">
        <v>1.5934999999999999</v>
      </c>
      <c r="Z132" s="17">
        <v>1442.7</v>
      </c>
    </row>
    <row r="133" spans="1:26">
      <c r="A133" s="5"/>
      <c r="B133" s="4"/>
      <c r="C133" s="4"/>
      <c r="D133" s="4"/>
      <c r="E133" s="4"/>
      <c r="F133" s="4"/>
      <c r="G133" s="4"/>
      <c r="H133" s="45"/>
      <c r="I133" s="45">
        <v>225</v>
      </c>
      <c r="J133" s="45">
        <v>32</v>
      </c>
      <c r="K133" s="46">
        <f>$B$3-(I133+J133/60)*PI()/180</f>
        <v>0.84590291079991831</v>
      </c>
      <c r="L133" s="47"/>
      <c r="M133" s="48"/>
      <c r="N133" s="43">
        <f>SQRT(SIN($G$13)*SIN($G$13) + (SIN(K133-$G$13+$B$2)  + COS($B$2)*SIN($G$13) )* (SIN(K133-$G$13+$B$2)  + COS($B$2)*SIN($G$13) )/(SIN($B$2)*SIN($B$2))   )</f>
        <v>1.5984853208924727</v>
      </c>
      <c r="O133" s="1">
        <f ca="1">FORECAST(N133,OFFSET($Z$1:$Z$200,MATCH(N133,$Y$1:$Y$200,-1)-1,0,2),OFFSET($Y$1:$Y$200,MATCH(N133,$Y$1:$Y$200,-1)-1,0,2))</f>
        <v>1073.1541419892601</v>
      </c>
      <c r="P133" s="45"/>
      <c r="Q133" s="15">
        <f>5.33*(0.001)</f>
        <v>5.3300000000000005E-3</v>
      </c>
      <c r="R133" s="45">
        <f>AVERAGE(Q133:Q135)</f>
        <v>1.7766666666666668E-3</v>
      </c>
      <c r="S133" s="18">
        <f t="shared" ref="S133:S164" si="23">MAX(ABS(Q133-R133),ABS(Q134-R133),ABS(Q135-R133))</f>
        <v>3.5533333333333337E-3</v>
      </c>
      <c r="T133" s="15">
        <f t="shared" ca="1" si="20"/>
        <v>6.4881990145339533E-2</v>
      </c>
      <c r="U133" s="15">
        <f t="shared" ca="1" si="19"/>
        <v>0.12976398029067909</v>
      </c>
      <c r="V133"/>
      <c r="W133"/>
      <c r="X133"/>
      <c r="Y133" s="17">
        <v>1.5931999999999999</v>
      </c>
      <c r="Z133" s="17">
        <v>1465.5</v>
      </c>
    </row>
    <row r="134" spans="1:26">
      <c r="A134" s="5"/>
      <c r="B134" s="4"/>
      <c r="C134" s="4"/>
      <c r="D134" s="4"/>
      <c r="E134" s="4"/>
      <c r="F134" s="4"/>
      <c r="G134" s="4"/>
      <c r="H134" s="45"/>
      <c r="I134" s="45"/>
      <c r="J134" s="45"/>
      <c r="K134" s="45"/>
      <c r="L134" s="45"/>
      <c r="M134" s="48"/>
      <c r="N134" s="43"/>
      <c r="O134" s="1"/>
      <c r="P134" s="45"/>
      <c r="Q134" s="15">
        <f>(0.001)*0</f>
        <v>0</v>
      </c>
      <c r="R134" s="45"/>
      <c r="S134" s="18">
        <f t="shared" si="23"/>
        <v>5.4200000000000003E-3</v>
      </c>
      <c r="T134" s="15">
        <f t="shared" si="20"/>
        <v>0</v>
      </c>
      <c r="U134" s="15">
        <f t="shared" si="19"/>
        <v>0</v>
      </c>
      <c r="V134"/>
      <c r="W134"/>
      <c r="X134"/>
      <c r="Y134" s="17">
        <v>1.593</v>
      </c>
      <c r="Z134" s="17">
        <v>1489</v>
      </c>
    </row>
    <row r="135" spans="1:26">
      <c r="A135" s="5"/>
      <c r="B135" s="4"/>
      <c r="C135" s="4"/>
      <c r="D135" s="4"/>
      <c r="E135" s="4"/>
      <c r="F135" s="4"/>
      <c r="G135" s="4"/>
      <c r="H135" s="45"/>
      <c r="I135" s="45"/>
      <c r="J135" s="45"/>
      <c r="K135" s="46"/>
      <c r="L135" s="47"/>
      <c r="M135" s="48"/>
      <c r="N135" s="43"/>
      <c r="O135" s="1"/>
      <c r="P135" s="45"/>
      <c r="Q135" s="15">
        <f>(0.001)*0</f>
        <v>0</v>
      </c>
      <c r="R135" s="45"/>
      <c r="S135" s="18">
        <f t="shared" si="23"/>
        <v>5.4200000000000003E-3</v>
      </c>
      <c r="T135" s="15">
        <f t="shared" si="20"/>
        <v>0</v>
      </c>
      <c r="U135" s="15">
        <f t="shared" si="19"/>
        <v>0</v>
      </c>
      <c r="V135"/>
      <c r="W135"/>
      <c r="X135"/>
      <c r="Y135" s="17">
        <v>1.5928</v>
      </c>
      <c r="Z135" s="17">
        <v>1513.1</v>
      </c>
    </row>
    <row r="136" spans="1:26">
      <c r="A136" s="5"/>
      <c r="B136" s="4"/>
      <c r="C136" s="4"/>
      <c r="D136" s="4"/>
      <c r="E136" s="4"/>
      <c r="F136" s="4"/>
      <c r="G136" s="4"/>
      <c r="H136" s="45"/>
      <c r="I136" s="45">
        <v>225</v>
      </c>
      <c r="J136" s="45">
        <v>37</v>
      </c>
      <c r="K136" s="46">
        <f>$B$3-(I136+J136/60)*PI()/180</f>
        <v>0.84444846975658949</v>
      </c>
      <c r="L136" s="47"/>
      <c r="M136" s="48"/>
      <c r="N136" s="43">
        <f>SQRT(SIN($G$13)*SIN($G$13) + (SIN(K136-$G$13+$B$2)  + COS($B$2)*SIN($G$13) )* (SIN(K136-$G$13+$B$2)  + COS($B$2)*SIN($G$13) )/(SIN($B$2)*SIN($B$2))   )</f>
        <v>1.5978472324346573</v>
      </c>
      <c r="O136" s="1">
        <f ca="1">FORECAST(N136,OFFSET($Z$1:$Z$200,MATCH(N136,$Y$1:$Y$200,-1)-1,0,2),OFFSET($Y$1:$Y$200,MATCH(N136,$Y$1:$Y$200,-1)-1,0,2))</f>
        <v>1109.3673457913101</v>
      </c>
      <c r="P136" s="45"/>
      <c r="Q136" s="15">
        <f>5.42*(0.001)</f>
        <v>5.4200000000000003E-3</v>
      </c>
      <c r="R136" s="45">
        <f>AVERAGE(Q136:Q138)</f>
        <v>1.8066666666666667E-3</v>
      </c>
      <c r="S136" s="18">
        <f t="shared" si="23"/>
        <v>3.6133333333333338E-3</v>
      </c>
      <c r="T136" s="15">
        <f t="shared" ca="1" si="20"/>
        <v>7.1010208517582649E-2</v>
      </c>
      <c r="U136" s="15">
        <f t="shared" ca="1" si="19"/>
        <v>0.1420204170351653</v>
      </c>
      <c r="V136"/>
      <c r="W136"/>
      <c r="X136"/>
      <c r="Y136" s="17">
        <v>1.5925</v>
      </c>
      <c r="Z136" s="17">
        <v>1537.8</v>
      </c>
    </row>
    <row r="137" spans="1:26">
      <c r="A137" s="5"/>
      <c r="B137" s="4"/>
      <c r="C137" s="4"/>
      <c r="D137" s="4"/>
      <c r="E137" s="4"/>
      <c r="F137" s="4"/>
      <c r="G137" s="4"/>
      <c r="H137" s="45"/>
      <c r="I137" s="45"/>
      <c r="J137" s="45"/>
      <c r="K137" s="45"/>
      <c r="L137" s="45"/>
      <c r="M137" s="48"/>
      <c r="N137" s="43"/>
      <c r="O137" s="1"/>
      <c r="P137" s="45"/>
      <c r="Q137" s="15">
        <f>(0.001)*0</f>
        <v>0</v>
      </c>
      <c r="R137" s="45"/>
      <c r="S137" s="18">
        <f t="shared" si="23"/>
        <v>5.5599999999999998E-3</v>
      </c>
      <c r="T137" s="15">
        <f t="shared" si="20"/>
        <v>0</v>
      </c>
      <c r="U137" s="15">
        <f t="shared" si="19"/>
        <v>0</v>
      </c>
      <c r="V137"/>
      <c r="W137"/>
      <c r="X137"/>
      <c r="Y137" s="17">
        <v>1.5923</v>
      </c>
      <c r="Z137" s="17">
        <v>1563.3</v>
      </c>
    </row>
    <row r="138" spans="1:26">
      <c r="A138" s="5"/>
      <c r="B138" s="4"/>
      <c r="C138" s="4"/>
      <c r="D138" s="4"/>
      <c r="E138" s="4"/>
      <c r="F138" s="4"/>
      <c r="G138" s="3"/>
      <c r="H138" s="45"/>
      <c r="I138" s="45"/>
      <c r="J138" s="45"/>
      <c r="K138" s="46"/>
      <c r="L138" s="47"/>
      <c r="M138" s="48"/>
      <c r="N138" s="43"/>
      <c r="O138" s="1"/>
      <c r="P138" s="45"/>
      <c r="Q138" s="15">
        <f>(0.001)*0</f>
        <v>0</v>
      </c>
      <c r="R138" s="45"/>
      <c r="S138" s="18">
        <f t="shared" si="23"/>
        <v>5.5599999999999998E-3</v>
      </c>
      <c r="T138" s="15">
        <f t="shared" si="20"/>
        <v>0</v>
      </c>
      <c r="U138" s="15">
        <f t="shared" si="19"/>
        <v>0</v>
      </c>
      <c r="V138"/>
      <c r="W138"/>
      <c r="X138"/>
      <c r="Y138" s="17">
        <v>1.5921000000000001</v>
      </c>
      <c r="Z138" s="17">
        <v>1589.4</v>
      </c>
    </row>
    <row r="139" spans="1:26">
      <c r="A139"/>
      <c r="B139"/>
      <c r="C139"/>
      <c r="D139"/>
      <c r="E139"/>
      <c r="F139"/>
      <c r="G139"/>
      <c r="H139" s="45"/>
      <c r="I139" s="45">
        <v>225</v>
      </c>
      <c r="J139" s="45">
        <v>42</v>
      </c>
      <c r="K139" s="46">
        <f>$B$3-(I139+J139/60)*PI()/180</f>
        <v>0.84299402871326112</v>
      </c>
      <c r="L139" s="47"/>
      <c r="M139" s="48"/>
      <c r="N139" s="43">
        <f>SQRT(SIN($G$13)*SIN($G$13) + (SIN(K139-$G$13+$B$2)  + COS($B$2)*SIN($G$13) )* (SIN(K139-$G$13+$B$2)  + COS($B$2)*SIN($G$13) )/(SIN($B$2)*SIN($B$2))   )</f>
        <v>1.5972072008377705</v>
      </c>
      <c r="O139" s="1">
        <f ca="1">FORECAST(N139,OFFSET($Z$1:$Z$200,MATCH(N139,$Y$1:$Y$200,-1)-1,0,2),OFFSET($Y$1:$Y$200,MATCH(N139,$Y$1:$Y$200,-1)-1,0,2))</f>
        <v>1148.1707384238689</v>
      </c>
      <c r="P139" s="45"/>
      <c r="Q139" s="15">
        <f>5.56*(0.001)</f>
        <v>5.5599999999999998E-3</v>
      </c>
      <c r="R139" s="45">
        <f>AVERAGE(Q139:Q141)</f>
        <v>1.8533333333333334E-3</v>
      </c>
      <c r="S139" s="18">
        <f t="shared" si="23"/>
        <v>3.7066666666666663E-3</v>
      </c>
      <c r="T139" s="15">
        <f t="shared" ca="1" si="20"/>
        <v>0.33147906553226963</v>
      </c>
      <c r="U139" s="15">
        <f t="shared" ca="1" si="19"/>
        <v>0.66295813106453927</v>
      </c>
      <c r="V139"/>
      <c r="W139"/>
      <c r="X139"/>
      <c r="Y139" s="17">
        <v>1.5918000000000001</v>
      </c>
      <c r="Z139" s="17">
        <v>1616.3</v>
      </c>
    </row>
    <row r="140" spans="1:26">
      <c r="A140"/>
      <c r="B140"/>
      <c r="C140"/>
      <c r="D140"/>
      <c r="E140"/>
      <c r="F140"/>
      <c r="G140"/>
      <c r="H140" s="45"/>
      <c r="I140" s="45"/>
      <c r="J140" s="45"/>
      <c r="K140" s="45"/>
      <c r="L140" s="45"/>
      <c r="M140" s="48"/>
      <c r="N140" s="43"/>
      <c r="O140" s="1"/>
      <c r="P140" s="45"/>
      <c r="Q140" s="15">
        <f>(0.001)*0</f>
        <v>0</v>
      </c>
      <c r="R140" s="45"/>
      <c r="S140" s="18">
        <f t="shared" si="23"/>
        <v>6.0999999999999995E-3</v>
      </c>
      <c r="T140" s="15">
        <f t="shared" si="20"/>
        <v>0</v>
      </c>
      <c r="U140" s="15">
        <f t="shared" si="19"/>
        <v>0</v>
      </c>
      <c r="V140"/>
      <c r="W140"/>
      <c r="X140"/>
      <c r="Y140" s="17">
        <v>1.5915999999999999</v>
      </c>
      <c r="Z140" s="17">
        <v>1643.9</v>
      </c>
    </row>
    <row r="141" spans="1:26">
      <c r="A141"/>
      <c r="B141"/>
      <c r="C141"/>
      <c r="D141"/>
      <c r="E141"/>
      <c r="F141"/>
      <c r="G141"/>
      <c r="H141" s="45"/>
      <c r="I141" s="45"/>
      <c r="J141" s="45"/>
      <c r="K141" s="46"/>
      <c r="L141" s="47"/>
      <c r="M141" s="48"/>
      <c r="N141" s="43"/>
      <c r="O141" s="1"/>
      <c r="P141" s="45"/>
      <c r="Q141" s="15">
        <f>(0.001)*0</f>
        <v>0</v>
      </c>
      <c r="R141" s="45"/>
      <c r="S141" s="18">
        <f t="shared" si="23"/>
        <v>6.0999999999999995E-3</v>
      </c>
      <c r="T141" s="15">
        <f t="shared" si="20"/>
        <v>0</v>
      </c>
      <c r="U141" s="15">
        <f t="shared" si="19"/>
        <v>0</v>
      </c>
      <c r="V141"/>
      <c r="W141"/>
      <c r="X141"/>
      <c r="Y141" s="17">
        <v>1.5913999999999999</v>
      </c>
      <c r="Z141" s="17">
        <v>1672.4</v>
      </c>
    </row>
    <row r="142" spans="1:26">
      <c r="A142"/>
      <c r="B142"/>
      <c r="C142"/>
      <c r="D142"/>
      <c r="E142"/>
      <c r="F142"/>
      <c r="G142"/>
      <c r="H142" s="45"/>
      <c r="I142" s="45">
        <f>I136+1</f>
        <v>226</v>
      </c>
      <c r="J142" s="45">
        <v>0</v>
      </c>
      <c r="K142" s="46">
        <f>$B$3-(I142+J142/60)*PI()/180</f>
        <v>0.83775804095727846</v>
      </c>
      <c r="L142" s="47"/>
      <c r="M142" s="49"/>
      <c r="N142" s="43">
        <f>SQRT(SIN($G$13)*SIN($G$13) + (SIN(K142-$G$13+$B$2)  + COS($B$2)*SIN($G$13) )* (SIN(K142-$G$13+$B$2)  + COS($B$2)*SIN($G$13) )/(SIN($B$2)*SIN($B$2))   )</f>
        <v>1.594887028363615</v>
      </c>
      <c r="O142" s="1">
        <f ca="1">FORECAST(N142,OFFSET($Z$1:$Z$200,MATCH(N142,$Y$1:$Y$200,-1)-1,0,2),OFFSET($Y$1:$Y$200,MATCH(N142,$Y$1:$Y$200,-1)-1,0,2))</f>
        <v>1318.7431563650025</v>
      </c>
      <c r="P142" s="45"/>
      <c r="Q142" s="15">
        <f>6.1*(0.001)</f>
        <v>6.0999999999999995E-3</v>
      </c>
      <c r="R142" s="45">
        <f>AVERAGE(Q142:Q144)</f>
        <v>2.0333333333333332E-3</v>
      </c>
      <c r="S142" s="18">
        <f t="shared" si="23"/>
        <v>4.0666666666666663E-3</v>
      </c>
      <c r="T142" s="15">
        <f t="shared" ca="1" si="20"/>
        <v>0.22969647356580125</v>
      </c>
      <c r="U142" s="15">
        <f t="shared" ca="1" si="19"/>
        <v>0.45939294713160256</v>
      </c>
      <c r="V142"/>
      <c r="W142"/>
      <c r="X142"/>
      <c r="Y142" s="17">
        <v>1.5911</v>
      </c>
      <c r="Z142" s="17">
        <v>1701.6</v>
      </c>
    </row>
    <row r="143" spans="1:26">
      <c r="A143"/>
      <c r="B143"/>
      <c r="C143"/>
      <c r="D143"/>
      <c r="E143"/>
      <c r="F143"/>
      <c r="G143"/>
      <c r="H143" s="45"/>
      <c r="I143" s="45"/>
      <c r="J143" s="45"/>
      <c r="K143" s="45"/>
      <c r="L143" s="45"/>
      <c r="M143" s="49"/>
      <c r="N143" s="43"/>
      <c r="O143" s="1"/>
      <c r="P143" s="45"/>
      <c r="Q143" s="15">
        <f>(0.001)*0</f>
        <v>0</v>
      </c>
      <c r="R143" s="45"/>
      <c r="S143" s="18">
        <f t="shared" si="23"/>
        <v>5.96E-3</v>
      </c>
      <c r="T143" s="15">
        <f t="shared" si="20"/>
        <v>0</v>
      </c>
      <c r="U143" s="15">
        <f t="shared" si="19"/>
        <v>0</v>
      </c>
      <c r="V143"/>
      <c r="W143"/>
      <c r="X143"/>
      <c r="Y143" s="17">
        <v>1.5909</v>
      </c>
      <c r="Z143" s="17">
        <v>1731.7</v>
      </c>
    </row>
    <row r="144" spans="1:26">
      <c r="A144"/>
      <c r="B144"/>
      <c r="C144"/>
      <c r="D144"/>
      <c r="E144"/>
      <c r="F144"/>
      <c r="G144"/>
      <c r="H144" s="45"/>
      <c r="I144" s="45"/>
      <c r="J144" s="45"/>
      <c r="K144" s="46"/>
      <c r="L144" s="47"/>
      <c r="M144" s="49"/>
      <c r="N144" s="43"/>
      <c r="O144" s="1"/>
      <c r="P144" s="45"/>
      <c r="Q144" s="15">
        <f>(0.001)*0</f>
        <v>0</v>
      </c>
      <c r="R144" s="45"/>
      <c r="S144" s="18">
        <f t="shared" si="23"/>
        <v>5.96E-3</v>
      </c>
      <c r="T144" s="15">
        <f t="shared" si="20"/>
        <v>0</v>
      </c>
      <c r="U144" s="15">
        <f t="shared" si="19"/>
        <v>0</v>
      </c>
      <c r="V144"/>
      <c r="W144"/>
      <c r="X144"/>
      <c r="Y144" s="17">
        <v>1.5907</v>
      </c>
      <c r="Z144" s="17">
        <v>1762.6</v>
      </c>
    </row>
    <row r="145" spans="1:26">
      <c r="A145"/>
      <c r="B145"/>
      <c r="C145"/>
      <c r="D145"/>
      <c r="E145"/>
      <c r="F145"/>
      <c r="G145"/>
      <c r="H145" s="45"/>
      <c r="I145" s="45">
        <f>I139+1</f>
        <v>226</v>
      </c>
      <c r="J145" s="45">
        <v>10</v>
      </c>
      <c r="K145" s="46">
        <f>$B$3-(I145+J145/60)*PI()/180</f>
        <v>0.83484915887062128</v>
      </c>
      <c r="L145" s="47"/>
      <c r="M145" s="49"/>
      <c r="N145" s="43">
        <f>SQRT(SIN($G$13)*SIN($G$13) + (SIN(K145-$G$13+$B$2)  + COS($B$2)*SIN($G$13) )* (SIN(K145-$G$13+$B$2)  + COS($B$2)*SIN($G$13) )/(SIN($B$2)*SIN($B$2))   )</f>
        <v>1.5935872071271593</v>
      </c>
      <c r="O145" s="1">
        <f ca="1">FORECAST(N145,OFFSET($Z$1:$Z$200,MATCH(N145,$Y$1:$Y$200,-1)-1,0,2),OFFSET($Y$1:$Y$200,MATCH(N145,$Y$1:$Y$200,-1)-1,0,2))</f>
        <v>1433.0200088853016</v>
      </c>
      <c r="P145" s="45"/>
      <c r="Q145" s="15">
        <f>5.96*(0.001)</f>
        <v>5.96E-3</v>
      </c>
      <c r="R145" s="45">
        <f>AVERAGE(Q145:Q147)</f>
        <v>1.9866666666666665E-3</v>
      </c>
      <c r="S145" s="18">
        <f t="shared" si="23"/>
        <v>3.9733333333333339E-3</v>
      </c>
      <c r="T145" s="15">
        <f t="shared" ca="1" si="20"/>
        <v>-1.4234665421593995</v>
      </c>
      <c r="U145" s="15" t="e">
        <f t="shared" ca="1" si="19"/>
        <v>#VALUE!</v>
      </c>
      <c r="V145"/>
      <c r="W145"/>
      <c r="X145"/>
      <c r="Y145" s="17">
        <v>1.5905</v>
      </c>
      <c r="Z145" s="17">
        <v>1794.5</v>
      </c>
    </row>
    <row r="146" spans="1:26">
      <c r="A146"/>
      <c r="B146"/>
      <c r="C146"/>
      <c r="D146"/>
      <c r="E146"/>
      <c r="F146"/>
      <c r="G146"/>
      <c r="H146" s="45"/>
      <c r="I146" s="45"/>
      <c r="J146" s="45"/>
      <c r="K146" s="45"/>
      <c r="L146" s="45"/>
      <c r="M146" s="49"/>
      <c r="N146" s="43"/>
      <c r="O146" s="1"/>
      <c r="P146" s="45"/>
      <c r="Q146" s="15">
        <f>(0.001)*0</f>
        <v>0</v>
      </c>
      <c r="R146" s="45"/>
      <c r="S146" s="18">
        <f t="shared" si="23"/>
        <v>0</v>
      </c>
      <c r="T146" s="15">
        <f t="shared" si="20"/>
        <v>0</v>
      </c>
      <c r="U146" s="15" t="e">
        <f t="shared" si="19"/>
        <v>#VALUE!</v>
      </c>
      <c r="V146"/>
      <c r="W146"/>
      <c r="X146"/>
      <c r="Y146" s="17">
        <v>1.5902000000000001</v>
      </c>
      <c r="Z146" s="17">
        <v>1827.2</v>
      </c>
    </row>
    <row r="147" spans="1:26">
      <c r="A147"/>
      <c r="B147"/>
      <c r="C147"/>
      <c r="D147"/>
      <c r="E147"/>
      <c r="F147"/>
      <c r="G147"/>
      <c r="H147" s="45"/>
      <c r="I147" s="45"/>
      <c r="J147" s="45"/>
      <c r="K147" s="46"/>
      <c r="L147" s="47"/>
      <c r="M147" s="49"/>
      <c r="N147" s="43"/>
      <c r="O147" s="1"/>
      <c r="P147" s="45"/>
      <c r="Q147" s="15">
        <f>(0.001)*0</f>
        <v>0</v>
      </c>
      <c r="R147" s="45"/>
      <c r="S147" s="18">
        <f t="shared" si="23"/>
        <v>0</v>
      </c>
      <c r="T147" s="15" t="e">
        <f t="shared" si="20"/>
        <v>#VALUE!</v>
      </c>
      <c r="U147" s="15" t="e">
        <f t="shared" si="19"/>
        <v>#VALUE!</v>
      </c>
      <c r="V147"/>
      <c r="W147"/>
      <c r="X147"/>
      <c r="Y147" s="17">
        <v>1.59</v>
      </c>
      <c r="Z147" s="17">
        <v>1861</v>
      </c>
    </row>
    <row r="148" spans="1:2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 s="15">
        <f>(0.001)*0</f>
        <v>0</v>
      </c>
      <c r="R148"/>
      <c r="S148" s="18" t="e">
        <f t="shared" si="23"/>
        <v>#VALUE!</v>
      </c>
      <c r="T148" s="15">
        <f t="shared" ca="1" si="20"/>
        <v>3.5245532707254101E-3</v>
      </c>
      <c r="U148" s="15" t="e">
        <f t="shared" ca="1" si="19"/>
        <v>#VALUE!</v>
      </c>
      <c r="V148" s="15" t="s">
        <v>21</v>
      </c>
      <c r="W148" s="15" t="s">
        <v>22</v>
      </c>
      <c r="X148" s="15" t="s">
        <v>45</v>
      </c>
      <c r="Y148" s="17">
        <v>1.5898000000000001</v>
      </c>
      <c r="Z148" s="17">
        <v>1895.7</v>
      </c>
    </row>
    <row r="149" spans="1:2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 s="15">
        <f>(0.001)*0</f>
        <v>0</v>
      </c>
      <c r="R149"/>
      <c r="S149" s="18" t="e">
        <f t="shared" si="23"/>
        <v>#VALUE!</v>
      </c>
      <c r="T149" s="15">
        <f t="shared" si="20"/>
        <v>0</v>
      </c>
      <c r="U149" s="15" t="e">
        <f t="shared" ref="U149:U180" si="24">(O152-O149)*(S152+S149)/2</f>
        <v>#VALUE!</v>
      </c>
      <c r="V149" s="15">
        <f ca="1">SUM(T151:T193)</f>
        <v>6.2011970263621734</v>
      </c>
      <c r="W149" s="15">
        <f ca="1">SUM(T151:T160)</f>
        <v>4.8480359465105399E-2</v>
      </c>
      <c r="X149" s="15">
        <f ca="1">W149/V149*100</f>
        <v>0.78179034239693523</v>
      </c>
      <c r="Y149" s="17">
        <v>1.5894999999999999</v>
      </c>
      <c r="Z149" s="17">
        <v>1931.5</v>
      </c>
    </row>
    <row r="150" spans="1:26">
      <c r="A150" s="22" t="s">
        <v>26</v>
      </c>
      <c r="B150" s="22" t="s">
        <v>16</v>
      </c>
      <c r="C150" s="22" t="s">
        <v>27</v>
      </c>
      <c r="D150" s="22" t="s">
        <v>28</v>
      </c>
      <c r="E150" s="22" t="s">
        <v>29</v>
      </c>
      <c r="F150" s="22" t="s">
        <v>3</v>
      </c>
      <c r="G150" s="22" t="s">
        <v>30</v>
      </c>
      <c r="H150" s="22" t="s">
        <v>31</v>
      </c>
      <c r="I150" s="22" t="s">
        <v>32</v>
      </c>
      <c r="J150" s="22" t="s">
        <v>33</v>
      </c>
      <c r="K150" s="22" t="s">
        <v>34</v>
      </c>
      <c r="L150" s="22" t="s">
        <v>35</v>
      </c>
      <c r="M150" s="22" t="s">
        <v>36</v>
      </c>
      <c r="N150" s="22" t="s">
        <v>37</v>
      </c>
      <c r="O150" s="22" t="s">
        <v>38</v>
      </c>
      <c r="P150" s="22" t="s">
        <v>39</v>
      </c>
      <c r="Q150" s="15" t="s">
        <v>26</v>
      </c>
      <c r="R150" s="22"/>
      <c r="S150" s="18" t="e">
        <f t="shared" si="23"/>
        <v>#VALUE!</v>
      </c>
      <c r="T150" s="15" t="e">
        <f t="shared" si="20"/>
        <v>#VALUE!</v>
      </c>
      <c r="U150" s="15" t="e">
        <f t="shared" si="24"/>
        <v>#VALUE!</v>
      </c>
      <c r="V150" s="15" t="s">
        <v>50</v>
      </c>
      <c r="W150" s="15" t="s">
        <v>51</v>
      </c>
      <c r="X150" s="15" t="s">
        <v>53</v>
      </c>
      <c r="Y150" s="17">
        <v>1.5892999999999999</v>
      </c>
      <c r="Z150" s="17">
        <v>1968.3</v>
      </c>
    </row>
    <row r="151" spans="1:26">
      <c r="A151" s="5">
        <v>5.97</v>
      </c>
      <c r="B151" s="4"/>
      <c r="C151" s="4"/>
      <c r="D151" s="4"/>
      <c r="E151" s="4"/>
      <c r="F151" s="4">
        <f>F79</f>
        <v>43.3</v>
      </c>
      <c r="G151" s="3">
        <f>F151*PI()/180</f>
        <v>0.75572756611354464</v>
      </c>
      <c r="H151" s="3"/>
      <c r="I151" s="3">
        <v>222</v>
      </c>
      <c r="J151" s="3">
        <v>10</v>
      </c>
      <c r="K151" s="4">
        <f>$B$3-(I151+J151/60)*PI()/180</f>
        <v>0.90466232895039456</v>
      </c>
      <c r="L151" s="2"/>
      <c r="M151" s="3"/>
      <c r="N151" s="9">
        <f>SQRT(SIN($G$13)*SIN($G$13) + (SIN(K151-$G$13+$B$2)  + COS($B$2)*SIN($G$13) )* (SIN(K151-$G$13+$B$2)  + COS($B$2)*SIN($G$13) )/(SIN($B$2)*SIN($B$2))   )</f>
        <v>1.6226167156273128</v>
      </c>
      <c r="O151" s="50">
        <f ca="1">FORECAST(N151,OFFSET($Z$1:$Z$200,MATCH(N151,$Y$1:$Y$200,-1)-1,0,2),OFFSET($Y$1:$Y$200,MATCH(N151,$Y$1:$Y$200,-1)-1,0,2))</f>
        <v>528.68299060881145</v>
      </c>
      <c r="P151" s="3"/>
      <c r="Q151" s="15">
        <f>0.02*(0.001)</f>
        <v>2.0000000000000002E-5</v>
      </c>
      <c r="R151" s="3">
        <f>AVERAGE(Q151:Q153)</f>
        <v>1.3333333333333335E-5</v>
      </c>
      <c r="S151" s="18">
        <f t="shared" si="23"/>
        <v>6.6666666666666666E-6</v>
      </c>
      <c r="T151" s="15">
        <f t="shared" ca="1" si="20"/>
        <v>9.9068726588318902E-4</v>
      </c>
      <c r="U151" s="15">
        <f t="shared" ca="1" si="24"/>
        <v>4.9534363294159451E-4</v>
      </c>
      <c r="V151" s="15">
        <f ca="1">SUM(U151:U193)</f>
        <v>9.5529884555572889E-2</v>
      </c>
      <c r="W151" s="15">
        <f ca="1">SUM(U151:U163)</f>
        <v>3.8025500832270147E-3</v>
      </c>
      <c r="X151" s="15">
        <f ca="1">(1/V149*W151+(W149/(V149*149))*W151)*100</f>
        <v>6.1339565710188039E-2</v>
      </c>
      <c r="Y151" s="17">
        <v>1.5891</v>
      </c>
      <c r="Z151" s="17">
        <v>2006.2</v>
      </c>
    </row>
    <row r="152" spans="1:26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/>
      <c r="O152" s="50"/>
      <c r="P152" s="3"/>
      <c r="Q152" s="15">
        <f>0.01*(0.001)</f>
        <v>1.0000000000000001E-5</v>
      </c>
      <c r="R152" s="3"/>
      <c r="S152" s="18">
        <f t="shared" si="23"/>
        <v>7.0000000000000007E-5</v>
      </c>
      <c r="T152" s="15">
        <f t="shared" si="20"/>
        <v>0</v>
      </c>
      <c r="U152" s="15">
        <f t="shared" si="24"/>
        <v>0</v>
      </c>
      <c r="Y152" s="17">
        <v>1.5888</v>
      </c>
      <c r="Z152" s="17">
        <v>2045.3</v>
      </c>
    </row>
    <row r="153" spans="1:26">
      <c r="A153" s="5"/>
      <c r="B153" s="4"/>
      <c r="C153" s="4"/>
      <c r="D153" s="4"/>
      <c r="E153" s="4"/>
      <c r="F153" s="4"/>
      <c r="G153" s="4"/>
      <c r="H153" s="3"/>
      <c r="I153" s="3"/>
      <c r="J153" s="3"/>
      <c r="K153" s="4"/>
      <c r="L153" s="2"/>
      <c r="M153" s="2"/>
      <c r="N153" s="9"/>
      <c r="O153" s="50"/>
      <c r="P153" s="3"/>
      <c r="Q153" s="15">
        <f>0.01*(0.001)</f>
        <v>1.0000000000000001E-5</v>
      </c>
      <c r="R153" s="3"/>
      <c r="S153" s="18">
        <f t="shared" si="23"/>
        <v>7.0000000000000007E-5</v>
      </c>
      <c r="T153" s="15">
        <f t="shared" si="20"/>
        <v>0</v>
      </c>
      <c r="U153" s="15">
        <f t="shared" si="24"/>
        <v>0</v>
      </c>
      <c r="Y153" s="17">
        <v>1.5886</v>
      </c>
      <c r="Z153" s="17">
        <v>2085.6</v>
      </c>
    </row>
    <row r="154" spans="1:26">
      <c r="A154" s="5"/>
      <c r="B154" s="4"/>
      <c r="C154" s="4"/>
      <c r="D154" s="4"/>
      <c r="E154" s="4"/>
      <c r="F154" s="4"/>
      <c r="G154" s="4"/>
      <c r="H154" s="3"/>
      <c r="I154" s="3">
        <v>222</v>
      </c>
      <c r="J154" s="3">
        <v>41</v>
      </c>
      <c r="K154" s="4">
        <f>$B$3-(I154+J154/60)*PI()/180</f>
        <v>0.89564479448175671</v>
      </c>
      <c r="L154" s="2"/>
      <c r="M154" s="2"/>
      <c r="N154" s="9">
        <f>SQRT(SIN($G$13)*SIN($G$13) + (SIN(K154-$G$13+$B$2)  + COS($B$2)*SIN($G$13) )* (SIN(K154-$G$13+$B$2)  + COS($B$2)*SIN($G$13) )/(SIN($B$2)*SIN($B$2))   )</f>
        <v>1.619124508377368</v>
      </c>
      <c r="O154" s="50">
        <f ca="1">FORECAST(N154,OFFSET($Z$1:$Z$200,MATCH(N154,$Y$1:$Y$200,-1)-1,0,2),OFFSET($Y$1:$Y$200,MATCH(N154,$Y$1:$Y$200,-1)-1,0,2))</f>
        <v>561.70589947158442</v>
      </c>
      <c r="P154" s="3"/>
      <c r="Q154" s="15">
        <f>0.07*(0.001)</f>
        <v>7.0000000000000007E-5</v>
      </c>
      <c r="R154" s="3">
        <f>AVERAGE(Q154:Q156)</f>
        <v>4.6666666666666672E-5</v>
      </c>
      <c r="S154" s="18">
        <f t="shared" si="23"/>
        <v>2.3333333333333336E-5</v>
      </c>
      <c r="T154" s="15">
        <f t="shared" ca="1" si="20"/>
        <v>3.1016153920206489E-3</v>
      </c>
      <c r="U154" s="15">
        <f t="shared" ca="1" si="24"/>
        <v>1.1735842023861917E-3</v>
      </c>
      <c r="Y154" s="17">
        <v>1.5884</v>
      </c>
      <c r="Z154" s="17">
        <v>2127.1</v>
      </c>
    </row>
    <row r="155" spans="1:26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9"/>
      <c r="O155" s="50"/>
      <c r="P155" s="3"/>
      <c r="Q155" s="15">
        <f>0.03*(0.001)</f>
        <v>3.0000000000000001E-5</v>
      </c>
      <c r="R155" s="3"/>
      <c r="S155" s="18">
        <f t="shared" si="23"/>
        <v>6.0000000000000002E-5</v>
      </c>
      <c r="T155" s="15">
        <f t="shared" si="20"/>
        <v>0</v>
      </c>
      <c r="U155" s="15">
        <f t="shared" si="24"/>
        <v>0</v>
      </c>
      <c r="Y155" s="17">
        <v>1.5881000000000001</v>
      </c>
      <c r="Z155" s="17">
        <v>2169.8000000000002</v>
      </c>
    </row>
    <row r="156" spans="1:26">
      <c r="A156" s="5"/>
      <c r="B156" s="4"/>
      <c r="C156" s="4"/>
      <c r="D156" s="4"/>
      <c r="E156" s="4"/>
      <c r="F156" s="4"/>
      <c r="G156" s="4"/>
      <c r="H156" s="3"/>
      <c r="I156" s="3"/>
      <c r="J156" s="3"/>
      <c r="K156" s="4"/>
      <c r="L156" s="2"/>
      <c r="M156" s="2"/>
      <c r="N156" s="9"/>
      <c r="O156" s="50"/>
      <c r="P156" s="3"/>
      <c r="Q156" s="15">
        <f>0.04*(0.001)</f>
        <v>4.0000000000000003E-5</v>
      </c>
      <c r="R156" s="3"/>
      <c r="S156" s="18">
        <f t="shared" si="23"/>
        <v>1E-4</v>
      </c>
      <c r="T156" s="15">
        <f t="shared" si="20"/>
        <v>0</v>
      </c>
      <c r="U156" s="15">
        <f t="shared" si="24"/>
        <v>0</v>
      </c>
      <c r="Y156" s="17">
        <v>1.5879000000000001</v>
      </c>
      <c r="Z156" s="17">
        <v>2213.9</v>
      </c>
    </row>
    <row r="157" spans="1:26">
      <c r="A157" s="5"/>
      <c r="B157" s="4"/>
      <c r="C157" s="4"/>
      <c r="D157" s="4"/>
      <c r="E157" s="4"/>
      <c r="F157" s="4"/>
      <c r="G157" s="4"/>
      <c r="H157" s="3"/>
      <c r="I157" s="3">
        <f>I151+1</f>
        <v>223</v>
      </c>
      <c r="J157" s="3">
        <v>19</v>
      </c>
      <c r="K157" s="4">
        <f>$B$3-(I157+J157/60)*PI()/180</f>
        <v>0.88459104255245924</v>
      </c>
      <c r="L157" s="2"/>
      <c r="M157" s="2"/>
      <c r="N157" s="9">
        <f>SQRT(SIN($G$13)*SIN($G$13) + (SIN(K157-$G$13+$B$2)  + COS($B$2)*SIN($G$13) )* (SIN(K157-$G$13+$B$2)  + COS($B$2)*SIN($G$13) )/(SIN($B$2)*SIN($B$2))   )</f>
        <v>1.6147384807785674</v>
      </c>
      <c r="O157" s="50">
        <f ca="1">FORECAST(N157,OFFSET($Z$1:$Z$200,MATCH(N157,$Y$1:$Y$200,-1)-1,0,2),OFFSET($Y$1:$Y$200,MATCH(N157,$Y$1:$Y$200,-1)-1,0,2))</f>
        <v>612.00236528813548</v>
      </c>
      <c r="P157" s="3"/>
      <c r="Q157" s="15">
        <f>0.06*(0.001)</f>
        <v>6.0000000000000002E-5</v>
      </c>
      <c r="R157" s="3">
        <f>AVERAGE(Q157:Q159)</f>
        <v>7.6666666666666669E-5</v>
      </c>
      <c r="S157" s="18">
        <f t="shared" si="23"/>
        <v>2.3333333333333336E-5</v>
      </c>
      <c r="T157" s="15">
        <f t="shared" ref="T157:T188" ca="1" si="25">(O160-O157)*(R160+R157)/2</f>
        <v>5.5148087779583995E-3</v>
      </c>
      <c r="U157" s="15">
        <f t="shared" ca="1" si="24"/>
        <v>6.4125683464632557E-4</v>
      </c>
      <c r="Y157" s="17">
        <v>1.5876999999999999</v>
      </c>
      <c r="Z157" s="17">
        <v>2259.3000000000002</v>
      </c>
    </row>
    <row r="158" spans="1:26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9"/>
      <c r="O158" s="50"/>
      <c r="P158" s="3"/>
      <c r="Q158" s="15">
        <f>0.1*(0.001)</f>
        <v>1E-4</v>
      </c>
      <c r="R158" s="3"/>
      <c r="S158" s="18">
        <f t="shared" si="23"/>
        <v>2.2000000000000001E-4</v>
      </c>
      <c r="T158" s="15">
        <f t="shared" si="25"/>
        <v>0</v>
      </c>
      <c r="U158" s="15">
        <f t="shared" si="24"/>
        <v>0</v>
      </c>
      <c r="Y158" s="17">
        <v>1.5873999999999999</v>
      </c>
      <c r="Z158" s="17">
        <v>2306.1999999999998</v>
      </c>
    </row>
    <row r="159" spans="1:26">
      <c r="A159" s="5"/>
      <c r="B159" s="4"/>
      <c r="C159" s="4"/>
      <c r="D159" s="4"/>
      <c r="E159" s="4"/>
      <c r="F159" s="4"/>
      <c r="G159" s="4"/>
      <c r="H159" s="3"/>
      <c r="I159" s="3"/>
      <c r="J159" s="3"/>
      <c r="K159" s="4"/>
      <c r="L159" s="2"/>
      <c r="M159" s="2"/>
      <c r="N159" s="9"/>
      <c r="O159" s="50"/>
      <c r="P159" s="3"/>
      <c r="Q159" s="15">
        <f>0.07*(0.001)</f>
        <v>7.0000000000000007E-5</v>
      </c>
      <c r="R159" s="3"/>
      <c r="S159" s="18">
        <f t="shared" si="23"/>
        <v>2.2000000000000001E-4</v>
      </c>
      <c r="T159" s="15">
        <f t="shared" si="25"/>
        <v>0</v>
      </c>
      <c r="U159" s="15">
        <f t="shared" si="24"/>
        <v>0</v>
      </c>
      <c r="Y159" s="17">
        <v>1.5871999999999999</v>
      </c>
      <c r="Z159" s="17">
        <v>2354.5</v>
      </c>
    </row>
    <row r="160" spans="1:26">
      <c r="A160" s="5"/>
      <c r="B160" s="4"/>
      <c r="C160" s="4"/>
      <c r="D160" s="4"/>
      <c r="E160" s="4"/>
      <c r="F160" s="4"/>
      <c r="G160" s="4"/>
      <c r="H160" s="3"/>
      <c r="I160" s="3">
        <f>I154+1</f>
        <v>223</v>
      </c>
      <c r="J160" s="3">
        <v>41</v>
      </c>
      <c r="K160" s="4">
        <f>$B$3-(I160+J160/60)*PI()/180</f>
        <v>0.87819150196181361</v>
      </c>
      <c r="L160" s="2"/>
      <c r="M160" s="2"/>
      <c r="N160" s="9">
        <f>SQRT(SIN($G$13)*SIN($G$13) + (SIN(K160-$G$13+$B$2)  + COS($B$2)*SIN($G$13) )* (SIN(K160-$G$13+$B$2)  + COS($B$2)*SIN($G$13) )/(SIN($B$2)*SIN($B$2))   )</f>
        <v>1.6121464914184016</v>
      </c>
      <c r="O160" s="50">
        <f ca="1">FORECAST(N160,OFFSET($Z$1:$Z$200,MATCH(N160,$Y$1:$Y$200,-1)-1,0,2),OFFSET($Y$1:$Y$200,MATCH(N160,$Y$1:$Y$200,-1)-1,0,2))</f>
        <v>650.47777536691501</v>
      </c>
      <c r="P160" s="3"/>
      <c r="Q160" s="15">
        <f>0.22*(0.001)</f>
        <v>2.2000000000000001E-4</v>
      </c>
      <c r="R160" s="3">
        <f>AVERAGE(Q160:Q162)</f>
        <v>2.1000000000000001E-4</v>
      </c>
      <c r="S160" s="18">
        <f t="shared" si="23"/>
        <v>9.9999999999999991E-6</v>
      </c>
      <c r="T160" s="15">
        <f t="shared" ca="1" si="25"/>
        <v>3.8873248029243163E-2</v>
      </c>
      <c r="U160" s="15">
        <f t="shared" ca="1" si="24"/>
        <v>7.7746496058486237E-4</v>
      </c>
      <c r="Y160" s="17">
        <v>1.587</v>
      </c>
      <c r="Z160" s="17">
        <v>2404.3000000000002</v>
      </c>
    </row>
    <row r="161" spans="1:26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9"/>
      <c r="O161" s="50"/>
      <c r="P161" s="3"/>
      <c r="Q161" s="15">
        <f>0.2*(0.001)</f>
        <v>2.0000000000000001E-4</v>
      </c>
      <c r="R161" s="3"/>
      <c r="S161" s="18">
        <f t="shared" si="23"/>
        <v>6.3000000000000003E-4</v>
      </c>
      <c r="T161" s="15">
        <f t="shared" si="25"/>
        <v>0</v>
      </c>
      <c r="U161" s="15">
        <f t="shared" si="24"/>
        <v>0</v>
      </c>
      <c r="Y161" s="17">
        <v>1.5867</v>
      </c>
      <c r="Z161" s="17">
        <v>2455.8000000000002</v>
      </c>
    </row>
    <row r="162" spans="1:26">
      <c r="A162" s="5"/>
      <c r="B162" s="4"/>
      <c r="C162" s="4"/>
      <c r="D162" s="4"/>
      <c r="E162" s="4"/>
      <c r="F162" s="4"/>
      <c r="G162" s="4"/>
      <c r="H162" s="3"/>
      <c r="I162" s="3"/>
      <c r="J162" s="3"/>
      <c r="K162" s="4"/>
      <c r="L162" s="2"/>
      <c r="M162" s="2"/>
      <c r="N162" s="9"/>
      <c r="O162" s="50"/>
      <c r="P162" s="3"/>
      <c r="Q162" s="15">
        <f>0.21*(0.001)</f>
        <v>2.1000000000000001E-4</v>
      </c>
      <c r="R162" s="3"/>
      <c r="S162" s="18">
        <f t="shared" si="23"/>
        <v>6.3000000000000003E-4</v>
      </c>
      <c r="T162" s="15">
        <f t="shared" si="25"/>
        <v>0</v>
      </c>
      <c r="U162" s="15">
        <f t="shared" si="24"/>
        <v>0</v>
      </c>
      <c r="Y162" s="17">
        <v>1.5865</v>
      </c>
      <c r="Z162" s="17">
        <v>2508.8000000000002</v>
      </c>
    </row>
    <row r="163" spans="1:26">
      <c r="A163" s="5"/>
      <c r="B163" s="4"/>
      <c r="C163" s="4"/>
      <c r="D163" s="4"/>
      <c r="E163" s="4"/>
      <c r="F163" s="4"/>
      <c r="G163" s="4"/>
      <c r="H163" s="3"/>
      <c r="I163" s="3">
        <f>I157+1</f>
        <v>224</v>
      </c>
      <c r="J163" s="3">
        <v>21</v>
      </c>
      <c r="K163" s="4">
        <f>$B$3-(I163+J163/60)*PI()/180</f>
        <v>0.86655597361518488</v>
      </c>
      <c r="L163" s="2"/>
      <c r="M163" s="2"/>
      <c r="N163" s="9">
        <f>SQRT(SIN($G$13)*SIN($G$13) + (SIN(K163-$G$13+$B$2)  + COS($B$2)*SIN($G$13) )* (SIN(K163-$G$13+$B$2)  + COS($B$2)*SIN($G$13) )/(SIN($B$2)*SIN($B$2))   )</f>
        <v>1.6073353444301552</v>
      </c>
      <c r="O163" s="50">
        <f ca="1">FORECAST(N163,OFFSET($Z$1:$Z$200,MATCH(N163,$Y$1:$Y$200,-1)-1,0,2),OFFSET($Y$1:$Y$200,MATCH(N163,$Y$1:$Y$200,-1)-1,0,2))</f>
        <v>743.7735706370986</v>
      </c>
      <c r="P163" s="3"/>
      <c r="Q163" s="15">
        <f>0.63*(0.001)</f>
        <v>6.3000000000000003E-4</v>
      </c>
      <c r="R163" s="3">
        <f>AVERAGE(Q163:Q165)</f>
        <v>6.2333333333333338E-4</v>
      </c>
      <c r="S163" s="18">
        <f t="shared" si="23"/>
        <v>6.666666666666648E-6</v>
      </c>
      <c r="T163" s="15">
        <f t="shared" ca="1" si="25"/>
        <v>5.0757932139430674E-2</v>
      </c>
      <c r="U163" s="15">
        <f t="shared" ca="1" si="24"/>
        <v>7.1490045266804061E-4</v>
      </c>
      <c r="Y163" s="17">
        <v>1.5863</v>
      </c>
      <c r="Z163" s="17">
        <v>2563.6</v>
      </c>
    </row>
    <row r="164" spans="1:26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9"/>
      <c r="O164" s="50"/>
      <c r="P164" s="3"/>
      <c r="Q164" s="15">
        <f>0.62*(0.001)</f>
        <v>6.2E-4</v>
      </c>
      <c r="R164" s="3"/>
      <c r="S164" s="18">
        <f t="shared" si="23"/>
        <v>1.0500000000000002E-3</v>
      </c>
      <c r="T164" s="15">
        <f t="shared" si="25"/>
        <v>0</v>
      </c>
      <c r="U164" s="15">
        <f t="shared" si="24"/>
        <v>0</v>
      </c>
      <c r="Y164" s="17">
        <v>1.5861000000000001</v>
      </c>
      <c r="Z164" s="17">
        <v>2620.1</v>
      </c>
    </row>
    <row r="165" spans="1:26">
      <c r="A165" s="5"/>
      <c r="B165" s="4"/>
      <c r="C165" s="4"/>
      <c r="D165" s="4"/>
      <c r="E165" s="4"/>
      <c r="F165" s="4"/>
      <c r="G165" s="4"/>
      <c r="H165" s="3"/>
      <c r="I165" s="3"/>
      <c r="J165" s="3"/>
      <c r="K165" s="4"/>
      <c r="L165" s="2"/>
      <c r="M165" s="2"/>
      <c r="N165" s="9"/>
      <c r="O165" s="50"/>
      <c r="P165" s="3"/>
      <c r="Q165" s="15">
        <f>0.62*(0.001)</f>
        <v>6.2E-4</v>
      </c>
      <c r="R165" s="3"/>
      <c r="S165" s="18">
        <f t="shared" ref="S165:S196" si="26">MAX(ABS(Q165-R165),ABS(Q166-R165),ABS(Q167-R165))</f>
        <v>1.0500000000000002E-3</v>
      </c>
      <c r="T165" s="15">
        <f t="shared" si="25"/>
        <v>0</v>
      </c>
      <c r="U165" s="15">
        <f t="shared" si="24"/>
        <v>0</v>
      </c>
      <c r="Y165" s="17">
        <v>1.5858000000000001</v>
      </c>
      <c r="Z165" s="17">
        <v>2678.5</v>
      </c>
    </row>
    <row r="166" spans="1:26">
      <c r="A166" s="5"/>
      <c r="B166" s="4"/>
      <c r="C166" s="4"/>
      <c r="D166" s="4"/>
      <c r="E166" s="4"/>
      <c r="F166" s="4"/>
      <c r="G166" s="4"/>
      <c r="H166" s="3"/>
      <c r="I166" s="3">
        <f>I160+1</f>
        <v>224</v>
      </c>
      <c r="J166" s="3">
        <v>40</v>
      </c>
      <c r="K166" s="4">
        <f>$B$3-(I166+J166/60)*PI()/180</f>
        <v>0.86102909765053637</v>
      </c>
      <c r="L166" s="2"/>
      <c r="M166" s="2"/>
      <c r="N166" s="9">
        <f>SQRT(SIN($G$13)*SIN($G$13) + (SIN(K166-$G$13+$B$2)  + COS($B$2)*SIN($G$13) )* (SIN(K166-$G$13+$B$2)  + COS($B$2)*SIN($G$13) )/(SIN($B$2)*SIN($B$2))   )</f>
        <v>1.6050057752958158</v>
      </c>
      <c r="O166" s="50">
        <f ca="1">FORECAST(N166,OFFSET($Z$1:$Z$200,MATCH(N166,$Y$1:$Y$200,-1)-1,0,2),OFFSET($Y$1:$Y$200,MATCH(N166,$Y$1:$Y$200,-1)-1,0,2))</f>
        <v>805.05075229435897</v>
      </c>
      <c r="P166" s="3"/>
      <c r="Q166" s="15">
        <f>1.05*(0.001)</f>
        <v>1.0500000000000002E-3</v>
      </c>
      <c r="R166" s="3">
        <f>AVERAGE(Q166:Q168)</f>
        <v>1.0333333333333334E-3</v>
      </c>
      <c r="S166" s="18">
        <f t="shared" si="26"/>
        <v>1.6666666666666783E-5</v>
      </c>
      <c r="T166" s="15">
        <f t="shared" ca="1" si="25"/>
        <v>0.11469189508760912</v>
      </c>
      <c r="U166" s="15">
        <f t="shared" ca="1" si="24"/>
        <v>1.8758020224608958E-3</v>
      </c>
      <c r="Y166" s="17">
        <v>1.5855999999999999</v>
      </c>
      <c r="Z166" s="17">
        <v>2738.8</v>
      </c>
    </row>
    <row r="167" spans="1:26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9"/>
      <c r="O167" s="50"/>
      <c r="P167" s="3"/>
      <c r="Q167" s="15">
        <f>1.03*(0.001)</f>
        <v>1.0300000000000001E-3</v>
      </c>
      <c r="R167" s="3"/>
      <c r="S167" s="18">
        <f t="shared" si="26"/>
        <v>1.8000000000000002E-3</v>
      </c>
      <c r="T167" s="15">
        <f t="shared" si="25"/>
        <v>0</v>
      </c>
      <c r="U167" s="15">
        <f t="shared" si="24"/>
        <v>0</v>
      </c>
      <c r="Y167" s="17">
        <v>1.5853999999999999</v>
      </c>
      <c r="Z167" s="17">
        <v>2801</v>
      </c>
    </row>
    <row r="168" spans="1:26">
      <c r="A168" s="5"/>
      <c r="B168" s="4"/>
      <c r="C168" s="4"/>
      <c r="D168" s="4"/>
      <c r="E168" s="4"/>
      <c r="F168" s="4"/>
      <c r="G168" s="4"/>
      <c r="H168" s="3"/>
      <c r="I168" s="3"/>
      <c r="J168" s="3"/>
      <c r="K168" s="4"/>
      <c r="L168" s="2"/>
      <c r="M168" s="2"/>
      <c r="N168" s="9"/>
      <c r="O168" s="50"/>
      <c r="P168" s="3"/>
      <c r="Q168" s="15">
        <f>1.02*(0.001)</f>
        <v>1.0200000000000001E-3</v>
      </c>
      <c r="R168" s="3"/>
      <c r="S168" s="18">
        <f t="shared" si="26"/>
        <v>1.8100000000000002E-3</v>
      </c>
      <c r="T168" s="15">
        <f t="shared" si="25"/>
        <v>0</v>
      </c>
      <c r="U168" s="15">
        <f t="shared" si="24"/>
        <v>0</v>
      </c>
      <c r="Y168" s="17">
        <v>1.5851</v>
      </c>
      <c r="Z168" s="17">
        <v>2865.3</v>
      </c>
    </row>
    <row r="169" spans="1:26">
      <c r="A169" s="5"/>
      <c r="B169" s="4"/>
      <c r="C169" s="4"/>
      <c r="D169" s="4"/>
      <c r="E169" s="4"/>
      <c r="F169" s="4"/>
      <c r="G169" s="4"/>
      <c r="H169" s="3"/>
      <c r="I169" s="3">
        <f>I163+1</f>
        <v>225</v>
      </c>
      <c r="J169" s="3">
        <v>0</v>
      </c>
      <c r="K169" s="4">
        <f>$B$3-(I169+J169/60)*PI()/180</f>
        <v>0.85521133347722156</v>
      </c>
      <c r="L169" s="2"/>
      <c r="M169" s="2"/>
      <c r="N169" s="8">
        <f>SQRT(SIN($G$13)*SIN($G$13) + (SIN(K169-$G$13+$B$2)  + COS($B$2)*SIN($G$13) )* (SIN(K169-$G$13+$B$2)  + COS($B$2)*SIN($G$13) )/(SIN($B$2)*SIN($B$2))   )</f>
        <v>1.6025229441554882</v>
      </c>
      <c r="O169" s="50">
        <f ca="1">FORECAST(N169,OFFSET($Z$1:$Z$200,MATCH(N169,$Y$1:$Y$200,-1)-1,0,2),OFFSET($Y$1:$Y$200,MATCH(N169,$Y$1:$Y$200,-1)-1,0,2))</f>
        <v>885.44226754268311</v>
      </c>
      <c r="P169" s="3"/>
      <c r="Q169" s="15">
        <f>1.8*(0.001)</f>
        <v>1.8000000000000002E-3</v>
      </c>
      <c r="R169" s="3">
        <f>AVERAGE(Q169:Q171)</f>
        <v>1.8200000000000002E-3</v>
      </c>
      <c r="S169" s="18">
        <f t="shared" si="26"/>
        <v>2.9999999999999862E-5</v>
      </c>
      <c r="T169" s="15">
        <f t="shared" ca="1" si="25"/>
        <v>0.19213607431618721</v>
      </c>
      <c r="U169" s="15">
        <f t="shared" ca="1" si="24"/>
        <v>2.0423294898695103E-3</v>
      </c>
      <c r="Y169" s="17">
        <v>1.5849</v>
      </c>
      <c r="Z169" s="17">
        <v>2931.7</v>
      </c>
    </row>
    <row r="170" spans="1:26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8"/>
      <c r="O170" s="50"/>
      <c r="P170" s="3"/>
      <c r="Q170" s="15">
        <f>1.81*(0.001)</f>
        <v>1.8100000000000002E-3</v>
      </c>
      <c r="R170" s="3"/>
      <c r="S170" s="18">
        <f t="shared" si="26"/>
        <v>2.2500000000000003E-3</v>
      </c>
      <c r="T170" s="15">
        <f t="shared" si="25"/>
        <v>0</v>
      </c>
      <c r="U170" s="15">
        <f t="shared" si="24"/>
        <v>0</v>
      </c>
      <c r="Y170" s="17">
        <v>1.5847</v>
      </c>
      <c r="Z170" s="17">
        <v>3000.4</v>
      </c>
    </row>
    <row r="171" spans="1:26">
      <c r="A171" s="5"/>
      <c r="B171" s="4"/>
      <c r="C171" s="4"/>
      <c r="D171" s="4"/>
      <c r="E171" s="4"/>
      <c r="F171" s="4"/>
      <c r="G171" s="4"/>
      <c r="H171" s="3"/>
      <c r="I171" s="3"/>
      <c r="J171" s="3"/>
      <c r="K171" s="4"/>
      <c r="L171" s="2"/>
      <c r="M171" s="2"/>
      <c r="N171" s="8"/>
      <c r="O171" s="50"/>
      <c r="P171" s="3"/>
      <c r="Q171" s="15">
        <f>1.85*(0.001)</f>
        <v>1.8500000000000001E-3</v>
      </c>
      <c r="R171" s="3"/>
      <c r="S171" s="18">
        <f t="shared" si="26"/>
        <v>2.2500000000000003E-3</v>
      </c>
      <c r="T171" s="15">
        <f t="shared" si="25"/>
        <v>0</v>
      </c>
      <c r="U171" s="15">
        <f t="shared" si="24"/>
        <v>0</v>
      </c>
      <c r="Y171" s="17">
        <v>1.5844</v>
      </c>
      <c r="Z171" s="17">
        <v>3071.3</v>
      </c>
    </row>
    <row r="172" spans="1:26">
      <c r="A172" s="5"/>
      <c r="B172" s="4"/>
      <c r="C172" s="4"/>
      <c r="D172" s="4"/>
      <c r="E172" s="4"/>
      <c r="F172" s="4"/>
      <c r="G172" s="4"/>
      <c r="H172" s="3"/>
      <c r="I172" s="3">
        <f>I163+1</f>
        <v>225</v>
      </c>
      <c r="J172" s="3">
        <v>18</v>
      </c>
      <c r="K172" s="4">
        <f>$B$3-(I172+J172/60)*PI()/180</f>
        <v>0.84997534572123801</v>
      </c>
      <c r="L172" s="2"/>
      <c r="M172" s="2"/>
      <c r="N172" s="43">
        <f>SQRT(SIN($G$13)*SIN($G$13) + (SIN(K172-$G$13+$B$2)  + COS($B$2)*SIN($G$13) )* (SIN(K172-$G$13+$B$2)  + COS($B$2)*SIN($G$13) )/(SIN($B$2)*SIN($B$2))   )</f>
        <v>1.6002616144184376</v>
      </c>
      <c r="O172" s="50">
        <f ca="1">FORECAST(N172,OFFSET($Z$1:$Z$200,MATCH(N172,$Y$1:$Y$200,-1)-1,0,2),OFFSET($Y$1:$Y$200,MATCH(N172,$Y$1:$Y$200,-1)-1,0,2))</f>
        <v>979.70362861358444</v>
      </c>
      <c r="P172" s="3"/>
      <c r="Q172" s="15">
        <f>2.25*(0.001)</f>
        <v>2.2500000000000003E-3</v>
      </c>
      <c r="R172" s="3">
        <f>AVERAGE(Q172:Q174)</f>
        <v>2.2566666666666668E-3</v>
      </c>
      <c r="S172" s="18">
        <f t="shared" si="26"/>
        <v>1.3333333333333079E-5</v>
      </c>
      <c r="T172" s="15">
        <f t="shared" ca="1" si="25"/>
        <v>0.19790443696136792</v>
      </c>
      <c r="U172" s="15">
        <f t="shared" ca="1" si="24"/>
        <v>1.4136031211526093E-3</v>
      </c>
      <c r="Y172" s="17">
        <v>1.5842000000000001</v>
      </c>
      <c r="Z172" s="17">
        <v>3144.7</v>
      </c>
    </row>
    <row r="173" spans="1:26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3"/>
      <c r="O173" s="50"/>
      <c r="P173" s="3"/>
      <c r="Q173" s="15">
        <f>2.25*(0.001)</f>
        <v>2.2500000000000003E-3</v>
      </c>
      <c r="R173" s="3"/>
      <c r="S173" s="18">
        <f t="shared" si="26"/>
        <v>2.8700000000000002E-3</v>
      </c>
      <c r="T173" s="15">
        <f t="shared" si="25"/>
        <v>0</v>
      </c>
      <c r="U173" s="15">
        <f t="shared" si="24"/>
        <v>0</v>
      </c>
      <c r="Y173" s="17">
        <v>1.5840000000000001</v>
      </c>
      <c r="Z173" s="17">
        <v>3220.5</v>
      </c>
    </row>
    <row r="174" spans="1:26">
      <c r="A174" s="5"/>
      <c r="B174" s="4"/>
      <c r="C174" s="4"/>
      <c r="D174" s="4"/>
      <c r="E174" s="4"/>
      <c r="F174" s="4"/>
      <c r="G174" s="4"/>
      <c r="H174" s="3"/>
      <c r="I174" s="3"/>
      <c r="J174" s="3"/>
      <c r="K174" s="4"/>
      <c r="L174" s="2"/>
      <c r="M174" s="2"/>
      <c r="N174" s="43"/>
      <c r="O174" s="50"/>
      <c r="P174" s="3"/>
      <c r="Q174" s="15">
        <f>2.27*(0.001)</f>
        <v>2.2699999999999999E-3</v>
      </c>
      <c r="R174" s="3"/>
      <c r="S174" s="18">
        <f t="shared" si="26"/>
        <v>2.8999999999999998E-3</v>
      </c>
      <c r="T174" s="15">
        <f t="shared" si="25"/>
        <v>0</v>
      </c>
      <c r="U174" s="15">
        <f t="shared" si="24"/>
        <v>0</v>
      </c>
      <c r="Y174" s="17">
        <v>1.5837000000000001</v>
      </c>
      <c r="Z174" s="17">
        <v>3298.9</v>
      </c>
    </row>
    <row r="175" spans="1:26">
      <c r="A175" s="5"/>
      <c r="B175" s="4"/>
      <c r="C175" s="4"/>
      <c r="D175" s="4"/>
      <c r="E175" s="4"/>
      <c r="F175" s="4"/>
      <c r="G175" s="4"/>
      <c r="H175" s="51"/>
      <c r="I175" s="51">
        <v>225</v>
      </c>
      <c r="J175" s="51">
        <v>30</v>
      </c>
      <c r="K175" s="4">
        <f>$B$3-(I175+J175/60)*PI()/180</f>
        <v>0.84648468721724957</v>
      </c>
      <c r="L175" s="51"/>
      <c r="M175" s="51"/>
      <c r="N175" s="43">
        <f>SQRT(SIN($G$13)*SIN($G$13) + (SIN(K175-$G$13+$B$2)  + COS($B$2)*SIN($G$13) )* (SIN(K175-$G$13+$B$2)  + COS($B$2)*SIN($G$13) )/(SIN($B$2)*SIN($B$2))   )</f>
        <v>1.5987400117574218</v>
      </c>
      <c r="O175" s="50">
        <f ca="1">FORECAST(N175,OFFSET($Z$1:$Z$200,MATCH(N175,$Y$1:$Y$200,-1)-1,0,2),OFFSET($Y$1:$Y$200,MATCH(N175,$Y$1:$Y$200,-1)-1,0,2))</f>
        <v>1056.8092534037278</v>
      </c>
      <c r="P175" s="51"/>
      <c r="Q175" s="15">
        <f>2.87*(0.001)</f>
        <v>2.8700000000000002E-3</v>
      </c>
      <c r="R175" s="3">
        <f>AVERAGE(Q175:Q177)</f>
        <v>2.8766666666666667E-3</v>
      </c>
      <c r="S175" s="18">
        <f t="shared" si="26"/>
        <v>2.3333333333333105E-5</v>
      </c>
      <c r="T175" s="15">
        <f t="shared" ca="1" si="25"/>
        <v>0.24268371072183992</v>
      </c>
      <c r="U175" s="15">
        <f t="shared" ca="1" si="24"/>
        <v>1.9119707091197285E-3</v>
      </c>
      <c r="Y175" s="17">
        <v>1.5834999999999999</v>
      </c>
      <c r="Z175" s="17">
        <v>3380</v>
      </c>
    </row>
    <row r="176" spans="1:26">
      <c r="A176" s="5"/>
      <c r="B176" s="4"/>
      <c r="C176" s="4"/>
      <c r="D176" s="4"/>
      <c r="E176" s="4"/>
      <c r="F176" s="4"/>
      <c r="G176" s="4"/>
      <c r="H176" s="51"/>
      <c r="I176" s="51"/>
      <c r="J176" s="51"/>
      <c r="K176" s="4"/>
      <c r="L176" s="51"/>
      <c r="M176" s="51"/>
      <c r="N176" s="43"/>
      <c r="O176" s="50"/>
      <c r="P176" s="51"/>
      <c r="Q176" s="15">
        <f>2.9*(0.001)</f>
        <v>2.8999999999999998E-3</v>
      </c>
      <c r="R176" s="3"/>
      <c r="S176" s="18">
        <f t="shared" si="26"/>
        <v>3.0699999999999998E-3</v>
      </c>
      <c r="T176" s="15">
        <f t="shared" si="25"/>
        <v>0</v>
      </c>
      <c r="U176" s="15">
        <f t="shared" si="24"/>
        <v>0</v>
      </c>
      <c r="Y176" s="17">
        <v>1.5832999999999999</v>
      </c>
      <c r="Z176" s="17">
        <v>3463.9</v>
      </c>
    </row>
    <row r="177" spans="1:26">
      <c r="A177" s="5"/>
      <c r="B177" s="4"/>
      <c r="C177" s="4"/>
      <c r="D177" s="4"/>
      <c r="E177" s="4"/>
      <c r="F177" s="4"/>
      <c r="G177" s="4"/>
      <c r="H177" s="51"/>
      <c r="I177" s="51"/>
      <c r="J177" s="51"/>
      <c r="K177" s="4"/>
      <c r="L177" s="51"/>
      <c r="M177" s="51"/>
      <c r="N177" s="43"/>
      <c r="O177" s="50"/>
      <c r="P177" s="51"/>
      <c r="Q177" s="15">
        <f>2.86*(0.001)</f>
        <v>2.8600000000000001E-3</v>
      </c>
      <c r="R177" s="3"/>
      <c r="S177" s="18">
        <f t="shared" si="26"/>
        <v>3.0699999999999998E-3</v>
      </c>
      <c r="T177" s="15">
        <f t="shared" si="25"/>
        <v>0</v>
      </c>
      <c r="U177" s="15">
        <f t="shared" si="24"/>
        <v>0</v>
      </c>
      <c r="Y177" s="17">
        <v>1.5831</v>
      </c>
      <c r="Z177" s="17">
        <v>3550.8</v>
      </c>
    </row>
    <row r="178" spans="1:26">
      <c r="A178" s="5"/>
      <c r="B178" s="4"/>
      <c r="C178" s="4"/>
      <c r="D178" s="4"/>
      <c r="E178" s="4"/>
      <c r="F178" s="4"/>
      <c r="G178" s="4"/>
      <c r="H178" s="3"/>
      <c r="I178" s="3">
        <f>I166+1</f>
        <v>225</v>
      </c>
      <c r="J178" s="3">
        <v>41</v>
      </c>
      <c r="K178" s="4">
        <f>$B$3-(I178+J178/60)*PI()/180</f>
        <v>0.84328491692192697</v>
      </c>
      <c r="L178" s="2"/>
      <c r="M178" s="2"/>
      <c r="N178" s="43">
        <f>SQRT(SIN($G$13)*SIN($G$13) + (SIN(K178-$G$13+$B$2)  + COS($B$2)*SIN($G$13) )* (SIN(K178-$G$13+$B$2)  + COS($B$2)*SIN($G$13) )/(SIN($B$2)*SIN($B$2))   )</f>
        <v>1.5973353625139708</v>
      </c>
      <c r="O178" s="50">
        <f ca="1">FORECAST(N178,OFFSET($Z$1:$Z$200,MATCH(N178,$Y$1:$Y$200,-1)-1,0,2),OFFSET($Y$1:$Y$200,MATCH(N178,$Y$1:$Y$200,-1)-1,0,2))</f>
        <v>1138.7508552231448</v>
      </c>
      <c r="P178" s="3"/>
      <c r="Q178" s="15">
        <f>3.07*(0.001)</f>
        <v>3.0699999999999998E-3</v>
      </c>
      <c r="R178" s="3">
        <f>AVERAGE(Q178:Q180)</f>
        <v>3.0466666666666663E-3</v>
      </c>
      <c r="S178" s="18">
        <f t="shared" si="26"/>
        <v>2.3333333333333539E-5</v>
      </c>
      <c r="T178" s="15">
        <f t="shared" ca="1" si="25"/>
        <v>0.58947478623958416</v>
      </c>
      <c r="U178" s="15">
        <f t="shared" ca="1" si="24"/>
        <v>6.2997305399649988E-3</v>
      </c>
      <c r="Y178" s="17">
        <v>1.5828</v>
      </c>
      <c r="Z178" s="17">
        <v>3640.7</v>
      </c>
    </row>
    <row r="179" spans="1:26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3"/>
      <c r="O179" s="50"/>
      <c r="P179" s="3"/>
      <c r="Q179" s="15">
        <f>3.03*(0.001)</f>
        <v>3.0299999999999997E-3</v>
      </c>
      <c r="R179" s="3"/>
      <c r="S179" s="18">
        <f t="shared" si="26"/>
        <v>3.46E-3</v>
      </c>
      <c r="T179" s="15">
        <f t="shared" si="25"/>
        <v>0</v>
      </c>
      <c r="U179" s="15">
        <f t="shared" si="24"/>
        <v>0</v>
      </c>
      <c r="Y179" s="17">
        <v>1.5826</v>
      </c>
      <c r="Z179" s="17">
        <v>3733.7</v>
      </c>
    </row>
    <row r="180" spans="1:26">
      <c r="A180" s="5"/>
      <c r="B180" s="4"/>
      <c r="C180" s="4"/>
      <c r="D180" s="4"/>
      <c r="E180" s="4"/>
      <c r="F180" s="4"/>
      <c r="G180" s="4"/>
      <c r="H180" s="3"/>
      <c r="I180" s="3"/>
      <c r="J180" s="3"/>
      <c r="K180" s="4"/>
      <c r="L180" s="2"/>
      <c r="M180" s="2"/>
      <c r="N180" s="43"/>
      <c r="O180" s="50"/>
      <c r="P180" s="3"/>
      <c r="Q180" s="15">
        <f>3.04*(0.001)</f>
        <v>3.0400000000000002E-3</v>
      </c>
      <c r="R180" s="3"/>
      <c r="S180" s="18">
        <f t="shared" si="26"/>
        <v>3.5000000000000001E-3</v>
      </c>
      <c r="T180" s="15">
        <f t="shared" si="25"/>
        <v>0</v>
      </c>
      <c r="U180" s="15">
        <f t="shared" si="24"/>
        <v>0</v>
      </c>
      <c r="Y180" s="17">
        <v>1.5824</v>
      </c>
      <c r="Z180" s="17">
        <v>3830</v>
      </c>
    </row>
    <row r="181" spans="1:26">
      <c r="A181" s="5"/>
      <c r="B181" s="4"/>
      <c r="C181" s="4"/>
      <c r="D181" s="4"/>
      <c r="E181" s="4"/>
      <c r="F181" s="4"/>
      <c r="G181" s="4"/>
      <c r="H181" s="3"/>
      <c r="I181" s="3">
        <v>226</v>
      </c>
      <c r="J181" s="3">
        <v>0</v>
      </c>
      <c r="K181" s="4">
        <f>$B$3-(I181+J181/60)*PI()/180</f>
        <v>0.83775804095727846</v>
      </c>
      <c r="L181" s="2"/>
      <c r="M181" s="2"/>
      <c r="N181" s="43">
        <f>SQRT(SIN($G$13)*SIN($G$13) + (SIN(K181-$G$13+$B$2)  + COS($B$2)*SIN($G$13) )* (SIN(K181-$G$13+$B$2)  + COS($B$2)*SIN($G$13) )/(SIN($B$2)*SIN($B$2))   )</f>
        <v>1.594887028363615</v>
      </c>
      <c r="O181" s="50">
        <f ca="1">FORECAST(N181,OFFSET($Z$1:$Z$200,MATCH(N181,$Y$1:$Y$200,-1)-1,0,2),OFFSET($Y$1:$Y$200,MATCH(N181,$Y$1:$Y$200,-1)-1,0,2))</f>
        <v>1318.7431563650025</v>
      </c>
      <c r="P181" s="3"/>
      <c r="Q181" s="15">
        <f>3.46*(0.001)</f>
        <v>3.46E-3</v>
      </c>
      <c r="R181" s="3">
        <f>AVERAGE(Q181:Q183)</f>
        <v>3.5033333333333336E-3</v>
      </c>
      <c r="S181" s="18">
        <f t="shared" si="26"/>
        <v>4.6666666666666211E-5</v>
      </c>
      <c r="T181" s="15">
        <f t="shared" ca="1" si="25"/>
        <v>0.40073082950451572</v>
      </c>
      <c r="U181" s="15">
        <f t="shared" ref="U181:U212" ca="1" si="27">(O184-O181)*(S184+S181)/2</f>
        <v>4.380612679944754E-3</v>
      </c>
      <c r="Y181" s="17">
        <v>1.5821000000000001</v>
      </c>
      <c r="Z181" s="17">
        <v>3929.8</v>
      </c>
    </row>
    <row r="182" spans="1:26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3"/>
      <c r="O182" s="50"/>
      <c r="P182" s="3"/>
      <c r="Q182" s="15">
        <f>3.5*(0.001)</f>
        <v>3.5000000000000001E-3</v>
      </c>
      <c r="R182" s="3"/>
      <c r="S182" s="18">
        <f t="shared" si="26"/>
        <v>3.5499999999999998E-3</v>
      </c>
      <c r="T182" s="15">
        <f t="shared" si="25"/>
        <v>0</v>
      </c>
      <c r="U182" s="15">
        <f t="shared" si="27"/>
        <v>0</v>
      </c>
      <c r="Y182" s="17">
        <v>1.5819000000000001</v>
      </c>
      <c r="Z182" s="17">
        <v>4033.1</v>
      </c>
    </row>
    <row r="183" spans="1:26">
      <c r="A183" s="5"/>
      <c r="B183" s="4"/>
      <c r="C183" s="4"/>
      <c r="D183" s="4"/>
      <c r="E183" s="4"/>
      <c r="F183" s="4"/>
      <c r="G183" s="4"/>
      <c r="H183" s="3"/>
      <c r="I183" s="3"/>
      <c r="J183" s="3"/>
      <c r="K183" s="4"/>
      <c r="L183" s="2"/>
      <c r="M183" s="2"/>
      <c r="N183" s="43"/>
      <c r="O183" s="50"/>
      <c r="P183" s="3"/>
      <c r="Q183" s="15">
        <f>3.55*(0.001)</f>
        <v>3.5499999999999998E-3</v>
      </c>
      <c r="R183" s="3"/>
      <c r="S183" s="18">
        <f t="shared" si="26"/>
        <v>3.5499999999999998E-3</v>
      </c>
      <c r="T183" s="15">
        <f t="shared" si="25"/>
        <v>0</v>
      </c>
      <c r="U183" s="15">
        <f t="shared" si="27"/>
        <v>0</v>
      </c>
      <c r="Y183" s="17">
        <v>1.5817000000000001</v>
      </c>
      <c r="Z183" s="17">
        <v>4140.1000000000004</v>
      </c>
    </row>
    <row r="184" spans="1:26">
      <c r="A184" s="5"/>
      <c r="B184" s="4"/>
      <c r="C184" s="4"/>
      <c r="D184" s="4"/>
      <c r="E184" s="4"/>
      <c r="F184" s="4"/>
      <c r="G184" s="4"/>
      <c r="H184" s="3"/>
      <c r="I184" s="3">
        <v>226</v>
      </c>
      <c r="J184" s="3">
        <v>10</v>
      </c>
      <c r="K184" s="4">
        <f>$B$3-(I184+J184/60)*PI()/180</f>
        <v>0.83484915887062128</v>
      </c>
      <c r="L184" s="2"/>
      <c r="M184" s="2"/>
      <c r="N184" s="43">
        <f>SQRT(SIN($G$13)*SIN($G$13) + (SIN(K184-$G$13+$B$2)  + COS($B$2)*SIN($G$13) )* (SIN(K184-$G$13+$B$2)  + COS($B$2)*SIN($G$13) )/(SIN($B$2)*SIN($B$2))   )</f>
        <v>1.5935872071271593</v>
      </c>
      <c r="O184" s="50">
        <f ca="1">FORECAST(N184,OFFSET($Z$1:$Z$200,MATCH(N184,$Y$1:$Y$200,-1)-1,0,2),OFFSET($Y$1:$Y$200,MATCH(N184,$Y$1:$Y$200,-1)-1,0,2))</f>
        <v>1433.0200088853016</v>
      </c>
      <c r="P184" s="3"/>
      <c r="Q184" s="15">
        <f>3.49*(0.001)</f>
        <v>3.4900000000000005E-3</v>
      </c>
      <c r="R184" s="3">
        <f>AVERAGE(Q184:Q186)</f>
        <v>3.5100000000000005E-3</v>
      </c>
      <c r="S184" s="18">
        <f t="shared" si="26"/>
        <v>2.9999999999999645E-5</v>
      </c>
      <c r="T184" s="15">
        <f t="shared" ca="1" si="25"/>
        <v>0.37983410132846157</v>
      </c>
      <c r="U184" s="15">
        <f t="shared" ca="1" si="27"/>
        <v>2.9039304382909728E-3</v>
      </c>
      <c r="Y184" s="17">
        <v>1.5813999999999999</v>
      </c>
      <c r="Z184" s="17">
        <v>4251.1000000000004</v>
      </c>
    </row>
    <row r="185" spans="1:26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3"/>
      <c r="O185" s="50"/>
      <c r="P185" s="3"/>
      <c r="Q185" s="15">
        <f>3.5*(0.001)</f>
        <v>3.5000000000000001E-3</v>
      </c>
      <c r="R185" s="3"/>
      <c r="S185" s="18">
        <f t="shared" si="26"/>
        <v>3.5400000000000002E-3</v>
      </c>
      <c r="T185" s="15">
        <f t="shared" si="25"/>
        <v>0</v>
      </c>
      <c r="U185" s="15">
        <f t="shared" si="27"/>
        <v>0</v>
      </c>
      <c r="Y185" s="17">
        <v>1.5811999999999999</v>
      </c>
      <c r="Z185" s="17">
        <v>4366</v>
      </c>
    </row>
    <row r="186" spans="1:26">
      <c r="A186" s="5"/>
      <c r="B186" s="4"/>
      <c r="C186" s="4"/>
      <c r="D186" s="4"/>
      <c r="E186" s="4"/>
      <c r="F186" s="4"/>
      <c r="G186" s="4"/>
      <c r="H186" s="3"/>
      <c r="I186" s="3"/>
      <c r="J186" s="3"/>
      <c r="K186" s="4"/>
      <c r="L186" s="2"/>
      <c r="M186" s="2"/>
      <c r="N186" s="43"/>
      <c r="O186" s="50"/>
      <c r="P186" s="3"/>
      <c r="Q186" s="15">
        <f>3.54*(0.001)</f>
        <v>3.5400000000000002E-3</v>
      </c>
      <c r="R186" s="3"/>
      <c r="S186" s="18">
        <f t="shared" si="26"/>
        <v>3.5400000000000002E-3</v>
      </c>
      <c r="T186" s="15">
        <f t="shared" si="25"/>
        <v>0</v>
      </c>
      <c r="U186" s="15">
        <f t="shared" si="27"/>
        <v>0</v>
      </c>
      <c r="Y186" s="17">
        <v>1.581</v>
      </c>
      <c r="Z186" s="17">
        <v>4485.2</v>
      </c>
    </row>
    <row r="187" spans="1:26">
      <c r="A187" s="5"/>
      <c r="B187" s="4"/>
      <c r="C187" s="4"/>
      <c r="D187" s="4"/>
      <c r="E187" s="4"/>
      <c r="F187" s="4"/>
      <c r="G187" s="4"/>
      <c r="H187" s="3"/>
      <c r="I187" s="3">
        <f>I172+1</f>
        <v>226</v>
      </c>
      <c r="J187" s="3">
        <v>19</v>
      </c>
      <c r="K187" s="4">
        <f>$B$3-(I187+J187/60)*PI()/180</f>
        <v>0.8322311649926295</v>
      </c>
      <c r="L187" s="2"/>
      <c r="M187" s="2"/>
      <c r="N187" s="43">
        <f>SQRT(SIN($G$13)*SIN($G$13) + (SIN(K187-$G$13+$B$2)  + COS($B$2)*SIN($G$13) )* (SIN(K187-$G$13+$B$2)  + COS($B$2)*SIN($G$13) )/(SIN($B$2)*SIN($B$2))   )</f>
        <v>1.5924107668516316</v>
      </c>
      <c r="O187" s="50">
        <f ca="1">FORECAST(N187,OFFSET($Z$1:$Z$200,MATCH(N187,$Y$1:$Y$200,-1)-1,0,2),OFFSET($Y$1:$Y$200,MATCH(N187,$Y$1:$Y$200,-1)-1,0,2))</f>
        <v>1549.1772264169413</v>
      </c>
      <c r="P187" s="3"/>
      <c r="Q187" s="15">
        <f>3.05*(0.001)</f>
        <v>3.0499999999999998E-3</v>
      </c>
      <c r="R187" s="3">
        <f>AVERAGE(Q187:Q189)</f>
        <v>3.0299999999999997E-3</v>
      </c>
      <c r="S187" s="18">
        <f t="shared" si="26"/>
        <v>2.0000000000000052E-5</v>
      </c>
      <c r="T187" s="15">
        <f t="shared" ca="1" si="25"/>
        <v>1.1435427767687874</v>
      </c>
      <c r="U187" s="15">
        <f t="shared" ca="1" si="27"/>
        <v>1.074758248842848E-2</v>
      </c>
      <c r="Y187" s="17">
        <v>1.5807</v>
      </c>
      <c r="Z187" s="17">
        <v>4608.8</v>
      </c>
    </row>
    <row r="188" spans="1:26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3"/>
      <c r="O188" s="50"/>
      <c r="P188" s="3"/>
      <c r="Q188" s="15">
        <f>3.03*(0.001)</f>
        <v>3.0299999999999997E-3</v>
      </c>
      <c r="R188" s="3"/>
      <c r="S188" s="18">
        <f t="shared" si="26"/>
        <v>3.0299999999999997E-3</v>
      </c>
      <c r="T188" s="15">
        <f t="shared" si="25"/>
        <v>0</v>
      </c>
      <c r="U188" s="15">
        <f t="shared" si="27"/>
        <v>0</v>
      </c>
      <c r="Y188" s="17">
        <v>1.5805</v>
      </c>
      <c r="Z188" s="17">
        <v>4737</v>
      </c>
    </row>
    <row r="189" spans="1:26">
      <c r="A189" s="5"/>
      <c r="B189" s="4"/>
      <c r="C189" s="4"/>
      <c r="D189" s="4"/>
      <c r="E189" s="4"/>
      <c r="F189" s="4"/>
      <c r="G189" s="4"/>
      <c r="H189" s="3"/>
      <c r="I189" s="3"/>
      <c r="J189" s="3"/>
      <c r="K189" s="4"/>
      <c r="L189" s="2"/>
      <c r="M189" s="2"/>
      <c r="N189" s="43"/>
      <c r="O189" s="50"/>
      <c r="P189" s="3"/>
      <c r="Q189" s="15">
        <f>3.01*(0.001)</f>
        <v>3.0099999999999997E-3</v>
      </c>
      <c r="R189" s="3"/>
      <c r="S189" s="18">
        <f t="shared" si="26"/>
        <v>3.0099999999999997E-3</v>
      </c>
      <c r="T189" s="15">
        <f t="shared" ref="T189:T220" si="28">(O192-O189)*(R192+R189)/2</f>
        <v>0</v>
      </c>
      <c r="U189" s="15">
        <f t="shared" si="27"/>
        <v>0</v>
      </c>
      <c r="Y189" s="17">
        <v>1.5803</v>
      </c>
      <c r="Z189" s="17">
        <v>4869.8999999999996</v>
      </c>
    </row>
    <row r="190" spans="1:26">
      <c r="A190" s="5"/>
      <c r="B190" s="4"/>
      <c r="C190" s="4"/>
      <c r="D190" s="4"/>
      <c r="E190" s="4"/>
      <c r="F190" s="4"/>
      <c r="G190" s="4"/>
      <c r="H190" s="3"/>
      <c r="I190" s="3">
        <f>I178+1</f>
        <v>226</v>
      </c>
      <c r="J190" s="3">
        <v>43</v>
      </c>
      <c r="K190" s="4">
        <f>$B$3-(I190+J190/60)*PI()/180</f>
        <v>0.82524984798465217</v>
      </c>
      <c r="L190" s="2"/>
      <c r="M190" s="2"/>
      <c r="N190" s="43">
        <f>SQRT(SIN($G$13)*SIN($G$13) + (SIN(K190-$G$13+$B$2)  + COS($B$2)*SIN($G$13) )* (SIN(K190-$G$13+$B$2)  + COS($B$2)*SIN($G$13) )/(SIN($B$2)*SIN($B$2))   )</f>
        <v>1.589243110680981</v>
      </c>
      <c r="O190" s="50">
        <f ca="1">FORECAST(N190,OFFSET($Z$1:$Z$200,MATCH(N190,$Y$1:$Y$200,-1)-1,0,2),OFFSET($Y$1:$Y$200,MATCH(N190,$Y$1:$Y$200,-1)-1,0,2))</f>
        <v>1979.0805259540793</v>
      </c>
      <c r="P190" s="3"/>
      <c r="Q190" s="15">
        <f>2.26*(0.001)</f>
        <v>2.2599999999999999E-3</v>
      </c>
      <c r="R190" s="3">
        <f>AVERAGE(Q190:Q192)</f>
        <v>2.2899999999999999E-3</v>
      </c>
      <c r="S190" s="18">
        <f t="shared" si="26"/>
        <v>3.0000000000000079E-5</v>
      </c>
      <c r="T190" s="15">
        <f t="shared" ca="1" si="28"/>
        <v>2.0040236524346686</v>
      </c>
      <c r="U190" s="15">
        <f t="shared" ca="1" si="27"/>
        <v>3.5679946334148505E-2</v>
      </c>
      <c r="Y190" s="17">
        <v>1.5801000000000001</v>
      </c>
      <c r="Z190" s="17">
        <v>5007.8999999999996</v>
      </c>
    </row>
    <row r="191" spans="1:26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3"/>
      <c r="O191" s="50"/>
      <c r="P191" s="3"/>
      <c r="Q191" s="15">
        <f>2.31*(0.001)</f>
        <v>2.31E-3</v>
      </c>
      <c r="R191" s="3"/>
      <c r="S191" s="18">
        <f t="shared" si="26"/>
        <v>2.31E-3</v>
      </c>
      <c r="T191" s="15">
        <f t="shared" si="28"/>
        <v>0</v>
      </c>
      <c r="U191" s="15">
        <f t="shared" si="27"/>
        <v>0</v>
      </c>
      <c r="Y191" s="17">
        <v>1.5798000000000001</v>
      </c>
      <c r="Z191" s="17">
        <v>5151.1000000000004</v>
      </c>
    </row>
    <row r="192" spans="1:26">
      <c r="A192" s="5"/>
      <c r="B192" s="4"/>
      <c r="C192" s="4"/>
      <c r="D192" s="4"/>
      <c r="E192" s="4"/>
      <c r="F192" s="4"/>
      <c r="G192" s="4"/>
      <c r="H192" s="3"/>
      <c r="I192" s="3"/>
      <c r="J192" s="3"/>
      <c r="K192" s="4"/>
      <c r="L192" s="2"/>
      <c r="M192" s="2"/>
      <c r="N192" s="43"/>
      <c r="O192" s="50"/>
      <c r="P192" s="3"/>
      <c r="Q192" s="15">
        <f>2.3*(0.001)</f>
        <v>2.3E-3</v>
      </c>
      <c r="R192" s="3"/>
      <c r="S192" s="18">
        <f t="shared" si="26"/>
        <v>2.3E-3</v>
      </c>
      <c r="T192" s="15">
        <f t="shared" si="28"/>
        <v>0</v>
      </c>
      <c r="U192" s="15">
        <f t="shared" si="27"/>
        <v>0</v>
      </c>
      <c r="Y192" s="17">
        <v>1.5795999999999999</v>
      </c>
      <c r="Z192" s="17">
        <v>5299.7</v>
      </c>
    </row>
    <row r="193" spans="1:26">
      <c r="A193" s="5"/>
      <c r="B193" s="4"/>
      <c r="C193" s="4"/>
      <c r="D193" s="4"/>
      <c r="E193" s="4"/>
      <c r="F193" s="4"/>
      <c r="G193" s="4"/>
      <c r="H193" s="3"/>
      <c r="I193" s="3">
        <f>I187+1</f>
        <v>227</v>
      </c>
      <c r="J193" s="3">
        <v>21</v>
      </c>
      <c r="K193" s="4">
        <f>$B$3-(I193+J193/60)*PI()/180</f>
        <v>0.8141960960553547</v>
      </c>
      <c r="L193" s="2"/>
      <c r="M193" s="2"/>
      <c r="N193" s="43">
        <f>SQRT(SIN($G$13)*SIN($G$13) + (SIN(K193-$G$13+$B$2)  + COS($B$2)*SIN($G$13) )* (SIN(K193-$G$13+$B$2)  + COS($B$2)*SIN($G$13) )/(SIN($B$2)*SIN($B$2))   )</f>
        <v>1.5841374351703805</v>
      </c>
      <c r="O193" s="50">
        <f ca="1">FORECAST(N193,OFFSET($Z$1:$Z$200,MATCH(N193,$Y$1:$Y$200,-1)-1,0,2),OFFSET($Y$1:$Y$200,MATCH(N193,$Y$1:$Y$200,-1)-1,0,2))</f>
        <v>3168.4120704256929</v>
      </c>
      <c r="P193" s="3"/>
      <c r="Q193" s="15">
        <f>1.11*(0.001)</f>
        <v>1.1100000000000001E-3</v>
      </c>
      <c r="R193" s="3">
        <f>AVERAGE(Q193:Q195)</f>
        <v>1.08E-3</v>
      </c>
      <c r="S193" s="18">
        <f t="shared" si="26"/>
        <v>3.0000000000000079E-5</v>
      </c>
      <c r="T193" s="15">
        <f t="shared" ca="1" si="28"/>
        <v>0.83693647139461547</v>
      </c>
      <c r="U193" s="15">
        <f t="shared" ca="1" si="27"/>
        <v>2.4471826648965425E-2</v>
      </c>
      <c r="Y193" s="17">
        <v>1.5793999999999999</v>
      </c>
      <c r="Z193" s="17">
        <v>5454</v>
      </c>
    </row>
    <row r="194" spans="1:26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3"/>
      <c r="O194" s="50"/>
      <c r="P194" s="3"/>
      <c r="Q194" s="15">
        <f>1.07*(0.001)</f>
        <v>1.07E-3</v>
      </c>
      <c r="R194" s="3"/>
      <c r="S194" s="18">
        <f t="shared" si="26"/>
        <v>1.07E-3</v>
      </c>
      <c r="T194" s="15">
        <f t="shared" si="28"/>
        <v>0</v>
      </c>
      <c r="U194" s="15">
        <f t="shared" si="27"/>
        <v>0</v>
      </c>
      <c r="Y194" s="17">
        <v>1.5790999999999999</v>
      </c>
      <c r="Z194" s="17">
        <v>5614.2</v>
      </c>
    </row>
    <row r="195" spans="1:26">
      <c r="A195" s="5"/>
      <c r="B195" s="4"/>
      <c r="C195" s="4"/>
      <c r="D195" s="4"/>
      <c r="E195" s="4"/>
      <c r="F195" s="4"/>
      <c r="G195" s="4"/>
      <c r="H195" s="3"/>
      <c r="I195" s="3"/>
      <c r="J195" s="3"/>
      <c r="K195" s="4"/>
      <c r="L195" s="2"/>
      <c r="M195" s="2"/>
      <c r="N195" s="43"/>
      <c r="O195" s="50"/>
      <c r="P195" s="3"/>
      <c r="Q195" s="15">
        <f>1.06*(0.001)</f>
        <v>1.0600000000000002E-3</v>
      </c>
      <c r="R195" s="3"/>
      <c r="S195" s="18">
        <f t="shared" si="26"/>
        <v>1.0600000000000002E-3</v>
      </c>
      <c r="T195" s="15">
        <f t="shared" si="28"/>
        <v>0</v>
      </c>
      <c r="U195" s="15">
        <f t="shared" si="27"/>
        <v>0</v>
      </c>
      <c r="Y195" s="17">
        <v>1.5789</v>
      </c>
      <c r="Z195" s="17">
        <v>5780.6</v>
      </c>
    </row>
    <row r="196" spans="1:26">
      <c r="A196" s="5"/>
      <c r="B196" s="4"/>
      <c r="C196" s="4"/>
      <c r="D196" s="4"/>
      <c r="E196" s="4"/>
      <c r="F196" s="4"/>
      <c r="G196" s="4"/>
      <c r="H196" s="3"/>
      <c r="I196" s="3">
        <f>I190+1</f>
        <v>227</v>
      </c>
      <c r="J196" s="3">
        <v>39</v>
      </c>
      <c r="K196" s="4">
        <f>$B$3-(I196+J196/60)*PI()/180</f>
        <v>0.80896010829937204</v>
      </c>
      <c r="L196" s="2"/>
      <c r="M196" s="2"/>
      <c r="N196" s="43">
        <f>SQRT(SIN($G$13)*SIN($G$13) + (SIN(K196-$G$13+$B$2)  + COS($B$2)*SIN($G$13) )* (SIN(K196-$G$13+$B$2)  + COS($B$2)*SIN($G$13) )/(SIN($B$2)*SIN($B$2))   )</f>
        <v>1.581680580712475</v>
      </c>
      <c r="O196" s="50">
        <f ca="1">FORECAST(N196,OFFSET($Z$1:$Z$200,MATCH(N196,$Y$1:$Y$200,-1)-1,0,2),OFFSET($Y$1:$Y$200,MATCH(N196,$Y$1:$Y$200,-1)-1,0,2))</f>
        <v>4147.2851363843074</v>
      </c>
      <c r="P196" s="3"/>
      <c r="Q196" s="15">
        <f>0.61*(0.001)</f>
        <v>6.0999999999999997E-4</v>
      </c>
      <c r="R196" s="3">
        <f>AVERAGE(Q196:Q198)</f>
        <v>6.3000000000000003E-4</v>
      </c>
      <c r="S196" s="18">
        <f t="shared" si="26"/>
        <v>2.0000000000000052E-5</v>
      </c>
      <c r="T196" s="15" t="e">
        <f t="shared" ca="1" si="28"/>
        <v>#DIV/0!</v>
      </c>
      <c r="U196" s="15" t="e">
        <f t="shared" ca="1" si="27"/>
        <v>#DIV/0!</v>
      </c>
      <c r="Y196" s="17">
        <v>1.5787</v>
      </c>
      <c r="Z196" s="17">
        <v>5953.5</v>
      </c>
    </row>
    <row r="197" spans="1:26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3"/>
      <c r="O197" s="50"/>
      <c r="P197" s="3"/>
      <c r="Q197" s="15">
        <f>0.65*(0.001)</f>
        <v>6.5000000000000008E-4</v>
      </c>
      <c r="R197" s="3"/>
      <c r="S197" s="18">
        <f t="shared" ref="S197:S228" si="29">MAX(ABS(Q197-R197),ABS(Q198-R197),ABS(Q199-R197))</f>
        <v>6.5000000000000008E-4</v>
      </c>
      <c r="T197" s="15">
        <f t="shared" si="28"/>
        <v>0</v>
      </c>
      <c r="U197" s="15">
        <f t="shared" si="27"/>
        <v>0</v>
      </c>
      <c r="Y197" s="17">
        <v>1.5784</v>
      </c>
      <c r="Z197" s="17">
        <v>6133.2</v>
      </c>
    </row>
    <row r="198" spans="1:26">
      <c r="A198" s="5"/>
      <c r="B198" s="4"/>
      <c r="C198" s="4"/>
      <c r="D198" s="4"/>
      <c r="E198" s="4"/>
      <c r="F198" s="4"/>
      <c r="G198" s="4"/>
      <c r="H198" s="3"/>
      <c r="I198" s="3"/>
      <c r="J198" s="3"/>
      <c r="K198" s="4"/>
      <c r="L198" s="2"/>
      <c r="M198" s="2"/>
      <c r="N198" s="43"/>
      <c r="O198" s="50"/>
      <c r="P198" s="3"/>
      <c r="Q198" s="15">
        <f>0.63*(0.001)</f>
        <v>6.3000000000000003E-4</v>
      </c>
      <c r="R198" s="3"/>
      <c r="S198" s="18">
        <f t="shared" si="29"/>
        <v>6.3000000000000003E-4</v>
      </c>
      <c r="T198" s="15">
        <f t="shared" si="28"/>
        <v>0</v>
      </c>
      <c r="U198" s="15">
        <f t="shared" si="27"/>
        <v>0</v>
      </c>
      <c r="Y198" s="17">
        <v>1.5782</v>
      </c>
      <c r="Z198" s="17">
        <v>6320</v>
      </c>
    </row>
    <row r="199" spans="1:26">
      <c r="A199" s="5"/>
      <c r="B199" s="4"/>
      <c r="C199" s="4"/>
      <c r="D199" s="4"/>
      <c r="E199" s="4"/>
      <c r="F199" s="4"/>
      <c r="G199" s="4"/>
      <c r="H199" s="3"/>
      <c r="I199" s="3">
        <f>I193+1</f>
        <v>228</v>
      </c>
      <c r="J199" s="3">
        <v>20</v>
      </c>
      <c r="K199" s="4">
        <f>$B$3-(I199+J199/60)*PI()/180</f>
        <v>0.79703369174407745</v>
      </c>
      <c r="L199" s="2"/>
      <c r="M199" s="2"/>
      <c r="N199" s="43">
        <f>SQRT(SIN($G$13)*SIN($G$13) + (SIN(K199-$G$13+$B$2)  + COS($B$2)*SIN($G$13) )* (SIN(K199-$G$13+$B$2)  + COS($B$2)*SIN($G$13) )/(SIN($B$2)*SIN($B$2))   )</f>
        <v>1.5759929793093674</v>
      </c>
      <c r="O199" s="50" t="e">
        <f ca="1">FORECAST(N199,OFFSET($Z$1:$Z$200,MATCH(N199,$Y$1:$Y$200,-1)-1,0,2),OFFSET($Y$1:$Y$200,MATCH(N199,$Y$1:$Y$200,-1)-1,0,2))</f>
        <v>#DIV/0!</v>
      </c>
      <c r="P199" s="3"/>
      <c r="Q199" s="15">
        <f>0.14*(0.001)</f>
        <v>1.4000000000000001E-4</v>
      </c>
      <c r="R199" s="3">
        <f>AVERAGE(Q199:Q201)</f>
        <v>1.4999999999999999E-4</v>
      </c>
      <c r="S199" s="18">
        <f t="shared" si="29"/>
        <v>1.0000000000000026E-5</v>
      </c>
      <c r="T199" s="15" t="e">
        <f t="shared" ca="1" si="28"/>
        <v>#DIV/0!</v>
      </c>
      <c r="U199" s="15" t="e">
        <f t="shared" ca="1" si="27"/>
        <v>#DIV/0!</v>
      </c>
      <c r="Y199" s="17">
        <v>1.5780000000000001</v>
      </c>
      <c r="Z199" s="17">
        <v>6514.2</v>
      </c>
    </row>
    <row r="200" spans="1:26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3"/>
      <c r="O200" s="50"/>
      <c r="P200" s="3"/>
      <c r="Q200" s="15">
        <f>0.16*(0.001)</f>
        <v>1.6000000000000001E-4</v>
      </c>
      <c r="R200" s="3"/>
      <c r="S200" s="18">
        <f t="shared" si="29"/>
        <v>1.6000000000000001E-4</v>
      </c>
      <c r="T200" s="15">
        <f t="shared" si="28"/>
        <v>0</v>
      </c>
      <c r="U200" s="15">
        <f t="shared" si="27"/>
        <v>0</v>
      </c>
      <c r="Y200" s="17">
        <v>1.5778000000000001</v>
      </c>
      <c r="Z200" s="17">
        <v>6716.1</v>
      </c>
    </row>
    <row r="201" spans="1:26">
      <c r="A201" s="5"/>
      <c r="B201" s="4"/>
      <c r="C201" s="4"/>
      <c r="D201" s="4"/>
      <c r="E201" s="4"/>
      <c r="F201" s="4"/>
      <c r="G201" s="4"/>
      <c r="H201" s="3"/>
      <c r="I201" s="3"/>
      <c r="J201" s="3"/>
      <c r="K201" s="4"/>
      <c r="L201" s="2"/>
      <c r="M201" s="2"/>
      <c r="N201" s="43"/>
      <c r="O201" s="50"/>
      <c r="P201" s="3"/>
      <c r="Q201" s="15">
        <f>0.15*(0.001)</f>
        <v>1.4999999999999999E-4</v>
      </c>
      <c r="R201" s="3"/>
      <c r="S201" s="18">
        <f t="shared" si="29"/>
        <v>1.4999999999999999E-4</v>
      </c>
      <c r="T201" s="15">
        <f t="shared" si="28"/>
        <v>0</v>
      </c>
      <c r="U201" s="15">
        <f t="shared" si="27"/>
        <v>0</v>
      </c>
    </row>
    <row r="202" spans="1:26">
      <c r="A202" s="5"/>
      <c r="B202" s="4"/>
      <c r="C202" s="4"/>
      <c r="D202" s="4"/>
      <c r="E202" s="4"/>
      <c r="F202" s="4"/>
      <c r="G202" s="4"/>
      <c r="H202" s="3"/>
      <c r="I202" s="3">
        <f>I196+1</f>
        <v>228</v>
      </c>
      <c r="J202" s="3">
        <v>43</v>
      </c>
      <c r="K202" s="4">
        <f>$B$3-(I202+J202/60)*PI()/180</f>
        <v>0.79034326294476553</v>
      </c>
      <c r="L202" s="2"/>
      <c r="M202" s="44"/>
      <c r="N202" s="43">
        <f>SQRT(SIN($G$13)*SIN($G$13) + (SIN(K202-$G$13+$B$2)  + COS($B$2)*SIN($G$13) )* (SIN(K202-$G$13+$B$2)  + COS($B$2)*SIN($G$13) )/(SIN($B$2)*SIN($B$2))   )</f>
        <v>1.5727470831667714</v>
      </c>
      <c r="O202" s="50" t="e">
        <f ca="1">FORECAST(N202,OFFSET($Z$1:$Z$200,MATCH(N202,$Y$1:$Y$200,-1)-1,0,2),OFFSET($Y$1:$Y$200,MATCH(N202,$Y$1:$Y$200,-1)-1,0,2))</f>
        <v>#DIV/0!</v>
      </c>
      <c r="P202" s="3"/>
      <c r="Q202" s="15">
        <f>0.05*(0.001)</f>
        <v>5.0000000000000002E-5</v>
      </c>
      <c r="R202" s="3">
        <f>AVERAGE(Q202:Q204)</f>
        <v>6.0000000000000002E-5</v>
      </c>
      <c r="S202" s="18">
        <f t="shared" si="29"/>
        <v>1.0000000000000006E-5</v>
      </c>
      <c r="T202" s="15" t="e">
        <f t="shared" ca="1" si="28"/>
        <v>#DIV/0!</v>
      </c>
      <c r="U202" s="15" t="e">
        <f t="shared" ca="1" si="27"/>
        <v>#DIV/0!</v>
      </c>
    </row>
    <row r="203" spans="1:26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4"/>
      <c r="N203" s="43"/>
      <c r="O203" s="50"/>
      <c r="P203" s="3"/>
      <c r="Q203" s="15">
        <f>0.06*(0.001)</f>
        <v>6.0000000000000002E-5</v>
      </c>
      <c r="R203" s="3"/>
      <c r="S203" s="18">
        <f t="shared" si="29"/>
        <v>7.0000000000000007E-5</v>
      </c>
      <c r="T203" s="15">
        <f t="shared" si="28"/>
        <v>0</v>
      </c>
      <c r="U203" s="15">
        <f t="shared" si="27"/>
        <v>0</v>
      </c>
    </row>
    <row r="204" spans="1:26">
      <c r="A204" s="5"/>
      <c r="B204" s="4"/>
      <c r="C204" s="4"/>
      <c r="D204" s="4"/>
      <c r="E204" s="4"/>
      <c r="F204" s="4"/>
      <c r="G204" s="4"/>
      <c r="H204" s="3"/>
      <c r="I204" s="3"/>
      <c r="J204" s="3"/>
      <c r="K204" s="4"/>
      <c r="L204" s="2"/>
      <c r="M204" s="44"/>
      <c r="N204" s="43"/>
      <c r="O204" s="50"/>
      <c r="P204" s="3"/>
      <c r="Q204" s="15">
        <f>0.07*(0.001)</f>
        <v>7.0000000000000007E-5</v>
      </c>
      <c r="R204" s="3"/>
      <c r="S204" s="18">
        <f t="shared" si="29"/>
        <v>7.0000000000000007E-5</v>
      </c>
      <c r="T204" s="15">
        <f t="shared" si="28"/>
        <v>0</v>
      </c>
      <c r="U204" s="15">
        <f t="shared" si="27"/>
        <v>0</v>
      </c>
    </row>
    <row r="205" spans="1:26">
      <c r="A205" s="5"/>
      <c r="B205" s="4"/>
      <c r="C205" s="4"/>
      <c r="D205" s="4"/>
      <c r="E205" s="4"/>
      <c r="F205" s="4"/>
      <c r="G205" s="4"/>
      <c r="T205" s="15">
        <f t="shared" si="28"/>
        <v>0</v>
      </c>
    </row>
    <row r="206" spans="1:26">
      <c r="A206" s="5"/>
      <c r="B206" s="4"/>
      <c r="C206" s="4"/>
      <c r="D206" s="4"/>
      <c r="E206" s="4"/>
      <c r="F206" s="4"/>
      <c r="G206" s="4"/>
    </row>
    <row r="207" spans="1:26">
      <c r="A207" s="5"/>
      <c r="B207" s="4"/>
      <c r="C207" s="4"/>
      <c r="D207" s="4"/>
      <c r="E207" s="4"/>
      <c r="F207" s="4"/>
      <c r="G207" s="4"/>
    </row>
    <row r="208" spans="1:26">
      <c r="A208" s="5"/>
      <c r="B208" s="4"/>
      <c r="C208" s="4"/>
      <c r="D208" s="4"/>
      <c r="E208" s="4"/>
      <c r="F208" s="4"/>
      <c r="G208" s="4"/>
      <c r="W208" s="50">
        <v>535.81278723816104</v>
      </c>
      <c r="X208" s="3">
        <v>1.3333333333333335E-5</v>
      </c>
    </row>
    <row r="209" spans="1:24">
      <c r="A209" s="5"/>
      <c r="B209" s="4"/>
      <c r="C209" s="4"/>
      <c r="D209" s="4"/>
      <c r="E209" s="4"/>
      <c r="F209" s="4"/>
      <c r="G209" s="4"/>
      <c r="W209" s="50"/>
      <c r="X209" s="3"/>
    </row>
    <row r="210" spans="1:24">
      <c r="A210" s="5"/>
      <c r="B210" s="4"/>
      <c r="C210" s="4"/>
      <c r="D210" s="4"/>
      <c r="E210" s="4"/>
      <c r="F210" s="4"/>
      <c r="G210" s="3"/>
      <c r="W210" s="50"/>
      <c r="X210" s="3"/>
    </row>
    <row r="211" spans="1:24">
      <c r="M211" s="50">
        <v>538.52303759488495</v>
      </c>
      <c r="N211" s="3">
        <v>1.3333333333333335E-5</v>
      </c>
      <c r="W211" s="50">
        <v>570.08154463404571</v>
      </c>
      <c r="X211" s="3">
        <v>4.6666666666666672E-5</v>
      </c>
    </row>
    <row r="212" spans="1:24">
      <c r="M212" s="50"/>
      <c r="N212" s="3"/>
      <c r="W212" s="50"/>
      <c r="X212" s="3"/>
    </row>
    <row r="213" spans="1:24">
      <c r="M213" s="50"/>
      <c r="N213" s="3"/>
      <c r="W213" s="50"/>
      <c r="X213" s="3"/>
    </row>
    <row r="214" spans="1:24">
      <c r="M214" s="50">
        <v>572.44653068172374</v>
      </c>
      <c r="N214" s="3">
        <v>4.6666666666666672E-5</v>
      </c>
      <c r="W214" s="50">
        <v>622.20921881402319</v>
      </c>
      <c r="X214" s="3">
        <v>7.6666666666666669E-5</v>
      </c>
    </row>
    <row r="215" spans="1:24">
      <c r="M215" s="50"/>
      <c r="N215" s="3"/>
      <c r="W215" s="50"/>
      <c r="X215" s="3"/>
    </row>
    <row r="216" spans="1:24">
      <c r="M216" s="50"/>
      <c r="N216" s="3"/>
      <c r="W216" s="50"/>
      <c r="X216" s="3"/>
    </row>
    <row r="217" spans="1:24">
      <c r="M217" s="50">
        <v>626.40752769823666</v>
      </c>
      <c r="N217" s="3">
        <v>7.6666666666666669E-5</v>
      </c>
      <c r="W217" s="50">
        <v>661.34660939226524</v>
      </c>
      <c r="X217" s="3">
        <v>2.1000000000000001E-4</v>
      </c>
    </row>
    <row r="218" spans="1:24">
      <c r="M218" s="50"/>
      <c r="N218" s="3"/>
      <c r="W218" s="50"/>
      <c r="X218" s="3"/>
    </row>
    <row r="219" spans="1:24">
      <c r="M219" s="50"/>
      <c r="N219" s="3"/>
      <c r="W219" s="50"/>
      <c r="X219" s="3"/>
    </row>
    <row r="220" spans="1:24">
      <c r="M220" s="50">
        <v>666.30764741462554</v>
      </c>
      <c r="N220" s="3">
        <v>2.1000000000000001E-4</v>
      </c>
      <c r="W220" s="50">
        <v>761.30535102691647</v>
      </c>
      <c r="X220" s="3">
        <v>6.2333333333333338E-4</v>
      </c>
    </row>
    <row r="221" spans="1:24">
      <c r="M221" s="50"/>
      <c r="N221" s="3"/>
      <c r="W221" s="50"/>
      <c r="X221" s="3"/>
    </row>
    <row r="222" spans="1:24">
      <c r="M222" s="50"/>
      <c r="N222" s="3"/>
      <c r="W222" s="50"/>
      <c r="X222" s="3"/>
    </row>
    <row r="223" spans="1:24">
      <c r="M223" s="50">
        <v>767.32453860593523</v>
      </c>
      <c r="N223" s="3">
        <v>6.2333333333333338E-4</v>
      </c>
      <c r="W223" s="50">
        <v>826.34828822268173</v>
      </c>
      <c r="X223" s="3">
        <v>1.0333333333333334E-3</v>
      </c>
    </row>
    <row r="224" spans="1:24">
      <c r="M224" s="50"/>
      <c r="N224" s="3"/>
      <c r="W224" s="50"/>
      <c r="X224" s="3"/>
    </row>
    <row r="225" spans="13:24">
      <c r="M225" s="50"/>
      <c r="N225" s="3"/>
      <c r="W225" s="50"/>
      <c r="X225" s="3"/>
    </row>
    <row r="226" spans="13:24">
      <c r="M226" s="50">
        <v>835.10808298330085</v>
      </c>
      <c r="N226" s="3">
        <v>1.0333333333333334E-3</v>
      </c>
      <c r="W226" s="50">
        <v>911.79363158111664</v>
      </c>
      <c r="X226" s="3">
        <v>1.8200000000000002E-3</v>
      </c>
    </row>
    <row r="227" spans="13:24">
      <c r="M227" s="50"/>
      <c r="N227" s="3"/>
      <c r="W227" s="50"/>
      <c r="X227" s="3"/>
    </row>
    <row r="228" spans="13:24">
      <c r="M228" s="50"/>
      <c r="N228" s="3"/>
      <c r="W228" s="50"/>
      <c r="X228" s="3"/>
    </row>
    <row r="229" spans="13:24">
      <c r="M229" s="50">
        <v>922.14095759262273</v>
      </c>
      <c r="N229" s="3">
        <v>1.8200000000000002E-3</v>
      </c>
      <c r="W229" s="50">
        <v>1011.946103667593</v>
      </c>
      <c r="X229" s="3">
        <v>2.2566666666666668E-3</v>
      </c>
    </row>
    <row r="230" spans="13:24">
      <c r="M230" s="50"/>
      <c r="N230" s="3"/>
      <c r="W230" s="50"/>
      <c r="X230" s="3"/>
    </row>
    <row r="231" spans="13:24">
      <c r="M231" s="50"/>
      <c r="N231" s="3"/>
      <c r="W231" s="50"/>
      <c r="X231" s="3"/>
    </row>
    <row r="232" spans="13:24">
      <c r="M232" s="50">
        <v>1025.3124687161471</v>
      </c>
      <c r="N232" s="3">
        <v>2.2566666666666668E-3</v>
      </c>
      <c r="W232" s="50">
        <v>1094.0585799824476</v>
      </c>
      <c r="X232" s="3">
        <v>2.8766666666666667E-3</v>
      </c>
    </row>
    <row r="233" spans="13:24">
      <c r="M233" s="50"/>
      <c r="N233" s="3"/>
      <c r="W233" s="50"/>
      <c r="X233" s="3"/>
    </row>
    <row r="234" spans="13:24">
      <c r="M234" s="50"/>
      <c r="N234" s="3"/>
      <c r="W234" s="50"/>
      <c r="X234" s="3"/>
    </row>
    <row r="235" spans="13:24">
      <c r="M235" s="50">
        <v>1109.5498685587372</v>
      </c>
      <c r="N235" s="3">
        <v>2.8766666666666667E-3</v>
      </c>
      <c r="W235" s="50">
        <v>1181.3737881600828</v>
      </c>
      <c r="X235" s="3">
        <v>3.0466666666666663E-3</v>
      </c>
    </row>
    <row r="236" spans="13:24">
      <c r="M236" s="50"/>
      <c r="N236" s="3"/>
      <c r="W236" s="50"/>
      <c r="X236" s="3"/>
    </row>
    <row r="237" spans="13:24">
      <c r="M237" s="50"/>
      <c r="N237" s="3"/>
      <c r="W237" s="50"/>
      <c r="X237" s="3"/>
    </row>
    <row r="238" spans="13:24">
      <c r="M238" s="50">
        <v>1199.0871388736559</v>
      </c>
      <c r="N238" s="3">
        <v>3.0466666666666663E-3</v>
      </c>
      <c r="W238" s="50">
        <v>1374.1577154378756</v>
      </c>
      <c r="X238" s="3">
        <v>3.5033333333333336E-3</v>
      </c>
    </row>
    <row r="239" spans="13:24">
      <c r="M239" s="50"/>
      <c r="N239" s="3"/>
      <c r="W239" s="50"/>
      <c r="X239" s="3"/>
    </row>
    <row r="240" spans="13:24">
      <c r="M240" s="50"/>
      <c r="N240" s="3"/>
      <c r="W240" s="50"/>
      <c r="X240" s="3"/>
    </row>
    <row r="241" spans="13:24">
      <c r="M241" s="50">
        <v>1390.6613151446218</v>
      </c>
      <c r="N241" s="3">
        <v>3.5033333333333336E-3</v>
      </c>
      <c r="W241" s="50">
        <v>1495.8481787458877</v>
      </c>
      <c r="X241" s="3">
        <v>3.5100000000000005E-3</v>
      </c>
    </row>
    <row r="242" spans="13:24">
      <c r="M242" s="50"/>
      <c r="N242" s="3"/>
      <c r="W242" s="50"/>
      <c r="X242" s="3"/>
    </row>
    <row r="243" spans="13:24">
      <c r="M243" s="50"/>
      <c r="N243" s="3"/>
      <c r="W243" s="50"/>
      <c r="X243" s="3"/>
    </row>
    <row r="244" spans="13:24">
      <c r="M244" s="50">
        <v>1519.1500256398576</v>
      </c>
      <c r="N244" s="3">
        <v>3.5100000000000005E-3</v>
      </c>
      <c r="W244" s="50">
        <v>1620.0888087830099</v>
      </c>
      <c r="X244" s="3">
        <v>3.0299999999999997E-3</v>
      </c>
    </row>
    <row r="245" spans="13:24">
      <c r="M245" s="50"/>
      <c r="N245" s="3"/>
      <c r="W245" s="50"/>
      <c r="X245" s="3"/>
    </row>
    <row r="246" spans="13:24">
      <c r="M246" s="50"/>
      <c r="N246" s="3"/>
      <c r="W246" s="50"/>
      <c r="X246" s="3"/>
    </row>
    <row r="247" spans="13:24">
      <c r="M247" s="50">
        <v>1649.9082960030646</v>
      </c>
      <c r="N247" s="3">
        <v>3.0299999999999997E-3</v>
      </c>
      <c r="W247" s="50">
        <v>2081.5039357151254</v>
      </c>
      <c r="X247" s="3">
        <v>2.2899999999999999E-3</v>
      </c>
    </row>
    <row r="248" spans="13:24">
      <c r="M248" s="50"/>
      <c r="N248" s="3"/>
      <c r="W248" s="50"/>
      <c r="X248" s="3"/>
    </row>
    <row r="249" spans="13:24">
      <c r="M249" s="50"/>
      <c r="N249" s="3"/>
      <c r="W249" s="50"/>
      <c r="X249" s="3"/>
    </row>
    <row r="250" spans="13:24">
      <c r="M250" s="50">
        <v>2124.8640903540072</v>
      </c>
      <c r="N250" s="3">
        <v>2.2899999999999999E-3</v>
      </c>
      <c r="W250" s="50">
        <v>3364.2333083474077</v>
      </c>
      <c r="X250" s="3">
        <v>1.08E-3</v>
      </c>
    </row>
    <row r="251" spans="13:24">
      <c r="M251" s="50"/>
      <c r="N251" s="3"/>
      <c r="W251" s="50"/>
      <c r="X251" s="3"/>
    </row>
    <row r="252" spans="13:24">
      <c r="M252" s="50"/>
      <c r="N252" s="3"/>
      <c r="W252" s="50"/>
      <c r="X252" s="3"/>
    </row>
    <row r="253" spans="13:24">
      <c r="M253" s="50">
        <v>3448.2016158940969</v>
      </c>
      <c r="N253" s="3">
        <v>1.08E-3</v>
      </c>
      <c r="W253" s="50">
        <v>4429.5269064209424</v>
      </c>
      <c r="X253" s="3">
        <v>6.3000000000000003E-4</v>
      </c>
    </row>
    <row r="254" spans="13:24">
      <c r="M254" s="50"/>
      <c r="N254" s="3"/>
      <c r="W254" s="50"/>
      <c r="X254" s="3"/>
    </row>
    <row r="255" spans="13:24">
      <c r="M255" s="50"/>
      <c r="N255" s="3"/>
      <c r="W255" s="50"/>
      <c r="X255" s="3"/>
    </row>
    <row r="256" spans="13:24">
      <c r="M256" s="50">
        <v>4528.1498912455281</v>
      </c>
      <c r="N256" s="3">
        <v>6.3000000000000003E-4</v>
      </c>
    </row>
    <row r="257" spans="13:14">
      <c r="M257" s="50"/>
      <c r="N257" s="3"/>
    </row>
    <row r="258" spans="13:14">
      <c r="M258" s="50"/>
      <c r="N258" s="3"/>
    </row>
    <row r="276" spans="13:19">
      <c r="R276" s="1">
        <v>550.05720628043855</v>
      </c>
      <c r="S276" s="3">
        <v>1.0666666666666668E-4</v>
      </c>
    </row>
    <row r="277" spans="13:19">
      <c r="R277" s="1"/>
      <c r="S277" s="3"/>
    </row>
    <row r="278" spans="13:19">
      <c r="R278" s="1"/>
      <c r="S278" s="3"/>
    </row>
    <row r="279" spans="13:19">
      <c r="R279" s="1">
        <v>576.4918694493972</v>
      </c>
      <c r="S279" s="3">
        <v>2.5000000000000001E-4</v>
      </c>
    </row>
    <row r="280" spans="13:19">
      <c r="R280" s="1"/>
      <c r="S280" s="3"/>
    </row>
    <row r="281" spans="13:19">
      <c r="R281" s="1"/>
      <c r="S281" s="3"/>
    </row>
    <row r="282" spans="13:19">
      <c r="R282" s="1">
        <v>628.32283489863039</v>
      </c>
      <c r="S282" s="3">
        <v>4.8999999999999998E-4</v>
      </c>
    </row>
    <row r="283" spans="13:19">
      <c r="R283" s="1"/>
      <c r="S283" s="3"/>
    </row>
    <row r="284" spans="13:19">
      <c r="R284" s="1"/>
      <c r="S284" s="3"/>
    </row>
    <row r="285" spans="13:19">
      <c r="R285" s="1">
        <v>666.30764741462554</v>
      </c>
      <c r="S285" s="3">
        <v>8.166666666666666E-4</v>
      </c>
    </row>
    <row r="286" spans="13:19">
      <c r="M286" s="14">
        <v>515.29577274683288</v>
      </c>
      <c r="N286" s="13">
        <v>6.0000000000000002E-5</v>
      </c>
      <c r="R286" s="1"/>
      <c r="S286" s="3"/>
    </row>
    <row r="287" spans="13:19">
      <c r="M287" s="14"/>
      <c r="N287" s="13"/>
      <c r="R287" s="1"/>
      <c r="S287" s="3"/>
    </row>
    <row r="288" spans="13:19">
      <c r="M288" s="14"/>
      <c r="N288" s="13"/>
      <c r="R288" s="1">
        <v>709.64787201230502</v>
      </c>
      <c r="S288" s="3">
        <v>9.633333333333334E-4</v>
      </c>
    </row>
    <row r="289" spans="13:19">
      <c r="M289" s="14">
        <v>538.52303759488495</v>
      </c>
      <c r="N289" s="13">
        <v>7.6666666666666669E-5</v>
      </c>
      <c r="R289" s="1"/>
      <c r="S289" s="3"/>
    </row>
    <row r="290" spans="13:19">
      <c r="M290" s="14"/>
      <c r="N290" s="13"/>
      <c r="R290" s="1"/>
      <c r="S290" s="3"/>
    </row>
    <row r="291" spans="13:19">
      <c r="M291" s="14"/>
      <c r="N291" s="13"/>
      <c r="R291" s="1">
        <v>774.6690656312785</v>
      </c>
      <c r="S291" s="3">
        <v>2.0300000000000001E-3</v>
      </c>
    </row>
    <row r="292" spans="13:19">
      <c r="M292" s="14">
        <v>553.02854113004105</v>
      </c>
      <c r="N292" s="13">
        <v>2.7333333333333333E-4</v>
      </c>
      <c r="R292" s="1"/>
      <c r="S292" s="3"/>
    </row>
    <row r="293" spans="13:19">
      <c r="M293" s="14"/>
      <c r="N293" s="13"/>
      <c r="R293" s="1"/>
      <c r="S293" s="3"/>
    </row>
    <row r="294" spans="13:19">
      <c r="M294" s="14"/>
      <c r="N294" s="13"/>
      <c r="R294" s="1">
        <v>830.51684412078612</v>
      </c>
      <c r="S294" s="3">
        <v>2.9833333333333331E-3</v>
      </c>
    </row>
    <row r="295" spans="13:19">
      <c r="M295" s="14">
        <v>571.50529117684891</v>
      </c>
      <c r="N295" s="13">
        <v>7.3999999999999988E-4</v>
      </c>
      <c r="R295" s="1"/>
      <c r="S295" s="3"/>
    </row>
    <row r="296" spans="13:19">
      <c r="M296" s="14"/>
      <c r="N296" s="13"/>
      <c r="R296" s="1"/>
      <c r="S296" s="3"/>
    </row>
    <row r="297" spans="13:19">
      <c r="M297" s="14"/>
      <c r="N297" s="13"/>
      <c r="R297" s="1">
        <v>928.03438096499303</v>
      </c>
      <c r="S297" s="3">
        <v>3.5733333333333333E-3</v>
      </c>
    </row>
    <row r="298" spans="13:19">
      <c r="M298" s="14">
        <v>636.64002220679686</v>
      </c>
      <c r="N298" s="13">
        <v>1.4600000000000001E-3</v>
      </c>
      <c r="R298" s="1"/>
      <c r="S298" s="3"/>
    </row>
    <row r="299" spans="13:19">
      <c r="M299" s="14"/>
      <c r="N299" s="13"/>
      <c r="R299" s="1"/>
      <c r="S299" s="3"/>
    </row>
    <row r="300" spans="13:19">
      <c r="M300" s="14"/>
      <c r="N300" s="13"/>
      <c r="R300" s="1">
        <v>1050.7983088179899</v>
      </c>
      <c r="S300" s="3">
        <v>5.4266666666666664E-3</v>
      </c>
    </row>
    <row r="301" spans="13:19">
      <c r="M301" s="14">
        <v>676.44251137797983</v>
      </c>
      <c r="N301" s="13">
        <v>2.2433333333333333E-3</v>
      </c>
      <c r="R301" s="1"/>
      <c r="S301" s="3"/>
    </row>
    <row r="302" spans="13:19">
      <c r="M302" s="14"/>
      <c r="N302" s="13"/>
      <c r="R302" s="1"/>
      <c r="S302" s="3"/>
    </row>
    <row r="303" spans="13:19">
      <c r="M303" s="14"/>
      <c r="N303" s="13"/>
      <c r="R303" s="1">
        <v>1209.3977713997738</v>
      </c>
      <c r="S303" s="3">
        <v>5.9766666666666675E-3</v>
      </c>
    </row>
    <row r="304" spans="13:19">
      <c r="M304" s="14">
        <v>780.11211358935543</v>
      </c>
      <c r="N304" s="13">
        <v>5.0433333333333337E-3</v>
      </c>
      <c r="R304" s="1"/>
      <c r="S304" s="3"/>
    </row>
    <row r="305" spans="13:19">
      <c r="M305" s="14"/>
      <c r="N305" s="13"/>
      <c r="R305" s="1"/>
      <c r="S305" s="3"/>
    </row>
    <row r="306" spans="13:19">
      <c r="M306" s="14"/>
      <c r="N306" s="13"/>
      <c r="R306" s="1">
        <v>1682.3981893361197</v>
      </c>
      <c r="S306" s="3">
        <v>4.96E-3</v>
      </c>
    </row>
    <row r="307" spans="13:19">
      <c r="M307" s="14">
        <v>879.95133565130527</v>
      </c>
      <c r="N307" s="13">
        <v>7.6466666666666662E-3</v>
      </c>
      <c r="R307" s="1"/>
      <c r="S307" s="3"/>
    </row>
    <row r="308" spans="13:19">
      <c r="M308" s="14"/>
      <c r="N308" s="13"/>
      <c r="R308" s="1"/>
      <c r="S308" s="3"/>
    </row>
    <row r="309" spans="13:19">
      <c r="M309" s="14"/>
      <c r="N309" s="13"/>
      <c r="R309" s="1">
        <v>2044.4417147420463</v>
      </c>
      <c r="S309" s="3">
        <v>3.7766666666666665E-3</v>
      </c>
    </row>
    <row r="310" spans="13:19">
      <c r="M310" s="14">
        <v>1040.3209855450841</v>
      </c>
      <c r="N310" s="13">
        <v>9.9000000000000008E-3</v>
      </c>
      <c r="R310" s="1"/>
      <c r="S310" s="3"/>
    </row>
    <row r="311" spans="13:19">
      <c r="M311" s="14"/>
      <c r="N311" s="13"/>
      <c r="R311" s="1"/>
      <c r="S311" s="3"/>
    </row>
    <row r="312" spans="13:19">
      <c r="M312" s="14"/>
      <c r="N312" s="13"/>
      <c r="R312" s="1">
        <v>3601.0869092580397</v>
      </c>
      <c r="S312" s="3">
        <v>1.4133333333333333E-3</v>
      </c>
    </row>
    <row r="313" spans="13:19">
      <c r="M313" s="14">
        <v>1209.3977713997738</v>
      </c>
      <c r="N313" s="13">
        <v>1.0393333333333333E-2</v>
      </c>
      <c r="R313" s="1"/>
      <c r="S313" s="3"/>
    </row>
    <row r="314" spans="13:19">
      <c r="M314" s="14"/>
      <c r="N314" s="13"/>
      <c r="R314" s="1"/>
      <c r="S314" s="3"/>
    </row>
    <row r="315" spans="13:19">
      <c r="M315" s="14"/>
      <c r="N315" s="13"/>
      <c r="R315" s="1">
        <v>4658.1988128749654</v>
      </c>
      <c r="S315" s="3">
        <v>8.5333333333333344E-4</v>
      </c>
    </row>
    <row r="316" spans="13:19">
      <c r="M316" s="14">
        <v>1255.0954851501156</v>
      </c>
      <c r="N316" s="13">
        <v>1.038E-2</v>
      </c>
      <c r="R316" s="1"/>
      <c r="S316" s="3"/>
    </row>
    <row r="317" spans="13:19">
      <c r="M317" s="14"/>
      <c r="N317" s="13"/>
      <c r="R317" s="1"/>
      <c r="S317" s="3"/>
    </row>
    <row r="318" spans="13:19">
      <c r="M318" s="14"/>
      <c r="N318" s="13"/>
      <c r="R318" s="1">
        <v>1209.3977713997738</v>
      </c>
      <c r="S318" s="45">
        <v>1.8533333333333334E-3</v>
      </c>
    </row>
    <row r="319" spans="13:19">
      <c r="M319" s="14">
        <v>1316.3026060825214</v>
      </c>
      <c r="N319" s="13">
        <v>9.8433333333333341E-3</v>
      </c>
      <c r="R319" s="1"/>
      <c r="S319" s="45"/>
    </row>
    <row r="320" spans="13:19">
      <c r="M320" s="14"/>
      <c r="N320" s="13"/>
      <c r="R320" s="1"/>
      <c r="S320" s="45"/>
    </row>
    <row r="321" spans="13:19">
      <c r="M321" s="14"/>
      <c r="N321" s="13"/>
      <c r="R321" s="1">
        <v>1390.6613151446218</v>
      </c>
      <c r="S321" s="45">
        <v>2.0333333333333332E-3</v>
      </c>
    </row>
    <row r="322" spans="13:19">
      <c r="M322" s="14">
        <v>1414.0113317475189</v>
      </c>
      <c r="N322" s="13">
        <v>8.7233333333333347E-3</v>
      </c>
      <c r="R322" s="1"/>
      <c r="S322" s="45"/>
    </row>
    <row r="323" spans="13:19">
      <c r="M323" s="14"/>
      <c r="N323" s="13"/>
      <c r="R323" s="1"/>
      <c r="S323" s="45"/>
    </row>
    <row r="324" spans="13:19">
      <c r="M324" s="14"/>
      <c r="N324" s="13"/>
    </row>
    <row r="325" spans="13:19">
      <c r="M325" s="14">
        <v>1682.3981893361197</v>
      </c>
      <c r="N325" s="13">
        <v>7.7933333333333327E-3</v>
      </c>
    </row>
    <row r="326" spans="13:19">
      <c r="M326" s="14"/>
      <c r="N326" s="13"/>
    </row>
    <row r="327" spans="13:19">
      <c r="M327" s="14"/>
      <c r="N327" s="13"/>
    </row>
    <row r="328" spans="13:19">
      <c r="M328" s="14">
        <v>2070.5427854157169</v>
      </c>
      <c r="N328" s="13">
        <v>5.5566666666666672E-3</v>
      </c>
    </row>
    <row r="329" spans="13:19">
      <c r="M329" s="14"/>
      <c r="N329" s="13"/>
    </row>
    <row r="330" spans="13:19">
      <c r="M330" s="14"/>
      <c r="N330" s="13"/>
    </row>
    <row r="331" spans="13:19">
      <c r="M331" s="14">
        <v>2661.3840875802562</v>
      </c>
      <c r="N331" s="13">
        <v>3.6733333333333336E-3</v>
      </c>
    </row>
    <row r="332" spans="13:19">
      <c r="M332" s="14"/>
      <c r="N332" s="13"/>
    </row>
    <row r="333" spans="13:19">
      <c r="M333" s="14"/>
      <c r="N333" s="13"/>
    </row>
    <row r="334" spans="13:19">
      <c r="M334" s="14">
        <v>3601.0869092580397</v>
      </c>
      <c r="N334" s="13">
        <v>2.2366666666666668E-3</v>
      </c>
    </row>
    <row r="335" spans="13:19">
      <c r="M335" s="14"/>
      <c r="N335" s="13"/>
    </row>
    <row r="336" spans="13:19">
      <c r="M336" s="14"/>
      <c r="N336" s="13"/>
    </row>
    <row r="337" spans="13:14">
      <c r="M337" s="14">
        <v>5019.1709263348021</v>
      </c>
      <c r="N337" s="13">
        <v>1.2133333333333334E-3</v>
      </c>
    </row>
    <row r="338" spans="13:14">
      <c r="M338" s="14"/>
      <c r="N338" s="13"/>
    </row>
    <row r="339" spans="13:14">
      <c r="M339" s="14"/>
      <c r="N339" s="13"/>
    </row>
  </sheetData>
  <mergeCells count="816">
    <mergeCell ref="N313:N315"/>
    <mergeCell ref="N316:N318"/>
    <mergeCell ref="N319:N321"/>
    <mergeCell ref="N322:N324"/>
    <mergeCell ref="N325:N327"/>
    <mergeCell ref="N328:N330"/>
    <mergeCell ref="N331:N333"/>
    <mergeCell ref="N334:N336"/>
    <mergeCell ref="N337:N339"/>
    <mergeCell ref="N286:N288"/>
    <mergeCell ref="N289:N291"/>
    <mergeCell ref="N292:N294"/>
    <mergeCell ref="N295:N297"/>
    <mergeCell ref="N298:N300"/>
    <mergeCell ref="N301:N303"/>
    <mergeCell ref="N304:N306"/>
    <mergeCell ref="N307:N309"/>
    <mergeCell ref="N310:N312"/>
    <mergeCell ref="M313:M315"/>
    <mergeCell ref="M316:M318"/>
    <mergeCell ref="M319:M321"/>
    <mergeCell ref="M322:M324"/>
    <mergeCell ref="M325:M327"/>
    <mergeCell ref="M328:M330"/>
    <mergeCell ref="M331:M333"/>
    <mergeCell ref="M334:M336"/>
    <mergeCell ref="M337:M339"/>
    <mergeCell ref="M286:M288"/>
    <mergeCell ref="M289:M291"/>
    <mergeCell ref="M292:M294"/>
    <mergeCell ref="M295:M297"/>
    <mergeCell ref="M298:M300"/>
    <mergeCell ref="M301:M303"/>
    <mergeCell ref="M304:M306"/>
    <mergeCell ref="M307:M309"/>
    <mergeCell ref="M310:M312"/>
    <mergeCell ref="R276:R278"/>
    <mergeCell ref="R279:R281"/>
    <mergeCell ref="R282:R284"/>
    <mergeCell ref="R285:R287"/>
    <mergeCell ref="R288:R290"/>
    <mergeCell ref="R291:R293"/>
    <mergeCell ref="R294:R296"/>
    <mergeCell ref="R297:R299"/>
    <mergeCell ref="R300:R302"/>
    <mergeCell ref="R303:R305"/>
    <mergeCell ref="R306:R308"/>
    <mergeCell ref="R309:R311"/>
    <mergeCell ref="R312:R314"/>
    <mergeCell ref="R315:R317"/>
    <mergeCell ref="S276:S278"/>
    <mergeCell ref="S279:S281"/>
    <mergeCell ref="S282:S284"/>
    <mergeCell ref="S285:S287"/>
    <mergeCell ref="S288:S290"/>
    <mergeCell ref="S291:S293"/>
    <mergeCell ref="S294:S296"/>
    <mergeCell ref="S297:S299"/>
    <mergeCell ref="S300:S302"/>
    <mergeCell ref="S303:S305"/>
    <mergeCell ref="S306:S308"/>
    <mergeCell ref="S309:S311"/>
    <mergeCell ref="S312:S314"/>
    <mergeCell ref="S315:S317"/>
    <mergeCell ref="R318:R320"/>
    <mergeCell ref="R321:R323"/>
    <mergeCell ref="S318:S320"/>
    <mergeCell ref="S321:S323"/>
    <mergeCell ref="M238:M240"/>
    <mergeCell ref="M241:M243"/>
    <mergeCell ref="M244:M246"/>
    <mergeCell ref="M247:M249"/>
    <mergeCell ref="M250:M252"/>
    <mergeCell ref="M253:M255"/>
    <mergeCell ref="M256:M258"/>
    <mergeCell ref="N211:N213"/>
    <mergeCell ref="N214:N216"/>
    <mergeCell ref="N217:N219"/>
    <mergeCell ref="N220:N222"/>
    <mergeCell ref="N223:N225"/>
    <mergeCell ref="N226:N228"/>
    <mergeCell ref="N229:N231"/>
    <mergeCell ref="N232:N234"/>
    <mergeCell ref="N235:N237"/>
    <mergeCell ref="N238:N240"/>
    <mergeCell ref="N241:N243"/>
    <mergeCell ref="N244:N246"/>
    <mergeCell ref="N247:N249"/>
    <mergeCell ref="N250:N252"/>
    <mergeCell ref="N253:N255"/>
    <mergeCell ref="N256:N258"/>
    <mergeCell ref="M211:M213"/>
    <mergeCell ref="M214:M216"/>
    <mergeCell ref="M217:M219"/>
    <mergeCell ref="M220:M222"/>
    <mergeCell ref="M223:M225"/>
    <mergeCell ref="M226:M228"/>
    <mergeCell ref="M229:M231"/>
    <mergeCell ref="M232:M234"/>
    <mergeCell ref="M235:M237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X208:X210"/>
    <mergeCell ref="X211:X213"/>
    <mergeCell ref="X214:X216"/>
    <mergeCell ref="X217:X219"/>
    <mergeCell ref="X220:X222"/>
    <mergeCell ref="X223:X225"/>
    <mergeCell ref="X226:X228"/>
    <mergeCell ref="X229:X231"/>
    <mergeCell ref="X232:X234"/>
    <mergeCell ref="X235:X237"/>
    <mergeCell ref="X238:X240"/>
    <mergeCell ref="X241:X243"/>
    <mergeCell ref="X244:X246"/>
    <mergeCell ref="X247:X249"/>
    <mergeCell ref="X250:X252"/>
    <mergeCell ref="X253:X255"/>
    <mergeCell ref="R202:R204"/>
    <mergeCell ref="W208:W210"/>
    <mergeCell ref="W211:W213"/>
    <mergeCell ref="W214:W216"/>
    <mergeCell ref="W217:W219"/>
    <mergeCell ref="W220:W222"/>
    <mergeCell ref="W223:W225"/>
    <mergeCell ref="W226:W228"/>
    <mergeCell ref="W229:W231"/>
    <mergeCell ref="H202:H204"/>
    <mergeCell ref="I202:I204"/>
    <mergeCell ref="J202:J204"/>
    <mergeCell ref="K202:K204"/>
    <mergeCell ref="L202:L204"/>
    <mergeCell ref="M202:M204"/>
    <mergeCell ref="N202:N204"/>
    <mergeCell ref="O202:O204"/>
    <mergeCell ref="P202:P204"/>
    <mergeCell ref="I199:I201"/>
    <mergeCell ref="J199:J201"/>
    <mergeCell ref="K199:K201"/>
    <mergeCell ref="L199:L201"/>
    <mergeCell ref="M199:M201"/>
    <mergeCell ref="N199:N201"/>
    <mergeCell ref="O199:O201"/>
    <mergeCell ref="P199:P201"/>
    <mergeCell ref="R199:R201"/>
    <mergeCell ref="J193:J195"/>
    <mergeCell ref="K193:K195"/>
    <mergeCell ref="L193:L195"/>
    <mergeCell ref="M193:M195"/>
    <mergeCell ref="N193:N195"/>
    <mergeCell ref="O193:O195"/>
    <mergeCell ref="P193:P195"/>
    <mergeCell ref="R193:R195"/>
    <mergeCell ref="H196:H198"/>
    <mergeCell ref="I196:I198"/>
    <mergeCell ref="J196:J198"/>
    <mergeCell ref="K196:K198"/>
    <mergeCell ref="L196:L198"/>
    <mergeCell ref="M196:M198"/>
    <mergeCell ref="N196:N198"/>
    <mergeCell ref="O196:O198"/>
    <mergeCell ref="P196:P198"/>
    <mergeCell ref="R196:R198"/>
    <mergeCell ref="J187:J189"/>
    <mergeCell ref="K187:K189"/>
    <mergeCell ref="L187:L189"/>
    <mergeCell ref="M187:M189"/>
    <mergeCell ref="N187:N189"/>
    <mergeCell ref="O187:O189"/>
    <mergeCell ref="P187:P189"/>
    <mergeCell ref="R187:R189"/>
    <mergeCell ref="H190:H192"/>
    <mergeCell ref="I190:I192"/>
    <mergeCell ref="J190:J192"/>
    <mergeCell ref="K190:K192"/>
    <mergeCell ref="L190:L192"/>
    <mergeCell ref="M190:M192"/>
    <mergeCell ref="N190:N192"/>
    <mergeCell ref="O190:O192"/>
    <mergeCell ref="P190:P192"/>
    <mergeCell ref="R190:R192"/>
    <mergeCell ref="J181:J183"/>
    <mergeCell ref="K181:K183"/>
    <mergeCell ref="L181:L183"/>
    <mergeCell ref="M181:M183"/>
    <mergeCell ref="N181:N183"/>
    <mergeCell ref="O181:O183"/>
    <mergeCell ref="P181:P183"/>
    <mergeCell ref="R181:R183"/>
    <mergeCell ref="H184:H186"/>
    <mergeCell ref="I184:I186"/>
    <mergeCell ref="J184:J186"/>
    <mergeCell ref="K184:K186"/>
    <mergeCell ref="L184:L186"/>
    <mergeCell ref="M184:M186"/>
    <mergeCell ref="N184:N186"/>
    <mergeCell ref="O184:O186"/>
    <mergeCell ref="P184:P186"/>
    <mergeCell ref="R184:R186"/>
    <mergeCell ref="J175:J177"/>
    <mergeCell ref="K175:K177"/>
    <mergeCell ref="L175:L177"/>
    <mergeCell ref="M175:M177"/>
    <mergeCell ref="N175:N177"/>
    <mergeCell ref="O175:O177"/>
    <mergeCell ref="P175:P177"/>
    <mergeCell ref="R175:R177"/>
    <mergeCell ref="H178:H180"/>
    <mergeCell ref="I178:I180"/>
    <mergeCell ref="J178:J180"/>
    <mergeCell ref="K178:K180"/>
    <mergeCell ref="L178:L180"/>
    <mergeCell ref="M178:M180"/>
    <mergeCell ref="N178:N180"/>
    <mergeCell ref="O178:O180"/>
    <mergeCell ref="P178:P180"/>
    <mergeCell ref="R178:R180"/>
    <mergeCell ref="J169:J171"/>
    <mergeCell ref="K169:K171"/>
    <mergeCell ref="L169:L171"/>
    <mergeCell ref="M169:M171"/>
    <mergeCell ref="N169:N171"/>
    <mergeCell ref="O169:O171"/>
    <mergeCell ref="P169:P171"/>
    <mergeCell ref="R169:R171"/>
    <mergeCell ref="H172:H174"/>
    <mergeCell ref="I172:I174"/>
    <mergeCell ref="J172:J174"/>
    <mergeCell ref="K172:K174"/>
    <mergeCell ref="L172:L174"/>
    <mergeCell ref="M172:M174"/>
    <mergeCell ref="N172:N174"/>
    <mergeCell ref="O172:O174"/>
    <mergeCell ref="P172:P174"/>
    <mergeCell ref="R172:R174"/>
    <mergeCell ref="J163:J165"/>
    <mergeCell ref="K163:K165"/>
    <mergeCell ref="L163:L165"/>
    <mergeCell ref="M163:M165"/>
    <mergeCell ref="N163:N165"/>
    <mergeCell ref="O163:O165"/>
    <mergeCell ref="P163:P165"/>
    <mergeCell ref="R163:R165"/>
    <mergeCell ref="H166:H168"/>
    <mergeCell ref="I166:I168"/>
    <mergeCell ref="J166:J168"/>
    <mergeCell ref="K166:K168"/>
    <mergeCell ref="L166:L168"/>
    <mergeCell ref="M166:M168"/>
    <mergeCell ref="N166:N168"/>
    <mergeCell ref="O166:O168"/>
    <mergeCell ref="P166:P168"/>
    <mergeCell ref="R166:R168"/>
    <mergeCell ref="J157:J159"/>
    <mergeCell ref="K157:K159"/>
    <mergeCell ref="L157:L159"/>
    <mergeCell ref="M157:M159"/>
    <mergeCell ref="N157:N159"/>
    <mergeCell ref="O157:O159"/>
    <mergeCell ref="P157:P159"/>
    <mergeCell ref="R157:R159"/>
    <mergeCell ref="H160:H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R160:R162"/>
    <mergeCell ref="J151:J153"/>
    <mergeCell ref="K151:K153"/>
    <mergeCell ref="L151:L153"/>
    <mergeCell ref="M151:M153"/>
    <mergeCell ref="N151:N153"/>
    <mergeCell ref="O151:O153"/>
    <mergeCell ref="P151:P153"/>
    <mergeCell ref="R151:R153"/>
    <mergeCell ref="H154:H156"/>
    <mergeCell ref="I154:I156"/>
    <mergeCell ref="J154:J156"/>
    <mergeCell ref="K154:K156"/>
    <mergeCell ref="L154:L156"/>
    <mergeCell ref="M154:M156"/>
    <mergeCell ref="N154:N156"/>
    <mergeCell ref="O154:O156"/>
    <mergeCell ref="P154:P156"/>
    <mergeCell ref="R154:R156"/>
    <mergeCell ref="A151:A210"/>
    <mergeCell ref="B151:B210"/>
    <mergeCell ref="C151:C210"/>
    <mergeCell ref="D151:D210"/>
    <mergeCell ref="E151:E210"/>
    <mergeCell ref="F151:F210"/>
    <mergeCell ref="G151:G210"/>
    <mergeCell ref="H151:H153"/>
    <mergeCell ref="I151:I153"/>
    <mergeCell ref="H157:H159"/>
    <mergeCell ref="I157:I159"/>
    <mergeCell ref="H163:H165"/>
    <mergeCell ref="I163:I165"/>
    <mergeCell ref="H169:H171"/>
    <mergeCell ref="I169:I171"/>
    <mergeCell ref="H175:H177"/>
    <mergeCell ref="I175:I177"/>
    <mergeCell ref="H181:H183"/>
    <mergeCell ref="I181:I183"/>
    <mergeCell ref="H187:H189"/>
    <mergeCell ref="I187:I189"/>
    <mergeCell ref="H193:H195"/>
    <mergeCell ref="I193:I195"/>
    <mergeCell ref="H199:H201"/>
    <mergeCell ref="R142:R144"/>
    <mergeCell ref="H145:H147"/>
    <mergeCell ref="I145:I147"/>
    <mergeCell ref="J145:J147"/>
    <mergeCell ref="K145:K147"/>
    <mergeCell ref="L145:L147"/>
    <mergeCell ref="M145:M147"/>
    <mergeCell ref="N145:N147"/>
    <mergeCell ref="O145:O147"/>
    <mergeCell ref="P145:P147"/>
    <mergeCell ref="R145:R147"/>
    <mergeCell ref="H142:H144"/>
    <mergeCell ref="I142:I144"/>
    <mergeCell ref="J142:J144"/>
    <mergeCell ref="K142:K144"/>
    <mergeCell ref="L142:L144"/>
    <mergeCell ref="M142:M144"/>
    <mergeCell ref="N142:N144"/>
    <mergeCell ref="O142:O144"/>
    <mergeCell ref="P142:P144"/>
    <mergeCell ref="R136:R138"/>
    <mergeCell ref="H139:H141"/>
    <mergeCell ref="I139:I141"/>
    <mergeCell ref="J139:J141"/>
    <mergeCell ref="K139:K141"/>
    <mergeCell ref="L139:L141"/>
    <mergeCell ref="M139:M141"/>
    <mergeCell ref="N139:N141"/>
    <mergeCell ref="O139:O141"/>
    <mergeCell ref="P139:P141"/>
    <mergeCell ref="R139:R141"/>
    <mergeCell ref="H136:H138"/>
    <mergeCell ref="I136:I138"/>
    <mergeCell ref="J136:J138"/>
    <mergeCell ref="K136:K138"/>
    <mergeCell ref="L136:L138"/>
    <mergeCell ref="M136:M138"/>
    <mergeCell ref="N136:N138"/>
    <mergeCell ref="O136:O138"/>
    <mergeCell ref="P136:P138"/>
    <mergeCell ref="R130:R132"/>
    <mergeCell ref="H133:H135"/>
    <mergeCell ref="I133:I135"/>
    <mergeCell ref="J133:J135"/>
    <mergeCell ref="K133:K135"/>
    <mergeCell ref="L133:L135"/>
    <mergeCell ref="M133:M135"/>
    <mergeCell ref="N133:N135"/>
    <mergeCell ref="O133:O135"/>
    <mergeCell ref="P133:P135"/>
    <mergeCell ref="R133:R135"/>
    <mergeCell ref="H130:H132"/>
    <mergeCell ref="I130:I132"/>
    <mergeCell ref="J130:J132"/>
    <mergeCell ref="K130:K132"/>
    <mergeCell ref="L130:L132"/>
    <mergeCell ref="M130:M132"/>
    <mergeCell ref="N130:N132"/>
    <mergeCell ref="O130:O132"/>
    <mergeCell ref="P130:P132"/>
    <mergeCell ref="R124:R126"/>
    <mergeCell ref="H127:H129"/>
    <mergeCell ref="I127:I129"/>
    <mergeCell ref="J127:J129"/>
    <mergeCell ref="K127:K129"/>
    <mergeCell ref="L127:L129"/>
    <mergeCell ref="M127:M129"/>
    <mergeCell ref="N127:N129"/>
    <mergeCell ref="O127:O129"/>
    <mergeCell ref="P127:P129"/>
    <mergeCell ref="R127:R129"/>
    <mergeCell ref="H124:H126"/>
    <mergeCell ref="I124:I126"/>
    <mergeCell ref="J124:J126"/>
    <mergeCell ref="K124:K126"/>
    <mergeCell ref="L124:L126"/>
    <mergeCell ref="M124:M126"/>
    <mergeCell ref="N124:N126"/>
    <mergeCell ref="O124:O126"/>
    <mergeCell ref="P124:P126"/>
    <mergeCell ref="R118:R120"/>
    <mergeCell ref="H121:H123"/>
    <mergeCell ref="I121:I123"/>
    <mergeCell ref="J121:J123"/>
    <mergeCell ref="K121:K123"/>
    <mergeCell ref="L121:L123"/>
    <mergeCell ref="M121:M123"/>
    <mergeCell ref="N121:N123"/>
    <mergeCell ref="O121:O123"/>
    <mergeCell ref="P121:P123"/>
    <mergeCell ref="R121:R123"/>
    <mergeCell ref="H118:H120"/>
    <mergeCell ref="I118:I120"/>
    <mergeCell ref="J118:J120"/>
    <mergeCell ref="K118:K120"/>
    <mergeCell ref="L118:L120"/>
    <mergeCell ref="M118:M120"/>
    <mergeCell ref="N118:N120"/>
    <mergeCell ref="O118:O120"/>
    <mergeCell ref="P118:P120"/>
    <mergeCell ref="R112:R114"/>
    <mergeCell ref="H115:H117"/>
    <mergeCell ref="I115:I117"/>
    <mergeCell ref="J115:J117"/>
    <mergeCell ref="K115:K117"/>
    <mergeCell ref="L115:L117"/>
    <mergeCell ref="M115:M117"/>
    <mergeCell ref="N115:N117"/>
    <mergeCell ref="O115:O117"/>
    <mergeCell ref="P115:P117"/>
    <mergeCell ref="R115:R117"/>
    <mergeCell ref="H112:H114"/>
    <mergeCell ref="I112:I114"/>
    <mergeCell ref="J112:J114"/>
    <mergeCell ref="K112:K114"/>
    <mergeCell ref="L112:L114"/>
    <mergeCell ref="M112:M114"/>
    <mergeCell ref="N112:N114"/>
    <mergeCell ref="O112:O114"/>
    <mergeCell ref="P112:P114"/>
    <mergeCell ref="R106:R108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R109:R111"/>
    <mergeCell ref="H106:H108"/>
    <mergeCell ref="I106:I108"/>
    <mergeCell ref="J106:J108"/>
    <mergeCell ref="K106:K108"/>
    <mergeCell ref="L106:L108"/>
    <mergeCell ref="M106:M108"/>
    <mergeCell ref="N106:N108"/>
    <mergeCell ref="O106:O108"/>
    <mergeCell ref="P106:P108"/>
    <mergeCell ref="R100:R102"/>
    <mergeCell ref="H103:H105"/>
    <mergeCell ref="I103:I105"/>
    <mergeCell ref="J103:J105"/>
    <mergeCell ref="K103:K105"/>
    <mergeCell ref="L103:L105"/>
    <mergeCell ref="M103:M105"/>
    <mergeCell ref="N103:N105"/>
    <mergeCell ref="O103:O105"/>
    <mergeCell ref="P103:P105"/>
    <mergeCell ref="R103:R105"/>
    <mergeCell ref="H100:H102"/>
    <mergeCell ref="I100:I102"/>
    <mergeCell ref="J100:J102"/>
    <mergeCell ref="K100:K102"/>
    <mergeCell ref="L100:L102"/>
    <mergeCell ref="M100:M102"/>
    <mergeCell ref="N100:N102"/>
    <mergeCell ref="O100:O102"/>
    <mergeCell ref="P100:P102"/>
    <mergeCell ref="R94:R96"/>
    <mergeCell ref="H97:H99"/>
    <mergeCell ref="I97:I99"/>
    <mergeCell ref="J97:J99"/>
    <mergeCell ref="K97:K99"/>
    <mergeCell ref="L97:L99"/>
    <mergeCell ref="M97:M99"/>
    <mergeCell ref="N97:N99"/>
    <mergeCell ref="O97:O99"/>
    <mergeCell ref="P97:P99"/>
    <mergeCell ref="R97:R99"/>
    <mergeCell ref="H94:H96"/>
    <mergeCell ref="I94:I96"/>
    <mergeCell ref="J94:J96"/>
    <mergeCell ref="K94:K96"/>
    <mergeCell ref="L94:L96"/>
    <mergeCell ref="M94:M96"/>
    <mergeCell ref="N94:N96"/>
    <mergeCell ref="O94:O96"/>
    <mergeCell ref="P94:P96"/>
    <mergeCell ref="R88:R90"/>
    <mergeCell ref="H91:H93"/>
    <mergeCell ref="I91:I93"/>
    <mergeCell ref="J91:J93"/>
    <mergeCell ref="K91:K93"/>
    <mergeCell ref="L91:L93"/>
    <mergeCell ref="M91:M93"/>
    <mergeCell ref="N91:N93"/>
    <mergeCell ref="O91:O93"/>
    <mergeCell ref="P91:P93"/>
    <mergeCell ref="R91:R93"/>
    <mergeCell ref="H88:H90"/>
    <mergeCell ref="I88:I90"/>
    <mergeCell ref="J88:J90"/>
    <mergeCell ref="K88:K90"/>
    <mergeCell ref="L88:L90"/>
    <mergeCell ref="M88:M90"/>
    <mergeCell ref="N88:N90"/>
    <mergeCell ref="O88:O90"/>
    <mergeCell ref="P88:P90"/>
    <mergeCell ref="M82:M84"/>
    <mergeCell ref="N82:N84"/>
    <mergeCell ref="O82:O84"/>
    <mergeCell ref="P82:P84"/>
    <mergeCell ref="R82:R84"/>
    <mergeCell ref="H85:H87"/>
    <mergeCell ref="I85:I87"/>
    <mergeCell ref="J85:J87"/>
    <mergeCell ref="K85:K87"/>
    <mergeCell ref="L85:L87"/>
    <mergeCell ref="M85:M87"/>
    <mergeCell ref="N85:N87"/>
    <mergeCell ref="O85:O87"/>
    <mergeCell ref="P85:P87"/>
    <mergeCell ref="R85:R87"/>
    <mergeCell ref="R73:R75"/>
    <mergeCell ref="S73:S75"/>
    <mergeCell ref="A79:A138"/>
    <mergeCell ref="B79:B138"/>
    <mergeCell ref="C79:C138"/>
    <mergeCell ref="D79:D138"/>
    <mergeCell ref="E79:E138"/>
    <mergeCell ref="F79:F138"/>
    <mergeCell ref="G79:G138"/>
    <mergeCell ref="H79:H81"/>
    <mergeCell ref="I79:I81"/>
    <mergeCell ref="J79:J81"/>
    <mergeCell ref="K79:K81"/>
    <mergeCell ref="L79:L81"/>
    <mergeCell ref="M79:M81"/>
    <mergeCell ref="N79:N81"/>
    <mergeCell ref="O79:O81"/>
    <mergeCell ref="P79:P81"/>
    <mergeCell ref="R79:R81"/>
    <mergeCell ref="H82:H84"/>
    <mergeCell ref="I82:I84"/>
    <mergeCell ref="J82:J84"/>
    <mergeCell ref="K82:K84"/>
    <mergeCell ref="L82:L84"/>
    <mergeCell ref="H73:H75"/>
    <mergeCell ref="I73:I75"/>
    <mergeCell ref="J73:J75"/>
    <mergeCell ref="K73:K75"/>
    <mergeCell ref="L73:L75"/>
    <mergeCell ref="M73:M75"/>
    <mergeCell ref="N73:N75"/>
    <mergeCell ref="O73:O75"/>
    <mergeCell ref="P73:P75"/>
    <mergeCell ref="R67:R69"/>
    <mergeCell ref="S67:S69"/>
    <mergeCell ref="H70:H72"/>
    <mergeCell ref="I70:I72"/>
    <mergeCell ref="J70:J72"/>
    <mergeCell ref="K70:K72"/>
    <mergeCell ref="L70:L72"/>
    <mergeCell ref="M70:M72"/>
    <mergeCell ref="N70:N72"/>
    <mergeCell ref="O70:O72"/>
    <mergeCell ref="P70:P72"/>
    <mergeCell ref="R70:R72"/>
    <mergeCell ref="S70:S72"/>
    <mergeCell ref="H67:H69"/>
    <mergeCell ref="I67:I69"/>
    <mergeCell ref="J67:J69"/>
    <mergeCell ref="K67:K69"/>
    <mergeCell ref="L67:L69"/>
    <mergeCell ref="M67:M69"/>
    <mergeCell ref="N67:N69"/>
    <mergeCell ref="O67:O69"/>
    <mergeCell ref="P67:P69"/>
    <mergeCell ref="R61:R63"/>
    <mergeCell ref="S61:S63"/>
    <mergeCell ref="H64:H66"/>
    <mergeCell ref="I64:I66"/>
    <mergeCell ref="J64:J66"/>
    <mergeCell ref="K64:K66"/>
    <mergeCell ref="L64:L66"/>
    <mergeCell ref="M64:M66"/>
    <mergeCell ref="N64:N66"/>
    <mergeCell ref="O64:O66"/>
    <mergeCell ref="P64:P66"/>
    <mergeCell ref="R64:R66"/>
    <mergeCell ref="S64:S66"/>
    <mergeCell ref="H61:H63"/>
    <mergeCell ref="I61:I63"/>
    <mergeCell ref="J61:J63"/>
    <mergeCell ref="K61:K63"/>
    <mergeCell ref="L61:L63"/>
    <mergeCell ref="M61:M63"/>
    <mergeCell ref="N61:N63"/>
    <mergeCell ref="O61:O63"/>
    <mergeCell ref="P61:P63"/>
    <mergeCell ref="R55:R57"/>
    <mergeCell ref="S55:S57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R58:R60"/>
    <mergeCell ref="S58:S60"/>
    <mergeCell ref="H55:H57"/>
    <mergeCell ref="I55:I57"/>
    <mergeCell ref="J55:J57"/>
    <mergeCell ref="K55:K57"/>
    <mergeCell ref="L55:L57"/>
    <mergeCell ref="M55:M57"/>
    <mergeCell ref="N55:N57"/>
    <mergeCell ref="O55:O57"/>
    <mergeCell ref="P55:P57"/>
    <mergeCell ref="R49:R51"/>
    <mergeCell ref="S49:S51"/>
    <mergeCell ref="H52:H54"/>
    <mergeCell ref="I52:I54"/>
    <mergeCell ref="J52:J54"/>
    <mergeCell ref="K52:K54"/>
    <mergeCell ref="L52:L54"/>
    <mergeCell ref="M52:M54"/>
    <mergeCell ref="N52:N54"/>
    <mergeCell ref="O52:O54"/>
    <mergeCell ref="P52:P54"/>
    <mergeCell ref="R52:R54"/>
    <mergeCell ref="S52:S54"/>
    <mergeCell ref="H49:H51"/>
    <mergeCell ref="I49:I51"/>
    <mergeCell ref="J49:J51"/>
    <mergeCell ref="K49:K51"/>
    <mergeCell ref="L49:L51"/>
    <mergeCell ref="M49:M51"/>
    <mergeCell ref="N49:N51"/>
    <mergeCell ref="O49:O51"/>
    <mergeCell ref="P49:P51"/>
    <mergeCell ref="R43:R45"/>
    <mergeCell ref="S43:S45"/>
    <mergeCell ref="H46:H48"/>
    <mergeCell ref="I46:I48"/>
    <mergeCell ref="J46:J48"/>
    <mergeCell ref="K46:K48"/>
    <mergeCell ref="L46:L48"/>
    <mergeCell ref="M46:M48"/>
    <mergeCell ref="N46:N48"/>
    <mergeCell ref="O46:O48"/>
    <mergeCell ref="P46:P48"/>
    <mergeCell ref="R46:R48"/>
    <mergeCell ref="S46:S48"/>
    <mergeCell ref="H43:H45"/>
    <mergeCell ref="I43:I45"/>
    <mergeCell ref="J43:J45"/>
    <mergeCell ref="K43:K45"/>
    <mergeCell ref="L43:L45"/>
    <mergeCell ref="M43:M45"/>
    <mergeCell ref="N43:N45"/>
    <mergeCell ref="O43:O45"/>
    <mergeCell ref="P43:P45"/>
    <mergeCell ref="R37:R39"/>
    <mergeCell ref="S37:S39"/>
    <mergeCell ref="H40:H42"/>
    <mergeCell ref="I40:I42"/>
    <mergeCell ref="J40:J42"/>
    <mergeCell ref="K40:K42"/>
    <mergeCell ref="L40:L42"/>
    <mergeCell ref="M40:M42"/>
    <mergeCell ref="N40:N42"/>
    <mergeCell ref="O40:O42"/>
    <mergeCell ref="P40:P42"/>
    <mergeCell ref="R40:R42"/>
    <mergeCell ref="S40:S42"/>
    <mergeCell ref="H37:H39"/>
    <mergeCell ref="I37:I39"/>
    <mergeCell ref="J37:J39"/>
    <mergeCell ref="K37:K39"/>
    <mergeCell ref="L37:L39"/>
    <mergeCell ref="M37:M39"/>
    <mergeCell ref="N37:N39"/>
    <mergeCell ref="O37:O39"/>
    <mergeCell ref="P37:P39"/>
    <mergeCell ref="R31:R33"/>
    <mergeCell ref="S31:S33"/>
    <mergeCell ref="AH31:AH33"/>
    <mergeCell ref="AI31:AI33"/>
    <mergeCell ref="H34:H36"/>
    <mergeCell ref="I34:I36"/>
    <mergeCell ref="J34:J36"/>
    <mergeCell ref="K34:K36"/>
    <mergeCell ref="L34:L36"/>
    <mergeCell ref="M34:M36"/>
    <mergeCell ref="N34:N36"/>
    <mergeCell ref="O34:O36"/>
    <mergeCell ref="P34:P36"/>
    <mergeCell ref="R34:R36"/>
    <mergeCell ref="S34:S36"/>
    <mergeCell ref="H31:H33"/>
    <mergeCell ref="I31:I33"/>
    <mergeCell ref="J31:J33"/>
    <mergeCell ref="K31:K33"/>
    <mergeCell ref="L31:L33"/>
    <mergeCell ref="M31:M33"/>
    <mergeCell ref="N31:N33"/>
    <mergeCell ref="O31:O33"/>
    <mergeCell ref="P31:P33"/>
    <mergeCell ref="R25:R27"/>
    <mergeCell ref="S25:S27"/>
    <mergeCell ref="AH25:AH27"/>
    <mergeCell ref="AI25:AI27"/>
    <mergeCell ref="H28:H30"/>
    <mergeCell ref="I28:I30"/>
    <mergeCell ref="J28:J30"/>
    <mergeCell ref="K28:K30"/>
    <mergeCell ref="L28:L30"/>
    <mergeCell ref="M28:M30"/>
    <mergeCell ref="N28:N30"/>
    <mergeCell ref="O28:O30"/>
    <mergeCell ref="P28:P30"/>
    <mergeCell ref="R28:R30"/>
    <mergeCell ref="S28:S30"/>
    <mergeCell ref="AH28:AH30"/>
    <mergeCell ref="AI28:AI30"/>
    <mergeCell ref="H25:H27"/>
    <mergeCell ref="I25:I27"/>
    <mergeCell ref="J25:J27"/>
    <mergeCell ref="K25:K27"/>
    <mergeCell ref="L25:L27"/>
    <mergeCell ref="M25:M27"/>
    <mergeCell ref="N25:N27"/>
    <mergeCell ref="O25:O27"/>
    <mergeCell ref="P25:P27"/>
    <mergeCell ref="R19:R21"/>
    <mergeCell ref="S19:S21"/>
    <mergeCell ref="AH19:AH21"/>
    <mergeCell ref="AI19:AI21"/>
    <mergeCell ref="H22:H24"/>
    <mergeCell ref="I22:I24"/>
    <mergeCell ref="J22:J24"/>
    <mergeCell ref="K22:K24"/>
    <mergeCell ref="L22:L24"/>
    <mergeCell ref="M22:M24"/>
    <mergeCell ref="N22:N24"/>
    <mergeCell ref="O22:O24"/>
    <mergeCell ref="P22:P24"/>
    <mergeCell ref="R22:R24"/>
    <mergeCell ref="S22:S24"/>
    <mergeCell ref="AH22:AH24"/>
    <mergeCell ref="AI22:AI24"/>
    <mergeCell ref="H19:H21"/>
    <mergeCell ref="I19:I21"/>
    <mergeCell ref="J19:J21"/>
    <mergeCell ref="K19:K21"/>
    <mergeCell ref="L19:L21"/>
    <mergeCell ref="M19:M21"/>
    <mergeCell ref="N19:N21"/>
    <mergeCell ref="O19:O21"/>
    <mergeCell ref="P19:P21"/>
    <mergeCell ref="R13:R15"/>
    <mergeCell ref="S13:S15"/>
    <mergeCell ref="AH13:AH15"/>
    <mergeCell ref="AI13:AI15"/>
    <mergeCell ref="H16:H18"/>
    <mergeCell ref="I16:I18"/>
    <mergeCell ref="J16:J18"/>
    <mergeCell ref="K16:K18"/>
    <mergeCell ref="L16:L18"/>
    <mergeCell ref="M16:M18"/>
    <mergeCell ref="N16:N18"/>
    <mergeCell ref="O16:O18"/>
    <mergeCell ref="P16:P18"/>
    <mergeCell ref="R16:R18"/>
    <mergeCell ref="S16:S18"/>
    <mergeCell ref="AH16:AH18"/>
    <mergeCell ref="AI16:AI18"/>
    <mergeCell ref="AH1:AH3"/>
    <mergeCell ref="AI1:AI3"/>
    <mergeCell ref="AH4:AH6"/>
    <mergeCell ref="AI4:AI6"/>
    <mergeCell ref="AH7:AH9"/>
    <mergeCell ref="AI7:AI9"/>
    <mergeCell ref="AH10:AH12"/>
    <mergeCell ref="AI10:AI12"/>
    <mergeCell ref="A13:A72"/>
    <mergeCell ref="B13:B72"/>
    <mergeCell ref="C13:C72"/>
    <mergeCell ref="D13:D72"/>
    <mergeCell ref="E13:E72"/>
    <mergeCell ref="F13:F72"/>
    <mergeCell ref="G13:G72"/>
    <mergeCell ref="H13:H15"/>
    <mergeCell ref="I13:I15"/>
    <mergeCell ref="J13:J15"/>
    <mergeCell ref="K13:K15"/>
    <mergeCell ref="L13:L15"/>
    <mergeCell ref="M13:M15"/>
    <mergeCell ref="N13:N15"/>
    <mergeCell ref="O13:O15"/>
    <mergeCell ref="P13:P15"/>
  </mergeCell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60" zoomScaleNormal="60" zoomScalePageLayoutView="60" workbookViewId="0">
      <selection activeCell="G11" sqref="G11"/>
    </sheetView>
  </sheetViews>
  <sheetFormatPr baseColWidth="10" defaultColWidth="8.83203125" defaultRowHeight="15" x14ac:dyDescent="0"/>
  <sheetData>
    <row r="1" spans="1:15" ht="20">
      <c r="A1" s="30" t="s">
        <v>0</v>
      </c>
      <c r="B1" s="30"/>
      <c r="C1" s="30"/>
    </row>
    <row r="2" spans="1:15">
      <c r="A2" s="31" t="s">
        <v>1</v>
      </c>
      <c r="B2" s="32">
        <v>1.047197551</v>
      </c>
      <c r="C2" s="32"/>
    </row>
    <row r="3" spans="1:15">
      <c r="A3" s="31" t="s">
        <v>2</v>
      </c>
      <c r="B3" s="32"/>
      <c r="C3" s="32"/>
    </row>
    <row r="4" spans="1:15">
      <c r="A4" s="33" t="s">
        <v>23</v>
      </c>
      <c r="B4" s="34">
        <v>6.6260695699999996E-34</v>
      </c>
      <c r="C4" s="33" t="s">
        <v>24</v>
      </c>
      <c r="D4" s="35">
        <v>2998792458</v>
      </c>
      <c r="E4" s="33" t="s">
        <v>25</v>
      </c>
      <c r="F4" s="34">
        <v>1.3806488E-23</v>
      </c>
    </row>
    <row r="6" spans="1:15">
      <c r="A6" s="36" t="s">
        <v>26</v>
      </c>
      <c r="B6" s="36" t="s">
        <v>16</v>
      </c>
      <c r="C6" s="36" t="s">
        <v>27</v>
      </c>
      <c r="D6" s="36" t="s">
        <v>28</v>
      </c>
      <c r="E6" s="36" t="s">
        <v>29</v>
      </c>
      <c r="F6" s="36" t="s">
        <v>3</v>
      </c>
      <c r="G6" s="36" t="s">
        <v>30</v>
      </c>
      <c r="H6" s="36" t="s">
        <v>31</v>
      </c>
      <c r="I6" s="36" t="s">
        <v>34</v>
      </c>
      <c r="J6" s="36" t="s">
        <v>36</v>
      </c>
      <c r="K6" s="36" t="s">
        <v>37</v>
      </c>
      <c r="L6" s="36" t="s">
        <v>38</v>
      </c>
      <c r="M6" s="36" t="s">
        <v>39</v>
      </c>
      <c r="N6" s="36" t="s">
        <v>26</v>
      </c>
      <c r="O6" s="36" t="s">
        <v>40</v>
      </c>
    </row>
    <row r="7" spans="1:15">
      <c r="A7" s="37">
        <v>5</v>
      </c>
      <c r="B7" s="37"/>
      <c r="C7" s="37"/>
      <c r="D7" s="37"/>
      <c r="E7" s="37"/>
      <c r="F7" s="37">
        <v>0</v>
      </c>
      <c r="G7" s="37">
        <f t="shared" ref="G7:G14" si="0">F7*PI()/180</f>
        <v>0</v>
      </c>
      <c r="H7" s="37"/>
      <c r="I7" s="37">
        <f t="shared" ref="I7:I14" si="1">F7-$B$3</f>
        <v>0</v>
      </c>
      <c r="J7" s="37"/>
      <c r="K7" s="37">
        <f t="shared" ref="K7:K14" si="2">SQRT(SIN(G7)*SIN(G7) + (SIN(I7-G7+$B$2)  + COS($B$2)*SIN(G7) )* (SIN(I7-G7+$B$2)  + COS($B$2)*SIN(G7) )/(SIN($B$2)*SIN($B$2))   )</f>
        <v>1</v>
      </c>
      <c r="L7" s="37"/>
      <c r="M7" s="37"/>
      <c r="N7" s="37"/>
      <c r="O7" s="37"/>
    </row>
    <row r="8" spans="1:15">
      <c r="A8" s="37">
        <f t="shared" ref="A8:A14" si="3">A7+1</f>
        <v>6</v>
      </c>
      <c r="B8" s="37"/>
      <c r="C8" s="37"/>
      <c r="D8" s="37"/>
      <c r="E8" s="37"/>
      <c r="F8" s="37">
        <v>1</v>
      </c>
      <c r="G8" s="37">
        <f t="shared" si="0"/>
        <v>1.7453292519943295E-2</v>
      </c>
      <c r="H8" s="37"/>
      <c r="I8" s="37">
        <f t="shared" si="1"/>
        <v>1</v>
      </c>
      <c r="J8" s="37"/>
      <c r="K8" s="37">
        <f t="shared" si="2"/>
        <v>1.0454328839909535</v>
      </c>
      <c r="L8" s="37"/>
      <c r="M8" s="37"/>
      <c r="N8" s="37"/>
      <c r="O8" s="37"/>
    </row>
    <row r="9" spans="1:15">
      <c r="A9" s="37">
        <f t="shared" si="3"/>
        <v>7</v>
      </c>
      <c r="B9" s="37"/>
      <c r="C9" s="37"/>
      <c r="D9" s="37"/>
      <c r="E9" s="37"/>
      <c r="F9" s="37">
        <v>2</v>
      </c>
      <c r="G9" s="37">
        <f t="shared" si="0"/>
        <v>3.4906585039886591E-2</v>
      </c>
      <c r="H9" s="37"/>
      <c r="I9" s="37">
        <f t="shared" si="1"/>
        <v>2</v>
      </c>
      <c r="J9" s="37"/>
      <c r="K9" s="37">
        <f t="shared" si="2"/>
        <v>0.17260333991832433</v>
      </c>
      <c r="L9" s="37"/>
      <c r="M9" s="37"/>
      <c r="N9" s="37"/>
      <c r="O9" s="37"/>
    </row>
    <row r="10" spans="1:15">
      <c r="A10" s="37">
        <f t="shared" si="3"/>
        <v>8</v>
      </c>
      <c r="B10" s="37"/>
      <c r="C10" s="37"/>
      <c r="D10" s="37"/>
      <c r="E10" s="37"/>
      <c r="F10" s="37">
        <v>3</v>
      </c>
      <c r="G10" s="37">
        <f t="shared" si="0"/>
        <v>5.2359877559829883E-2</v>
      </c>
      <c r="H10" s="37"/>
      <c r="I10" s="37">
        <f t="shared" si="1"/>
        <v>3</v>
      </c>
      <c r="J10" s="37"/>
      <c r="K10" s="37">
        <f t="shared" si="2"/>
        <v>0.84138539349584351</v>
      </c>
      <c r="L10" s="37"/>
      <c r="M10" s="37"/>
      <c r="N10" s="37"/>
      <c r="O10" s="37"/>
    </row>
    <row r="11" spans="1:15">
      <c r="A11" s="37">
        <f t="shared" si="3"/>
        <v>9</v>
      </c>
      <c r="B11" s="37"/>
      <c r="C11" s="37"/>
      <c r="D11" s="37"/>
      <c r="E11" s="37"/>
      <c r="F11" s="37">
        <v>4</v>
      </c>
      <c r="G11" s="37">
        <f t="shared" si="0"/>
        <v>6.9813170079773182E-2</v>
      </c>
      <c r="H11" s="37"/>
      <c r="I11" s="37">
        <f t="shared" si="1"/>
        <v>4</v>
      </c>
      <c r="J11" s="37"/>
      <c r="K11" s="37">
        <f t="shared" si="2"/>
        <v>1.0763830126840199</v>
      </c>
      <c r="L11" s="37"/>
      <c r="M11" s="37"/>
      <c r="N11" s="37"/>
      <c r="O11" s="37"/>
    </row>
    <row r="12" spans="1:15">
      <c r="A12" s="37">
        <f t="shared" si="3"/>
        <v>10</v>
      </c>
      <c r="B12" s="37"/>
      <c r="C12" s="37"/>
      <c r="D12" s="37"/>
      <c r="E12" s="37"/>
      <c r="F12" s="37">
        <v>5</v>
      </c>
      <c r="G12" s="37">
        <f t="shared" si="0"/>
        <v>8.7266462599716474E-2</v>
      </c>
      <c r="H12" s="37"/>
      <c r="I12" s="37">
        <f t="shared" si="1"/>
        <v>5</v>
      </c>
      <c r="J12" s="37"/>
      <c r="K12" s="37">
        <f t="shared" si="2"/>
        <v>0.32825755574425663</v>
      </c>
      <c r="L12" s="37"/>
      <c r="M12" s="37"/>
      <c r="N12" s="37"/>
      <c r="O12" s="37"/>
    </row>
    <row r="13" spans="1:15">
      <c r="A13" s="37">
        <f t="shared" si="3"/>
        <v>11</v>
      </c>
      <c r="B13" s="37"/>
      <c r="C13" s="37"/>
      <c r="D13" s="37"/>
      <c r="E13" s="37"/>
      <c r="F13" s="37">
        <v>6</v>
      </c>
      <c r="G13" s="37">
        <f t="shared" si="0"/>
        <v>0.10471975511965977</v>
      </c>
      <c r="H13" s="37"/>
      <c r="I13" s="37">
        <f t="shared" si="1"/>
        <v>6</v>
      </c>
      <c r="J13" s="37"/>
      <c r="K13" s="37">
        <f t="shared" si="2"/>
        <v>0.77475410626871344</v>
      </c>
      <c r="L13" s="37"/>
      <c r="M13" s="37"/>
      <c r="N13" s="37"/>
      <c r="O13" s="37"/>
    </row>
    <row r="14" spans="1:15">
      <c r="A14" s="37">
        <f t="shared" si="3"/>
        <v>12</v>
      </c>
      <c r="B14" s="37"/>
      <c r="C14" s="37"/>
      <c r="D14" s="37"/>
      <c r="E14" s="37"/>
      <c r="F14" s="37">
        <v>7</v>
      </c>
      <c r="G14" s="37">
        <f t="shared" si="0"/>
        <v>0.12217304763960307</v>
      </c>
      <c r="H14" s="37"/>
      <c r="I14" s="37">
        <f t="shared" si="1"/>
        <v>7</v>
      </c>
      <c r="J14" s="37"/>
      <c r="K14" s="37">
        <f t="shared" si="2"/>
        <v>1.2282103311721599</v>
      </c>
      <c r="L14" s="37"/>
      <c r="M14" s="37"/>
      <c r="N14" s="37"/>
      <c r="O14" s="37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50" zoomScaleNormal="150" zoomScalePageLayoutView="150" workbookViewId="0">
      <selection activeCell="F12" sqref="F12"/>
    </sheetView>
  </sheetViews>
  <sheetFormatPr baseColWidth="10" defaultColWidth="8.83203125" defaultRowHeight="15" x14ac:dyDescent="0"/>
  <sheetData>
    <row r="1" spans="1:7" ht="20">
      <c r="A1" s="30" t="s">
        <v>0</v>
      </c>
      <c r="B1" s="30"/>
      <c r="C1" s="30"/>
    </row>
    <row r="2" spans="1:7">
      <c r="A2" s="31" t="s">
        <v>1</v>
      </c>
      <c r="B2" s="32">
        <v>1.047197551</v>
      </c>
      <c r="C2" s="32"/>
    </row>
    <row r="3" spans="1:7">
      <c r="A3" s="31" t="s">
        <v>2</v>
      </c>
      <c r="B3" s="32"/>
      <c r="C3" s="32"/>
    </row>
    <row r="4" spans="1:7">
      <c r="A4" s="33" t="s">
        <v>23</v>
      </c>
      <c r="B4" s="34">
        <v>6.6260695699999996E-34</v>
      </c>
      <c r="C4" s="33" t="s">
        <v>24</v>
      </c>
      <c r="D4" s="35">
        <v>2998792458</v>
      </c>
      <c r="E4" s="33" t="s">
        <v>25</v>
      </c>
      <c r="F4" s="34">
        <v>1.3806488E-23</v>
      </c>
    </row>
    <row r="6" spans="1:7">
      <c r="A6" s="38" t="s">
        <v>26</v>
      </c>
      <c r="B6" s="38" t="s">
        <v>10</v>
      </c>
      <c r="C6" s="38" t="s">
        <v>11</v>
      </c>
      <c r="D6" s="38" t="s">
        <v>54</v>
      </c>
      <c r="E6" s="38"/>
      <c r="F6" s="38" t="s">
        <v>16</v>
      </c>
      <c r="G6" s="38" t="s">
        <v>55</v>
      </c>
    </row>
    <row r="7" spans="1:7">
      <c r="A7" s="39">
        <v>11.98</v>
      </c>
      <c r="B7" s="39"/>
      <c r="C7" s="39">
        <v>1.69</v>
      </c>
      <c r="D7" s="40">
        <v>6.9100000000000003E-3</v>
      </c>
      <c r="E7" s="39"/>
      <c r="F7" s="39"/>
      <c r="G7" s="39"/>
    </row>
    <row r="8" spans="1:7">
      <c r="A8" s="39">
        <v>10.99</v>
      </c>
      <c r="B8" s="39"/>
      <c r="C8" s="39">
        <v>1.61</v>
      </c>
      <c r="D8" s="40">
        <v>6.0699999999999999E-3</v>
      </c>
      <c r="E8" s="39"/>
      <c r="F8" s="39"/>
      <c r="G8" s="39"/>
    </row>
    <row r="9" spans="1:7">
      <c r="A9" s="39">
        <v>9.9499999999999993</v>
      </c>
      <c r="B9" s="39"/>
      <c r="C9" s="39">
        <v>1.53</v>
      </c>
      <c r="D9" s="40">
        <v>5.1599999999999997E-3</v>
      </c>
      <c r="E9" s="39"/>
      <c r="F9" s="39"/>
      <c r="G9" s="39"/>
    </row>
    <row r="10" spans="1:7">
      <c r="A10" s="39">
        <v>9</v>
      </c>
      <c r="B10" s="39"/>
      <c r="C10" s="39">
        <v>1.46</v>
      </c>
      <c r="D10" s="40">
        <v>4.3499999999999997E-3</v>
      </c>
      <c r="E10" s="39"/>
      <c r="F10" s="39"/>
      <c r="G10" s="39"/>
    </row>
    <row r="11" spans="1:7">
      <c r="A11" s="39">
        <v>7.99</v>
      </c>
      <c r="B11" s="39"/>
      <c r="C11" s="39">
        <v>1.37</v>
      </c>
      <c r="D11" s="40">
        <v>3.5500000000000002E-3</v>
      </c>
      <c r="E11" s="39"/>
      <c r="F11" s="39"/>
      <c r="G11" s="39"/>
    </row>
    <row r="12" spans="1:7">
      <c r="A12" s="39">
        <v>7.02</v>
      </c>
      <c r="B12" s="39"/>
      <c r="C12" s="39">
        <v>1.28</v>
      </c>
      <c r="D12" s="40">
        <v>2.8600000000000001E-3</v>
      </c>
      <c r="E12" s="39"/>
      <c r="F12" s="39"/>
      <c r="G12" s="39"/>
    </row>
    <row r="13" spans="1:7">
      <c r="A13" s="39">
        <v>5.99</v>
      </c>
      <c r="B13" s="39"/>
      <c r="C13" s="39">
        <v>1.18</v>
      </c>
      <c r="D13" s="40">
        <v>2.16E-3</v>
      </c>
      <c r="E13" s="39"/>
      <c r="F13" s="39"/>
      <c r="G13" s="39"/>
    </row>
    <row r="14" spans="1:7">
      <c r="A14" s="39">
        <v>5.0199999999999996</v>
      </c>
      <c r="B14" s="39"/>
      <c r="C14" s="39">
        <v>1.08</v>
      </c>
      <c r="D14" s="40">
        <v>1.56E-3</v>
      </c>
      <c r="E14" s="39"/>
      <c r="F14" s="39"/>
      <c r="G14" s="39"/>
    </row>
    <row r="15" spans="1:7">
      <c r="A15" s="39">
        <v>3.9950000000000001</v>
      </c>
      <c r="B15" s="39"/>
      <c r="C15" s="39">
        <v>0.97</v>
      </c>
      <c r="D15" s="40">
        <v>1.0300000000000001E-3</v>
      </c>
      <c r="E15" s="39"/>
      <c r="F15" s="39"/>
      <c r="G15" s="39"/>
    </row>
    <row r="16" spans="1:7">
      <c r="A16" s="39">
        <v>2.9870000000000001</v>
      </c>
      <c r="B16" s="39"/>
      <c r="C16" s="39">
        <v>0.85</v>
      </c>
      <c r="D16" s="40">
        <v>5.6999999999999998E-4</v>
      </c>
      <c r="E16" s="39"/>
      <c r="F16" s="39"/>
      <c r="G16" s="3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0" zoomScaleNormal="60" zoomScalePageLayoutView="60" workbookViewId="0">
      <selection activeCell="A6" sqref="A6"/>
    </sheetView>
  </sheetViews>
  <sheetFormatPr baseColWidth="10" defaultColWidth="8.83203125" defaultRowHeight="15" x14ac:dyDescent="0"/>
  <sheetData>
    <row r="1" spans="1:11">
      <c r="A1" s="33" t="s">
        <v>23</v>
      </c>
      <c r="B1" s="34">
        <v>6.6260695699999996E-34</v>
      </c>
      <c r="C1" s="33" t="s">
        <v>24</v>
      </c>
      <c r="D1" s="35">
        <v>2998792458</v>
      </c>
      <c r="E1" s="33" t="s">
        <v>25</v>
      </c>
      <c r="F1" s="34">
        <v>1.3806488E-23</v>
      </c>
    </row>
    <row r="2" spans="1:11">
      <c r="B2" t="s">
        <v>56</v>
      </c>
    </row>
    <row r="3" spans="1:11">
      <c r="A3" s="36" t="s">
        <v>16</v>
      </c>
      <c r="B3" s="36" t="s">
        <v>57</v>
      </c>
      <c r="C3" s="36" t="s">
        <v>58</v>
      </c>
      <c r="D3" s="36" t="s">
        <v>59</v>
      </c>
      <c r="E3" s="36" t="s">
        <v>60</v>
      </c>
      <c r="J3" t="s">
        <v>61</v>
      </c>
    </row>
    <row r="4" spans="1:11">
      <c r="A4" s="41">
        <v>90</v>
      </c>
      <c r="B4" s="41" t="s">
        <v>62</v>
      </c>
      <c r="C4" s="41" t="s">
        <v>63</v>
      </c>
      <c r="D4" s="41" t="s">
        <v>64</v>
      </c>
      <c r="E4" s="41" t="s">
        <v>65</v>
      </c>
      <c r="F4" s="41" t="s">
        <v>66</v>
      </c>
      <c r="I4" t="s">
        <v>67</v>
      </c>
      <c r="J4" t="s">
        <v>68</v>
      </c>
      <c r="K4" t="s">
        <v>69</v>
      </c>
    </row>
    <row r="5" spans="1:11">
      <c r="A5" s="41">
        <v>69</v>
      </c>
      <c r="B5" s="41" t="s">
        <v>70</v>
      </c>
      <c r="C5" s="41" t="s">
        <v>71</v>
      </c>
      <c r="D5" s="41" t="s">
        <v>72</v>
      </c>
      <c r="E5" s="41">
        <v>1.82</v>
      </c>
      <c r="F5" s="41" t="s">
        <v>73</v>
      </c>
      <c r="I5" t="s">
        <v>74</v>
      </c>
      <c r="J5" t="s">
        <v>75</v>
      </c>
      <c r="K5">
        <v>41</v>
      </c>
    </row>
    <row r="6" spans="1:11">
      <c r="A6" s="42"/>
      <c r="B6" s="42"/>
      <c r="C6" s="42"/>
      <c r="D6" s="42"/>
      <c r="E6" s="42"/>
      <c r="I6" t="s">
        <v>76</v>
      </c>
      <c r="J6" t="s">
        <v>77</v>
      </c>
      <c r="K6">
        <v>49</v>
      </c>
    </row>
    <row r="7" spans="1:11">
      <c r="I7" t="s">
        <v>78</v>
      </c>
      <c r="J7" t="s">
        <v>79</v>
      </c>
      <c r="K7">
        <v>56</v>
      </c>
    </row>
    <row r="8" spans="1:11">
      <c r="I8" t="s">
        <v>80</v>
      </c>
      <c r="J8" t="s">
        <v>81</v>
      </c>
      <c r="K8">
        <v>63</v>
      </c>
    </row>
    <row r="9" spans="1:11">
      <c r="I9" t="s">
        <v>82</v>
      </c>
      <c r="J9" t="s">
        <v>83</v>
      </c>
      <c r="K9">
        <v>72</v>
      </c>
    </row>
    <row r="10" spans="1:11">
      <c r="I10" t="s">
        <v>84</v>
      </c>
      <c r="J10" t="s">
        <v>85</v>
      </c>
      <c r="K10">
        <v>77</v>
      </c>
    </row>
    <row r="11" spans="1:11">
      <c r="I11" t="s">
        <v>86</v>
      </c>
      <c r="J11" t="s">
        <v>87</v>
      </c>
      <c r="K11">
        <v>85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="125" zoomScaleNormal="125" zoomScalePageLayoutView="125" workbookViewId="0">
      <selection activeCell="C9" sqref="C9"/>
    </sheetView>
  </sheetViews>
  <sheetFormatPr baseColWidth="10" defaultColWidth="8.83203125" defaultRowHeight="15" x14ac:dyDescent="0"/>
  <cols>
    <col min="1" max="1" width="21" style="52" bestFit="1" customWidth="1"/>
    <col min="2" max="2" width="24" style="52" bestFit="1" customWidth="1"/>
  </cols>
  <sheetData>
    <row r="1" spans="1:6">
      <c r="A1" s="52">
        <v>1.6242000000000001</v>
      </c>
      <c r="B1" s="52">
        <v>515.1</v>
      </c>
      <c r="D1">
        <v>1.6242000000000001</v>
      </c>
      <c r="E1">
        <v>515.1</v>
      </c>
    </row>
    <row r="2" spans="1:6">
      <c r="A2" s="52">
        <v>1.6238999999999999</v>
      </c>
      <c r="B2" s="52">
        <v>517.1</v>
      </c>
      <c r="C2" s="53">
        <f>A1-A2</f>
        <v>3.00000000000189E-4</v>
      </c>
      <c r="D2">
        <v>1.6228</v>
      </c>
      <c r="E2">
        <v>527.4</v>
      </c>
    </row>
    <row r="3" spans="1:6">
      <c r="A3" s="52">
        <v>1.6236999999999999</v>
      </c>
      <c r="B3" s="52">
        <v>519.20000000000005</v>
      </c>
      <c r="C3" s="53">
        <f t="shared" ref="C3:C28" si="0">A2-A3</f>
        <v>1.9999999999997797E-4</v>
      </c>
      <c r="D3">
        <v>1.6225000000000001</v>
      </c>
      <c r="E3">
        <v>529.5</v>
      </c>
    </row>
    <row r="4" spans="1:6">
      <c r="A4" s="52">
        <v>1.6234999999999999</v>
      </c>
      <c r="B4" s="52">
        <v>521.20000000000005</v>
      </c>
      <c r="C4" s="53">
        <f t="shared" si="0"/>
        <v>1.9999999999997797E-4</v>
      </c>
      <c r="D4">
        <v>1.6223000000000001</v>
      </c>
      <c r="E4">
        <v>531.6</v>
      </c>
      <c r="F4" t="s">
        <v>20</v>
      </c>
    </row>
    <row r="5" spans="1:6">
      <c r="A5" s="52">
        <v>1.6232</v>
      </c>
      <c r="B5" s="52">
        <v>523.29999999999995</v>
      </c>
      <c r="C5" s="53">
        <f t="shared" si="0"/>
        <v>2.9999999999996696E-4</v>
      </c>
      <c r="D5">
        <v>1.6221000000000001</v>
      </c>
      <c r="E5">
        <v>533.79999999999995</v>
      </c>
    </row>
    <row r="6" spans="1:6">
      <c r="A6" s="52">
        <v>1.623</v>
      </c>
      <c r="B6" s="52">
        <v>525.29999999999995</v>
      </c>
      <c r="C6" s="53">
        <f t="shared" si="0"/>
        <v>1.9999999999997797E-4</v>
      </c>
      <c r="D6">
        <v>1.6217999999999999</v>
      </c>
      <c r="E6">
        <v>535.9</v>
      </c>
    </row>
    <row r="7" spans="1:6">
      <c r="A7" s="52">
        <v>1.6228</v>
      </c>
      <c r="B7" s="52">
        <v>527.4</v>
      </c>
      <c r="C7" s="53">
        <f t="shared" si="0"/>
        <v>1.9999999999997797E-4</v>
      </c>
      <c r="D7">
        <v>1.6215999999999999</v>
      </c>
      <c r="E7">
        <v>538.1</v>
      </c>
    </row>
    <row r="8" spans="1:6">
      <c r="A8" s="52">
        <v>1.6225000000000001</v>
      </c>
      <c r="B8" s="52">
        <v>529.5</v>
      </c>
      <c r="C8" s="53">
        <f t="shared" si="0"/>
        <v>2.9999999999996696E-4</v>
      </c>
      <c r="D8">
        <v>1.6213</v>
      </c>
      <c r="E8">
        <v>540.29999999999995</v>
      </c>
    </row>
    <row r="9" spans="1:6">
      <c r="A9" s="52">
        <v>1.6223000000000001</v>
      </c>
      <c r="B9" s="52">
        <v>531.6</v>
      </c>
      <c r="C9" s="53">
        <f t="shared" si="0"/>
        <v>1.9999999999997797E-4</v>
      </c>
      <c r="D9">
        <v>1.6211</v>
      </c>
      <c r="E9">
        <v>542.5</v>
      </c>
    </row>
    <row r="10" spans="1:6">
      <c r="A10" s="52">
        <v>1.6221000000000001</v>
      </c>
      <c r="B10" s="52">
        <v>533.79999999999995</v>
      </c>
      <c r="C10" s="53">
        <f t="shared" si="0"/>
        <v>1.9999999999997797E-4</v>
      </c>
      <c r="D10">
        <v>1.6209</v>
      </c>
      <c r="E10">
        <v>544.70000000000005</v>
      </c>
    </row>
    <row r="11" spans="1:6">
      <c r="A11" s="52">
        <v>1.6217999999999999</v>
      </c>
      <c r="B11" s="52">
        <v>535.9</v>
      </c>
      <c r="C11" s="53">
        <f t="shared" si="0"/>
        <v>3.00000000000189E-4</v>
      </c>
      <c r="D11">
        <v>1.6206</v>
      </c>
      <c r="E11">
        <v>546.9</v>
      </c>
    </row>
    <row r="12" spans="1:6">
      <c r="A12" s="52">
        <v>1.6215999999999999</v>
      </c>
      <c r="B12" s="52">
        <v>538.1</v>
      </c>
      <c r="C12" s="53">
        <f t="shared" si="0"/>
        <v>1.9999999999997797E-4</v>
      </c>
      <c r="D12">
        <v>1.6204000000000001</v>
      </c>
      <c r="E12">
        <v>549.20000000000005</v>
      </c>
    </row>
    <row r="13" spans="1:6">
      <c r="A13" s="52">
        <v>1.6213</v>
      </c>
      <c r="B13" s="52">
        <v>540.29999999999995</v>
      </c>
      <c r="C13" s="53">
        <f t="shared" si="0"/>
        <v>2.9999999999996696E-4</v>
      </c>
      <c r="D13">
        <v>1.6202000000000001</v>
      </c>
      <c r="E13">
        <v>551.4</v>
      </c>
    </row>
    <row r="14" spans="1:6">
      <c r="A14" s="52">
        <v>1.6211</v>
      </c>
      <c r="B14" s="52">
        <v>542.5</v>
      </c>
      <c r="C14" s="53">
        <f t="shared" si="0"/>
        <v>1.9999999999997797E-4</v>
      </c>
      <c r="D14">
        <v>1.6196999999999999</v>
      </c>
      <c r="E14">
        <v>556.1</v>
      </c>
    </row>
    <row r="15" spans="1:6">
      <c r="A15" s="52">
        <v>1.6209</v>
      </c>
      <c r="B15" s="52">
        <v>544.70000000000005</v>
      </c>
      <c r="C15" s="53">
        <f t="shared" si="0"/>
        <v>1.9999999999997797E-4</v>
      </c>
      <c r="D15">
        <v>1.6194999999999999</v>
      </c>
      <c r="E15">
        <v>558.4</v>
      </c>
    </row>
    <row r="16" spans="1:6">
      <c r="A16" s="52">
        <v>1.6206</v>
      </c>
      <c r="B16" s="52">
        <v>546.9</v>
      </c>
      <c r="C16" s="53">
        <f t="shared" si="0"/>
        <v>2.9999999999996696E-4</v>
      </c>
      <c r="D16">
        <v>1.6192</v>
      </c>
      <c r="E16">
        <v>560.79999999999995</v>
      </c>
    </row>
    <row r="17" spans="1:5">
      <c r="A17" s="52">
        <v>1.6204000000000001</v>
      </c>
      <c r="B17" s="52">
        <v>549.20000000000005</v>
      </c>
      <c r="C17" s="53">
        <f t="shared" si="0"/>
        <v>1.9999999999997797E-4</v>
      </c>
      <c r="D17">
        <v>1.619</v>
      </c>
      <c r="E17">
        <v>563.20000000000005</v>
      </c>
    </row>
    <row r="18" spans="1:5">
      <c r="A18" s="52">
        <v>1.6202000000000001</v>
      </c>
      <c r="B18" s="52">
        <v>551.4</v>
      </c>
      <c r="C18" s="53">
        <f t="shared" si="0"/>
        <v>1.9999999999997797E-4</v>
      </c>
      <c r="D18">
        <v>1.6187</v>
      </c>
      <c r="E18">
        <v>565.6</v>
      </c>
    </row>
    <row r="19" spans="1:5">
      <c r="A19" s="52">
        <v>1.6198999999999999</v>
      </c>
      <c r="B19" s="52">
        <v>553.70000000000005</v>
      </c>
      <c r="C19" s="53">
        <f t="shared" si="0"/>
        <v>3.00000000000189E-4</v>
      </c>
      <c r="D19">
        <v>1.6185</v>
      </c>
      <c r="E19">
        <v>568.1</v>
      </c>
    </row>
    <row r="20" spans="1:5">
      <c r="A20" s="52">
        <v>1.6196999999999999</v>
      </c>
      <c r="B20" s="52">
        <v>556.1</v>
      </c>
      <c r="C20" s="53">
        <f t="shared" si="0"/>
        <v>1.9999999999997797E-4</v>
      </c>
      <c r="D20">
        <v>1.6183000000000001</v>
      </c>
      <c r="E20">
        <v>570.6</v>
      </c>
    </row>
    <row r="21" spans="1:5">
      <c r="A21" s="52">
        <v>1.6194999999999999</v>
      </c>
      <c r="B21" s="52">
        <v>558.4</v>
      </c>
      <c r="C21" s="53">
        <f t="shared" si="0"/>
        <v>1.9999999999997797E-4</v>
      </c>
      <c r="D21">
        <v>1.6180000000000001</v>
      </c>
      <c r="E21">
        <v>573.1</v>
      </c>
    </row>
    <row r="22" spans="1:5">
      <c r="A22" s="52">
        <v>1.6192</v>
      </c>
      <c r="B22" s="52">
        <v>560.79999999999995</v>
      </c>
      <c r="C22" s="53">
        <f t="shared" si="0"/>
        <v>2.9999999999996696E-4</v>
      </c>
      <c r="D22">
        <v>1.6177999999999999</v>
      </c>
      <c r="E22">
        <v>575.70000000000005</v>
      </c>
    </row>
    <row r="23" spans="1:5">
      <c r="A23" s="52">
        <v>1.619</v>
      </c>
      <c r="B23" s="52">
        <v>563.20000000000005</v>
      </c>
      <c r="C23" s="53">
        <f t="shared" si="0"/>
        <v>1.9999999999997797E-4</v>
      </c>
      <c r="D23">
        <v>1.6175999999999999</v>
      </c>
      <c r="E23">
        <v>578.29999999999995</v>
      </c>
    </row>
    <row r="24" spans="1:5">
      <c r="A24" s="52">
        <v>1.6187</v>
      </c>
      <c r="B24" s="52">
        <v>565.6</v>
      </c>
      <c r="C24" s="53">
        <f t="shared" si="0"/>
        <v>2.9999999999996696E-4</v>
      </c>
      <c r="D24">
        <v>1.6173</v>
      </c>
      <c r="E24">
        <v>580.9</v>
      </c>
    </row>
    <row r="25" spans="1:5">
      <c r="A25" s="52">
        <v>1.6185</v>
      </c>
      <c r="B25" s="52">
        <v>568.1</v>
      </c>
      <c r="C25" s="53">
        <f t="shared" si="0"/>
        <v>1.9999999999997797E-4</v>
      </c>
      <c r="D25">
        <v>1.6171</v>
      </c>
      <c r="E25">
        <v>583.5</v>
      </c>
    </row>
    <row r="26" spans="1:5">
      <c r="A26" s="52">
        <v>1.6183000000000001</v>
      </c>
      <c r="B26" s="52">
        <v>570.6</v>
      </c>
      <c r="C26" s="53">
        <f t="shared" si="0"/>
        <v>1.9999999999997797E-4</v>
      </c>
      <c r="D26">
        <v>1.6169</v>
      </c>
      <c r="E26">
        <v>586.20000000000005</v>
      </c>
    </row>
    <row r="27" spans="1:5">
      <c r="A27" s="52">
        <v>1.6180000000000001</v>
      </c>
      <c r="B27" s="52">
        <v>573.1</v>
      </c>
      <c r="C27" s="53">
        <f t="shared" si="0"/>
        <v>2.9999999999996696E-4</v>
      </c>
      <c r="D27">
        <v>1.6156999999999999</v>
      </c>
      <c r="E27">
        <v>600.29999999999995</v>
      </c>
    </row>
    <row r="28" spans="1:5">
      <c r="A28" s="52">
        <v>1.6177999999999999</v>
      </c>
      <c r="B28" s="52">
        <v>575.70000000000005</v>
      </c>
      <c r="C28" s="53">
        <f t="shared" si="0"/>
        <v>2.0000000000020002E-4</v>
      </c>
      <c r="D28">
        <v>1.6153999999999999</v>
      </c>
      <c r="E28">
        <v>603.29999999999995</v>
      </c>
    </row>
    <row r="29" spans="1:5">
      <c r="A29" s="52">
        <v>1.6175999999999999</v>
      </c>
      <c r="B29" s="52">
        <v>578.29999999999995</v>
      </c>
      <c r="D29">
        <v>1.6152</v>
      </c>
      <c r="E29">
        <v>606.20000000000005</v>
      </c>
    </row>
    <row r="30" spans="1:5">
      <c r="A30" s="52">
        <v>1.6173</v>
      </c>
      <c r="B30" s="52">
        <v>580.9</v>
      </c>
      <c r="D30">
        <v>1.615</v>
      </c>
      <c r="E30">
        <v>609.29999999999995</v>
      </c>
    </row>
    <row r="31" spans="1:5">
      <c r="A31" s="52">
        <v>1.6171</v>
      </c>
      <c r="B31" s="52">
        <v>583.5</v>
      </c>
      <c r="D31">
        <v>1.6147</v>
      </c>
      <c r="E31">
        <v>612.4</v>
      </c>
    </row>
    <row r="32" spans="1:5">
      <c r="A32" s="52">
        <v>1.6169</v>
      </c>
      <c r="B32" s="52">
        <v>586.20000000000005</v>
      </c>
      <c r="D32">
        <v>1.6145</v>
      </c>
      <c r="E32">
        <v>615.5</v>
      </c>
    </row>
    <row r="33" spans="1:5">
      <c r="A33" s="52">
        <v>1.6166</v>
      </c>
      <c r="B33" s="52">
        <v>589</v>
      </c>
      <c r="D33">
        <v>1.6133</v>
      </c>
      <c r="E33">
        <v>631.9</v>
      </c>
    </row>
    <row r="34" spans="1:5">
      <c r="A34" s="52">
        <v>1.6164000000000001</v>
      </c>
      <c r="B34" s="52">
        <v>591.70000000000005</v>
      </c>
      <c r="D34">
        <v>1.6131</v>
      </c>
      <c r="E34">
        <v>635.4</v>
      </c>
    </row>
    <row r="35" spans="1:5">
      <c r="A35" s="52">
        <v>1.6162000000000001</v>
      </c>
      <c r="B35" s="52">
        <v>594.6</v>
      </c>
      <c r="D35">
        <v>1.6129</v>
      </c>
      <c r="E35">
        <v>638.9</v>
      </c>
    </row>
    <row r="36" spans="1:5">
      <c r="A36" s="52">
        <v>1.6158999999999999</v>
      </c>
      <c r="B36" s="52">
        <v>597.4</v>
      </c>
      <c r="D36">
        <v>1.6126</v>
      </c>
      <c r="E36">
        <v>642.5</v>
      </c>
    </row>
    <row r="37" spans="1:5">
      <c r="A37" s="52">
        <v>1.6156999999999999</v>
      </c>
      <c r="B37" s="52">
        <v>600.29999999999995</v>
      </c>
      <c r="D37">
        <v>1.6124000000000001</v>
      </c>
      <c r="E37">
        <v>646.1</v>
      </c>
    </row>
    <row r="38" spans="1:5">
      <c r="A38" s="52">
        <v>1.6153999999999999</v>
      </c>
      <c r="B38" s="52">
        <v>603.29999999999995</v>
      </c>
      <c r="D38">
        <v>1.6122000000000001</v>
      </c>
      <c r="E38">
        <v>649.79999999999995</v>
      </c>
    </row>
    <row r="39" spans="1:5">
      <c r="A39" s="52">
        <v>1.6152</v>
      </c>
      <c r="B39" s="52">
        <v>606.20000000000005</v>
      </c>
      <c r="D39">
        <v>1.6119000000000001</v>
      </c>
      <c r="E39">
        <v>653.6</v>
      </c>
    </row>
    <row r="40" spans="1:5">
      <c r="A40" s="52">
        <v>1.615</v>
      </c>
      <c r="B40" s="52">
        <v>609.29999999999995</v>
      </c>
      <c r="D40">
        <v>1.611</v>
      </c>
      <c r="E40">
        <v>669.4</v>
      </c>
    </row>
    <row r="41" spans="1:5">
      <c r="A41" s="52">
        <v>1.6147</v>
      </c>
      <c r="B41" s="52">
        <v>612.4</v>
      </c>
      <c r="D41">
        <v>1.6107</v>
      </c>
      <c r="E41">
        <v>673.6</v>
      </c>
    </row>
    <row r="42" spans="1:5">
      <c r="A42" s="52">
        <v>1.6145</v>
      </c>
      <c r="B42" s="52">
        <v>615.5</v>
      </c>
      <c r="D42">
        <v>1.6105</v>
      </c>
      <c r="E42">
        <v>677.8</v>
      </c>
    </row>
    <row r="43" spans="1:5">
      <c r="A43" s="52">
        <v>1.6143000000000001</v>
      </c>
      <c r="B43" s="52">
        <v>618.70000000000005</v>
      </c>
      <c r="D43">
        <v>1.6103000000000001</v>
      </c>
      <c r="E43">
        <v>682.1</v>
      </c>
    </row>
    <row r="44" spans="1:5">
      <c r="A44" s="52">
        <v>1.6140000000000001</v>
      </c>
      <c r="B44" s="52">
        <v>621.9</v>
      </c>
      <c r="D44">
        <v>1.6086</v>
      </c>
      <c r="E44">
        <v>714.6</v>
      </c>
    </row>
    <row r="45" spans="1:5">
      <c r="A45" s="52">
        <v>1.6137999999999999</v>
      </c>
      <c r="B45" s="52">
        <v>625.20000000000005</v>
      </c>
      <c r="D45">
        <v>1.6084000000000001</v>
      </c>
      <c r="E45">
        <v>719.6</v>
      </c>
    </row>
    <row r="46" spans="1:5">
      <c r="A46" s="52">
        <v>1.6135999999999999</v>
      </c>
      <c r="B46" s="52">
        <v>628.5</v>
      </c>
      <c r="D46">
        <v>1.6082000000000001</v>
      </c>
      <c r="E46">
        <v>724.7</v>
      </c>
    </row>
    <row r="47" spans="1:5">
      <c r="A47" s="52">
        <v>1.6133</v>
      </c>
      <c r="B47" s="52">
        <v>631.9</v>
      </c>
      <c r="D47">
        <v>1.6065</v>
      </c>
      <c r="E47">
        <v>763.7</v>
      </c>
    </row>
    <row r="48" spans="1:5">
      <c r="A48" s="52">
        <v>1.6131</v>
      </c>
      <c r="B48" s="52">
        <v>635.4</v>
      </c>
      <c r="D48">
        <v>1.6063000000000001</v>
      </c>
      <c r="E48">
        <v>769.7</v>
      </c>
    </row>
    <row r="49" spans="1:5">
      <c r="A49" s="52">
        <v>1.6129</v>
      </c>
      <c r="B49" s="52">
        <v>638.9</v>
      </c>
      <c r="D49">
        <v>1.6061000000000001</v>
      </c>
      <c r="E49">
        <v>775.8</v>
      </c>
    </row>
    <row r="50" spans="1:5">
      <c r="A50" s="52">
        <v>1.6126</v>
      </c>
      <c r="B50" s="52">
        <v>642.5</v>
      </c>
      <c r="D50">
        <v>1.6057999999999999</v>
      </c>
      <c r="E50">
        <v>782.1</v>
      </c>
    </row>
    <row r="51" spans="1:5">
      <c r="A51" s="52">
        <v>1.6124000000000001</v>
      </c>
      <c r="B51" s="52">
        <v>646.1</v>
      </c>
      <c r="D51">
        <v>1.6055999999999999</v>
      </c>
      <c r="E51">
        <v>788.6</v>
      </c>
    </row>
    <row r="52" spans="1:5">
      <c r="A52" s="52">
        <v>1.6122000000000001</v>
      </c>
      <c r="B52" s="52">
        <v>649.79999999999995</v>
      </c>
      <c r="D52">
        <v>1.6053999999999999</v>
      </c>
      <c r="E52">
        <v>795.1</v>
      </c>
    </row>
    <row r="53" spans="1:5">
      <c r="A53" s="52">
        <v>1.6119000000000001</v>
      </c>
      <c r="B53" s="52">
        <v>653.6</v>
      </c>
      <c r="D53">
        <v>1.6040000000000001</v>
      </c>
      <c r="E53">
        <v>837.6</v>
      </c>
    </row>
    <row r="54" spans="1:5">
      <c r="A54" s="52">
        <v>1.6116999999999999</v>
      </c>
      <c r="B54" s="52">
        <v>657.5</v>
      </c>
      <c r="D54">
        <v>1.6036999999999999</v>
      </c>
      <c r="E54">
        <v>845.2</v>
      </c>
    </row>
    <row r="55" spans="1:5">
      <c r="A55" s="52">
        <v>1.6113999999999999</v>
      </c>
      <c r="B55" s="52">
        <v>661.4</v>
      </c>
      <c r="D55">
        <v>1.6034999999999999</v>
      </c>
      <c r="E55">
        <v>853</v>
      </c>
    </row>
    <row r="56" spans="1:5">
      <c r="A56" s="52">
        <v>1.6112</v>
      </c>
      <c r="B56" s="52">
        <v>665.4</v>
      </c>
      <c r="D56">
        <v>1.6032999999999999</v>
      </c>
      <c r="E56">
        <v>861</v>
      </c>
    </row>
    <row r="57" spans="1:5">
      <c r="A57" s="52">
        <v>1.611</v>
      </c>
      <c r="B57" s="52">
        <v>669.4</v>
      </c>
      <c r="D57">
        <v>1.603</v>
      </c>
      <c r="E57">
        <v>869.2</v>
      </c>
    </row>
    <row r="58" spans="1:5">
      <c r="A58" s="52">
        <v>1.6107</v>
      </c>
      <c r="B58" s="52">
        <v>673.6</v>
      </c>
      <c r="D58">
        <v>1.6015999999999999</v>
      </c>
      <c r="E58">
        <v>922.2</v>
      </c>
    </row>
    <row r="59" spans="1:5">
      <c r="A59" s="52">
        <v>1.6105</v>
      </c>
      <c r="B59" s="52">
        <v>677.8</v>
      </c>
      <c r="D59">
        <v>1.6013999999999999</v>
      </c>
      <c r="E59">
        <v>931.7</v>
      </c>
    </row>
    <row r="60" spans="1:5">
      <c r="A60" s="52">
        <v>1.6103000000000001</v>
      </c>
      <c r="B60" s="52">
        <v>682.1</v>
      </c>
      <c r="D60">
        <v>1.6011</v>
      </c>
      <c r="E60">
        <v>941.5</v>
      </c>
    </row>
    <row r="61" spans="1:5">
      <c r="A61" s="52">
        <v>1.61</v>
      </c>
      <c r="B61" s="52">
        <v>686.5</v>
      </c>
      <c r="D61">
        <v>1.6009</v>
      </c>
      <c r="E61">
        <v>951.5</v>
      </c>
    </row>
    <row r="62" spans="1:5">
      <c r="A62" s="52">
        <v>1.6097999999999999</v>
      </c>
      <c r="B62" s="52">
        <v>690.9</v>
      </c>
      <c r="D62">
        <v>1.6007</v>
      </c>
      <c r="E62">
        <v>961.8</v>
      </c>
    </row>
    <row r="63" spans="1:5">
      <c r="A63" s="52">
        <v>1.6095999999999999</v>
      </c>
      <c r="B63" s="52">
        <v>695.5</v>
      </c>
      <c r="D63">
        <v>1.6004</v>
      </c>
      <c r="E63">
        <v>972.3</v>
      </c>
    </row>
    <row r="64" spans="1:5">
      <c r="A64" s="52">
        <v>1.6093</v>
      </c>
      <c r="B64" s="52">
        <v>700.1</v>
      </c>
      <c r="D64">
        <v>1.6002000000000001</v>
      </c>
      <c r="E64">
        <v>983</v>
      </c>
    </row>
    <row r="65" spans="1:5">
      <c r="A65" s="52">
        <v>1.6091</v>
      </c>
      <c r="B65" s="52">
        <v>704.8</v>
      </c>
      <c r="D65">
        <v>1.5991</v>
      </c>
      <c r="E65">
        <v>1040.5999999999999</v>
      </c>
    </row>
    <row r="66" spans="1:5">
      <c r="A66" s="52">
        <v>1.6089</v>
      </c>
      <c r="B66" s="52">
        <v>709.7</v>
      </c>
      <c r="D66">
        <v>1.5988</v>
      </c>
      <c r="E66">
        <v>1053</v>
      </c>
    </row>
    <row r="67" spans="1:5">
      <c r="A67" s="52">
        <v>1.6086</v>
      </c>
      <c r="B67" s="52">
        <v>714.6</v>
      </c>
      <c r="D67">
        <v>1.5986</v>
      </c>
      <c r="E67">
        <v>1065.7</v>
      </c>
    </row>
    <row r="68" spans="1:5">
      <c r="A68" s="52">
        <v>1.6084000000000001</v>
      </c>
      <c r="B68" s="52">
        <v>719.6</v>
      </c>
      <c r="D68">
        <v>1.5984</v>
      </c>
      <c r="E68">
        <v>1078.7</v>
      </c>
    </row>
    <row r="69" spans="1:5">
      <c r="A69" s="52">
        <v>1.6082000000000001</v>
      </c>
      <c r="B69" s="52">
        <v>724.7</v>
      </c>
      <c r="D69">
        <v>1.5981000000000001</v>
      </c>
      <c r="E69">
        <v>1092</v>
      </c>
    </row>
    <row r="70" spans="1:5">
      <c r="A70" s="52">
        <v>1.6079000000000001</v>
      </c>
      <c r="B70" s="52">
        <v>730</v>
      </c>
      <c r="D70">
        <v>1.597</v>
      </c>
      <c r="E70">
        <v>1163.7</v>
      </c>
    </row>
    <row r="71" spans="1:5">
      <c r="A71" s="52">
        <v>1.6076999999999999</v>
      </c>
      <c r="B71" s="52">
        <v>735.3</v>
      </c>
      <c r="D71">
        <v>1.5967</v>
      </c>
      <c r="E71">
        <v>1179.2</v>
      </c>
    </row>
    <row r="72" spans="1:5">
      <c r="A72" s="52">
        <v>1.6074999999999999</v>
      </c>
      <c r="B72" s="52">
        <v>740.7</v>
      </c>
      <c r="D72">
        <v>1.5965</v>
      </c>
      <c r="E72">
        <v>1195</v>
      </c>
    </row>
    <row r="73" spans="1:5">
      <c r="A73" s="52">
        <v>1.6072</v>
      </c>
      <c r="B73" s="52">
        <v>746.3</v>
      </c>
      <c r="D73">
        <v>1.5963000000000001</v>
      </c>
      <c r="E73">
        <v>1211.2</v>
      </c>
    </row>
    <row r="74" spans="1:5">
      <c r="A74" s="52">
        <v>1.607</v>
      </c>
      <c r="B74" s="52">
        <v>752</v>
      </c>
      <c r="D74">
        <v>1.5960000000000001</v>
      </c>
      <c r="E74">
        <v>1227.9000000000001</v>
      </c>
    </row>
    <row r="75" spans="1:5">
      <c r="A75" s="52">
        <v>1.6068</v>
      </c>
      <c r="B75" s="52">
        <v>757.7</v>
      </c>
      <c r="D75">
        <v>1.5958000000000001</v>
      </c>
      <c r="E75">
        <v>1245</v>
      </c>
    </row>
    <row r="76" spans="1:5">
      <c r="A76" s="52">
        <v>1.6065</v>
      </c>
      <c r="B76" s="52">
        <v>763.7</v>
      </c>
      <c r="D76">
        <v>1.5942000000000001</v>
      </c>
      <c r="E76">
        <v>1377.9</v>
      </c>
    </row>
    <row r="77" spans="1:5">
      <c r="A77" s="52">
        <v>1.6063000000000001</v>
      </c>
      <c r="B77" s="52">
        <v>769.7</v>
      </c>
      <c r="D77">
        <v>1.5939000000000001</v>
      </c>
      <c r="E77">
        <v>1398.9</v>
      </c>
    </row>
    <row r="78" spans="1:5">
      <c r="A78" s="52">
        <v>1.6061000000000001</v>
      </c>
      <c r="B78" s="52">
        <v>775.8</v>
      </c>
      <c r="D78">
        <v>1.5936999999999999</v>
      </c>
      <c r="E78">
        <v>1420.5</v>
      </c>
    </row>
    <row r="79" spans="1:5">
      <c r="A79" s="52">
        <v>1.6057999999999999</v>
      </c>
      <c r="B79" s="52">
        <v>782.1</v>
      </c>
      <c r="D79">
        <v>1.5934999999999999</v>
      </c>
      <c r="E79">
        <v>1442.7</v>
      </c>
    </row>
    <row r="80" spans="1:5">
      <c r="A80" s="52">
        <v>1.6055999999999999</v>
      </c>
      <c r="B80" s="52">
        <v>788.6</v>
      </c>
      <c r="D80">
        <v>1.5931999999999999</v>
      </c>
      <c r="E80">
        <v>1465.5</v>
      </c>
    </row>
    <row r="81" spans="1:5">
      <c r="A81" s="52">
        <v>1.6053999999999999</v>
      </c>
      <c r="B81" s="52">
        <v>795.1</v>
      </c>
      <c r="D81">
        <v>1.593</v>
      </c>
      <c r="E81">
        <v>1489</v>
      </c>
    </row>
    <row r="82" spans="1:5">
      <c r="A82" s="52">
        <v>1.6051</v>
      </c>
      <c r="B82" s="52">
        <v>801.8</v>
      </c>
      <c r="D82">
        <v>1.5928</v>
      </c>
      <c r="E82">
        <v>1513.1</v>
      </c>
    </row>
    <row r="83" spans="1:5">
      <c r="A83" s="52">
        <v>1.6049</v>
      </c>
      <c r="B83" s="52">
        <v>808.7</v>
      </c>
      <c r="D83">
        <v>1.5925</v>
      </c>
      <c r="E83">
        <v>1537.8</v>
      </c>
    </row>
    <row r="84" spans="1:5">
      <c r="A84" s="52">
        <v>1.6047</v>
      </c>
      <c r="B84" s="52">
        <v>815.7</v>
      </c>
      <c r="D84">
        <v>1.5911</v>
      </c>
      <c r="E84">
        <v>1701.6</v>
      </c>
    </row>
    <row r="85" spans="1:5">
      <c r="A85" s="52">
        <v>1.6044</v>
      </c>
      <c r="B85" s="52">
        <v>822.8</v>
      </c>
      <c r="D85">
        <v>1.5909</v>
      </c>
      <c r="E85">
        <v>1731.7</v>
      </c>
    </row>
    <row r="86" spans="1:5">
      <c r="A86" s="52">
        <v>1.6042000000000001</v>
      </c>
      <c r="B86" s="52">
        <v>830.1</v>
      </c>
      <c r="D86">
        <v>1.5907</v>
      </c>
      <c r="E86">
        <v>1762.6</v>
      </c>
    </row>
    <row r="87" spans="1:5">
      <c r="A87" s="52">
        <v>1.6040000000000001</v>
      </c>
      <c r="B87" s="52">
        <v>837.6</v>
      </c>
      <c r="D87">
        <v>1.5905</v>
      </c>
      <c r="E87">
        <v>1794.5</v>
      </c>
    </row>
    <row r="88" spans="1:5">
      <c r="A88" s="52">
        <v>1.6036999999999999</v>
      </c>
      <c r="B88" s="52">
        <v>845.2</v>
      </c>
      <c r="D88">
        <v>1.5902000000000001</v>
      </c>
      <c r="E88">
        <v>1827.2</v>
      </c>
    </row>
    <row r="89" spans="1:5">
      <c r="A89" s="52">
        <v>1.6034999999999999</v>
      </c>
      <c r="B89" s="52">
        <v>853</v>
      </c>
      <c r="D89">
        <v>1.59</v>
      </c>
      <c r="E89">
        <v>1861</v>
      </c>
    </row>
    <row r="90" spans="1:5">
      <c r="A90" s="52">
        <v>1.6032999999999999</v>
      </c>
      <c r="B90" s="52">
        <v>861</v>
      </c>
      <c r="D90">
        <v>1.5886</v>
      </c>
      <c r="E90">
        <v>2085.6</v>
      </c>
    </row>
    <row r="91" spans="1:5">
      <c r="A91" s="52">
        <v>1.603</v>
      </c>
      <c r="B91" s="52">
        <v>869.2</v>
      </c>
      <c r="D91">
        <v>1.5884</v>
      </c>
      <c r="E91">
        <v>2127.1</v>
      </c>
    </row>
    <row r="92" spans="1:5">
      <c r="A92" s="52">
        <v>1.6028</v>
      </c>
      <c r="B92" s="52">
        <v>877.5</v>
      </c>
      <c r="D92">
        <v>1.5881000000000001</v>
      </c>
      <c r="E92">
        <v>2169.8000000000002</v>
      </c>
    </row>
    <row r="93" spans="1:5">
      <c r="A93" s="52">
        <v>1.6025</v>
      </c>
      <c r="B93" s="52">
        <v>886.1</v>
      </c>
      <c r="D93">
        <v>1.5879000000000001</v>
      </c>
      <c r="E93">
        <v>2213.9</v>
      </c>
    </row>
    <row r="94" spans="1:5">
      <c r="A94" s="52">
        <v>1.6023000000000001</v>
      </c>
      <c r="B94" s="52">
        <v>894.8</v>
      </c>
      <c r="D94">
        <v>1.5876999999999999</v>
      </c>
      <c r="E94">
        <v>2259.3000000000002</v>
      </c>
    </row>
    <row r="95" spans="1:5">
      <c r="A95" s="52">
        <v>1.6021000000000001</v>
      </c>
      <c r="B95" s="52">
        <v>903.7</v>
      </c>
      <c r="D95">
        <v>1.5873999999999999</v>
      </c>
      <c r="E95">
        <v>2306.1999999999998</v>
      </c>
    </row>
    <row r="96" spans="1:5">
      <c r="A96" s="52">
        <v>1.6017999999999999</v>
      </c>
      <c r="B96" s="52">
        <v>912.8</v>
      </c>
      <c r="D96">
        <v>1.5871999999999999</v>
      </c>
      <c r="E96">
        <v>2354.5</v>
      </c>
    </row>
    <row r="97" spans="1:5">
      <c r="A97" s="52">
        <v>1.6015999999999999</v>
      </c>
      <c r="B97" s="52">
        <v>922.2</v>
      </c>
      <c r="D97">
        <v>1.5853999999999999</v>
      </c>
      <c r="E97">
        <v>2801</v>
      </c>
    </row>
    <row r="98" spans="1:5">
      <c r="A98" s="52">
        <v>1.6013999999999999</v>
      </c>
      <c r="B98" s="52">
        <v>931.7</v>
      </c>
      <c r="D98">
        <v>1.5851</v>
      </c>
      <c r="E98">
        <v>2865.3</v>
      </c>
    </row>
    <row r="99" spans="1:5">
      <c r="A99" s="52">
        <v>1.6011</v>
      </c>
      <c r="B99" s="52">
        <v>941.5</v>
      </c>
      <c r="D99">
        <v>1.5849</v>
      </c>
      <c r="E99">
        <v>2931.7</v>
      </c>
    </row>
    <row r="100" spans="1:5">
      <c r="A100" s="52">
        <v>1.6009</v>
      </c>
      <c r="B100" s="52">
        <v>951.5</v>
      </c>
      <c r="D100">
        <v>1.5847</v>
      </c>
      <c r="E100">
        <v>3000.4</v>
      </c>
    </row>
    <row r="101" spans="1:5">
      <c r="A101" s="52">
        <v>1.6007</v>
      </c>
      <c r="B101" s="52">
        <v>961.8</v>
      </c>
      <c r="D101">
        <v>1.5844</v>
      </c>
      <c r="E101">
        <v>3071.3</v>
      </c>
    </row>
    <row r="102" spans="1:5">
      <c r="A102" s="52">
        <v>1.6004</v>
      </c>
      <c r="B102" s="52">
        <v>972.3</v>
      </c>
      <c r="D102">
        <v>1.5842000000000001</v>
      </c>
      <c r="E102">
        <v>3144.7</v>
      </c>
    </row>
    <row r="103" spans="1:5">
      <c r="A103" s="52">
        <v>1.6002000000000001</v>
      </c>
      <c r="B103" s="52">
        <v>983</v>
      </c>
      <c r="D103">
        <v>1.5840000000000001</v>
      </c>
      <c r="E103">
        <v>3220.5</v>
      </c>
    </row>
    <row r="104" spans="1:5">
      <c r="A104" s="52">
        <v>1.6</v>
      </c>
      <c r="B104" s="52">
        <v>994</v>
      </c>
      <c r="D104">
        <v>1.5837000000000001</v>
      </c>
      <c r="E104">
        <v>3298.9</v>
      </c>
    </row>
    <row r="105" spans="1:5">
      <c r="A105" s="52">
        <v>1.5996999999999999</v>
      </c>
      <c r="B105" s="52">
        <v>1005.2</v>
      </c>
      <c r="D105">
        <v>1.5834999999999999</v>
      </c>
      <c r="E105">
        <v>3380</v>
      </c>
    </row>
    <row r="106" spans="1:5">
      <c r="A106" s="52">
        <v>1.5994999999999999</v>
      </c>
      <c r="B106" s="52">
        <v>1016.8</v>
      </c>
      <c r="D106">
        <v>1.5817000000000001</v>
      </c>
      <c r="E106">
        <v>4140.1000000000004</v>
      </c>
    </row>
    <row r="107" spans="1:5">
      <c r="A107" s="52">
        <v>1.5992999999999999</v>
      </c>
      <c r="B107" s="52">
        <v>1028.5999999999999</v>
      </c>
      <c r="D107">
        <v>1.5813999999999999</v>
      </c>
      <c r="E107">
        <v>4251.1000000000004</v>
      </c>
    </row>
    <row r="108" spans="1:5">
      <c r="A108" s="52">
        <v>1.5991</v>
      </c>
      <c r="B108" s="52">
        <v>1040.5999999999999</v>
      </c>
      <c r="D108">
        <v>1.5811999999999999</v>
      </c>
      <c r="E108">
        <v>4366</v>
      </c>
    </row>
    <row r="109" spans="1:5">
      <c r="A109" s="52">
        <v>1.5988</v>
      </c>
      <c r="B109" s="52">
        <v>1053</v>
      </c>
      <c r="D109">
        <v>1.581</v>
      </c>
      <c r="E109">
        <v>4485.2</v>
      </c>
    </row>
    <row r="110" spans="1:5">
      <c r="A110" s="52">
        <v>1.5986</v>
      </c>
      <c r="B110" s="52">
        <v>1065.7</v>
      </c>
      <c r="D110">
        <v>1.5807</v>
      </c>
      <c r="E110">
        <v>4608.8</v>
      </c>
    </row>
    <row r="111" spans="1:5">
      <c r="A111" s="52">
        <v>1.5984</v>
      </c>
      <c r="B111" s="52">
        <v>1078.7</v>
      </c>
      <c r="D111">
        <v>1.5805</v>
      </c>
      <c r="E111">
        <v>4737</v>
      </c>
    </row>
    <row r="112" spans="1:5">
      <c r="A112" s="52">
        <v>1.5981000000000001</v>
      </c>
      <c r="B112" s="52">
        <v>1092</v>
      </c>
      <c r="D112">
        <v>1.5803</v>
      </c>
      <c r="E112">
        <v>4869.8999999999996</v>
      </c>
    </row>
    <row r="113" spans="1:5">
      <c r="A113" s="52">
        <v>1.5979000000000001</v>
      </c>
      <c r="B113" s="52">
        <v>1105.7</v>
      </c>
      <c r="D113">
        <v>1.5801000000000001</v>
      </c>
      <c r="E113">
        <v>5007.8999999999996</v>
      </c>
    </row>
    <row r="114" spans="1:5">
      <c r="A114" s="52">
        <v>1.5976999999999999</v>
      </c>
      <c r="B114" s="52">
        <v>1119.5999999999999</v>
      </c>
      <c r="D114">
        <v>1.5798000000000001</v>
      </c>
      <c r="E114">
        <v>5151.1000000000004</v>
      </c>
    </row>
    <row r="115" spans="1:5">
      <c r="A115" s="52">
        <v>1.5973999999999999</v>
      </c>
      <c r="B115" s="52">
        <v>1134</v>
      </c>
      <c r="D115">
        <v>1.5795999999999999</v>
      </c>
      <c r="E115">
        <v>5299.7</v>
      </c>
    </row>
    <row r="116" spans="1:5">
      <c r="A116" s="52">
        <v>1.5972</v>
      </c>
      <c r="B116" s="52">
        <v>1148.7</v>
      </c>
      <c r="D116">
        <v>1.5793999999999999</v>
      </c>
      <c r="E116">
        <v>5454</v>
      </c>
    </row>
    <row r="117" spans="1:5">
      <c r="A117" s="52">
        <v>1.597</v>
      </c>
      <c r="B117" s="52">
        <v>1163.7</v>
      </c>
      <c r="D117">
        <v>1.5790999999999999</v>
      </c>
      <c r="E117">
        <v>5614.2</v>
      </c>
    </row>
    <row r="118" spans="1:5">
      <c r="A118" s="52">
        <v>1.5967</v>
      </c>
      <c r="B118" s="52">
        <v>1179.2</v>
      </c>
      <c r="D118">
        <v>1.5789</v>
      </c>
      <c r="E118">
        <v>5780.6</v>
      </c>
    </row>
    <row r="119" spans="1:5">
      <c r="A119" s="52">
        <v>1.5965</v>
      </c>
      <c r="B119" s="52">
        <v>1195</v>
      </c>
      <c r="D119">
        <v>1.5787</v>
      </c>
      <c r="E119">
        <v>5953.5</v>
      </c>
    </row>
    <row r="120" spans="1:5">
      <c r="A120" s="52">
        <v>1.5963000000000001</v>
      </c>
      <c r="B120" s="52">
        <v>1211.2</v>
      </c>
      <c r="D120">
        <v>1.5784</v>
      </c>
      <c r="E120">
        <v>6133.2</v>
      </c>
    </row>
    <row r="121" spans="1:5">
      <c r="A121" s="52">
        <v>1.5960000000000001</v>
      </c>
      <c r="B121" s="52">
        <v>1227.9000000000001</v>
      </c>
      <c r="D121">
        <v>1.5782</v>
      </c>
      <c r="E121">
        <v>6320</v>
      </c>
    </row>
    <row r="122" spans="1:5">
      <c r="A122" s="52">
        <v>1.5958000000000001</v>
      </c>
      <c r="B122" s="52">
        <v>1245</v>
      </c>
      <c r="D122">
        <v>1.5780000000000001</v>
      </c>
      <c r="E122">
        <v>6514.2</v>
      </c>
    </row>
    <row r="123" spans="1:5">
      <c r="A123" s="52">
        <v>1.5955999999999999</v>
      </c>
      <c r="B123" s="52">
        <v>1262.5</v>
      </c>
      <c r="D123">
        <v>1.5778000000000001</v>
      </c>
      <c r="E123">
        <v>6716.1</v>
      </c>
    </row>
    <row r="124" spans="1:5">
      <c r="A124" s="52">
        <v>1.5952999999999999</v>
      </c>
      <c r="B124" s="52">
        <v>1280.5</v>
      </c>
    </row>
    <row r="125" spans="1:5">
      <c r="A125" s="52">
        <v>1.5951</v>
      </c>
      <c r="B125" s="52">
        <v>1299</v>
      </c>
    </row>
    <row r="126" spans="1:5">
      <c r="A126" s="52">
        <v>1.5949</v>
      </c>
      <c r="B126" s="52">
        <v>1317.9</v>
      </c>
    </row>
    <row r="127" spans="1:5">
      <c r="A127" s="52">
        <v>1.5946</v>
      </c>
      <c r="B127" s="52">
        <v>1337.4</v>
      </c>
    </row>
    <row r="128" spans="1:5">
      <c r="A128" s="52">
        <v>1.5944</v>
      </c>
      <c r="B128" s="52">
        <v>1357.4</v>
      </c>
    </row>
    <row r="129" spans="1:2">
      <c r="A129" s="52">
        <v>1.5942000000000001</v>
      </c>
      <c r="B129" s="52">
        <v>1377.9</v>
      </c>
    </row>
    <row r="130" spans="1:2">
      <c r="A130" s="52">
        <v>1.5939000000000001</v>
      </c>
      <c r="B130" s="52">
        <v>1398.9</v>
      </c>
    </row>
    <row r="131" spans="1:2">
      <c r="A131" s="52">
        <v>1.5936999999999999</v>
      </c>
      <c r="B131" s="52">
        <v>1420.5</v>
      </c>
    </row>
    <row r="132" spans="1:2">
      <c r="A132" s="52">
        <v>1.5934999999999999</v>
      </c>
      <c r="B132" s="52">
        <v>1442.7</v>
      </c>
    </row>
    <row r="133" spans="1:2">
      <c r="A133" s="52">
        <v>1.5931999999999999</v>
      </c>
      <c r="B133" s="52">
        <v>1465.5</v>
      </c>
    </row>
    <row r="134" spans="1:2">
      <c r="A134" s="52">
        <v>1.593</v>
      </c>
      <c r="B134" s="52">
        <v>1489</v>
      </c>
    </row>
    <row r="135" spans="1:2">
      <c r="A135" s="52">
        <v>1.5928</v>
      </c>
      <c r="B135" s="52">
        <v>1513.1</v>
      </c>
    </row>
    <row r="136" spans="1:2">
      <c r="A136" s="52">
        <v>1.5925</v>
      </c>
      <c r="B136" s="52">
        <v>1537.8</v>
      </c>
    </row>
    <row r="137" spans="1:2">
      <c r="A137" s="52">
        <v>1.5923</v>
      </c>
      <c r="B137" s="52">
        <v>1563.3</v>
      </c>
    </row>
    <row r="138" spans="1:2">
      <c r="A138" s="52">
        <v>1.5921000000000001</v>
      </c>
      <c r="B138" s="52">
        <v>1589.4</v>
      </c>
    </row>
    <row r="139" spans="1:2">
      <c r="A139" s="52">
        <v>1.5918000000000001</v>
      </c>
      <c r="B139" s="52">
        <v>1616.3</v>
      </c>
    </row>
    <row r="140" spans="1:2">
      <c r="A140" s="52">
        <v>1.5915999999999999</v>
      </c>
      <c r="B140" s="52">
        <v>1643.9</v>
      </c>
    </row>
    <row r="141" spans="1:2">
      <c r="A141" s="52">
        <v>1.5913999999999999</v>
      </c>
      <c r="B141" s="52">
        <v>1672.4</v>
      </c>
    </row>
    <row r="142" spans="1:2">
      <c r="A142" s="52">
        <v>1.5911</v>
      </c>
      <c r="B142" s="52">
        <v>1701.6</v>
      </c>
    </row>
    <row r="143" spans="1:2">
      <c r="A143" s="52">
        <v>1.5909</v>
      </c>
      <c r="B143" s="52">
        <v>1731.7</v>
      </c>
    </row>
    <row r="144" spans="1:2">
      <c r="A144" s="52">
        <v>1.5907</v>
      </c>
      <c r="B144" s="52">
        <v>1762.6</v>
      </c>
    </row>
    <row r="145" spans="1:2">
      <c r="A145" s="52">
        <v>1.5905</v>
      </c>
      <c r="B145" s="52">
        <v>1794.5</v>
      </c>
    </row>
    <row r="146" spans="1:2">
      <c r="A146" s="52">
        <v>1.5902000000000001</v>
      </c>
      <c r="B146" s="52">
        <v>1827.2</v>
      </c>
    </row>
    <row r="147" spans="1:2">
      <c r="A147" s="52">
        <v>1.59</v>
      </c>
      <c r="B147" s="52">
        <v>1861</v>
      </c>
    </row>
    <row r="148" spans="1:2">
      <c r="A148" s="52">
        <v>1.5898000000000001</v>
      </c>
      <c r="B148" s="52">
        <v>1895.7</v>
      </c>
    </row>
    <row r="149" spans="1:2">
      <c r="A149" s="52">
        <v>1.5894999999999999</v>
      </c>
      <c r="B149" s="52">
        <v>1931.5</v>
      </c>
    </row>
    <row r="150" spans="1:2">
      <c r="A150" s="52">
        <v>1.5892999999999999</v>
      </c>
      <c r="B150" s="52">
        <v>1968.3</v>
      </c>
    </row>
    <row r="151" spans="1:2">
      <c r="A151" s="52">
        <v>1.5891</v>
      </c>
      <c r="B151" s="52">
        <v>2006.2</v>
      </c>
    </row>
    <row r="152" spans="1:2">
      <c r="A152" s="52">
        <v>1.5888</v>
      </c>
      <c r="B152" s="52">
        <v>2045.3</v>
      </c>
    </row>
    <row r="153" spans="1:2">
      <c r="A153" s="52">
        <v>1.5886</v>
      </c>
      <c r="B153" s="52">
        <v>2085.6</v>
      </c>
    </row>
    <row r="154" spans="1:2">
      <c r="A154" s="52">
        <v>1.5884</v>
      </c>
      <c r="B154" s="52">
        <v>2127.1</v>
      </c>
    </row>
    <row r="155" spans="1:2">
      <c r="A155" s="52">
        <v>1.5881000000000001</v>
      </c>
      <c r="B155" s="52">
        <v>2169.8000000000002</v>
      </c>
    </row>
    <row r="156" spans="1:2">
      <c r="A156" s="52">
        <v>1.5879000000000001</v>
      </c>
      <c r="B156" s="52">
        <v>2213.9</v>
      </c>
    </row>
    <row r="157" spans="1:2">
      <c r="A157" s="52">
        <v>1.5876999999999999</v>
      </c>
      <c r="B157" s="52">
        <v>2259.3000000000002</v>
      </c>
    </row>
    <row r="158" spans="1:2">
      <c r="A158" s="52">
        <v>1.5873999999999999</v>
      </c>
      <c r="B158" s="52">
        <v>2306.1999999999998</v>
      </c>
    </row>
    <row r="159" spans="1:2">
      <c r="A159" s="52">
        <v>1.5871999999999999</v>
      </c>
      <c r="B159" s="52">
        <v>2354.5</v>
      </c>
    </row>
    <row r="160" spans="1:2">
      <c r="A160" s="52">
        <v>1.587</v>
      </c>
      <c r="B160" s="52">
        <v>2404.3000000000002</v>
      </c>
    </row>
    <row r="161" spans="1:2">
      <c r="A161" s="52">
        <v>1.5867</v>
      </c>
      <c r="B161" s="52">
        <v>2455.8000000000002</v>
      </c>
    </row>
    <row r="162" spans="1:2">
      <c r="A162" s="52">
        <v>1.5865</v>
      </c>
      <c r="B162" s="52">
        <v>2508.8000000000002</v>
      </c>
    </row>
    <row r="163" spans="1:2">
      <c r="A163" s="52">
        <v>1.5863</v>
      </c>
      <c r="B163" s="52">
        <v>2563.6</v>
      </c>
    </row>
    <row r="164" spans="1:2">
      <c r="A164" s="52">
        <v>1.5861000000000001</v>
      </c>
      <c r="B164" s="52">
        <v>2620.1</v>
      </c>
    </row>
    <row r="165" spans="1:2">
      <c r="A165" s="52">
        <v>1.5858000000000001</v>
      </c>
      <c r="B165" s="52">
        <v>2678.5</v>
      </c>
    </row>
    <row r="166" spans="1:2">
      <c r="A166" s="52">
        <v>1.5855999999999999</v>
      </c>
      <c r="B166" s="52">
        <v>2738.8</v>
      </c>
    </row>
    <row r="167" spans="1:2">
      <c r="A167" s="52">
        <v>1.5853999999999999</v>
      </c>
      <c r="B167" s="52">
        <v>2801</v>
      </c>
    </row>
    <row r="168" spans="1:2">
      <c r="A168" s="52">
        <v>1.5851</v>
      </c>
      <c r="B168" s="52">
        <v>2865.3</v>
      </c>
    </row>
    <row r="169" spans="1:2">
      <c r="A169" s="52">
        <v>1.5849</v>
      </c>
      <c r="B169" s="52">
        <v>2931.7</v>
      </c>
    </row>
    <row r="170" spans="1:2">
      <c r="A170" s="52">
        <v>1.5847</v>
      </c>
      <c r="B170" s="52">
        <v>3000.4</v>
      </c>
    </row>
    <row r="171" spans="1:2">
      <c r="A171" s="52">
        <v>1.5844</v>
      </c>
      <c r="B171" s="52">
        <v>3071.3</v>
      </c>
    </row>
    <row r="172" spans="1:2">
      <c r="A172" s="52">
        <v>1.5842000000000001</v>
      </c>
      <c r="B172" s="52">
        <v>3144.7</v>
      </c>
    </row>
    <row r="173" spans="1:2">
      <c r="A173" s="52">
        <v>1.5840000000000001</v>
      </c>
      <c r="B173" s="52">
        <v>3220.5</v>
      </c>
    </row>
    <row r="174" spans="1:2">
      <c r="A174" s="52">
        <v>1.5837000000000001</v>
      </c>
      <c r="B174" s="52">
        <v>3298.9</v>
      </c>
    </row>
    <row r="175" spans="1:2">
      <c r="A175" s="52">
        <v>1.5834999999999999</v>
      </c>
      <c r="B175" s="52">
        <v>3380</v>
      </c>
    </row>
    <row r="176" spans="1:2">
      <c r="A176" s="52">
        <v>1.5832999999999999</v>
      </c>
      <c r="B176" s="52">
        <v>3463.9</v>
      </c>
    </row>
    <row r="177" spans="1:2">
      <c r="A177" s="52">
        <v>1.5831</v>
      </c>
      <c r="B177" s="52">
        <v>3550.8</v>
      </c>
    </row>
    <row r="178" spans="1:2">
      <c r="A178" s="52">
        <v>1.5828</v>
      </c>
      <c r="B178" s="52">
        <v>3640.7</v>
      </c>
    </row>
    <row r="179" spans="1:2">
      <c r="A179" s="52">
        <v>1.5826</v>
      </c>
      <c r="B179" s="52">
        <v>3733.7</v>
      </c>
    </row>
    <row r="180" spans="1:2">
      <c r="A180" s="52">
        <v>1.5824</v>
      </c>
      <c r="B180" s="52">
        <v>3830</v>
      </c>
    </row>
    <row r="181" spans="1:2">
      <c r="A181" s="52">
        <v>1.5821000000000001</v>
      </c>
      <c r="B181" s="52">
        <v>3929.8</v>
      </c>
    </row>
    <row r="182" spans="1:2">
      <c r="A182" s="52">
        <v>1.5819000000000001</v>
      </c>
      <c r="B182" s="52">
        <v>4033.1</v>
      </c>
    </row>
    <row r="183" spans="1:2">
      <c r="A183" s="52">
        <v>1.5817000000000001</v>
      </c>
      <c r="B183" s="52">
        <v>4140.1000000000004</v>
      </c>
    </row>
    <row r="184" spans="1:2">
      <c r="A184" s="52">
        <v>1.5813999999999999</v>
      </c>
      <c r="B184" s="52">
        <v>4251.1000000000004</v>
      </c>
    </row>
    <row r="185" spans="1:2">
      <c r="A185" s="52">
        <v>1.5811999999999999</v>
      </c>
      <c r="B185" s="52">
        <v>4366</v>
      </c>
    </row>
    <row r="186" spans="1:2">
      <c r="A186" s="52">
        <v>1.581</v>
      </c>
      <c r="B186" s="52">
        <v>4485.2</v>
      </c>
    </row>
    <row r="187" spans="1:2">
      <c r="A187" s="52">
        <v>1.5807</v>
      </c>
      <c r="B187" s="52">
        <v>4608.8</v>
      </c>
    </row>
    <row r="188" spans="1:2">
      <c r="A188" s="52">
        <v>1.5805</v>
      </c>
      <c r="B188" s="52">
        <v>4737</v>
      </c>
    </row>
    <row r="189" spans="1:2">
      <c r="A189" s="52">
        <v>1.5803</v>
      </c>
      <c r="B189" s="52">
        <v>4869.8999999999996</v>
      </c>
    </row>
    <row r="190" spans="1:2">
      <c r="A190" s="52">
        <v>1.5801000000000001</v>
      </c>
      <c r="B190" s="52">
        <v>5007.8999999999996</v>
      </c>
    </row>
    <row r="191" spans="1:2">
      <c r="A191" s="52">
        <v>1.5798000000000001</v>
      </c>
      <c r="B191" s="52">
        <v>5151.1000000000004</v>
      </c>
    </row>
    <row r="192" spans="1:2">
      <c r="A192" s="52">
        <v>1.5795999999999999</v>
      </c>
      <c r="B192" s="52">
        <v>5299.7</v>
      </c>
    </row>
    <row r="193" spans="1:2">
      <c r="A193" s="52">
        <v>1.5793999999999999</v>
      </c>
      <c r="B193" s="52">
        <v>5454</v>
      </c>
    </row>
    <row r="194" spans="1:2">
      <c r="A194" s="52">
        <v>1.5790999999999999</v>
      </c>
      <c r="B194" s="52">
        <v>5614.2</v>
      </c>
    </row>
    <row r="195" spans="1:2">
      <c r="A195" s="52">
        <v>1.5789</v>
      </c>
      <c r="B195" s="52">
        <v>5780.6</v>
      </c>
    </row>
    <row r="196" spans="1:2">
      <c r="A196" s="52">
        <v>1.5787</v>
      </c>
      <c r="B196" s="52">
        <v>5953.5</v>
      </c>
    </row>
    <row r="197" spans="1:2">
      <c r="A197" s="52">
        <v>1.5784</v>
      </c>
      <c r="B197" s="52">
        <v>6133.2</v>
      </c>
    </row>
    <row r="198" spans="1:2">
      <c r="A198" s="52">
        <v>1.5782</v>
      </c>
      <c r="B198" s="52">
        <v>6320</v>
      </c>
    </row>
    <row r="199" spans="1:2">
      <c r="A199" s="52">
        <v>1.5780000000000001</v>
      </c>
      <c r="B199" s="52">
        <v>6514.2</v>
      </c>
    </row>
    <row r="200" spans="1:2">
      <c r="A200" s="52">
        <v>1.5778000000000001</v>
      </c>
      <c r="B200" s="52">
        <v>6716.1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3" zoomScale="60" zoomScaleNormal="60" zoomScalePageLayoutView="60" workbookViewId="0">
      <selection activeCell="D10" sqref="D10"/>
    </sheetView>
  </sheetViews>
  <sheetFormatPr baseColWidth="10" defaultColWidth="8.83203125" defaultRowHeight="15" x14ac:dyDescent="0"/>
  <sheetData>
    <row r="1" spans="1:2">
      <c r="A1" s="14">
        <v>544.26770231228102</v>
      </c>
      <c r="B1" s="13">
        <v>10.393333333333301</v>
      </c>
    </row>
    <row r="2" spans="1:2">
      <c r="A2" s="14"/>
      <c r="B2" s="13"/>
    </row>
    <row r="3" spans="1:2">
      <c r="A3" s="14"/>
      <c r="B3" s="13"/>
    </row>
    <row r="4" spans="1:2">
      <c r="A4" s="14">
        <v>553.53857103063297</v>
      </c>
      <c r="B4" s="13">
        <v>10.38</v>
      </c>
    </row>
    <row r="5" spans="1:2">
      <c r="A5" s="14"/>
      <c r="B5" s="13"/>
    </row>
    <row r="6" spans="1:2">
      <c r="A6" s="14"/>
      <c r="B6" s="13"/>
    </row>
    <row r="7" spans="1:2">
      <c r="A7" s="14">
        <v>564.68662744917697</v>
      </c>
      <c r="B7" s="13">
        <v>9.8433333333333302</v>
      </c>
    </row>
    <row r="8" spans="1:2">
      <c r="A8" s="14"/>
      <c r="B8" s="13"/>
    </row>
    <row r="9" spans="1:2">
      <c r="A9" s="14"/>
      <c r="B9" s="13"/>
    </row>
    <row r="10" spans="1:2">
      <c r="A10" s="14">
        <v>581.45567126195999</v>
      </c>
      <c r="B10" s="13">
        <v>8.7233333333333292</v>
      </c>
    </row>
    <row r="11" spans="1:2">
      <c r="A11" s="14"/>
      <c r="B11" s="13"/>
    </row>
    <row r="12" spans="1:2">
      <c r="A12" s="14"/>
      <c r="B12" s="13"/>
    </row>
    <row r="13" spans="1:2">
      <c r="A13" s="14">
        <v>617.04126690465296</v>
      </c>
      <c r="B13" s="13">
        <v>7.7933333333333303</v>
      </c>
    </row>
    <row r="14" spans="1:2">
      <c r="A14" s="14"/>
      <c r="B14" s="13"/>
    </row>
    <row r="15" spans="1:2">
      <c r="A15" s="14"/>
      <c r="B15" s="13"/>
    </row>
    <row r="16" spans="1:2">
      <c r="A16" s="14">
        <v>654.76836376363303</v>
      </c>
      <c r="B16" s="13">
        <v>5.5566666666666702</v>
      </c>
    </row>
    <row r="17" spans="1:2">
      <c r="A17" s="14"/>
      <c r="B17" s="13"/>
    </row>
    <row r="18" spans="1:2">
      <c r="A18" s="14"/>
      <c r="B18" s="13"/>
    </row>
    <row r="19" spans="1:2">
      <c r="A19" s="14">
        <v>694.67603837607703</v>
      </c>
      <c r="B19" s="13">
        <v>3.6733333333333298</v>
      </c>
    </row>
    <row r="20" spans="1:2">
      <c r="A20" s="14"/>
      <c r="B20" s="13"/>
    </row>
    <row r="21" spans="1:2">
      <c r="A21" s="14"/>
      <c r="B21" s="13"/>
    </row>
    <row r="22" spans="1:2">
      <c r="A22" s="14">
        <v>736.80473350203795</v>
      </c>
      <c r="B22" s="13">
        <v>2.2366666666666699</v>
      </c>
    </row>
    <row r="23" spans="1:2">
      <c r="A23" s="14"/>
      <c r="B23" s="13"/>
    </row>
    <row r="24" spans="1:2">
      <c r="A24" s="14"/>
      <c r="B24" s="13"/>
    </row>
    <row r="25" spans="1:2">
      <c r="A25" s="14">
        <v>777.32200589402396</v>
      </c>
      <c r="B25" s="13">
        <v>1.21333333333333</v>
      </c>
    </row>
    <row r="26" spans="1:2">
      <c r="A26" s="14"/>
      <c r="B26" s="13"/>
    </row>
    <row r="27" spans="1:2">
      <c r="A27" s="14"/>
      <c r="B27" s="13"/>
    </row>
    <row r="28" spans="1:2">
      <c r="A28" s="14">
        <v>847.462632876101</v>
      </c>
      <c r="B28" s="13">
        <v>0.31333333333333302</v>
      </c>
    </row>
    <row r="29" spans="1:2">
      <c r="A29" s="14"/>
      <c r="B29" s="13"/>
    </row>
    <row r="30" spans="1:2">
      <c r="A30" s="14"/>
      <c r="B30" s="13"/>
    </row>
    <row r="31" spans="1:2">
      <c r="A31" s="14">
        <v>894.69665783637504</v>
      </c>
      <c r="B31" s="13">
        <v>2.66666666666667E-2</v>
      </c>
    </row>
    <row r="32" spans="1:2">
      <c r="A32" s="14"/>
      <c r="B32" s="13"/>
    </row>
    <row r="33" spans="1:2">
      <c r="A33" s="14"/>
      <c r="B33" s="13"/>
    </row>
  </sheetData>
  <mergeCells count="22">
    <mergeCell ref="A28:A30"/>
    <mergeCell ref="B28:B30"/>
    <mergeCell ref="A31:A33"/>
    <mergeCell ref="B31:B33"/>
    <mergeCell ref="A19:A21"/>
    <mergeCell ref="B19:B21"/>
    <mergeCell ref="A22:A24"/>
    <mergeCell ref="B22:B24"/>
    <mergeCell ref="A25:A27"/>
    <mergeCell ref="B25:B27"/>
    <mergeCell ref="A10:A12"/>
    <mergeCell ref="B10:B12"/>
    <mergeCell ref="A13:A15"/>
    <mergeCell ref="B13:B15"/>
    <mergeCell ref="A16:A18"/>
    <mergeCell ref="B16:B18"/>
    <mergeCell ref="A1:A3"/>
    <mergeCell ref="B1:B3"/>
    <mergeCell ref="A4:A6"/>
    <mergeCell ref="B4:B6"/>
    <mergeCell ref="A7:A9"/>
    <mergeCell ref="B7:B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Espetro da lampada</vt:lpstr>
      <vt:lpstr>Wien</vt:lpstr>
      <vt:lpstr>Stefan</vt:lpstr>
      <vt:lpstr>Leslei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Ferreira</dc:creator>
  <cp:lastModifiedBy>Joao Ferreira</cp:lastModifiedBy>
  <cp:revision>0</cp:revision>
  <dcterms:created xsi:type="dcterms:W3CDTF">2015-03-26T11:32:35Z</dcterms:created>
  <dcterms:modified xsi:type="dcterms:W3CDTF">2015-04-11T19:01:26Z</dcterms:modified>
  <dc:language>en-US</dc:language>
</cp:coreProperties>
</file>