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2"/>
  </bookViews>
  <sheets>
    <sheet name="Espetro da lampada" sheetId="1" state="visible" r:id="rId2"/>
    <sheet name="Wien" sheetId="2" state="visible" r:id="rId3"/>
    <sheet name="Stefan" sheetId="3" state="visible" r:id="rId4"/>
    <sheet name="Leslei" sheetId="4" state="visible" r:id="rId5"/>
    <sheet name="Sheet1" sheetId="5" state="visible" r:id="rId6"/>
    <sheet name="Sheet3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<sst xmlns="http://schemas.openxmlformats.org/spreadsheetml/2006/main" count="152" uniqueCount="78">
  <si>
    <t>Coisas do goniómetro</t>
  </si>
  <si>
    <t>α(rad)</t>
  </si>
  <si>
    <t>y = 6E+12x6 - 6E+13x5 + 2E+14x4 - 5E+14x3 + 6E+14x2 - 4E+14x + 1E+14</t>
  </si>
  <si>
    <t>Υ(rad)</t>
  </si>
  <si>
    <t>θ</t>
  </si>
  <si>
    <t>D.minimo(max)</t>
  </si>
  <si>
    <t>D.minimo(min)</t>
  </si>
  <si>
    <t>Coisas da lâmpada</t>
  </si>
  <si>
    <t>(pequenas variações de temperatura)</t>
  </si>
  <si>
    <t>Rodrigo</t>
  </si>
  <si>
    <t>V(V)</t>
  </si>
  <si>
    <t>εV</t>
  </si>
  <si>
    <t>I</t>
  </si>
  <si>
    <t>εI</t>
  </si>
  <si>
    <t>R</t>
  </si>
  <si>
    <t>εR</t>
  </si>
  <si>
    <t>R/Rcerto</t>
  </si>
  <si>
    <t>T</t>
  </si>
  <si>
    <t>Henrique</t>
  </si>
  <si>
    <t>Cristina</t>
  </si>
  <si>
    <t>VALOR</t>
  </si>
  <si>
    <t>ERRO</t>
  </si>
  <si>
    <t>Espetro da lâmpada</t>
  </si>
  <si>
    <t>Erro δ(rad)</t>
  </si>
  <si>
    <t>h</t>
  </si>
  <si>
    <t>c</t>
  </si>
  <si>
    <t>Kb</t>
  </si>
  <si>
    <t>V</t>
  </si>
  <si>
    <t>τ máximo</t>
  </si>
  <si>
    <t>τ(rad)</t>
  </si>
  <si>
    <t>ετ(rad)</t>
  </si>
  <si>
    <t>θ(rad)</t>
  </si>
  <si>
    <t>εθ(rad)</t>
  </si>
  <si>
    <t>δ(graus)</t>
  </si>
  <si>
    <t>δ(minutos)</t>
  </si>
  <si>
    <t>δ(rad)</t>
  </si>
  <si>
    <t>AUX Rodrigo</t>
  </si>
  <si>
    <t>εn</t>
  </si>
  <si>
    <t>n</t>
  </si>
  <si>
    <t>Λ(m)</t>
  </si>
  <si>
    <t>εΛ</t>
  </si>
  <si>
    <t>εV(rad)</t>
  </si>
  <si>
    <t>y</t>
  </si>
  <si>
    <t>x</t>
  </si>
  <si>
    <t>ang. Medido</t>
  </si>
  <si>
    <t>ang. Medido s</t>
  </si>
  <si>
    <t>δ_med</t>
  </si>
  <si>
    <t>εδ(rad)</t>
  </si>
  <si>
    <t>Sensor</t>
  </si>
  <si>
    <t>εT</t>
  </si>
  <si>
    <t>Tsala</t>
  </si>
  <si>
    <t>v(e-3)</t>
  </si>
  <si>
    <t>Preta</t>
  </si>
  <si>
    <t>Espelhada</t>
  </si>
  <si>
    <t>Branca A</t>
  </si>
  <si>
    <t>Branca B</t>
  </si>
  <si>
    <t>espelhada</t>
  </si>
  <si>
    <t>12.43</t>
  </si>
  <si>
    <t>0.66</t>
  </si>
  <si>
    <t>12.46</t>
  </si>
  <si>
    <t>3.46</t>
  </si>
  <si>
    <t>(12.54/94)</t>
  </si>
  <si>
    <t>resistência</t>
  </si>
  <si>
    <t>mcv</t>
  </si>
  <si>
    <t>temperatura K</t>
  </si>
  <si>
    <t>log T</t>
  </si>
  <si>
    <t>7.07</t>
  </si>
  <si>
    <t>0.26</t>
  </si>
  <si>
    <t>6.96</t>
  </si>
  <si>
    <t>(6.83/69)</t>
  </si>
  <si>
    <t>10.19k</t>
  </si>
  <si>
    <t>96.7k</t>
  </si>
  <si>
    <t>27ºC</t>
  </si>
  <si>
    <t>89.1k</t>
  </si>
  <si>
    <t>81.2</t>
  </si>
  <si>
    <t>73.7</t>
  </si>
  <si>
    <t>68.8</t>
  </si>
  <si>
    <t>59.5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</si>
</sst>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  <charset val="1"/>
    </font>
    <font>
      <sz val="10"/>
      <name val="Arial"/>
      <family val="2"/>
    </font>
    <font>
      <sz val="13"/>
      <color rgb="FF222222"/>
      <name val="Consolas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B3A2C7"/>
        <bgColor rgb="FFB1A0C7"/>
      </patternFill>
    </fill>
    <fill>
      <patternFill patternType="solid">
        <fgColor rgb="FFE6E0EC"/>
        <bgColor rgb="FFE4DFEC"/>
      </patternFill>
    </fill>
    <fill>
      <patternFill patternType="solid">
        <fgColor rgb="FF9BBB59"/>
        <bgColor rgb="FF95B3D7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3CDDD"/>
      </patternFill>
    </fill>
    <fill>
      <patternFill patternType="solid">
        <fgColor rgb="FFDCE6F2"/>
        <bgColor rgb="FFE4DFEC"/>
      </patternFill>
    </fill>
    <fill>
      <patternFill patternType="solid">
        <fgColor rgb="FFFF0000"/>
        <bgColor rgb="FF993300"/>
      </patternFill>
    </fill>
    <fill>
      <patternFill patternType="solid">
        <fgColor rgb="FF008000"/>
        <bgColor rgb="FF008080"/>
      </patternFill>
    </fill>
    <fill>
      <patternFill patternType="solid">
        <fgColor rgb="FF4F81BD"/>
        <bgColor rgb="FF3366FF"/>
      </patternFill>
    </fill>
    <fill>
      <patternFill patternType="solid">
        <fgColor rgb="FFFDEADA"/>
        <bgColor rgb="FFFDE9D9"/>
      </patternFill>
    </fill>
    <fill>
      <patternFill patternType="solid">
        <fgColor rgb="FF93CDDD"/>
        <bgColor rgb="FF99CCFF"/>
      </patternFill>
    </fill>
    <fill>
      <patternFill patternType="solid">
        <fgColor rgb="FFFDE9D9"/>
        <bgColor rgb="FFFDEADA"/>
      </patternFill>
    </fill>
    <fill>
      <patternFill patternType="solid">
        <fgColor rgb="FFB1A0C7"/>
        <bgColor rgb="FFB3A2C7"/>
      </patternFill>
    </fill>
    <fill>
      <patternFill patternType="solid">
        <fgColor rgb="FFE4DFEC"/>
        <bgColor rgb="FFE6E0EC"/>
      </patternFill>
    </fill>
    <fill>
      <patternFill patternType="solid">
        <fgColor rgb="FFD7E4BD"/>
        <bgColor rgb="FFE4DFE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DDD"/>
      <rgbColor rgb="FF878787"/>
      <rgbColor rgb="FF95B3D7"/>
      <rgbColor rgb="FF993366"/>
      <rgbColor rgb="FFEBF1DE"/>
      <rgbColor rgb="FFDCE6F2"/>
      <rgbColor rgb="FF660066"/>
      <rgbColor rgb="FFFF8080"/>
      <rgbColor rgb="FF0066CC"/>
      <rgbColor rgb="FFE4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7E4BD"/>
      <rgbColor rgb="FFFDE9D9"/>
      <rgbColor rgb="FF99CCFF"/>
      <rgbColor rgb="FFFF99CC"/>
      <rgbColor rgb="FFB3A2C7"/>
      <rgbColor rgb="FFFCD5B5"/>
      <rgbColor rgb="FF3366FF"/>
      <rgbColor rgb="FF33CCCC"/>
      <rgbColor rgb="FF9BBB59"/>
      <rgbColor rgb="FFFFCC00"/>
      <rgbColor rgb="FFF79646"/>
      <rgbColor rgb="FFFF6600"/>
      <rgbColor rgb="FF4F81BD"/>
      <rgbColor rgb="FFB1A0C7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Stefan!$B$18:$B$27</c:f>
              <c:numCache>
                <c:formatCode>General</c:formatCode>
                <c:ptCount val="10"/>
                <c:pt idx="0">
                  <c:v>3.37993751117708</c:v>
                </c:pt>
                <c:pt idx="1">
                  <c:v>3.36785647533889</c:v>
                </c:pt>
                <c:pt idx="2">
                  <c:v>3.35230411078003</c:v>
                </c:pt>
                <c:pt idx="3">
                  <c:v>3.33500414450772</c:v>
                </c:pt>
                <c:pt idx="4">
                  <c:v>3.31695821988725</c:v>
                </c:pt>
                <c:pt idx="5">
                  <c:v>3.29676773238743</c:v>
                </c:pt>
                <c:pt idx="6">
                  <c:v>3.27110545010202</c:v>
                </c:pt>
                <c:pt idx="7">
                  <c:v>3.24156924348859</c:v>
                </c:pt>
                <c:pt idx="8">
                  <c:v>3.20057731291694</c:v>
                </c:pt>
                <c:pt idx="9">
                  <c:v>3.14599807443288</c:v>
                </c:pt>
              </c:numCache>
            </c:numRef>
          </c:xVal>
          <c:yVal>
            <c:numRef>
              <c:f>Stefan!$C$18:$C$27</c:f>
              <c:numCache>
                <c:formatCode>General</c:formatCode>
                <c:ptCount val="10"/>
                <c:pt idx="0">
                  <c:v>-2.1605219526258</c:v>
                </c:pt>
                <c:pt idx="1">
                  <c:v>-2.21681130892474</c:v>
                </c:pt>
                <c:pt idx="2">
                  <c:v>-2.28735029837279</c:v>
                </c:pt>
                <c:pt idx="3">
                  <c:v>-2.36151074304536</c:v>
                </c:pt>
                <c:pt idx="4">
                  <c:v>-2.44977164694491</c:v>
                </c:pt>
                <c:pt idx="5">
                  <c:v>-2.54363396687096</c:v>
                </c:pt>
                <c:pt idx="6">
                  <c:v>-2.66554624884907</c:v>
                </c:pt>
                <c:pt idx="7">
                  <c:v>-2.80687540164554</c:v>
                </c:pt>
                <c:pt idx="8">
                  <c:v>-2.98716277529483</c:v>
                </c:pt>
                <c:pt idx="9">
                  <c:v>-3.24412514432751</c:v>
                </c:pt>
              </c:numCache>
            </c:numRef>
          </c:yVal>
        </c:ser>
        <c:axId val="35930421"/>
        <c:axId val="88190951"/>
      </c:scatterChart>
      <c:valAx>
        <c:axId val="359304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190951"/>
        <c:crossesAt val="0"/>
      </c:valAx>
      <c:valAx>
        <c:axId val="881909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93042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2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6"/>
            <c:forward val="0"/>
            <c:backward val="0"/>
            <c:dispRSqr val="1"/>
            <c:dispEq val="1"/>
          </c:trendline>
          <c:xVal>
            <c:numRef>
              <c:f>Sheet1!$A$1:$A$200</c:f>
              <c:numCache>
                <c:formatCode>General</c:formatCode>
                <c:ptCount val="200"/>
                <c:pt idx="0">
                  <c:v>1.6242</c:v>
                </c:pt>
                <c:pt idx="1">
                  <c:v>1.6239</c:v>
                </c:pt>
                <c:pt idx="2">
                  <c:v>1.6237</c:v>
                </c:pt>
                <c:pt idx="3">
                  <c:v>1.6235</c:v>
                </c:pt>
                <c:pt idx="4">
                  <c:v>1.6232</c:v>
                </c:pt>
                <c:pt idx="5">
                  <c:v>1.623</c:v>
                </c:pt>
                <c:pt idx="6">
                  <c:v>1.6228</c:v>
                </c:pt>
                <c:pt idx="7">
                  <c:v>1.6225</c:v>
                </c:pt>
                <c:pt idx="8">
                  <c:v>1.6223</c:v>
                </c:pt>
                <c:pt idx="9">
                  <c:v>1.6221</c:v>
                </c:pt>
                <c:pt idx="10">
                  <c:v>1.6218</c:v>
                </c:pt>
                <c:pt idx="11">
                  <c:v>1.6216</c:v>
                </c:pt>
                <c:pt idx="12">
                  <c:v>1.6213</c:v>
                </c:pt>
                <c:pt idx="13">
                  <c:v>1.6211</c:v>
                </c:pt>
                <c:pt idx="14">
                  <c:v>1.6209</c:v>
                </c:pt>
                <c:pt idx="15">
                  <c:v>1.6206</c:v>
                </c:pt>
                <c:pt idx="16">
                  <c:v>1.6204</c:v>
                </c:pt>
                <c:pt idx="17">
                  <c:v>1.6202</c:v>
                </c:pt>
                <c:pt idx="18">
                  <c:v>1.6199</c:v>
                </c:pt>
                <c:pt idx="19">
                  <c:v>1.6197</c:v>
                </c:pt>
                <c:pt idx="20">
                  <c:v>1.6195</c:v>
                </c:pt>
                <c:pt idx="21">
                  <c:v>1.6192</c:v>
                </c:pt>
                <c:pt idx="22">
                  <c:v>1.619</c:v>
                </c:pt>
                <c:pt idx="23">
                  <c:v>1.6187</c:v>
                </c:pt>
                <c:pt idx="24">
                  <c:v>1.6185</c:v>
                </c:pt>
                <c:pt idx="25">
                  <c:v>1.6183</c:v>
                </c:pt>
                <c:pt idx="26">
                  <c:v>1.618</c:v>
                </c:pt>
                <c:pt idx="27">
                  <c:v>1.6178</c:v>
                </c:pt>
                <c:pt idx="28">
                  <c:v>1.6176</c:v>
                </c:pt>
                <c:pt idx="29">
                  <c:v>1.6173</c:v>
                </c:pt>
                <c:pt idx="30">
                  <c:v>1.6171</c:v>
                </c:pt>
                <c:pt idx="31">
                  <c:v>1.6169</c:v>
                </c:pt>
                <c:pt idx="32">
                  <c:v>1.6166</c:v>
                </c:pt>
                <c:pt idx="33">
                  <c:v>1.6164</c:v>
                </c:pt>
                <c:pt idx="34">
                  <c:v>1.6162</c:v>
                </c:pt>
                <c:pt idx="35">
                  <c:v>1.6159</c:v>
                </c:pt>
                <c:pt idx="36">
                  <c:v>1.6157</c:v>
                </c:pt>
                <c:pt idx="37">
                  <c:v>1.6154</c:v>
                </c:pt>
                <c:pt idx="38">
                  <c:v>1.6152</c:v>
                </c:pt>
                <c:pt idx="39">
                  <c:v>1.615</c:v>
                </c:pt>
                <c:pt idx="40">
                  <c:v>1.6147</c:v>
                </c:pt>
                <c:pt idx="41">
                  <c:v>1.6145</c:v>
                </c:pt>
                <c:pt idx="42">
                  <c:v>1.6143</c:v>
                </c:pt>
                <c:pt idx="43">
                  <c:v>1.614</c:v>
                </c:pt>
                <c:pt idx="44">
                  <c:v>1.6138</c:v>
                </c:pt>
                <c:pt idx="45">
                  <c:v>1.6136</c:v>
                </c:pt>
                <c:pt idx="46">
                  <c:v>1.6133</c:v>
                </c:pt>
                <c:pt idx="47">
                  <c:v>1.6131</c:v>
                </c:pt>
                <c:pt idx="48">
                  <c:v>1.6129</c:v>
                </c:pt>
                <c:pt idx="49">
                  <c:v>1.6126</c:v>
                </c:pt>
                <c:pt idx="50">
                  <c:v>1.6124</c:v>
                </c:pt>
                <c:pt idx="51">
                  <c:v>1.6122</c:v>
                </c:pt>
                <c:pt idx="52">
                  <c:v>1.6119</c:v>
                </c:pt>
                <c:pt idx="53">
                  <c:v>1.6117</c:v>
                </c:pt>
                <c:pt idx="54">
                  <c:v>1.6114</c:v>
                </c:pt>
                <c:pt idx="55">
                  <c:v>1.6112</c:v>
                </c:pt>
                <c:pt idx="56">
                  <c:v>1.611</c:v>
                </c:pt>
                <c:pt idx="57">
                  <c:v>1.6107</c:v>
                </c:pt>
                <c:pt idx="58">
                  <c:v>1.6105</c:v>
                </c:pt>
                <c:pt idx="59">
                  <c:v>1.6103</c:v>
                </c:pt>
                <c:pt idx="60">
                  <c:v>1.61</c:v>
                </c:pt>
                <c:pt idx="61">
                  <c:v>1.6098</c:v>
                </c:pt>
                <c:pt idx="62">
                  <c:v>1.6096</c:v>
                </c:pt>
                <c:pt idx="63">
                  <c:v>1.6093</c:v>
                </c:pt>
                <c:pt idx="64">
                  <c:v>1.6091</c:v>
                </c:pt>
                <c:pt idx="65">
                  <c:v>1.6089</c:v>
                </c:pt>
                <c:pt idx="66">
                  <c:v>1.6086</c:v>
                </c:pt>
                <c:pt idx="67">
                  <c:v>1.6084</c:v>
                </c:pt>
                <c:pt idx="68">
                  <c:v>1.6082</c:v>
                </c:pt>
                <c:pt idx="69">
                  <c:v>1.6079</c:v>
                </c:pt>
                <c:pt idx="70">
                  <c:v>1.6077</c:v>
                </c:pt>
                <c:pt idx="71">
                  <c:v>1.6075</c:v>
                </c:pt>
                <c:pt idx="72">
                  <c:v>1.6072</c:v>
                </c:pt>
                <c:pt idx="73">
                  <c:v>1.607</c:v>
                </c:pt>
                <c:pt idx="74">
                  <c:v>1.6068</c:v>
                </c:pt>
                <c:pt idx="75">
                  <c:v>1.6065</c:v>
                </c:pt>
                <c:pt idx="76">
                  <c:v>1.6063</c:v>
                </c:pt>
                <c:pt idx="77">
                  <c:v>1.6061</c:v>
                </c:pt>
                <c:pt idx="78">
                  <c:v>1.6058</c:v>
                </c:pt>
                <c:pt idx="79">
                  <c:v>1.6056</c:v>
                </c:pt>
                <c:pt idx="80">
                  <c:v>1.6054</c:v>
                </c:pt>
                <c:pt idx="81">
                  <c:v>1.6051</c:v>
                </c:pt>
                <c:pt idx="82">
                  <c:v>1.6049</c:v>
                </c:pt>
                <c:pt idx="83">
                  <c:v>1.6047</c:v>
                </c:pt>
                <c:pt idx="84">
                  <c:v>1.6044</c:v>
                </c:pt>
                <c:pt idx="85">
                  <c:v>1.6042</c:v>
                </c:pt>
                <c:pt idx="86">
                  <c:v>1.604</c:v>
                </c:pt>
                <c:pt idx="87">
                  <c:v>1.6037</c:v>
                </c:pt>
                <c:pt idx="88">
                  <c:v>1.6035</c:v>
                </c:pt>
                <c:pt idx="89">
                  <c:v>1.6033</c:v>
                </c:pt>
                <c:pt idx="90">
                  <c:v>1.603</c:v>
                </c:pt>
                <c:pt idx="91">
                  <c:v>1.6028</c:v>
                </c:pt>
                <c:pt idx="92">
                  <c:v>1.6025</c:v>
                </c:pt>
                <c:pt idx="93">
                  <c:v>1.6023</c:v>
                </c:pt>
                <c:pt idx="94">
                  <c:v>1.6021</c:v>
                </c:pt>
                <c:pt idx="95">
                  <c:v>1.6018</c:v>
                </c:pt>
                <c:pt idx="96">
                  <c:v>1.6016</c:v>
                </c:pt>
                <c:pt idx="97">
                  <c:v>1.6014</c:v>
                </c:pt>
                <c:pt idx="98">
                  <c:v>1.6011</c:v>
                </c:pt>
                <c:pt idx="99">
                  <c:v>1.6009</c:v>
                </c:pt>
                <c:pt idx="100">
                  <c:v>1.6007</c:v>
                </c:pt>
                <c:pt idx="101">
                  <c:v>1.6004</c:v>
                </c:pt>
                <c:pt idx="102">
                  <c:v>1.6002</c:v>
                </c:pt>
                <c:pt idx="103">
                  <c:v>1.6</c:v>
                </c:pt>
                <c:pt idx="104">
                  <c:v>1.5997</c:v>
                </c:pt>
                <c:pt idx="105">
                  <c:v>1.5995</c:v>
                </c:pt>
                <c:pt idx="106">
                  <c:v>1.5993</c:v>
                </c:pt>
                <c:pt idx="107">
                  <c:v>1.5991</c:v>
                </c:pt>
                <c:pt idx="108">
                  <c:v>1.5988</c:v>
                </c:pt>
                <c:pt idx="109">
                  <c:v>1.5986</c:v>
                </c:pt>
                <c:pt idx="110">
                  <c:v>1.5984</c:v>
                </c:pt>
                <c:pt idx="111">
                  <c:v>1.5981</c:v>
                </c:pt>
                <c:pt idx="112">
                  <c:v>1.5979</c:v>
                </c:pt>
                <c:pt idx="113">
                  <c:v>1.5977</c:v>
                </c:pt>
                <c:pt idx="114">
                  <c:v>1.5974</c:v>
                </c:pt>
                <c:pt idx="115">
                  <c:v>1.5972</c:v>
                </c:pt>
                <c:pt idx="116">
                  <c:v>1.597</c:v>
                </c:pt>
                <c:pt idx="117">
                  <c:v>1.5967</c:v>
                </c:pt>
                <c:pt idx="118">
                  <c:v>1.5965</c:v>
                </c:pt>
                <c:pt idx="119">
                  <c:v>1.5963</c:v>
                </c:pt>
                <c:pt idx="120">
                  <c:v>1.596</c:v>
                </c:pt>
                <c:pt idx="121">
                  <c:v>1.5958</c:v>
                </c:pt>
                <c:pt idx="122">
                  <c:v>1.5956</c:v>
                </c:pt>
                <c:pt idx="123">
                  <c:v>1.5953</c:v>
                </c:pt>
                <c:pt idx="124">
                  <c:v>1.5951</c:v>
                </c:pt>
                <c:pt idx="125">
                  <c:v>1.5949</c:v>
                </c:pt>
                <c:pt idx="126">
                  <c:v>1.5946</c:v>
                </c:pt>
                <c:pt idx="127">
                  <c:v>1.5944</c:v>
                </c:pt>
                <c:pt idx="128">
                  <c:v>1.5942</c:v>
                </c:pt>
                <c:pt idx="129">
                  <c:v>1.5939</c:v>
                </c:pt>
                <c:pt idx="130">
                  <c:v>1.5937</c:v>
                </c:pt>
                <c:pt idx="131">
                  <c:v>1.5935</c:v>
                </c:pt>
                <c:pt idx="132">
                  <c:v>1.5932</c:v>
                </c:pt>
                <c:pt idx="133">
                  <c:v>1.593</c:v>
                </c:pt>
                <c:pt idx="134">
                  <c:v>1.5928</c:v>
                </c:pt>
                <c:pt idx="135">
                  <c:v>1.5925</c:v>
                </c:pt>
                <c:pt idx="136">
                  <c:v>1.5923</c:v>
                </c:pt>
                <c:pt idx="137">
                  <c:v>1.5921</c:v>
                </c:pt>
                <c:pt idx="138">
                  <c:v>1.5918</c:v>
                </c:pt>
                <c:pt idx="139">
                  <c:v>1.5916</c:v>
                </c:pt>
                <c:pt idx="140">
                  <c:v>1.5914</c:v>
                </c:pt>
                <c:pt idx="141">
                  <c:v>1.5911</c:v>
                </c:pt>
                <c:pt idx="142">
                  <c:v>1.5909</c:v>
                </c:pt>
                <c:pt idx="143">
                  <c:v>1.5907</c:v>
                </c:pt>
                <c:pt idx="144">
                  <c:v>1.5905</c:v>
                </c:pt>
                <c:pt idx="145">
                  <c:v>1.5902</c:v>
                </c:pt>
                <c:pt idx="146">
                  <c:v>1.59</c:v>
                </c:pt>
                <c:pt idx="147">
                  <c:v>1.5898</c:v>
                </c:pt>
                <c:pt idx="148">
                  <c:v>1.5895</c:v>
                </c:pt>
                <c:pt idx="149">
                  <c:v>1.5893</c:v>
                </c:pt>
                <c:pt idx="150">
                  <c:v>1.5891</c:v>
                </c:pt>
                <c:pt idx="151">
                  <c:v>1.5888</c:v>
                </c:pt>
                <c:pt idx="152">
                  <c:v>1.5886</c:v>
                </c:pt>
                <c:pt idx="153">
                  <c:v>1.5884</c:v>
                </c:pt>
                <c:pt idx="154">
                  <c:v>1.5881</c:v>
                </c:pt>
                <c:pt idx="155">
                  <c:v>1.5879</c:v>
                </c:pt>
                <c:pt idx="156">
                  <c:v>1.5877</c:v>
                </c:pt>
                <c:pt idx="157">
                  <c:v>1.5874</c:v>
                </c:pt>
                <c:pt idx="158">
                  <c:v>1.5872</c:v>
                </c:pt>
                <c:pt idx="159">
                  <c:v>1.587</c:v>
                </c:pt>
                <c:pt idx="160">
                  <c:v>1.5867</c:v>
                </c:pt>
                <c:pt idx="161">
                  <c:v>1.5865</c:v>
                </c:pt>
                <c:pt idx="162">
                  <c:v>1.5863</c:v>
                </c:pt>
                <c:pt idx="163">
                  <c:v>1.5861</c:v>
                </c:pt>
                <c:pt idx="164">
                  <c:v>1.5858</c:v>
                </c:pt>
                <c:pt idx="165">
                  <c:v>1.5856</c:v>
                </c:pt>
                <c:pt idx="166">
                  <c:v>1.5854</c:v>
                </c:pt>
                <c:pt idx="167">
                  <c:v>1.5851</c:v>
                </c:pt>
                <c:pt idx="168">
                  <c:v>1.5849</c:v>
                </c:pt>
                <c:pt idx="169">
                  <c:v>1.5847</c:v>
                </c:pt>
                <c:pt idx="170">
                  <c:v>1.5844</c:v>
                </c:pt>
                <c:pt idx="171">
                  <c:v>1.5842</c:v>
                </c:pt>
                <c:pt idx="172">
                  <c:v>1.584</c:v>
                </c:pt>
                <c:pt idx="173">
                  <c:v>1.5837</c:v>
                </c:pt>
                <c:pt idx="174">
                  <c:v>1.5835</c:v>
                </c:pt>
                <c:pt idx="175">
                  <c:v>1.5833</c:v>
                </c:pt>
                <c:pt idx="176">
                  <c:v>1.5831</c:v>
                </c:pt>
                <c:pt idx="177">
                  <c:v>1.5828</c:v>
                </c:pt>
                <c:pt idx="178">
                  <c:v>1.5826</c:v>
                </c:pt>
                <c:pt idx="179">
                  <c:v>1.5824</c:v>
                </c:pt>
                <c:pt idx="180">
                  <c:v>1.5821</c:v>
                </c:pt>
                <c:pt idx="181">
                  <c:v>1.5819</c:v>
                </c:pt>
                <c:pt idx="182">
                  <c:v>1.5817</c:v>
                </c:pt>
                <c:pt idx="183">
                  <c:v>1.5814</c:v>
                </c:pt>
                <c:pt idx="184">
                  <c:v>1.5812</c:v>
                </c:pt>
                <c:pt idx="185">
                  <c:v>1.581</c:v>
                </c:pt>
                <c:pt idx="186">
                  <c:v>1.5807</c:v>
                </c:pt>
                <c:pt idx="187">
                  <c:v>1.5805</c:v>
                </c:pt>
                <c:pt idx="188">
                  <c:v>1.5803</c:v>
                </c:pt>
                <c:pt idx="189">
                  <c:v>1.5801</c:v>
                </c:pt>
                <c:pt idx="190">
                  <c:v>1.5798</c:v>
                </c:pt>
                <c:pt idx="191">
                  <c:v>1.5796</c:v>
                </c:pt>
                <c:pt idx="192">
                  <c:v>1.5794</c:v>
                </c:pt>
                <c:pt idx="193">
                  <c:v>1.5791</c:v>
                </c:pt>
                <c:pt idx="194">
                  <c:v>1.5789</c:v>
                </c:pt>
                <c:pt idx="195">
                  <c:v>1.5787</c:v>
                </c:pt>
                <c:pt idx="196">
                  <c:v>1.5784</c:v>
                </c:pt>
                <c:pt idx="197">
                  <c:v>1.5782</c:v>
                </c:pt>
                <c:pt idx="198">
                  <c:v>1.578</c:v>
                </c:pt>
                <c:pt idx="199">
                  <c:v>1.5778</c:v>
                </c:pt>
              </c:numCache>
            </c:numRef>
          </c:xVal>
          <c:yVal>
            <c:numRef>
              <c:f>Sheet1!$B$1:$B$200</c:f>
              <c:numCache>
                <c:formatCode>General</c:formatCode>
                <c:ptCount val="200"/>
                <c:pt idx="0">
                  <c:v>515.1</c:v>
                </c:pt>
                <c:pt idx="1">
                  <c:v>517.1</c:v>
                </c:pt>
                <c:pt idx="2">
                  <c:v>519.2</c:v>
                </c:pt>
                <c:pt idx="3">
                  <c:v>521.2</c:v>
                </c:pt>
                <c:pt idx="4">
                  <c:v>523.3</c:v>
                </c:pt>
                <c:pt idx="5">
                  <c:v>525.3</c:v>
                </c:pt>
                <c:pt idx="6">
                  <c:v>527.4</c:v>
                </c:pt>
                <c:pt idx="7">
                  <c:v>529.5</c:v>
                </c:pt>
                <c:pt idx="8">
                  <c:v>531.6</c:v>
                </c:pt>
                <c:pt idx="9">
                  <c:v>533.8</c:v>
                </c:pt>
                <c:pt idx="10">
                  <c:v>535.9</c:v>
                </c:pt>
                <c:pt idx="11">
                  <c:v>538.1</c:v>
                </c:pt>
                <c:pt idx="12">
                  <c:v>540.3</c:v>
                </c:pt>
                <c:pt idx="13">
                  <c:v>542.5</c:v>
                </c:pt>
                <c:pt idx="14">
                  <c:v>544.7</c:v>
                </c:pt>
                <c:pt idx="15">
                  <c:v>546.9</c:v>
                </c:pt>
                <c:pt idx="16">
                  <c:v>549.2</c:v>
                </c:pt>
                <c:pt idx="17">
                  <c:v>551.4</c:v>
                </c:pt>
                <c:pt idx="18">
                  <c:v>553.7</c:v>
                </c:pt>
                <c:pt idx="19">
                  <c:v>556.1</c:v>
                </c:pt>
                <c:pt idx="20">
                  <c:v>558.4</c:v>
                </c:pt>
                <c:pt idx="21">
                  <c:v>560.8</c:v>
                </c:pt>
                <c:pt idx="22">
                  <c:v>563.2</c:v>
                </c:pt>
                <c:pt idx="23">
                  <c:v>565.6</c:v>
                </c:pt>
                <c:pt idx="24">
                  <c:v>568.1</c:v>
                </c:pt>
                <c:pt idx="25">
                  <c:v>570.6</c:v>
                </c:pt>
                <c:pt idx="26">
                  <c:v>573.1</c:v>
                </c:pt>
                <c:pt idx="27">
                  <c:v>575.7</c:v>
                </c:pt>
                <c:pt idx="28">
                  <c:v>578.3</c:v>
                </c:pt>
                <c:pt idx="29">
                  <c:v>580.9</c:v>
                </c:pt>
                <c:pt idx="30">
                  <c:v>583.5</c:v>
                </c:pt>
                <c:pt idx="31">
                  <c:v>586.2</c:v>
                </c:pt>
                <c:pt idx="32">
                  <c:v>589</c:v>
                </c:pt>
                <c:pt idx="33">
                  <c:v>591.7</c:v>
                </c:pt>
                <c:pt idx="34">
                  <c:v>594.6</c:v>
                </c:pt>
                <c:pt idx="35">
                  <c:v>597.4</c:v>
                </c:pt>
                <c:pt idx="36">
                  <c:v>600.3</c:v>
                </c:pt>
                <c:pt idx="37">
                  <c:v>603.3</c:v>
                </c:pt>
                <c:pt idx="38">
                  <c:v>606.2</c:v>
                </c:pt>
                <c:pt idx="39">
                  <c:v>609.3</c:v>
                </c:pt>
                <c:pt idx="40">
                  <c:v>612.4</c:v>
                </c:pt>
                <c:pt idx="41">
                  <c:v>615.5</c:v>
                </c:pt>
                <c:pt idx="42">
                  <c:v>618.7</c:v>
                </c:pt>
                <c:pt idx="43">
                  <c:v>621.9</c:v>
                </c:pt>
                <c:pt idx="44">
                  <c:v>625.2</c:v>
                </c:pt>
                <c:pt idx="45">
                  <c:v>628.5</c:v>
                </c:pt>
                <c:pt idx="46">
                  <c:v>631.9</c:v>
                </c:pt>
                <c:pt idx="47">
                  <c:v>635.4</c:v>
                </c:pt>
                <c:pt idx="48">
                  <c:v>638.9</c:v>
                </c:pt>
                <c:pt idx="49">
                  <c:v>642.5</c:v>
                </c:pt>
                <c:pt idx="50">
                  <c:v>646.1</c:v>
                </c:pt>
                <c:pt idx="51">
                  <c:v>649.8</c:v>
                </c:pt>
                <c:pt idx="52">
                  <c:v>653.6</c:v>
                </c:pt>
                <c:pt idx="53">
                  <c:v>657.5</c:v>
                </c:pt>
                <c:pt idx="54">
                  <c:v>661.4</c:v>
                </c:pt>
                <c:pt idx="55">
                  <c:v>665.4</c:v>
                </c:pt>
                <c:pt idx="56">
                  <c:v>669.4</c:v>
                </c:pt>
                <c:pt idx="57">
                  <c:v>673.6</c:v>
                </c:pt>
                <c:pt idx="58">
                  <c:v>677.8</c:v>
                </c:pt>
                <c:pt idx="59">
                  <c:v>682.1</c:v>
                </c:pt>
                <c:pt idx="60">
                  <c:v>686.5</c:v>
                </c:pt>
                <c:pt idx="61">
                  <c:v>690.9</c:v>
                </c:pt>
                <c:pt idx="62">
                  <c:v>695.5</c:v>
                </c:pt>
                <c:pt idx="63">
                  <c:v>700.1</c:v>
                </c:pt>
                <c:pt idx="64">
                  <c:v>704.8</c:v>
                </c:pt>
                <c:pt idx="65">
                  <c:v>709.7</c:v>
                </c:pt>
                <c:pt idx="66">
                  <c:v>714.6</c:v>
                </c:pt>
                <c:pt idx="67">
                  <c:v>719.6</c:v>
                </c:pt>
                <c:pt idx="68">
                  <c:v>724.7</c:v>
                </c:pt>
                <c:pt idx="69">
                  <c:v>730</c:v>
                </c:pt>
                <c:pt idx="70">
                  <c:v>735.3</c:v>
                </c:pt>
                <c:pt idx="71">
                  <c:v>740.7</c:v>
                </c:pt>
                <c:pt idx="72">
                  <c:v>746.3</c:v>
                </c:pt>
                <c:pt idx="73">
                  <c:v>752</c:v>
                </c:pt>
                <c:pt idx="74">
                  <c:v>757.7</c:v>
                </c:pt>
                <c:pt idx="75">
                  <c:v>763.7</c:v>
                </c:pt>
                <c:pt idx="76">
                  <c:v>769.7</c:v>
                </c:pt>
                <c:pt idx="77">
                  <c:v>775.8</c:v>
                </c:pt>
                <c:pt idx="78">
                  <c:v>782.1</c:v>
                </c:pt>
                <c:pt idx="79">
                  <c:v>788.6</c:v>
                </c:pt>
                <c:pt idx="80">
                  <c:v>795.1</c:v>
                </c:pt>
                <c:pt idx="81">
                  <c:v>801.8</c:v>
                </c:pt>
                <c:pt idx="82">
                  <c:v>808.7</c:v>
                </c:pt>
                <c:pt idx="83">
                  <c:v>815.7</c:v>
                </c:pt>
                <c:pt idx="84">
                  <c:v>822.8</c:v>
                </c:pt>
                <c:pt idx="85">
                  <c:v>830.1</c:v>
                </c:pt>
                <c:pt idx="86">
                  <c:v>837.6</c:v>
                </c:pt>
                <c:pt idx="87">
                  <c:v>845.2</c:v>
                </c:pt>
                <c:pt idx="88">
                  <c:v>853</c:v>
                </c:pt>
                <c:pt idx="89">
                  <c:v>861</c:v>
                </c:pt>
                <c:pt idx="90">
                  <c:v>869.2</c:v>
                </c:pt>
                <c:pt idx="91">
                  <c:v>877.5</c:v>
                </c:pt>
                <c:pt idx="92">
                  <c:v>886.1</c:v>
                </c:pt>
                <c:pt idx="93">
                  <c:v>894.8</c:v>
                </c:pt>
                <c:pt idx="94">
                  <c:v>903.7</c:v>
                </c:pt>
                <c:pt idx="95">
                  <c:v>912.8</c:v>
                </c:pt>
                <c:pt idx="96">
                  <c:v>922.2</c:v>
                </c:pt>
                <c:pt idx="97">
                  <c:v>931.7</c:v>
                </c:pt>
                <c:pt idx="98">
                  <c:v>941.5</c:v>
                </c:pt>
                <c:pt idx="99">
                  <c:v>951.5</c:v>
                </c:pt>
                <c:pt idx="100">
                  <c:v>961.8</c:v>
                </c:pt>
                <c:pt idx="101">
                  <c:v>972.3</c:v>
                </c:pt>
                <c:pt idx="102">
                  <c:v>983</c:v>
                </c:pt>
                <c:pt idx="103">
                  <c:v>994</c:v>
                </c:pt>
                <c:pt idx="104">
                  <c:v>1005.2</c:v>
                </c:pt>
                <c:pt idx="105">
                  <c:v>1016.8</c:v>
                </c:pt>
                <c:pt idx="106">
                  <c:v>1028.6</c:v>
                </c:pt>
                <c:pt idx="107">
                  <c:v>1040.6</c:v>
                </c:pt>
                <c:pt idx="108">
                  <c:v>1053</c:v>
                </c:pt>
                <c:pt idx="109">
                  <c:v>1065.7</c:v>
                </c:pt>
                <c:pt idx="110">
                  <c:v>1078.7</c:v>
                </c:pt>
                <c:pt idx="111">
                  <c:v>1092</c:v>
                </c:pt>
                <c:pt idx="112">
                  <c:v>1105.7</c:v>
                </c:pt>
                <c:pt idx="113">
                  <c:v>1119.6</c:v>
                </c:pt>
                <c:pt idx="114">
                  <c:v>1134</c:v>
                </c:pt>
                <c:pt idx="115">
                  <c:v>1148.7</c:v>
                </c:pt>
                <c:pt idx="116">
                  <c:v>1163.7</c:v>
                </c:pt>
                <c:pt idx="117">
                  <c:v>1179.2</c:v>
                </c:pt>
                <c:pt idx="118">
                  <c:v>1195</c:v>
                </c:pt>
                <c:pt idx="119">
                  <c:v>1211.2</c:v>
                </c:pt>
                <c:pt idx="120">
                  <c:v>1227.9</c:v>
                </c:pt>
                <c:pt idx="121">
                  <c:v>1245</c:v>
                </c:pt>
                <c:pt idx="122">
                  <c:v>1262.5</c:v>
                </c:pt>
                <c:pt idx="123">
                  <c:v>1280.5</c:v>
                </c:pt>
                <c:pt idx="124">
                  <c:v>1299</c:v>
                </c:pt>
                <c:pt idx="125">
                  <c:v>1317.9</c:v>
                </c:pt>
                <c:pt idx="126">
                  <c:v>1337.4</c:v>
                </c:pt>
                <c:pt idx="127">
                  <c:v>1357.4</c:v>
                </c:pt>
                <c:pt idx="128">
                  <c:v>1377.9</c:v>
                </c:pt>
                <c:pt idx="129">
                  <c:v>1398.9</c:v>
                </c:pt>
                <c:pt idx="130">
                  <c:v>1420.5</c:v>
                </c:pt>
                <c:pt idx="131">
                  <c:v>1442.7</c:v>
                </c:pt>
                <c:pt idx="132">
                  <c:v>1465.5</c:v>
                </c:pt>
                <c:pt idx="133">
                  <c:v>1489</c:v>
                </c:pt>
                <c:pt idx="134">
                  <c:v>1513.1</c:v>
                </c:pt>
                <c:pt idx="135">
                  <c:v>1537.8</c:v>
                </c:pt>
                <c:pt idx="136">
                  <c:v>1563.3</c:v>
                </c:pt>
                <c:pt idx="137">
                  <c:v>1589.4</c:v>
                </c:pt>
                <c:pt idx="138">
                  <c:v>1616.3</c:v>
                </c:pt>
                <c:pt idx="139">
                  <c:v>1643.9</c:v>
                </c:pt>
                <c:pt idx="140">
                  <c:v>1672.4</c:v>
                </c:pt>
                <c:pt idx="141">
                  <c:v>1701.6</c:v>
                </c:pt>
                <c:pt idx="142">
                  <c:v>1731.7</c:v>
                </c:pt>
                <c:pt idx="143">
                  <c:v>1762.6</c:v>
                </c:pt>
                <c:pt idx="144">
                  <c:v>1794.5</c:v>
                </c:pt>
                <c:pt idx="145">
                  <c:v>1827.2</c:v>
                </c:pt>
                <c:pt idx="146">
                  <c:v>1861</c:v>
                </c:pt>
                <c:pt idx="147">
                  <c:v>1895.7</c:v>
                </c:pt>
                <c:pt idx="148">
                  <c:v>1931.5</c:v>
                </c:pt>
                <c:pt idx="149">
                  <c:v>1968.3</c:v>
                </c:pt>
                <c:pt idx="150">
                  <c:v>2006.2</c:v>
                </c:pt>
                <c:pt idx="151">
                  <c:v>2045.3</c:v>
                </c:pt>
                <c:pt idx="152">
                  <c:v>2085.6</c:v>
                </c:pt>
                <c:pt idx="153">
                  <c:v>2127.1</c:v>
                </c:pt>
                <c:pt idx="154">
                  <c:v>2169.8</c:v>
                </c:pt>
                <c:pt idx="155">
                  <c:v>2213.9</c:v>
                </c:pt>
                <c:pt idx="156">
                  <c:v>2259.3</c:v>
                </c:pt>
                <c:pt idx="157">
                  <c:v>2306.2</c:v>
                </c:pt>
                <c:pt idx="158">
                  <c:v>2354.5</c:v>
                </c:pt>
                <c:pt idx="159">
                  <c:v>2404.3</c:v>
                </c:pt>
                <c:pt idx="160">
                  <c:v>2455.8</c:v>
                </c:pt>
                <c:pt idx="161">
                  <c:v>2508.8</c:v>
                </c:pt>
                <c:pt idx="162">
                  <c:v>2563.6</c:v>
                </c:pt>
                <c:pt idx="163">
                  <c:v>2620.1</c:v>
                </c:pt>
                <c:pt idx="164">
                  <c:v>2678.5</c:v>
                </c:pt>
                <c:pt idx="165">
                  <c:v>2738.8</c:v>
                </c:pt>
                <c:pt idx="166">
                  <c:v>2801</c:v>
                </c:pt>
                <c:pt idx="167">
                  <c:v>2865.3</c:v>
                </c:pt>
                <c:pt idx="168">
                  <c:v>2931.7</c:v>
                </c:pt>
                <c:pt idx="169">
                  <c:v>3000.4</c:v>
                </c:pt>
                <c:pt idx="170">
                  <c:v>3071.3</c:v>
                </c:pt>
                <c:pt idx="171">
                  <c:v>3144.7</c:v>
                </c:pt>
                <c:pt idx="172">
                  <c:v>3220.5</c:v>
                </c:pt>
                <c:pt idx="173">
                  <c:v>3298.9</c:v>
                </c:pt>
                <c:pt idx="174">
                  <c:v>3380</c:v>
                </c:pt>
                <c:pt idx="175">
                  <c:v>3463.9</c:v>
                </c:pt>
                <c:pt idx="176">
                  <c:v>3550.8</c:v>
                </c:pt>
                <c:pt idx="177">
                  <c:v>3640.7</c:v>
                </c:pt>
                <c:pt idx="178">
                  <c:v>3733.7</c:v>
                </c:pt>
                <c:pt idx="179">
                  <c:v>3830</c:v>
                </c:pt>
                <c:pt idx="180">
                  <c:v>3929.8</c:v>
                </c:pt>
                <c:pt idx="181">
                  <c:v>4033.1</c:v>
                </c:pt>
                <c:pt idx="182">
                  <c:v>4140.1</c:v>
                </c:pt>
                <c:pt idx="183">
                  <c:v>4251.1</c:v>
                </c:pt>
                <c:pt idx="184">
                  <c:v>4366</c:v>
                </c:pt>
                <c:pt idx="185">
                  <c:v>4485.2</c:v>
                </c:pt>
                <c:pt idx="186">
                  <c:v>4608.8</c:v>
                </c:pt>
                <c:pt idx="187">
                  <c:v>4737</c:v>
                </c:pt>
                <c:pt idx="188">
                  <c:v>4869.9</c:v>
                </c:pt>
                <c:pt idx="189">
                  <c:v>5007.9</c:v>
                </c:pt>
                <c:pt idx="190">
                  <c:v>5151.1</c:v>
                </c:pt>
                <c:pt idx="191">
                  <c:v>5299.7</c:v>
                </c:pt>
                <c:pt idx="192">
                  <c:v>5454</c:v>
                </c:pt>
                <c:pt idx="193">
                  <c:v>5614.2</c:v>
                </c:pt>
                <c:pt idx="194">
                  <c:v>5780.6</c:v>
                </c:pt>
                <c:pt idx="195">
                  <c:v>5953.5</c:v>
                </c:pt>
                <c:pt idx="196">
                  <c:v>6133.2</c:v>
                </c:pt>
                <c:pt idx="197">
                  <c:v>6320</c:v>
                </c:pt>
                <c:pt idx="198">
                  <c:v>6514.2</c:v>
                </c:pt>
                <c:pt idx="199">
                  <c:v>6716.1</c:v>
                </c:pt>
              </c:numCache>
            </c:numRef>
          </c:yVal>
        </c:ser>
        <c:axId val="29762737"/>
        <c:axId val="15900197"/>
      </c:scatterChart>
      <c:valAx>
        <c:axId val="297627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900197"/>
        <c:crossesAt val="0"/>
      </c:valAx>
      <c:valAx>
        <c:axId val="159001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76273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660600</xdr:colOff>
      <xdr:row>11</xdr:row>
      <xdr:rowOff>40320</xdr:rowOff>
    </xdr:from>
    <xdr:to>
      <xdr:col>16</xdr:col>
      <xdr:colOff>278280</xdr:colOff>
      <xdr:row>25</xdr:row>
      <xdr:rowOff>115200</xdr:rowOff>
    </xdr:to>
    <xdr:graphicFrame>
      <xdr:nvGraphicFramePr>
        <xdr:cNvPr id="0" name="Chart 2"/>
        <xdr:cNvGraphicFramePr/>
      </xdr:nvGraphicFramePr>
      <xdr:xfrm>
        <a:off x="10958040" y="2199240"/>
        <a:ext cx="57596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368280</xdr:colOff>
      <xdr:row>6</xdr:row>
      <xdr:rowOff>167040</xdr:rowOff>
    </xdr:from>
    <xdr:to>
      <xdr:col>16</xdr:col>
      <xdr:colOff>474840</xdr:colOff>
      <xdr:row>34</xdr:row>
      <xdr:rowOff>153360</xdr:rowOff>
    </xdr:to>
    <xdr:graphicFrame>
      <xdr:nvGraphicFramePr>
        <xdr:cNvPr id="1" name="Chart 1"/>
        <xdr:cNvGraphicFramePr/>
      </xdr:nvGraphicFramePr>
      <xdr:xfrm>
        <a:off x="7533360" y="1322640"/>
        <a:ext cx="9319320" cy="532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8" activeCellId="1" sqref="I7:I16 K8"/>
    </sheetView>
  </sheetViews>
  <sheetFormatPr defaultRowHeight="15"/>
  <cols>
    <col collapsed="false" hidden="false" max="2" min="1" style="1" width="10.8333333333333"/>
    <col collapsed="false" hidden="false" max="3" min="3" style="1" width="6.20740740740741"/>
    <col collapsed="false" hidden="false" max="4" min="4" style="1" width="6.35555555555556"/>
    <col collapsed="false" hidden="false" max="5" min="5" style="1" width="6.51481481481482"/>
    <col collapsed="false" hidden="false" max="6" min="6" style="1" width="6.67037037037037"/>
    <col collapsed="false" hidden="false" max="8" min="7" style="1" width="10.8333333333333"/>
    <col collapsed="false" hidden="false" max="9" min="9" style="1" width="8.53333333333333"/>
    <col collapsed="false" hidden="false" max="10" min="10" style="1" width="8.84074074074074"/>
    <col collapsed="false" hidden="false" max="11" min="11" style="1" width="8.06666666666667"/>
    <col collapsed="false" hidden="false" max="14" min="12" style="1" width="10.8333333333333"/>
    <col collapsed="false" hidden="false" max="15" min="15" style="1" width="12.8296296296296"/>
    <col collapsed="false" hidden="false" max="16" min="16" style="1" width="10.8333333333333"/>
    <col collapsed="false" hidden="false" max="17" min="17" style="1" width="13.6592592592593"/>
    <col collapsed="false" hidden="false" max="1025" min="18" style="1" width="10.8333333333333"/>
  </cols>
  <sheetData>
    <row r="1" customFormat="false" ht="20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W1" s="1" t="n">
        <v>1.6242</v>
      </c>
      <c r="X1" s="0"/>
      <c r="Y1" s="3" t="n">
        <v>1.6242</v>
      </c>
      <c r="Z1" s="3" t="n">
        <v>515.1</v>
      </c>
      <c r="AC1" s="1" t="n">
        <v>1</v>
      </c>
      <c r="AD1" s="1" t="n">
        <v>292.35</v>
      </c>
      <c r="AH1" s="4" t="n">
        <v>543.167702312279</v>
      </c>
      <c r="AI1" s="5" t="n">
        <v>10.3933333333333</v>
      </c>
    </row>
    <row r="2" customFormat="false" ht="15" hidden="false" customHeight="false" outlineLevel="0" collapsed="false">
      <c r="A2" s="6" t="s">
        <v>1</v>
      </c>
      <c r="B2" s="7" t="n">
        <f aca="false">PI()/3</f>
        <v>1.0471975511966</v>
      </c>
      <c r="C2" s="7"/>
      <c r="D2" s="0"/>
      <c r="E2" s="0"/>
      <c r="F2" s="0"/>
      <c r="G2" s="0"/>
      <c r="H2" s="1" t="s">
        <v>2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W2" s="1" t="n">
        <v>1.5778</v>
      </c>
      <c r="X2" s="0"/>
      <c r="Y2" s="3" t="n">
        <v>1.6239</v>
      </c>
      <c r="Z2" s="3" t="n">
        <v>517.1</v>
      </c>
      <c r="AC2" s="1" t="n">
        <v>1.036625</v>
      </c>
      <c r="AD2" s="1" t="n">
        <v>300</v>
      </c>
      <c r="AH2" s="4"/>
      <c r="AI2" s="5"/>
    </row>
    <row r="3" customFormat="false" ht="15" hidden="false" customHeight="false" outlineLevel="0" collapsed="false">
      <c r="A3" s="6" t="s">
        <v>3</v>
      </c>
      <c r="B3" s="7" t="n">
        <f aca="false">D3*PI()/180</f>
        <v>4.78220215046446</v>
      </c>
      <c r="C3" s="7" t="n">
        <f aca="false">E3*PI()/180</f>
        <v>0.0174532925199433</v>
      </c>
      <c r="D3" s="1" t="n">
        <v>274</v>
      </c>
      <c r="E3" s="1" t="n">
        <v>1</v>
      </c>
      <c r="F3" s="0"/>
      <c r="G3" s="0"/>
      <c r="H3" s="0"/>
      <c r="I3" s="0"/>
      <c r="J3" s="0"/>
      <c r="K3" s="0"/>
      <c r="L3" s="0"/>
      <c r="M3" s="0"/>
      <c r="N3" s="8" t="s">
        <v>4</v>
      </c>
      <c r="O3" s="8"/>
      <c r="P3" s="8"/>
      <c r="Q3" s="8" t="s">
        <v>5</v>
      </c>
      <c r="R3" s="8" t="s">
        <v>6</v>
      </c>
      <c r="S3" s="0"/>
      <c r="T3" s="0"/>
      <c r="U3" s="0"/>
      <c r="X3" s="0"/>
      <c r="Y3" s="3" t="n">
        <v>1.6237</v>
      </c>
      <c r="Z3" s="3" t="n">
        <v>519.2</v>
      </c>
      <c r="AC3" s="1" t="n">
        <v>1.522336</v>
      </c>
      <c r="AD3" s="1" t="n">
        <v>400</v>
      </c>
      <c r="AH3" s="4"/>
      <c r="AI3" s="5"/>
    </row>
    <row r="4" customFormat="false" ht="20" hidden="false" customHeight="false" outlineLevel="0" collapsed="false">
      <c r="A4" s="2" t="s">
        <v>7</v>
      </c>
      <c r="B4" s="0"/>
      <c r="C4" s="1" t="s">
        <v>8</v>
      </c>
      <c r="D4" s="0"/>
      <c r="E4" s="0"/>
      <c r="F4" s="0"/>
      <c r="G4" s="0"/>
      <c r="H4" s="0"/>
      <c r="I4" s="0"/>
      <c r="J4" s="0"/>
      <c r="K4" s="0"/>
      <c r="L4" s="0"/>
      <c r="M4" s="0"/>
      <c r="N4" s="1" t="s">
        <v>9</v>
      </c>
      <c r="O4" s="1" t="n">
        <f aca="false">256</f>
        <v>256</v>
      </c>
      <c r="P4" s="1" t="n">
        <f aca="false">O4*PI()/180</f>
        <v>4.46804288510548</v>
      </c>
      <c r="Q4" s="1" t="n">
        <f aca="false">202+56/60</f>
        <v>202.933333333333</v>
      </c>
      <c r="R4" s="1" t="n">
        <f aca="false">201+58/60</f>
        <v>201.966666666667</v>
      </c>
      <c r="S4" s="0"/>
      <c r="T4" s="0"/>
      <c r="U4" s="0"/>
      <c r="X4" s="0"/>
      <c r="Y4" s="3" t="n">
        <v>1.6235</v>
      </c>
      <c r="Z4" s="3" t="n">
        <v>521.2</v>
      </c>
      <c r="AC4" s="1" t="n">
        <v>2.021194</v>
      </c>
      <c r="AD4" s="1" t="n">
        <v>500</v>
      </c>
      <c r="AH4" s="4" t="n">
        <v>551.426882839531</v>
      </c>
      <c r="AI4" s="5" t="n">
        <v>10.38</v>
      </c>
    </row>
    <row r="5" customFormat="false" ht="15" hidden="false" customHeight="false" outlineLevel="0" collapsed="false">
      <c r="A5" s="9" t="s">
        <v>10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  <c r="G5" s="9" t="s">
        <v>16</v>
      </c>
      <c r="H5" s="9" t="s">
        <v>17</v>
      </c>
      <c r="I5" s="9"/>
      <c r="J5" s="9"/>
      <c r="K5" s="0"/>
      <c r="L5" s="0"/>
      <c r="M5" s="0"/>
      <c r="N5" s="1" t="s">
        <v>18</v>
      </c>
      <c r="O5" s="1" t="n">
        <f aca="false">256+15/60</f>
        <v>256.25</v>
      </c>
      <c r="P5" s="1" t="n">
        <f aca="false">O5*PI()/180</f>
        <v>4.47240620823547</v>
      </c>
      <c r="Q5" s="0"/>
      <c r="R5" s="0"/>
      <c r="S5" s="0"/>
      <c r="T5" s="0"/>
      <c r="U5" s="0"/>
      <c r="X5" s="0"/>
      <c r="Y5" s="3" t="n">
        <v>1.6232</v>
      </c>
      <c r="Z5" s="3" t="n">
        <v>523.3</v>
      </c>
      <c r="AC5" s="1" t="n">
        <v>2.533535</v>
      </c>
      <c r="AD5" s="1" t="n">
        <v>600</v>
      </c>
      <c r="AH5" s="4"/>
      <c r="AI5" s="5"/>
    </row>
    <row r="6" customFormat="false" ht="15" hidden="false" customHeight="false" outlineLevel="0" collapsed="false">
      <c r="A6" s="10" t="n">
        <v>12.02</v>
      </c>
      <c r="B6" s="10" t="n">
        <v>0.01</v>
      </c>
      <c r="C6" s="10" t="n">
        <v>1.69</v>
      </c>
      <c r="D6" s="10" t="n">
        <v>0.01</v>
      </c>
      <c r="E6" s="10" t="n">
        <f aca="false">A6/C6</f>
        <v>7.11242603550296</v>
      </c>
      <c r="F6" s="10" t="n">
        <f aca="false">E6*(B6/A6+D6/C6)/0.4911</f>
        <v>0.0977449010794866</v>
      </c>
      <c r="G6" s="10" t="n">
        <f aca="false">E6/0.4911</f>
        <v>14.4826431185155</v>
      </c>
      <c r="H6" s="10" t="n">
        <f aca="true">FORECAST(G6,OFFSET($AD$1:$AD$37,MATCH(G6,$AC$1:$AC$35,1)-1,0,2),OFFSET($AC$1:$AC$35,MATCH(G6,$AC$1:$AC$35,1)-1,0,2))</f>
        <v>2404.3113921964</v>
      </c>
      <c r="I6" s="10" t="n">
        <f aca="true">FORECAST(G6-F6,OFFSET($AD$1:$AD$37,MATCH(G6-F6,$AC$1:$AC$35,1)-1,0,2),OFFSET($AC$1:$AC$35,MATCH(G6-F6,$AC$1:$AC$35,1)-1,0,2))</f>
        <v>2392.39198098493</v>
      </c>
      <c r="J6" s="11" t="n">
        <f aca="true">FORECAST(G6+F6,OFFSET($AD$1:$AD$37,MATCH(G6+F6,$AC$1:$AC$35,1)-1,0,2),OFFSET($AC$1:$AC$35,MATCH(G6+F6,$AC$1:$AC$35,1)-1,0,2))</f>
        <v>2416.04899664905</v>
      </c>
      <c r="K6" s="0" t="n">
        <f aca="false">MAX(ABS(H6-I6),ABS(H6-J6))</f>
        <v>11.919411211466</v>
      </c>
      <c r="L6" s="0"/>
      <c r="M6" s="0"/>
      <c r="N6" s="1" t="s">
        <v>19</v>
      </c>
      <c r="O6" s="1" t="n">
        <f aca="false">255+50/60</f>
        <v>255.833333333333</v>
      </c>
      <c r="P6" s="1" t="n">
        <f aca="false">O6*PI()/180</f>
        <v>4.46513400301883</v>
      </c>
      <c r="Q6" s="0"/>
      <c r="R6" s="0"/>
      <c r="S6" s="0"/>
      <c r="T6" s="0"/>
      <c r="U6" s="0"/>
      <c r="X6" s="0"/>
      <c r="Y6" s="3" t="n">
        <v>1.623</v>
      </c>
      <c r="Z6" s="3" t="n">
        <v>525.3</v>
      </c>
      <c r="AC6" s="1" t="n">
        <v>3.059699</v>
      </c>
      <c r="AD6" s="1" t="n">
        <v>700</v>
      </c>
      <c r="AH6" s="4"/>
      <c r="AI6" s="5"/>
    </row>
    <row r="7" customFormat="false" ht="15" hidden="false" customHeight="false" outlineLevel="0" collapsed="false">
      <c r="A7" s="10" t="n">
        <v>9</v>
      </c>
      <c r="B7" s="10" t="n">
        <v>0.01</v>
      </c>
      <c r="C7" s="10" t="n">
        <v>1.49</v>
      </c>
      <c r="D7" s="10" t="n">
        <v>0.01</v>
      </c>
      <c r="E7" s="10" t="n">
        <f aca="false">A7/C7</f>
        <v>6.04026845637584</v>
      </c>
      <c r="F7" s="10" t="n">
        <f aca="false">E7*(B7/A7+D7/C7)/0.4911</f>
        <v>0.0962128362213281</v>
      </c>
      <c r="G7" s="10" t="n">
        <f aca="false">E7/0.4911</f>
        <v>12.2994674330601</v>
      </c>
      <c r="H7" s="10" t="n">
        <f aca="true">FORECAST(G7,OFFSET($AD$1:$AD$37,MATCH(G7,$AC$1:$AC$35,1)-1,0,2),OFFSET($AC$1:$AC$35,MATCH(G7,$AC$1:$AC$35,1)-1,0,2))</f>
        <v>2130.08855266654</v>
      </c>
      <c r="I7" s="10" t="n">
        <f aca="true">FORECAST(G7-F7,OFFSET($AD$1:$AD$37,MATCH(G7-F7,$AC$1:$AC$35,1)-1,0,2),OFFSET($AC$1:$AC$35,MATCH(G7-F7,$AC$1:$AC$35,1)-1,0,2))</f>
        <v>2117.65859604656</v>
      </c>
      <c r="J7" s="11" t="n">
        <f aca="true">FORECAST(G7+F7,OFFSET($AD$1:$AD$37,MATCH(G7+F7,$AC$1:$AC$35,1)-1,0,2),OFFSET($AC$1:$AC$35,MATCH(G7+F7,$AC$1:$AC$35,1)-1,0,2))</f>
        <v>2142.51850928653</v>
      </c>
      <c r="K7" s="0" t="n">
        <f aca="false">MAX(ABS(H7-I7),ABS(H7-J7))</f>
        <v>12.4299566199848</v>
      </c>
      <c r="L7" s="0"/>
      <c r="M7" s="0"/>
      <c r="N7" s="0"/>
      <c r="O7" s="0" t="s">
        <v>20</v>
      </c>
      <c r="P7" s="12" t="n">
        <f aca="false">AVERAGE(P4:P6)</f>
        <v>4.46852769878659</v>
      </c>
      <c r="Q7" s="0" t="s">
        <v>20</v>
      </c>
      <c r="R7" s="12" t="n">
        <f aca="false">AVERAGE(Q4:R4)*PI()/180</f>
        <v>3.53341907066252</v>
      </c>
      <c r="S7" s="0"/>
      <c r="T7" s="0"/>
      <c r="U7" s="0"/>
      <c r="X7" s="0"/>
      <c r="Y7" s="3" t="n">
        <v>1.6228</v>
      </c>
      <c r="Z7" s="3" t="n">
        <v>527.4</v>
      </c>
      <c r="AC7" s="1" t="n">
        <v>3.600023</v>
      </c>
      <c r="AD7" s="1" t="n">
        <v>800</v>
      </c>
      <c r="AH7" s="4" t="n">
        <v>561.003593580914</v>
      </c>
      <c r="AI7" s="5" t="n">
        <v>9.84333333333333</v>
      </c>
    </row>
    <row r="8" customFormat="false" ht="15" hidden="false" customHeight="false" outlineLevel="0" collapsed="false">
      <c r="A8" s="10" t="n">
        <v>5.97</v>
      </c>
      <c r="B8" s="10" t="n">
        <v>0.01</v>
      </c>
      <c r="C8" s="10" t="n">
        <v>1.16</v>
      </c>
      <c r="D8" s="10" t="n">
        <v>0.01</v>
      </c>
      <c r="E8" s="10" t="n">
        <f aca="false">A8/C8</f>
        <v>5.14655172413793</v>
      </c>
      <c r="F8" s="10" t="n">
        <f aca="false">E8*(B8/A8+D8/C8)/0.4911</f>
        <v>0.107895570888328</v>
      </c>
      <c r="G8" s="10" t="n">
        <f aca="false">E8/0.4911</f>
        <v>10.4796410591283</v>
      </c>
      <c r="H8" s="10" t="n">
        <f aca="true">FORECAST(G8,OFFSET($AD$1:$AD$37,MATCH(G8,$AC$1:$AC$35,1)-1,0,2),OFFSET($AC$1:$AC$35,MATCH(G8,$AC$1:$AC$35,1)-1,0,2))</f>
        <v>1886.75376840111</v>
      </c>
      <c r="I8" s="10" t="n">
        <f aca="true">FORECAST(G8-F8,OFFSET($AD$1:$AD$37,MATCH(G8-F8,$AC$1:$AC$35,1)-1,0,2),OFFSET($AC$1:$AC$35,MATCH(G8-F8,$AC$1:$AC$35,1)-1,0,2))</f>
        <v>1871.73458357844</v>
      </c>
      <c r="J8" s="11" t="n">
        <f aca="true">FORECAST(G8+F8,OFFSET($AD$1:$AD$37,MATCH(G8+F8,$AC$1:$AC$35,1)-1,0,2),OFFSET($AC$1:$AC$35,MATCH(G8+F8,$AC$1:$AC$35,1)-1,0,2))</f>
        <v>1901.72908730762</v>
      </c>
      <c r="K8" s="0" t="n">
        <f aca="false">MAX(ABS(H8-I8),ABS(H8-J8))</f>
        <v>15.0191848226687</v>
      </c>
      <c r="L8" s="0"/>
      <c r="M8" s="0"/>
      <c r="N8" s="0"/>
      <c r="O8" s="0" t="s">
        <v>21</v>
      </c>
      <c r="P8" s="0" t="n">
        <f aca="false">MAX(ABS(P4-P7),ABS(P5-P7),ABS(P6-P7))</f>
        <v>0.0038785094488798</v>
      </c>
      <c r="Q8" s="0" t="s">
        <v>21</v>
      </c>
      <c r="R8" s="0" t="n">
        <f aca="false">Q4*PI()/180-R7</f>
        <v>0.00843575805129992</v>
      </c>
      <c r="S8" s="0"/>
      <c r="T8" s="0"/>
      <c r="U8" s="0"/>
      <c r="X8" s="0"/>
      <c r="Y8" s="3" t="n">
        <v>1.6225</v>
      </c>
      <c r="Z8" s="3" t="n">
        <v>529.5</v>
      </c>
      <c r="AC8" s="1" t="n">
        <v>4.154845</v>
      </c>
      <c r="AD8" s="1" t="n">
        <v>900</v>
      </c>
      <c r="AH8" s="4"/>
      <c r="AI8" s="5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X9" s="0"/>
      <c r="Y9" s="3" t="n">
        <v>1.6223</v>
      </c>
      <c r="Z9" s="3" t="n">
        <v>531.6</v>
      </c>
      <c r="AC9" s="1" t="n">
        <v>4.724503</v>
      </c>
      <c r="AD9" s="1" t="n">
        <v>1000</v>
      </c>
      <c r="AH9" s="4"/>
      <c r="AI9" s="5"/>
    </row>
    <row r="10" customFormat="false" ht="19.7" hidden="false" customHeight="false" outlineLevel="0" collapsed="false">
      <c r="A10" s="2" t="s">
        <v>22</v>
      </c>
      <c r="B10" s="0"/>
      <c r="C10" s="0"/>
      <c r="D10" s="0"/>
      <c r="E10" s="0"/>
      <c r="F10" s="0"/>
      <c r="G10" s="0"/>
      <c r="H10" s="0"/>
      <c r="I10" s="0"/>
      <c r="J10" s="0"/>
      <c r="K10" s="0" t="s">
        <v>23</v>
      </c>
      <c r="L10" s="0"/>
      <c r="M10" s="0"/>
      <c r="N10" s="0"/>
      <c r="O10" s="0"/>
      <c r="P10" s="0"/>
      <c r="Q10" s="0"/>
      <c r="R10" s="0"/>
      <c r="S10" s="0"/>
      <c r="T10" s="0"/>
      <c r="U10" s="0"/>
      <c r="X10" s="0"/>
      <c r="Y10" s="3" t="n">
        <v>1.6221</v>
      </c>
      <c r="Z10" s="3" t="n">
        <v>533.8</v>
      </c>
      <c r="AC10" s="1" t="n">
        <v>5.309336</v>
      </c>
      <c r="AD10" s="1" t="n">
        <v>1100</v>
      </c>
      <c r="AH10" s="4" t="n">
        <v>577.538520582304</v>
      </c>
      <c r="AI10" s="5" t="n">
        <v>8.72333333333333</v>
      </c>
    </row>
    <row r="11" customFormat="false" ht="15" hidden="false" customHeight="false" outlineLevel="0" collapsed="false">
      <c r="A11" s="13" t="s">
        <v>24</v>
      </c>
      <c r="B11" s="14" t="n">
        <v>6.62606957E-034</v>
      </c>
      <c r="C11" s="13" t="s">
        <v>25</v>
      </c>
      <c r="D11" s="15" t="n">
        <v>2998792458</v>
      </c>
      <c r="E11" s="13" t="s">
        <v>26</v>
      </c>
      <c r="F11" s="14" t="n">
        <v>1.3806488E-023</v>
      </c>
      <c r="G11" s="0"/>
      <c r="H11" s="0"/>
      <c r="I11" s="0"/>
      <c r="J11" s="0"/>
      <c r="K11" s="0" t="n">
        <f aca="false">2/60*PI()/180</f>
        <v>0.000581776417331443</v>
      </c>
      <c r="L11" s="0"/>
      <c r="M11" s="16"/>
      <c r="N11" s="16"/>
      <c r="O11" s="0"/>
      <c r="P11" s="0"/>
      <c r="Q11" s="0"/>
      <c r="R11" s="0"/>
      <c r="S11" s="0"/>
      <c r="T11" s="0"/>
      <c r="U11" s="0"/>
      <c r="X11" s="0"/>
      <c r="Y11" s="3" t="n">
        <v>1.6218</v>
      </c>
      <c r="Z11" s="3" t="n">
        <v>535.9</v>
      </c>
      <c r="AC11" s="1" t="n">
        <v>5.909679</v>
      </c>
      <c r="AD11" s="1" t="n">
        <v>1200</v>
      </c>
      <c r="AH11" s="4"/>
      <c r="AI11" s="5"/>
    </row>
    <row r="12" customFormat="false" ht="15" hidden="false" customHeight="false" outlineLevel="0" collapsed="false">
      <c r="A12" s="8" t="s">
        <v>27</v>
      </c>
      <c r="B12" s="8" t="s">
        <v>17</v>
      </c>
      <c r="C12" s="8" t="s">
        <v>28</v>
      </c>
      <c r="D12" s="8" t="s">
        <v>29</v>
      </c>
      <c r="E12" s="8" t="s">
        <v>30</v>
      </c>
      <c r="F12" s="8" t="s">
        <v>4</v>
      </c>
      <c r="G12" s="8" t="s">
        <v>31</v>
      </c>
      <c r="H12" s="8" t="s">
        <v>32</v>
      </c>
      <c r="I12" s="8" t="s">
        <v>33</v>
      </c>
      <c r="J12" s="8" t="s">
        <v>34</v>
      </c>
      <c r="K12" s="8" t="s">
        <v>35</v>
      </c>
      <c r="L12" s="8" t="s">
        <v>36</v>
      </c>
      <c r="M12" s="8" t="s">
        <v>37</v>
      </c>
      <c r="N12" s="8" t="s">
        <v>38</v>
      </c>
      <c r="O12" s="8" t="s">
        <v>39</v>
      </c>
      <c r="P12" s="8" t="s">
        <v>40</v>
      </c>
      <c r="Q12" s="8" t="s">
        <v>27</v>
      </c>
      <c r="R12" s="8"/>
      <c r="S12" s="8" t="s">
        <v>41</v>
      </c>
      <c r="T12" s="1" t="s">
        <v>42</v>
      </c>
      <c r="U12" s="1" t="s">
        <v>43</v>
      </c>
      <c r="X12" s="0"/>
      <c r="Y12" s="3" t="n">
        <v>1.6216</v>
      </c>
      <c r="Z12" s="3" t="n">
        <v>538.1</v>
      </c>
      <c r="AC12" s="1" t="n">
        <v>6.525873</v>
      </c>
      <c r="AD12" s="1" t="n">
        <v>1300</v>
      </c>
      <c r="AH12" s="4"/>
      <c r="AI12" s="5"/>
    </row>
    <row r="13" customFormat="false" ht="15" hidden="false" customHeight="false" outlineLevel="0" collapsed="false">
      <c r="A13" s="17" t="n">
        <v>12.02</v>
      </c>
      <c r="B13" s="18"/>
      <c r="C13" s="18"/>
      <c r="D13" s="18"/>
      <c r="E13" s="18"/>
      <c r="F13" s="18"/>
      <c r="G13" s="5" t="n">
        <f aca="false">P7-R7</f>
        <v>0.93510862812407</v>
      </c>
      <c r="H13" s="5" t="n">
        <f aca="false">P8+R8</f>
        <v>0.0123142675001797</v>
      </c>
      <c r="I13" s="5" t="n">
        <v>221</v>
      </c>
      <c r="J13" s="5" t="n">
        <v>25</v>
      </c>
      <c r="K13" s="18" t="n">
        <f aca="false">$B$3-(I13+J13/60)*PI()/180</f>
        <v>0.917752298340352</v>
      </c>
      <c r="L13" s="19" t="n">
        <f aca="false">2/(SIN($B$2)*SIN($B$2))*(SIN(K13-$G$13+$B$2)+COS($B$2)*SIN($G$13))</f>
        <v>3.35879740145807</v>
      </c>
      <c r="M13" s="5" t="n">
        <f aca="false">1/(2*SQRT(N13))*(ABS((2*SIN($G$13)*COS($G$13)+L13)*(COS($B$2)*COS($G$13)-COS(K13-$G$13+$B$2)))*$H$13+ABS(L13*COS(K13-$G$13+$B$2))*$K$11)</f>
        <v>0.00488378327080662</v>
      </c>
      <c r="N13" s="20" t="n">
        <f aca="false">SQRT(SIN($G$13)*SIN($G$13) + (SIN(K13-$G$13+$B$2)  + COS($B$2)*SIN($G$13) )* (SIN(K13-$G$13+$B$2)  + COS($B$2)*SIN($G$13) )/(SIN($B$2)*SIN($B$2))   )</f>
        <v>1.66215777589515</v>
      </c>
      <c r="O13" s="4" t="e">
        <f aca="true">FORECAST(N13,OFFSET($Z$1:$Z$200,MATCH(N13,$Y$1:$Y$200,-1)-1,0,2),OFFSET($Y$1:$Y$200,MATCH(N13,$Y$1:$Y$200,-1)-1,0,2))</f>
        <v>#N/A</v>
      </c>
      <c r="P13" s="5"/>
      <c r="Q13" s="18" t="n">
        <v>0.05</v>
      </c>
      <c r="R13" s="5" t="n">
        <f aca="false">AVERAGE(Q13:Q15)</f>
        <v>0.0523333333333333</v>
      </c>
      <c r="S13" s="4"/>
      <c r="T13" s="10"/>
      <c r="U13" s="10"/>
      <c r="X13" s="21"/>
      <c r="Y13" s="3" t="n">
        <v>1.6213</v>
      </c>
      <c r="Z13" s="3" t="n">
        <v>540.3</v>
      </c>
      <c r="AC13" s="1" t="n">
        <v>7.158254</v>
      </c>
      <c r="AD13" s="1" t="n">
        <v>1400</v>
      </c>
      <c r="AH13" s="4" t="n">
        <v>616.723660952208</v>
      </c>
      <c r="AI13" s="5" t="n">
        <v>7.79333333333333</v>
      </c>
    </row>
    <row r="14" customFormat="false" ht="15" hidden="false" customHeight="false" outlineLevel="0" collapsed="false">
      <c r="A14" s="17"/>
      <c r="B14" s="18"/>
      <c r="C14" s="18"/>
      <c r="D14" s="18"/>
      <c r="E14" s="18"/>
      <c r="F14" s="18"/>
      <c r="G14" s="5"/>
      <c r="H14" s="5"/>
      <c r="I14" s="5"/>
      <c r="J14" s="5"/>
      <c r="K14" s="5"/>
      <c r="L14" s="19" t="n">
        <f aca="false">2/(SIN($B$2)*SIN($B$2))*(SIN(K14-$G$13+$B$2)+COS($B$2)*SIN($G$13))</f>
        <v>1.37116305869934</v>
      </c>
      <c r="M14" s="5"/>
      <c r="N14" s="20"/>
      <c r="O14" s="4"/>
      <c r="P14" s="5"/>
      <c r="Q14" s="19" t="n">
        <v>0.04</v>
      </c>
      <c r="R14" s="5"/>
      <c r="S14" s="4"/>
      <c r="T14" s="10"/>
      <c r="U14" s="10"/>
      <c r="X14" s="21"/>
      <c r="Y14" s="3" t="n">
        <v>1.6211</v>
      </c>
      <c r="Z14" s="3" t="n">
        <v>542.5</v>
      </c>
      <c r="AC14" s="1" t="n">
        <v>7.807161</v>
      </c>
      <c r="AD14" s="1" t="n">
        <v>1500</v>
      </c>
      <c r="AH14" s="4"/>
      <c r="AI14" s="5"/>
    </row>
    <row r="15" customFormat="false" ht="15" hidden="false" customHeight="false" outlineLevel="0" collapsed="false">
      <c r="A15" s="17"/>
      <c r="B15" s="18"/>
      <c r="C15" s="18"/>
      <c r="D15" s="18"/>
      <c r="E15" s="18"/>
      <c r="F15" s="18"/>
      <c r="G15" s="5"/>
      <c r="H15" s="5"/>
      <c r="I15" s="5"/>
      <c r="J15" s="5"/>
      <c r="K15" s="18"/>
      <c r="L15" s="19" t="n">
        <f aca="false">2/(SIN($B$2)*SIN($B$2))*(SIN(K15-$G$13+$B$2)+COS($B$2)*SIN($G$13))</f>
        <v>1.37116305869934</v>
      </c>
      <c r="M15" s="5"/>
      <c r="N15" s="20"/>
      <c r="O15" s="4"/>
      <c r="P15" s="5"/>
      <c r="Q15" s="5" t="n">
        <v>0.067</v>
      </c>
      <c r="R15" s="5"/>
      <c r="S15" s="4"/>
      <c r="T15" s="0"/>
      <c r="U15" s="0"/>
      <c r="X15" s="21"/>
      <c r="Y15" s="3" t="n">
        <v>1.6209</v>
      </c>
      <c r="Z15" s="3" t="n">
        <v>544.7</v>
      </c>
      <c r="AC15" s="1" t="n">
        <v>8.472932</v>
      </c>
      <c r="AD15" s="1" t="n">
        <v>1600</v>
      </c>
      <c r="AH15" s="4"/>
      <c r="AI15" s="5"/>
    </row>
    <row r="16" customFormat="false" ht="15" hidden="false" customHeight="false" outlineLevel="0" collapsed="false">
      <c r="A16" s="17"/>
      <c r="B16" s="18"/>
      <c r="C16" s="18"/>
      <c r="D16" s="18"/>
      <c r="E16" s="18"/>
      <c r="F16" s="18"/>
      <c r="G16" s="5"/>
      <c r="H16" s="5"/>
      <c r="I16" s="5" t="n">
        <v>221</v>
      </c>
      <c r="J16" s="5" t="n">
        <v>46</v>
      </c>
      <c r="K16" s="18" t="n">
        <f aca="false">$B$3-(I16+J16/60)*PI()/180</f>
        <v>0.911643645958371</v>
      </c>
      <c r="L16" s="19" t="n">
        <f aca="false">2/(SIN($B$2)*SIN($B$2))*(SIN(K16-$G$13+$B$2)+COS($B$2)*SIN($G$13))</f>
        <v>3.35036632138637</v>
      </c>
      <c r="M16" s="5" t="n">
        <f aca="false">1/(2*SQRT(N16))*(ABS((2*SIN($G$13)*COS($G$13)+L16)*(COS($B$2)*COS($G$13)-COS(K16-$G$13+$B$2)))*$H$13+ABS(L16*COS(K16-$G$13+$B$2))*$K$11)</f>
        <v>0.004990252654431</v>
      </c>
      <c r="N16" s="20" t="n">
        <f aca="false">SQRT(SIN($G$13)*SIN($G$13) + (SIN(K16-$G$13+$B$2)  + COS($B$2)*SIN($G$13) )* (SIN(K16-$G$13+$B$2)  + COS($B$2)*SIN($G$13) )/(SIN($B$2)*SIN($B$2))   )</f>
        <v>1.65896426765721</v>
      </c>
      <c r="O16" s="4" t="e">
        <f aca="true">FORECAST(N16,OFFSET($Z$1:$Z$200,MATCH(N16,$Y$1:$Y$200,-1)-1,0,2),OFFSET($Y$1:$Y$200,MATCH(N16,$Y$1:$Y$200,-1)-1,0,2))</f>
        <v>#N/A</v>
      </c>
      <c r="P16" s="5"/>
      <c r="Q16" s="5" t="n">
        <v>0.05</v>
      </c>
      <c r="R16" s="5" t="n">
        <f aca="false">AVERAGE(Q16:Q18)</f>
        <v>0.06</v>
      </c>
      <c r="S16" s="4"/>
      <c r="T16" s="10"/>
      <c r="U16" s="10"/>
      <c r="X16" s="21"/>
      <c r="Y16" s="3" t="n">
        <v>1.6206</v>
      </c>
      <c r="Z16" s="3" t="n">
        <v>546.9</v>
      </c>
      <c r="AC16" s="1" t="n">
        <v>9.155904</v>
      </c>
      <c r="AD16" s="1" t="n">
        <v>1700</v>
      </c>
      <c r="AH16" s="4" t="n">
        <v>669.487008426426</v>
      </c>
      <c r="AI16" s="5" t="n">
        <v>5.55666666666667</v>
      </c>
    </row>
    <row r="17" customFormat="false" ht="15" hidden="false" customHeight="false" outlineLevel="0" collapsed="false">
      <c r="A17" s="17"/>
      <c r="B17" s="18"/>
      <c r="C17" s="18"/>
      <c r="D17" s="18"/>
      <c r="E17" s="18"/>
      <c r="F17" s="18"/>
      <c r="G17" s="5"/>
      <c r="H17" s="5"/>
      <c r="I17" s="5"/>
      <c r="J17" s="5"/>
      <c r="K17" s="5"/>
      <c r="L17" s="19"/>
      <c r="M17" s="5"/>
      <c r="N17" s="20"/>
      <c r="O17" s="4"/>
      <c r="P17" s="5"/>
      <c r="Q17" s="5" t="n">
        <v>0.07</v>
      </c>
      <c r="R17" s="5"/>
      <c r="S17" s="4"/>
      <c r="T17" s="10"/>
      <c r="U17" s="10"/>
      <c r="X17" s="21"/>
      <c r="Y17" s="3" t="n">
        <v>1.6204</v>
      </c>
      <c r="Z17" s="3" t="n">
        <v>549.2</v>
      </c>
      <c r="AC17" s="1" t="n">
        <v>9.856415</v>
      </c>
      <c r="AD17" s="1" t="n">
        <v>1800</v>
      </c>
      <c r="AH17" s="4"/>
      <c r="AI17" s="5"/>
    </row>
    <row r="18" customFormat="false" ht="15" hidden="false" customHeight="false" outlineLevel="0" collapsed="false">
      <c r="A18" s="17"/>
      <c r="B18" s="18"/>
      <c r="C18" s="18"/>
      <c r="D18" s="18"/>
      <c r="E18" s="18"/>
      <c r="F18" s="18"/>
      <c r="G18" s="5"/>
      <c r="H18" s="5"/>
      <c r="I18" s="5"/>
      <c r="J18" s="5"/>
      <c r="K18" s="18"/>
      <c r="L18" s="19"/>
      <c r="M18" s="5"/>
      <c r="N18" s="20"/>
      <c r="O18" s="4"/>
      <c r="P18" s="5"/>
      <c r="Q18" s="5" t="n">
        <v>0.06</v>
      </c>
      <c r="R18" s="5"/>
      <c r="S18" s="4"/>
      <c r="T18" s="0"/>
      <c r="U18" s="0"/>
      <c r="X18" s="21"/>
      <c r="Y18" s="3" t="n">
        <v>1.6202</v>
      </c>
      <c r="Z18" s="3" t="n">
        <v>551.4</v>
      </c>
      <c r="AC18" s="1" t="n">
        <v>10.5748</v>
      </c>
      <c r="AD18" s="1" t="n">
        <v>1900</v>
      </c>
      <c r="AH18" s="4"/>
      <c r="AI18" s="5"/>
    </row>
    <row r="19" customFormat="false" ht="15" hidden="false" customHeight="false" outlineLevel="0" collapsed="false">
      <c r="A19" s="17"/>
      <c r="B19" s="18"/>
      <c r="C19" s="18"/>
      <c r="D19" s="18"/>
      <c r="E19" s="18"/>
      <c r="F19" s="18"/>
      <c r="G19" s="5"/>
      <c r="H19" s="5"/>
      <c r="I19" s="5" t="n">
        <v>222</v>
      </c>
      <c r="J19" s="5" t="n">
        <v>10</v>
      </c>
      <c r="K19" s="18" t="n">
        <f aca="false">$B$3-(I19+J19/60)*PI()/180</f>
        <v>0.904662328950395</v>
      </c>
      <c r="L19" s="19" t="n">
        <f aca="false">2/(SIN($B$2)*SIN($B$2))*(SIN(K19-$G$13+$B$2)+COS($B$2)*SIN($G$13))</f>
        <v>3.34062675603503</v>
      </c>
      <c r="M19" s="5" t="n">
        <f aca="false">1/(2*SQRT(N19))*(ABS((2*SIN($G$13)*COS($G$13)+L19)*(COS($B$2)*COS($G$13)-COS(K19-$G$13+$B$2)))*$H$13+ABS(L19*COS(K19-$G$13+$B$2))*$K$11)</f>
        <v>0.00511107180833687</v>
      </c>
      <c r="N19" s="20" t="n">
        <f aca="false">SQRT(SIN($G$13)*SIN($G$13) + (SIN(K19-$G$13+$B$2)  + COS($B$2)*SIN($G$13) )* (SIN(K19-$G$13+$B$2)  + COS($B$2)*SIN($G$13) )/(SIN($B$2)*SIN($B$2))   )</f>
        <v>1.65527748747729</v>
      </c>
      <c r="O19" s="4" t="e">
        <f aca="true">FORECAST(N19,OFFSET($Z$1:$Z$200,MATCH(N19,$Y$1:$Y$200,-1)-1,0,2),OFFSET($Y$1:$Y$200,MATCH(N19,$Y$1:$Y$200,-1)-1,0,2))</f>
        <v>#N/A</v>
      </c>
      <c r="P19" s="5"/>
      <c r="Q19" s="5" t="n">
        <v>0.1</v>
      </c>
      <c r="R19" s="5" t="n">
        <f aca="false">AVERAGE(Q19:Q21)</f>
        <v>0.0766666666666667</v>
      </c>
      <c r="S19" s="4"/>
      <c r="T19" s="10"/>
      <c r="U19" s="10"/>
      <c r="X19" s="21"/>
      <c r="Y19" s="3" t="n">
        <v>1.6199</v>
      </c>
      <c r="Z19" s="3" t="n">
        <v>553.7</v>
      </c>
      <c r="AC19" s="1" t="n">
        <v>11.31141</v>
      </c>
      <c r="AD19" s="1" t="n">
        <v>2000</v>
      </c>
      <c r="AH19" s="4" t="n">
        <v>743.204792395729</v>
      </c>
      <c r="AI19" s="5" t="n">
        <v>3.67333333333333</v>
      </c>
    </row>
    <row r="20" customFormat="false" ht="15" hidden="false" customHeight="false" outlineLevel="0" collapsed="false">
      <c r="A20" s="17"/>
      <c r="B20" s="18"/>
      <c r="C20" s="18"/>
      <c r="D20" s="18"/>
      <c r="E20" s="18"/>
      <c r="F20" s="18"/>
      <c r="G20" s="5"/>
      <c r="H20" s="5"/>
      <c r="I20" s="5"/>
      <c r="J20" s="5"/>
      <c r="K20" s="5"/>
      <c r="L20" s="19"/>
      <c r="M20" s="19"/>
      <c r="N20" s="20"/>
      <c r="O20" s="4"/>
      <c r="P20" s="5"/>
      <c r="Q20" s="5" t="n">
        <v>0.06</v>
      </c>
      <c r="R20" s="5"/>
      <c r="S20" s="4"/>
      <c r="T20" s="10"/>
      <c r="U20" s="10"/>
      <c r="Y20" s="3" t="n">
        <v>1.6197</v>
      </c>
      <c r="Z20" s="3" t="n">
        <v>556.1</v>
      </c>
      <c r="AC20" s="1" t="n">
        <v>12.06657</v>
      </c>
      <c r="AD20" s="1" t="n">
        <v>2100</v>
      </c>
      <c r="AH20" s="4"/>
      <c r="AI20" s="5"/>
    </row>
    <row r="21" customFormat="false" ht="15" hidden="false" customHeight="false" outlineLevel="0" collapsed="false">
      <c r="A21" s="17"/>
      <c r="B21" s="18"/>
      <c r="C21" s="18"/>
      <c r="D21" s="18"/>
      <c r="E21" s="18"/>
      <c r="F21" s="18"/>
      <c r="G21" s="5"/>
      <c r="H21" s="5"/>
      <c r="I21" s="5"/>
      <c r="J21" s="5"/>
      <c r="K21" s="18"/>
      <c r="L21" s="19"/>
      <c r="M21" s="19"/>
      <c r="N21" s="20"/>
      <c r="O21" s="4"/>
      <c r="P21" s="5"/>
      <c r="Q21" s="5" t="n">
        <v>0.07</v>
      </c>
      <c r="R21" s="5"/>
      <c r="S21" s="4"/>
      <c r="T21" s="0"/>
      <c r="U21" s="0"/>
      <c r="Y21" s="3" t="n">
        <v>1.6195</v>
      </c>
      <c r="Z21" s="3" t="n">
        <v>558.4</v>
      </c>
      <c r="AC21" s="1" t="n">
        <v>12.84061</v>
      </c>
      <c r="AD21" s="1" t="n">
        <v>2200</v>
      </c>
      <c r="AH21" s="4"/>
      <c r="AI21" s="5"/>
    </row>
    <row r="22" customFormat="false" ht="15" hidden="false" customHeight="false" outlineLevel="0" collapsed="false">
      <c r="A22" s="17"/>
      <c r="B22" s="18"/>
      <c r="C22" s="18"/>
      <c r="D22" s="18"/>
      <c r="E22" s="18"/>
      <c r="F22" s="18"/>
      <c r="G22" s="5"/>
      <c r="H22" s="5"/>
      <c r="I22" s="5" t="n">
        <v>222</v>
      </c>
      <c r="J22" s="5" t="n">
        <v>24</v>
      </c>
      <c r="K22" s="18" t="n">
        <f aca="false">$B$3-(I22+J22/60)*PI()/180</f>
        <v>0.900589894029074</v>
      </c>
      <c r="L22" s="19" t="n">
        <f aca="false">2/(SIN($B$2)*SIN($B$2))*(SIN(K22-$G$13+$B$2)+COS($B$2)*SIN($G$13))</f>
        <v>3.33489427047084</v>
      </c>
      <c r="M22" s="5" t="n">
        <f aca="false">1/(2*SQRT(N22))*(ABS((2*SIN($G$13)*COS($G$13)+L22)*(COS($B$2)*COS($G$13)-COS(K22-$G$13+$B$2)))*$H$13+ABS(L22*COS(K22-$G$13+$B$2))*$K$11)</f>
        <v>0.0051811220423213</v>
      </c>
      <c r="N22" s="20" t="n">
        <f aca="false">SQRT(SIN($G$13)*SIN($G$13) + (SIN(K22-$G$13+$B$2)  + COS($B$2)*SIN($G$13) )* (SIN(K22-$G$13+$B$2)  + COS($B$2)*SIN($G$13) )/(SIN($B$2)*SIN($B$2))   )</f>
        <v>1.65310871891855</v>
      </c>
      <c r="O22" s="4" t="e">
        <f aca="true">FORECAST(N22,OFFSET($Z$1:$Z$200,MATCH(N22,$Y$1:$Y$200,-1)-1,0,2),OFFSET($Y$1:$Y$200,MATCH(N22,$Y$1:$Y$200,-1)-1,0,2))</f>
        <v>#N/A</v>
      </c>
      <c r="P22" s="5"/>
      <c r="Q22" s="5" t="n">
        <v>0.25</v>
      </c>
      <c r="R22" s="5" t="n">
        <f aca="false">AVERAGE(Q22:Q24)</f>
        <v>0.273333333333333</v>
      </c>
      <c r="S22" s="4"/>
      <c r="T22" s="10"/>
      <c r="U22" s="10"/>
      <c r="Y22" s="3" t="n">
        <v>1.6192</v>
      </c>
      <c r="Z22" s="3" t="n">
        <v>560.8</v>
      </c>
      <c r="AC22" s="1" t="n">
        <v>13.63389</v>
      </c>
      <c r="AD22" s="1" t="n">
        <v>2300</v>
      </c>
      <c r="AH22" s="4" t="n">
        <v>851.598600598038</v>
      </c>
      <c r="AI22" s="5" t="n">
        <v>2.23666666666667</v>
      </c>
    </row>
    <row r="23" customFormat="false" ht="15" hidden="false" customHeight="false" outlineLevel="0" collapsed="false">
      <c r="A23" s="17"/>
      <c r="B23" s="18"/>
      <c r="C23" s="18"/>
      <c r="D23" s="18"/>
      <c r="E23" s="18"/>
      <c r="F23" s="18"/>
      <c r="G23" s="5"/>
      <c r="H23" s="5"/>
      <c r="I23" s="5"/>
      <c r="J23" s="5"/>
      <c r="K23" s="5"/>
      <c r="L23" s="19"/>
      <c r="M23" s="19"/>
      <c r="N23" s="20"/>
      <c r="O23" s="4"/>
      <c r="P23" s="5"/>
      <c r="Q23" s="5" t="n">
        <v>0.27</v>
      </c>
      <c r="R23" s="5"/>
      <c r="S23" s="4"/>
      <c r="T23" s="10"/>
      <c r="U23" s="10"/>
      <c r="Y23" s="3" t="n">
        <v>1.619</v>
      </c>
      <c r="Z23" s="3" t="n">
        <v>563.2</v>
      </c>
      <c r="AC23" s="1" t="n">
        <v>14.44674</v>
      </c>
      <c r="AD23" s="1" t="n">
        <v>2400</v>
      </c>
      <c r="AH23" s="4"/>
      <c r="AI23" s="5"/>
    </row>
    <row r="24" customFormat="false" ht="15" hidden="false" customHeight="false" outlineLevel="0" collapsed="false">
      <c r="A24" s="17"/>
      <c r="B24" s="18"/>
      <c r="C24" s="18"/>
      <c r="D24" s="18"/>
      <c r="E24" s="18"/>
      <c r="F24" s="18"/>
      <c r="G24" s="5"/>
      <c r="H24" s="5"/>
      <c r="I24" s="5"/>
      <c r="J24" s="5"/>
      <c r="K24" s="18"/>
      <c r="L24" s="19"/>
      <c r="M24" s="19"/>
      <c r="N24" s="20"/>
      <c r="O24" s="4"/>
      <c r="P24" s="5"/>
      <c r="Q24" s="5" t="n">
        <v>0.3</v>
      </c>
      <c r="R24" s="5"/>
      <c r="S24" s="4"/>
      <c r="T24" s="0"/>
      <c r="U24" s="0"/>
      <c r="Y24" s="3" t="n">
        <v>1.6187</v>
      </c>
      <c r="Z24" s="3" t="n">
        <v>565.6</v>
      </c>
      <c r="AC24" s="1" t="n">
        <v>15.27949</v>
      </c>
      <c r="AD24" s="1" t="n">
        <v>2500</v>
      </c>
      <c r="AH24" s="4"/>
      <c r="AI24" s="5"/>
    </row>
    <row r="25" customFormat="false" ht="15" hidden="false" customHeight="false" outlineLevel="0" collapsed="false">
      <c r="A25" s="17"/>
      <c r="B25" s="18"/>
      <c r="C25" s="18"/>
      <c r="D25" s="18"/>
      <c r="E25" s="18"/>
      <c r="F25" s="18"/>
      <c r="G25" s="5"/>
      <c r="H25" s="5"/>
      <c r="I25" s="5" t="n">
        <v>222</v>
      </c>
      <c r="J25" s="5" t="n">
        <v>40</v>
      </c>
      <c r="K25" s="18" t="n">
        <f aca="false">$B$3-(I25+J25/60)*PI()/180</f>
        <v>0.895935682690423</v>
      </c>
      <c r="L25" s="19" t="n">
        <f aca="false">2/(SIN($B$2)*SIN($B$2))*(SIN(K25-$G$13+$B$2)+COS($B$2)*SIN($G$13))</f>
        <v>3.32829692753322</v>
      </c>
      <c r="M25" s="5" t="n">
        <f aca="false">1/(2*SQRT(N25))*(ABS((2*SIN($G$13)*COS($G$13)+L25)*(COS($B$2)*COS($G$13)-COS(K25-$G$13+$B$2)))*$H$13+ABS(L25*COS(K25-$G$13+$B$2))*$K$11)</f>
        <v>0.00526079043859004</v>
      </c>
      <c r="N25" s="20" t="n">
        <f aca="false">SQRT(SIN($G$13)*SIN($G$13) + (SIN(K25-$G$13+$B$2)  + COS($B$2)*SIN($G$13) )* (SIN(K25-$G$13+$B$2)  + COS($B$2)*SIN($G$13) )/(SIN($B$2)*SIN($B$2))   )</f>
        <v>1.65061384250027</v>
      </c>
      <c r="O25" s="4" t="e">
        <f aca="true">FORECAST(N25,OFFSET($Z$1:$Z$200,MATCH(N25,$Y$1:$Y$200,-1)-1,0,2),OFFSET($Y$1:$Y$200,MATCH(N25,$Y$1:$Y$200,-1)-1,0,2))</f>
        <v>#N/A</v>
      </c>
      <c r="P25" s="5"/>
      <c r="Q25" s="5" t="n">
        <v>0.71</v>
      </c>
      <c r="R25" s="5" t="n">
        <f aca="false">AVERAGE(Q25:Q27)</f>
        <v>0.74</v>
      </c>
      <c r="S25" s="4"/>
      <c r="T25" s="10"/>
      <c r="U25" s="10"/>
      <c r="Y25" s="3" t="n">
        <v>1.6185</v>
      </c>
      <c r="Z25" s="3" t="n">
        <v>568.1</v>
      </c>
      <c r="AC25" s="1" t="n">
        <v>16.13248</v>
      </c>
      <c r="AD25" s="1" t="n">
        <v>2600</v>
      </c>
      <c r="AH25" s="4" t="n">
        <v>999.504989700821</v>
      </c>
      <c r="AI25" s="5" t="n">
        <v>1.21333333333333</v>
      </c>
    </row>
    <row r="26" customFormat="false" ht="15" hidden="false" customHeight="false" outlineLevel="0" collapsed="false">
      <c r="A26" s="17"/>
      <c r="B26" s="18"/>
      <c r="C26" s="18"/>
      <c r="D26" s="18"/>
      <c r="E26" s="18"/>
      <c r="F26" s="18"/>
      <c r="G26" s="5"/>
      <c r="H26" s="5"/>
      <c r="I26" s="5"/>
      <c r="J26" s="5"/>
      <c r="K26" s="5"/>
      <c r="L26" s="19"/>
      <c r="M26" s="19"/>
      <c r="N26" s="20"/>
      <c r="O26" s="4"/>
      <c r="P26" s="5"/>
      <c r="Q26" s="5" t="n">
        <v>0.75</v>
      </c>
      <c r="R26" s="5"/>
      <c r="S26" s="4"/>
      <c r="T26" s="10"/>
      <c r="U26" s="10"/>
      <c r="Y26" s="3" t="n">
        <v>1.6183</v>
      </c>
      <c r="Z26" s="3" t="n">
        <v>570.6</v>
      </c>
      <c r="AC26" s="1" t="n">
        <v>17.00605</v>
      </c>
      <c r="AD26" s="1" t="n">
        <v>2700</v>
      </c>
      <c r="AH26" s="4"/>
      <c r="AI26" s="5"/>
    </row>
    <row r="27" customFormat="false" ht="15" hidden="false" customHeight="false" outlineLevel="0" collapsed="false">
      <c r="A27" s="17"/>
      <c r="B27" s="18"/>
      <c r="C27" s="18"/>
      <c r="D27" s="18"/>
      <c r="E27" s="18"/>
      <c r="F27" s="18"/>
      <c r="G27" s="5"/>
      <c r="H27" s="5"/>
      <c r="I27" s="5"/>
      <c r="J27" s="5"/>
      <c r="K27" s="18"/>
      <c r="L27" s="19"/>
      <c r="M27" s="19"/>
      <c r="N27" s="20"/>
      <c r="O27" s="4"/>
      <c r="P27" s="5"/>
      <c r="Q27" s="5" t="n">
        <v>0.76</v>
      </c>
      <c r="R27" s="5"/>
      <c r="S27" s="4"/>
      <c r="T27" s="0"/>
      <c r="U27" s="0"/>
      <c r="Y27" s="3" t="n">
        <v>1.618</v>
      </c>
      <c r="Z27" s="3" t="n">
        <v>573.1</v>
      </c>
      <c r="AC27" s="1" t="n">
        <v>17.90054</v>
      </c>
      <c r="AD27" s="1" t="n">
        <v>2800</v>
      </c>
      <c r="AH27" s="4"/>
      <c r="AI27" s="5"/>
    </row>
    <row r="28" customFormat="false" ht="15" hidden="false" customHeight="false" outlineLevel="0" collapsed="false">
      <c r="A28" s="17"/>
      <c r="B28" s="18"/>
      <c r="C28" s="18"/>
      <c r="D28" s="18"/>
      <c r="E28" s="18"/>
      <c r="F28" s="18"/>
      <c r="G28" s="5"/>
      <c r="H28" s="5"/>
      <c r="I28" s="5" t="n">
        <v>223</v>
      </c>
      <c r="J28" s="5" t="n">
        <v>25</v>
      </c>
      <c r="K28" s="18" t="n">
        <f aca="false">$B$3-(I28+J28/60)*PI()/180</f>
        <v>0.882845713300465</v>
      </c>
      <c r="L28" s="19" t="n">
        <f aca="false">2/(SIN($B$2)*SIN($B$2))*(SIN(K28-$G$13+$B$2)+COS($B$2)*SIN($G$13))</f>
        <v>3.30948043484565</v>
      </c>
      <c r="M28" s="5" t="n">
        <f aca="false">1/(2*SQRT(N28))*(ABS((2*SIN($G$13)*COS($G$13)+L28)*(COS($B$2)*COS($G$13)-COS(K28-$G$13+$B$2)))*$H$13+ABS(L28*COS(K28-$G$13+$B$2))*$K$11)</f>
        <v>0.0054826079071274</v>
      </c>
      <c r="N28" s="20" t="n">
        <f aca="false">SQRT(SIN($G$13)*SIN($G$13) + (SIN(K28-$G$13+$B$2)  + COS($B$2)*SIN($G$13) )* (SIN(K28-$G$13+$B$2)  + COS($B$2)*SIN($G$13) )/(SIN($B$2)*SIN($B$2))   )</f>
        <v>1.64350459851147</v>
      </c>
      <c r="O28" s="4" t="e">
        <f aca="true">FORECAST(N28,OFFSET($Z$1:$Z$200,MATCH(N28,$Y$1:$Y$200,-1)-1,0,2),OFFSET($Y$1:$Y$200,MATCH(N28,$Y$1:$Y$200,-1)-1,0,2))</f>
        <v>#N/A</v>
      </c>
      <c r="P28" s="5"/>
      <c r="Q28" s="5" t="n">
        <v>1.45</v>
      </c>
      <c r="R28" s="5" t="n">
        <f aca="false">AVERAGE(Q28:Q30)</f>
        <v>1.46</v>
      </c>
      <c r="S28" s="4"/>
      <c r="T28" s="10"/>
      <c r="U28" s="10"/>
      <c r="Y28" s="3" t="n">
        <v>1.6178</v>
      </c>
      <c r="Z28" s="3" t="n">
        <v>575.7</v>
      </c>
      <c r="AC28" s="1" t="n">
        <v>18.81629</v>
      </c>
      <c r="AD28" s="1" t="n">
        <v>2900</v>
      </c>
      <c r="AH28" s="4" t="n">
        <v>1444.51455441643</v>
      </c>
      <c r="AI28" s="5" t="n">
        <v>0.313333333333333</v>
      </c>
    </row>
    <row r="29" customFormat="false" ht="15" hidden="false" customHeight="false" outlineLevel="0" collapsed="false">
      <c r="A29" s="17"/>
      <c r="B29" s="18"/>
      <c r="C29" s="18"/>
      <c r="D29" s="18"/>
      <c r="E29" s="18"/>
      <c r="F29" s="18"/>
      <c r="G29" s="5"/>
      <c r="H29" s="5"/>
      <c r="I29" s="5"/>
      <c r="J29" s="5"/>
      <c r="K29" s="5"/>
      <c r="L29" s="19"/>
      <c r="M29" s="19"/>
      <c r="N29" s="20"/>
      <c r="O29" s="4"/>
      <c r="P29" s="5"/>
      <c r="Q29" s="5" t="n">
        <v>1.48</v>
      </c>
      <c r="R29" s="5"/>
      <c r="S29" s="4"/>
      <c r="T29" s="10"/>
      <c r="U29" s="10"/>
      <c r="Y29" s="3" t="n">
        <v>1.6176</v>
      </c>
      <c r="Z29" s="3" t="n">
        <v>578.3</v>
      </c>
      <c r="AC29" s="1" t="n">
        <v>19.75363</v>
      </c>
      <c r="AD29" s="1" t="n">
        <v>3000</v>
      </c>
      <c r="AH29" s="4"/>
      <c r="AI29" s="5"/>
    </row>
    <row r="30" customFormat="false" ht="15" hidden="false" customHeight="false" outlineLevel="0" collapsed="false">
      <c r="A30" s="17"/>
      <c r="B30" s="18"/>
      <c r="C30" s="18"/>
      <c r="D30" s="18"/>
      <c r="E30" s="18"/>
      <c r="F30" s="18"/>
      <c r="G30" s="5"/>
      <c r="H30" s="5"/>
      <c r="I30" s="5"/>
      <c r="J30" s="5"/>
      <c r="K30" s="18"/>
      <c r="L30" s="19"/>
      <c r="M30" s="19"/>
      <c r="N30" s="20"/>
      <c r="O30" s="4"/>
      <c r="P30" s="5"/>
      <c r="Q30" s="5" t="n">
        <v>1.45</v>
      </c>
      <c r="R30" s="5"/>
      <c r="S30" s="4"/>
      <c r="T30" s="0"/>
      <c r="U30" s="0"/>
      <c r="Y30" s="3" t="n">
        <v>1.6173</v>
      </c>
      <c r="Z30" s="3" t="n">
        <v>580.9</v>
      </c>
      <c r="AC30" s="1" t="n">
        <v>20.71291</v>
      </c>
      <c r="AD30" s="1" t="n">
        <v>3100</v>
      </c>
      <c r="AH30" s="4"/>
      <c r="AI30" s="5"/>
    </row>
    <row r="31" customFormat="false" ht="15" hidden="false" customHeight="false" outlineLevel="0" collapsed="false">
      <c r="A31" s="17"/>
      <c r="B31" s="18"/>
      <c r="C31" s="18"/>
      <c r="D31" s="18"/>
      <c r="E31" s="18"/>
      <c r="F31" s="18"/>
      <c r="G31" s="5"/>
      <c r="H31" s="5"/>
      <c r="I31" s="5" t="n">
        <v>223</v>
      </c>
      <c r="J31" s="5" t="n">
        <v>46</v>
      </c>
      <c r="K31" s="18" t="n">
        <f aca="false">$B$3-(I31+J31/60)*PI()/180</f>
        <v>0.876737060918485</v>
      </c>
      <c r="L31" s="19" t="n">
        <f aca="false">2/(SIN($B$2)*SIN($B$2))*(SIN(K31-$G$13+$B$2)+COS($B$2)*SIN($G$13))</f>
        <v>3.30056805676926</v>
      </c>
      <c r="M31" s="5" t="n">
        <f aca="false">1/(2*SQRT(N31))*(ABS((2*SIN($G$13)*COS($G$13)+L31)*(COS($B$2)*COS($G$13)-COS(K31-$G$13+$B$2)))*$H$13+ABS(L31*COS(K31-$G$13+$B$2))*$K$11)</f>
        <v>0.00558497291220162</v>
      </c>
      <c r="N31" s="20" t="n">
        <f aca="false">SQRT(SIN($G$13)*SIN($G$13) + (SIN(K31-$G$13+$B$2)  + COS($B$2)*SIN($G$13) )* (SIN(K31-$G$13+$B$2)  + COS($B$2)*SIN($G$13) )/(SIN($B$2)*SIN($B$2))   )</f>
        <v>1.64014069692724</v>
      </c>
      <c r="O31" s="4" t="e">
        <f aca="true">FORECAST(N31,OFFSET($Z$1:$Z$200,MATCH(N31,$Y$1:$Y$200,-1)-1,0,2),OFFSET($Y$1:$Y$200,MATCH(N31,$Y$1:$Y$200,-1)-1,0,2))</f>
        <v>#N/A</v>
      </c>
      <c r="P31" s="5"/>
      <c r="Q31" s="5" t="n">
        <v>2.22</v>
      </c>
      <c r="R31" s="5" t="n">
        <f aca="false">AVERAGE(Q31:Q33)</f>
        <v>2.24333333333333</v>
      </c>
      <c r="S31" s="4"/>
      <c r="T31" s="10"/>
      <c r="U31" s="10"/>
      <c r="Y31" s="3" t="n">
        <v>1.6171</v>
      </c>
      <c r="Z31" s="3" t="n">
        <v>583.5</v>
      </c>
      <c r="AC31" s="1" t="n">
        <v>21.69445</v>
      </c>
      <c r="AD31" s="1" t="n">
        <v>3200</v>
      </c>
      <c r="AH31" s="4" t="n">
        <v>1990.63787818042</v>
      </c>
      <c r="AI31" s="5" t="n">
        <v>0.0266666666666667</v>
      </c>
    </row>
    <row r="32" customFormat="false" ht="15" hidden="false" customHeight="false" outlineLevel="0" collapsed="false">
      <c r="A32" s="17"/>
      <c r="B32" s="18"/>
      <c r="C32" s="18"/>
      <c r="D32" s="18"/>
      <c r="E32" s="18"/>
      <c r="F32" s="18"/>
      <c r="G32" s="5"/>
      <c r="H32" s="5"/>
      <c r="I32" s="5"/>
      <c r="J32" s="5"/>
      <c r="K32" s="5"/>
      <c r="L32" s="19"/>
      <c r="M32" s="19"/>
      <c r="N32" s="20"/>
      <c r="O32" s="4"/>
      <c r="P32" s="5"/>
      <c r="Q32" s="5" t="n">
        <v>2.26</v>
      </c>
      <c r="R32" s="5"/>
      <c r="S32" s="4"/>
      <c r="T32" s="10"/>
      <c r="U32" s="10"/>
      <c r="Y32" s="3" t="n">
        <v>1.6169</v>
      </c>
      <c r="Z32" s="3" t="n">
        <v>586.2</v>
      </c>
      <c r="AC32" s="1" t="n">
        <v>22.69861</v>
      </c>
      <c r="AD32" s="1" t="n">
        <v>3300</v>
      </c>
      <c r="AH32" s="4"/>
      <c r="AI32" s="5"/>
    </row>
    <row r="33" customFormat="false" ht="15" hidden="false" customHeight="false" outlineLevel="0" collapsed="false">
      <c r="A33" s="17"/>
      <c r="B33" s="18"/>
      <c r="C33" s="18"/>
      <c r="D33" s="18"/>
      <c r="E33" s="18"/>
      <c r="F33" s="18"/>
      <c r="G33" s="5"/>
      <c r="H33" s="5"/>
      <c r="I33" s="5"/>
      <c r="J33" s="5"/>
      <c r="K33" s="18"/>
      <c r="L33" s="19"/>
      <c r="M33" s="19"/>
      <c r="N33" s="20"/>
      <c r="O33" s="4"/>
      <c r="P33" s="5"/>
      <c r="Q33" s="5" t="n">
        <v>2.25</v>
      </c>
      <c r="R33" s="5"/>
      <c r="S33" s="4"/>
      <c r="T33" s="0"/>
      <c r="U33" s="0"/>
      <c r="Y33" s="3" t="n">
        <v>1.6166</v>
      </c>
      <c r="Z33" s="3" t="n">
        <v>589</v>
      </c>
      <c r="AC33" s="1" t="n">
        <v>23.72571</v>
      </c>
      <c r="AD33" s="1" t="n">
        <v>3400</v>
      </c>
      <c r="AH33" s="4"/>
      <c r="AI33" s="5"/>
    </row>
    <row r="34" customFormat="false" ht="15" hidden="false" customHeight="false" outlineLevel="0" collapsed="false">
      <c r="A34" s="17"/>
      <c r="B34" s="18"/>
      <c r="C34" s="18"/>
      <c r="D34" s="18"/>
      <c r="E34" s="18"/>
      <c r="F34" s="18"/>
      <c r="G34" s="5"/>
      <c r="H34" s="5"/>
      <c r="I34" s="5" t="n">
        <f aca="false">I28+1</f>
        <v>224</v>
      </c>
      <c r="J34" s="5" t="n">
        <v>25</v>
      </c>
      <c r="K34" s="18" t="n">
        <f aca="false">$B$3-(I34+J34/60)*PI()/180</f>
        <v>0.865392420780522</v>
      </c>
      <c r="L34" s="19" t="n">
        <f aca="false">2/(SIN($B$2)*SIN($B$2))*(SIN(K34-$G$13+$B$2)+COS($B$2)*SIN($G$13))</f>
        <v>3.28379621041314</v>
      </c>
      <c r="M34" s="5" t="n">
        <f aca="false">1/(2*SQRT(N34))*(ABS((2*SIN($G$13)*COS($G$13)+L34)*(COS($B$2)*COS($G$13)-COS(K34-$G$13+$B$2)))*$H$13+ABS(L34*COS(K34-$G$13+$B$2))*$K$11)</f>
        <v>0.00577310861026976</v>
      </c>
      <c r="N34" s="20" t="n">
        <f aca="false">SQRT(SIN($G$13)*SIN($G$13) + (SIN(K34-$G$13+$B$2)  + COS($B$2)*SIN($G$13) )* (SIN(K34-$G$13+$B$2)  + COS($B$2)*SIN($G$13) )/(SIN($B$2)*SIN($B$2))   )</f>
        <v>1.63381624299418</v>
      </c>
      <c r="O34" s="4" t="e">
        <f aca="true">FORECAST(N34,OFFSET($Z$1:$Z$200,MATCH(N34,$Y$1:$Y$200,-1)-1,0,2),OFFSET($Y$1:$Y$200,MATCH(N34,$Y$1:$Y$200,-1)-1,0,2))</f>
        <v>#N/A</v>
      </c>
      <c r="P34" s="5"/>
      <c r="Q34" s="5" t="n">
        <v>5.05</v>
      </c>
      <c r="R34" s="5" t="n">
        <f aca="false">AVERAGE(Q34:Q36)</f>
        <v>5.04333333333333</v>
      </c>
      <c r="S34" s="22"/>
      <c r="T34" s="10"/>
      <c r="U34" s="10"/>
      <c r="Y34" s="3" t="n">
        <v>1.6164</v>
      </c>
      <c r="Z34" s="3" t="n">
        <v>591.7</v>
      </c>
      <c r="AC34" s="1" t="n">
        <v>24.77609</v>
      </c>
      <c r="AD34" s="1" t="n">
        <v>3500</v>
      </c>
    </row>
    <row r="35" customFormat="false" ht="15" hidden="false" customHeight="false" outlineLevel="0" collapsed="false">
      <c r="A35" s="17"/>
      <c r="B35" s="18"/>
      <c r="C35" s="18"/>
      <c r="D35" s="18"/>
      <c r="E35" s="18"/>
      <c r="F35" s="18"/>
      <c r="G35" s="5"/>
      <c r="H35" s="5"/>
      <c r="I35" s="5"/>
      <c r="J35" s="5"/>
      <c r="K35" s="5"/>
      <c r="L35" s="19"/>
      <c r="M35" s="19"/>
      <c r="N35" s="20"/>
      <c r="O35" s="4"/>
      <c r="P35" s="5"/>
      <c r="Q35" s="5" t="n">
        <v>5.03</v>
      </c>
      <c r="R35" s="5"/>
      <c r="S35" s="22"/>
      <c r="T35" s="10"/>
      <c r="U35" s="10"/>
      <c r="Y35" s="3" t="n">
        <v>1.6162</v>
      </c>
      <c r="Z35" s="3" t="n">
        <v>594.6</v>
      </c>
      <c r="AC35" s="1" t="n">
        <v>25.8501</v>
      </c>
      <c r="AD35" s="1" t="n">
        <v>3600</v>
      </c>
    </row>
    <row r="36" customFormat="false" ht="15" hidden="false" customHeight="false" outlineLevel="0" collapsed="false">
      <c r="A36" s="17"/>
      <c r="B36" s="18"/>
      <c r="C36" s="18"/>
      <c r="D36" s="18"/>
      <c r="E36" s="18"/>
      <c r="F36" s="18"/>
      <c r="G36" s="5"/>
      <c r="H36" s="5"/>
      <c r="I36" s="5"/>
      <c r="J36" s="5"/>
      <c r="K36" s="18"/>
      <c r="L36" s="19"/>
      <c r="M36" s="19"/>
      <c r="N36" s="20"/>
      <c r="O36" s="4"/>
      <c r="P36" s="5"/>
      <c r="Q36" s="5" t="n">
        <v>5.05</v>
      </c>
      <c r="R36" s="5"/>
      <c r="S36" s="22"/>
      <c r="T36" s="0"/>
      <c r="U36" s="0"/>
      <c r="Y36" s="3" t="n">
        <v>1.6159</v>
      </c>
      <c r="Z36" s="3" t="n">
        <v>597.4</v>
      </c>
      <c r="AD36" s="1" t="n">
        <v>0</v>
      </c>
    </row>
    <row r="37" customFormat="false" ht="15" hidden="false" customHeight="false" outlineLevel="0" collapsed="false">
      <c r="A37" s="17"/>
      <c r="B37" s="18"/>
      <c r="C37" s="18"/>
      <c r="D37" s="18"/>
      <c r="E37" s="18"/>
      <c r="F37" s="18"/>
      <c r="G37" s="5"/>
      <c r="H37" s="5"/>
      <c r="I37" s="5" t="n">
        <f aca="false">I31+1</f>
        <v>224</v>
      </c>
      <c r="J37" s="5" t="n">
        <v>51</v>
      </c>
      <c r="K37" s="18" t="n">
        <f aca="false">$B$3-(I37+J37/60)*PI()/180</f>
        <v>0.857829327355213</v>
      </c>
      <c r="L37" s="19" t="n">
        <f aca="false">2/(SIN($B$2)*SIN($B$2))*(SIN(K37-$G$13+$B$2)+COS($B$2)*SIN($G$13))</f>
        <v>3.2724567652279</v>
      </c>
      <c r="M37" s="5" t="n">
        <f aca="false">1/(2*SQRT(N37))*(ABS((2*SIN($G$13)*COS($G$13)+L37)*(COS($B$2)*COS($G$13)-COS(K37-$G$13+$B$2)))*$H$13+ABS(L37*COS(K37-$G$13+$B$2))*$K$11)</f>
        <v>0.00589709186762308</v>
      </c>
      <c r="N37" s="20" t="n">
        <f aca="false">SQRT(SIN($G$13)*SIN($G$13) + (SIN(K37-$G$13+$B$2)  + COS($B$2)*SIN($G$13) )* (SIN(K37-$G$13+$B$2)  + COS($B$2)*SIN($G$13) )/(SIN($B$2)*SIN($B$2))   )</f>
        <v>1.62954471095902</v>
      </c>
      <c r="O37" s="4" t="e">
        <f aca="true">FORECAST(N37,OFFSET($Z$1:$Z$200,MATCH(N37,$Y$1:$Y$200,-1)-1,0,2),OFFSET($Y$1:$Y$200,MATCH(N37,$Y$1:$Y$200,-1)-1,0,2))</f>
        <v>#N/A</v>
      </c>
      <c r="P37" s="5"/>
      <c r="Q37" s="5" t="n">
        <v>7.7</v>
      </c>
      <c r="R37" s="5" t="n">
        <f aca="false">AVERAGE(Q37:Q39)</f>
        <v>7.64666666666667</v>
      </c>
      <c r="S37" s="22"/>
      <c r="T37" s="10"/>
      <c r="U37" s="10"/>
      <c r="Y37" s="3" t="n">
        <v>1.6157</v>
      </c>
      <c r="Z37" s="3" t="n">
        <v>600.3</v>
      </c>
      <c r="AD37" s="1" t="n">
        <v>0</v>
      </c>
    </row>
    <row r="38" customFormat="false" ht="15" hidden="false" customHeight="false" outlineLevel="0" collapsed="false">
      <c r="A38" s="17"/>
      <c r="B38" s="18"/>
      <c r="C38" s="18"/>
      <c r="D38" s="18"/>
      <c r="E38" s="18"/>
      <c r="F38" s="18"/>
      <c r="G38" s="5"/>
      <c r="H38" s="5"/>
      <c r="I38" s="5"/>
      <c r="J38" s="5"/>
      <c r="K38" s="5"/>
      <c r="L38" s="19"/>
      <c r="M38" s="19"/>
      <c r="N38" s="20"/>
      <c r="O38" s="4"/>
      <c r="P38" s="5"/>
      <c r="Q38" s="5" t="n">
        <v>7.64</v>
      </c>
      <c r="R38" s="5"/>
      <c r="S38" s="22"/>
      <c r="T38" s="10"/>
      <c r="U38" s="10"/>
      <c r="Y38" s="3" t="n">
        <v>1.6154</v>
      </c>
      <c r="Z38" s="3" t="n">
        <v>603.3</v>
      </c>
    </row>
    <row r="39" customFormat="false" ht="15" hidden="false" customHeight="false" outlineLevel="0" collapsed="false">
      <c r="A39" s="17"/>
      <c r="B39" s="18"/>
      <c r="C39" s="18"/>
      <c r="D39" s="18"/>
      <c r="E39" s="18"/>
      <c r="F39" s="18"/>
      <c r="G39" s="5"/>
      <c r="H39" s="5"/>
      <c r="I39" s="5"/>
      <c r="J39" s="5"/>
      <c r="K39" s="18"/>
      <c r="L39" s="19"/>
      <c r="M39" s="19"/>
      <c r="N39" s="20"/>
      <c r="O39" s="4"/>
      <c r="P39" s="5"/>
      <c r="Q39" s="5" t="n">
        <v>7.6</v>
      </c>
      <c r="R39" s="5"/>
      <c r="S39" s="22"/>
      <c r="T39" s="0"/>
      <c r="U39" s="0"/>
      <c r="Y39" s="3" t="n">
        <v>1.6152</v>
      </c>
      <c r="Z39" s="3" t="n">
        <v>606.2</v>
      </c>
    </row>
    <row r="40" customFormat="false" ht="15" hidden="false" customHeight="false" outlineLevel="0" collapsed="false">
      <c r="A40" s="17"/>
      <c r="B40" s="18"/>
      <c r="C40" s="18"/>
      <c r="D40" s="18"/>
      <c r="E40" s="18"/>
      <c r="F40" s="18"/>
      <c r="G40" s="5"/>
      <c r="H40" s="5"/>
      <c r="I40" s="5" t="n">
        <f aca="false">I34+1</f>
        <v>225</v>
      </c>
      <c r="J40" s="5" t="n">
        <v>20</v>
      </c>
      <c r="K40" s="18" t="n">
        <f aca="false">$B$3-(I40+J40/60)*PI()/180</f>
        <v>0.849393569303907</v>
      </c>
      <c r="L40" s="19" t="n">
        <f aca="false">2/(SIN($B$2)*SIN($B$2))*(SIN(K40-$G$13+$B$2)+COS($B$2)*SIN($G$13))</f>
        <v>3.2596605231122</v>
      </c>
      <c r="M40" s="5" t="n">
        <f aca="false">1/(2*SQRT(N40))*(ABS((2*SIN($G$13)*COS($G$13)+L40)*(COS($B$2)*COS($G$13)-COS(K40-$G$13+$B$2)))*$H$13+ABS(L40*COS(K40-$G$13+$B$2))*$K$11)</f>
        <v>0.0060340037480361</v>
      </c>
      <c r="N40" s="23" t="n">
        <f aca="false">SQRT(SIN($G$13)*SIN($G$13) + (SIN(K40-$G$13+$B$2)  + COS($B$2)*SIN($G$13) )* (SIN(K40-$G$13+$B$2)  + COS($B$2)*SIN($G$13) )/(SIN($B$2)*SIN($B$2))   )</f>
        <v>1.6247287423056</v>
      </c>
      <c r="O40" s="4" t="e">
        <f aca="true">FORECAST(N40,OFFSET($Z$1:$Z$200,MATCH(N40,$Y$1:$Y$200,-1)-1,0,2),OFFSET($Y$1:$Y$200,MATCH(N40,$Y$1:$Y$200,-1)-1,0,2))</f>
        <v>#N/A</v>
      </c>
      <c r="P40" s="5"/>
      <c r="Q40" s="5" t="n">
        <v>9.96</v>
      </c>
      <c r="R40" s="5" t="n">
        <f aca="false">AVERAGE(Q40:Q42)</f>
        <v>9.9</v>
      </c>
      <c r="S40" s="22"/>
      <c r="T40" s="10"/>
      <c r="U40" s="10"/>
      <c r="Y40" s="3" t="n">
        <v>1.615</v>
      </c>
      <c r="Z40" s="3" t="n">
        <v>609.3</v>
      </c>
    </row>
    <row r="41" customFormat="false" ht="15" hidden="false" customHeight="false" outlineLevel="0" collapsed="false">
      <c r="A41" s="17"/>
      <c r="B41" s="18"/>
      <c r="C41" s="18"/>
      <c r="D41" s="18"/>
      <c r="E41" s="18"/>
      <c r="F41" s="18"/>
      <c r="G41" s="5"/>
      <c r="H41" s="5"/>
      <c r="I41" s="5"/>
      <c r="J41" s="5"/>
      <c r="K41" s="5"/>
      <c r="L41" s="19"/>
      <c r="M41" s="19"/>
      <c r="N41" s="23"/>
      <c r="O41" s="4"/>
      <c r="P41" s="5"/>
      <c r="Q41" s="5" t="n">
        <v>9.83</v>
      </c>
      <c r="R41" s="5"/>
      <c r="S41" s="22"/>
      <c r="T41" s="10"/>
      <c r="U41" s="10"/>
      <c r="Y41" s="3" t="n">
        <v>1.6147</v>
      </c>
      <c r="Z41" s="3" t="n">
        <v>612.4</v>
      </c>
    </row>
    <row r="42" customFormat="false" ht="15" hidden="false" customHeight="false" outlineLevel="0" collapsed="false">
      <c r="A42" s="17"/>
      <c r="B42" s="18"/>
      <c r="C42" s="18"/>
      <c r="D42" s="18"/>
      <c r="E42" s="18"/>
      <c r="F42" s="18"/>
      <c r="G42" s="5"/>
      <c r="H42" s="5"/>
      <c r="I42" s="5"/>
      <c r="J42" s="5"/>
      <c r="K42" s="18"/>
      <c r="L42" s="19"/>
      <c r="M42" s="19"/>
      <c r="N42" s="23"/>
      <c r="O42" s="4"/>
      <c r="P42" s="5"/>
      <c r="Q42" s="5" t="n">
        <v>9.91</v>
      </c>
      <c r="R42" s="5"/>
      <c r="S42" s="22"/>
      <c r="T42" s="0"/>
      <c r="U42" s="0"/>
      <c r="Y42" s="3" t="n">
        <v>1.6145</v>
      </c>
      <c r="Z42" s="3" t="n">
        <v>615.5</v>
      </c>
    </row>
    <row r="43" customFormat="false" ht="15" hidden="false" customHeight="false" outlineLevel="0" collapsed="false">
      <c r="A43" s="17"/>
      <c r="B43" s="18"/>
      <c r="C43" s="18"/>
      <c r="D43" s="18"/>
      <c r="E43" s="18"/>
      <c r="F43" s="18"/>
      <c r="G43" s="5"/>
      <c r="H43" s="5"/>
      <c r="I43" s="5" t="n">
        <f aca="false">I37+1</f>
        <v>225</v>
      </c>
      <c r="J43" s="5" t="n">
        <v>42</v>
      </c>
      <c r="K43" s="18" t="n">
        <f aca="false">$B$3-(I43+J43/60)*PI()/180</f>
        <v>0.842994028713261</v>
      </c>
      <c r="L43" s="19" t="n">
        <f aca="false">2/(SIN($B$2)*SIN($B$2))*(SIN(K43-$G$13+$B$2)+COS($B$2)*SIN($G$13))</f>
        <v>3.24984917516863</v>
      </c>
      <c r="M43" s="5" t="n">
        <f aca="false">1/(2*SQRT(N43))*(ABS((2*SIN($G$13)*COS($G$13)+L43)*(COS($B$2)*COS($G$13)-COS(K43-$G$13+$B$2)))*$H$13+ABS(L43*COS(K43-$G$13+$B$2))*$K$11)</f>
        <v>0.00613688917926384</v>
      </c>
      <c r="N43" s="24" t="n">
        <f aca="false">SQRT(SIN($G$13)*SIN($G$13) + (SIN(K43-$G$13+$B$2)  + COS($B$2)*SIN($G$13) )* (SIN(K43-$G$13+$B$2)  + COS($B$2)*SIN($G$13) )/(SIN($B$2)*SIN($B$2))   )</f>
        <v>1.62103929978979</v>
      </c>
      <c r="O43" s="4" t="n">
        <f aca="true">FORECAST(N43,OFFSET($Z$1:$Z$200,MATCH(N43,$Y$1:$Y$200,-1)-1,0,2),OFFSET($Y$1:$Y$200,MATCH(N43,$Y$1:$Y$200,-1)-1,0,2))</f>
        <v>543.16770231231</v>
      </c>
      <c r="P43" s="5"/>
      <c r="Q43" s="25" t="n">
        <v>10.42</v>
      </c>
      <c r="R43" s="5" t="n">
        <f aca="false">AVERAGE(Q43:Q45)</f>
        <v>10.3933333333333</v>
      </c>
      <c r="S43" s="22"/>
      <c r="T43" s="10"/>
      <c r="U43" s="10"/>
      <c r="Y43" s="3" t="n">
        <v>1.6143</v>
      </c>
      <c r="Z43" s="3" t="n">
        <v>618.7</v>
      </c>
    </row>
    <row r="44" customFormat="false" ht="15" hidden="false" customHeight="false" outlineLevel="0" collapsed="false">
      <c r="A44" s="17"/>
      <c r="B44" s="18"/>
      <c r="C44" s="18"/>
      <c r="D44" s="18"/>
      <c r="E44" s="18"/>
      <c r="F44" s="18"/>
      <c r="G44" s="5"/>
      <c r="H44" s="5"/>
      <c r="I44" s="5"/>
      <c r="J44" s="5"/>
      <c r="K44" s="5"/>
      <c r="L44" s="19"/>
      <c r="M44" s="19"/>
      <c r="N44" s="24"/>
      <c r="O44" s="4"/>
      <c r="P44" s="5"/>
      <c r="Q44" s="25" t="n">
        <v>10.36</v>
      </c>
      <c r="R44" s="5"/>
      <c r="S44" s="22"/>
      <c r="T44" s="10"/>
      <c r="U44" s="10"/>
      <c r="Y44" s="3" t="n">
        <v>1.614</v>
      </c>
      <c r="Z44" s="3" t="n">
        <v>621.9</v>
      </c>
    </row>
    <row r="45" customFormat="false" ht="15" hidden="false" customHeight="false" outlineLevel="0" collapsed="false">
      <c r="A45" s="17"/>
      <c r="B45" s="18"/>
      <c r="C45" s="18"/>
      <c r="D45" s="18"/>
      <c r="E45" s="18"/>
      <c r="F45" s="18"/>
      <c r="G45" s="5"/>
      <c r="H45" s="5"/>
      <c r="I45" s="5"/>
      <c r="J45" s="5"/>
      <c r="K45" s="18"/>
      <c r="L45" s="19"/>
      <c r="M45" s="19"/>
      <c r="N45" s="24"/>
      <c r="O45" s="4"/>
      <c r="P45" s="5"/>
      <c r="Q45" s="25" t="n">
        <v>10.4</v>
      </c>
      <c r="R45" s="5"/>
      <c r="S45" s="22"/>
      <c r="T45" s="0"/>
      <c r="U45" s="0"/>
      <c r="Y45" s="3" t="n">
        <v>1.6138</v>
      </c>
      <c r="Z45" s="3" t="n">
        <v>625.2</v>
      </c>
    </row>
    <row r="46" customFormat="false" ht="15" hidden="false" customHeight="false" outlineLevel="0" collapsed="false">
      <c r="A46" s="17"/>
      <c r="B46" s="18"/>
      <c r="C46" s="18"/>
      <c r="D46" s="18"/>
      <c r="E46" s="18"/>
      <c r="F46" s="18"/>
      <c r="G46" s="5"/>
      <c r="H46" s="5"/>
      <c r="I46" s="5" t="n">
        <v>225</v>
      </c>
      <c r="J46" s="5" t="n">
        <v>47</v>
      </c>
      <c r="K46" s="18" t="n">
        <f aca="false">$B$3-(I46+J46/60)*PI()/180</f>
        <v>0.841539587669933</v>
      </c>
      <c r="L46" s="19" t="n">
        <f aca="false">2/(SIN($B$2)*SIN($B$2))*(SIN(K46-$G$13+$B$2)+COS($B$2)*SIN($G$13))</f>
        <v>3.24760687499952</v>
      </c>
      <c r="M46" s="5" t="n">
        <f aca="false">1/(2*SQRT(N46))*(ABS((2*SIN($G$13)*COS($G$13)+L46)*(COS($B$2)*COS($G$13)-COS(K46-$G$13+$B$2)))*$H$13+ABS(L46*COS(K46-$G$13+$B$2))*$K$11)</f>
        <v>0.00616015359876075</v>
      </c>
      <c r="N46" s="24" t="n">
        <f aca="false">SQRT(SIN($G$13)*SIN($G$13) + (SIN(K46-$G$13+$B$2)  + COS($B$2)*SIN($G$13) )* (SIN(K46-$G$13+$B$2)  + COS($B$2)*SIN($G$13) )/(SIN($B$2)*SIN($B$2))   )</f>
        <v>1.62019649354267</v>
      </c>
      <c r="O46" s="4" t="n">
        <f aca="true">FORECAST(N46,OFFSET($Z$1:$Z$200,MATCH(N46,$Y$1:$Y$200,-1)-1,0,2),OFFSET($Y$1:$Y$200,MATCH(N46,$Y$1:$Y$200,-1)-1,0,2))</f>
        <v>551.42688283953</v>
      </c>
      <c r="P46" s="5"/>
      <c r="Q46" s="5" t="n">
        <v>10.36</v>
      </c>
      <c r="R46" s="5" t="n">
        <f aca="false">AVERAGE(Q46:Q48)</f>
        <v>10.38</v>
      </c>
      <c r="S46" s="22"/>
      <c r="T46" s="10"/>
      <c r="U46" s="10"/>
      <c r="Y46" s="3" t="n">
        <v>1.6136</v>
      </c>
      <c r="Z46" s="3" t="n">
        <v>628.5</v>
      </c>
    </row>
    <row r="47" customFormat="false" ht="15" hidden="false" customHeight="false" outlineLevel="0" collapsed="false">
      <c r="A47" s="17"/>
      <c r="B47" s="18"/>
      <c r="C47" s="18"/>
      <c r="D47" s="18"/>
      <c r="E47" s="18"/>
      <c r="F47" s="18"/>
      <c r="G47" s="5"/>
      <c r="H47" s="5"/>
      <c r="I47" s="5"/>
      <c r="J47" s="5"/>
      <c r="K47" s="5"/>
      <c r="L47" s="19"/>
      <c r="M47" s="19"/>
      <c r="N47" s="24"/>
      <c r="O47" s="4"/>
      <c r="P47" s="5"/>
      <c r="Q47" s="5" t="n">
        <v>10.43</v>
      </c>
      <c r="R47" s="5"/>
      <c r="S47" s="22"/>
      <c r="T47" s="10"/>
      <c r="U47" s="10"/>
      <c r="Y47" s="3" t="n">
        <v>1.6133</v>
      </c>
      <c r="Z47" s="3" t="n">
        <v>631.9</v>
      </c>
    </row>
    <row r="48" customFormat="false" ht="15" hidden="false" customHeight="false" outlineLevel="0" collapsed="false">
      <c r="A48" s="17"/>
      <c r="B48" s="18"/>
      <c r="C48" s="18"/>
      <c r="D48" s="18"/>
      <c r="E48" s="18"/>
      <c r="F48" s="18"/>
      <c r="G48" s="5"/>
      <c r="H48" s="5"/>
      <c r="I48" s="5"/>
      <c r="J48" s="5"/>
      <c r="K48" s="18"/>
      <c r="L48" s="19"/>
      <c r="M48" s="19"/>
      <c r="N48" s="24"/>
      <c r="O48" s="4"/>
      <c r="P48" s="5"/>
      <c r="Q48" s="5" t="n">
        <v>10.35</v>
      </c>
      <c r="R48" s="5"/>
      <c r="S48" s="22"/>
      <c r="T48" s="0"/>
      <c r="U48" s="0"/>
      <c r="Y48" s="3" t="n">
        <v>1.6131</v>
      </c>
      <c r="Z48" s="3" t="n">
        <v>635.4</v>
      </c>
    </row>
    <row r="49" customFormat="false" ht="15" hidden="false" customHeight="false" outlineLevel="0" collapsed="false">
      <c r="A49" s="17"/>
      <c r="B49" s="18"/>
      <c r="C49" s="18"/>
      <c r="D49" s="18"/>
      <c r="E49" s="18"/>
      <c r="F49" s="18"/>
      <c r="G49" s="5"/>
      <c r="H49" s="5"/>
      <c r="I49" s="5" t="n">
        <v>225</v>
      </c>
      <c r="J49" s="5" t="n">
        <v>53</v>
      </c>
      <c r="K49" s="18" t="n">
        <f aca="false">$B$3-(I49+J49/60)*PI()/180</f>
        <v>0.839794258417938</v>
      </c>
      <c r="L49" s="19" t="n">
        <f aca="false">2/(SIN($B$2)*SIN($B$2))*(SIN(K49-$G$13+$B$2)+COS($B$2)*SIN($G$13))</f>
        <v>3.24491004268192</v>
      </c>
      <c r="M49" s="5" t="n">
        <f aca="false">1/(2*SQRT(N49))*(ABS((2*SIN($G$13)*COS($G$13)+L49)*(COS($B$2)*COS($G$13)-COS(K49-$G$13+$B$2)))*$H$13+ABS(L49*COS(K49-$G$13+$B$2))*$K$11)</f>
        <v>0.00618801265514838</v>
      </c>
      <c r="N49" s="24" t="n">
        <f aca="false">SQRT(SIN($G$13)*SIN($G$13) + (SIN(K49-$G$13+$B$2)  + COS($B$2)*SIN($G$13) )* (SIN(K49-$G$13+$B$2)  + COS($B$2)*SIN($G$13) )/(SIN($B$2)*SIN($B$2))   )</f>
        <v>1.61918303386826</v>
      </c>
      <c r="O49" s="4" t="n">
        <f aca="true">FORECAST(N49,OFFSET($Z$1:$Z$200,MATCH(N49,$Y$1:$Y$200,-1)-1,0,2),OFFSET($Y$1:$Y$200,MATCH(N49,$Y$1:$Y$200,-1)-1,0,2))</f>
        <v>561.003593580881</v>
      </c>
      <c r="P49" s="5"/>
      <c r="Q49" s="5" t="n">
        <v>9.82</v>
      </c>
      <c r="R49" s="5" t="n">
        <f aca="false">AVERAGE(Q49:Q51)</f>
        <v>9.84333333333333</v>
      </c>
      <c r="S49" s="22"/>
      <c r="T49" s="10"/>
      <c r="U49" s="10"/>
      <c r="Y49" s="3" t="n">
        <v>1.6129</v>
      </c>
      <c r="Z49" s="3" t="n">
        <v>638.9</v>
      </c>
    </row>
    <row r="50" customFormat="false" ht="15" hidden="false" customHeight="false" outlineLevel="0" collapsed="false">
      <c r="A50" s="17"/>
      <c r="B50" s="18"/>
      <c r="C50" s="18"/>
      <c r="D50" s="18"/>
      <c r="E50" s="18"/>
      <c r="F50" s="18"/>
      <c r="G50" s="5"/>
      <c r="H50" s="5"/>
      <c r="I50" s="5"/>
      <c r="J50" s="5"/>
      <c r="K50" s="5"/>
      <c r="L50" s="19"/>
      <c r="M50" s="19"/>
      <c r="N50" s="24"/>
      <c r="O50" s="4"/>
      <c r="P50" s="5"/>
      <c r="Q50" s="5" t="n">
        <v>9.89</v>
      </c>
      <c r="R50" s="5"/>
      <c r="S50" s="22"/>
      <c r="T50" s="10"/>
      <c r="U50" s="10"/>
      <c r="Y50" s="3" t="n">
        <v>1.6126</v>
      </c>
      <c r="Z50" s="3" t="n">
        <v>642.5</v>
      </c>
    </row>
    <row r="51" customFormat="false" ht="15" hidden="false" customHeight="false" outlineLevel="0" collapsed="false">
      <c r="A51" s="17"/>
      <c r="B51" s="18"/>
      <c r="C51" s="18"/>
      <c r="D51" s="18"/>
      <c r="E51" s="18"/>
      <c r="F51" s="18"/>
      <c r="G51" s="5"/>
      <c r="H51" s="5"/>
      <c r="I51" s="5"/>
      <c r="J51" s="5"/>
      <c r="K51" s="18"/>
      <c r="L51" s="19"/>
      <c r="M51" s="19"/>
      <c r="N51" s="24"/>
      <c r="O51" s="4"/>
      <c r="P51" s="5"/>
      <c r="Q51" s="5" t="n">
        <v>9.82</v>
      </c>
      <c r="R51" s="5"/>
      <c r="S51" s="22"/>
      <c r="T51" s="0"/>
      <c r="U51" s="0"/>
      <c r="Y51" s="3" t="n">
        <v>1.6124</v>
      </c>
      <c r="Z51" s="3" t="n">
        <v>646.1</v>
      </c>
    </row>
    <row r="52" customFormat="false" ht="15" hidden="false" customHeight="false" outlineLevel="0" collapsed="false">
      <c r="A52" s="17"/>
      <c r="B52" s="18"/>
      <c r="C52" s="18"/>
      <c r="D52" s="18"/>
      <c r="E52" s="18"/>
      <c r="F52" s="18"/>
      <c r="G52" s="5"/>
      <c r="H52" s="5"/>
      <c r="I52" s="5" t="n">
        <f aca="false">I40+1</f>
        <v>226</v>
      </c>
      <c r="J52" s="5" t="n">
        <v>2</v>
      </c>
      <c r="K52" s="18" t="n">
        <f aca="false">$B$3-(I52+J52/60)*PI()/180</f>
        <v>0.837176264539947</v>
      </c>
      <c r="L52" s="19" t="n">
        <f aca="false">2/(SIN($B$2)*SIN($B$2))*(SIN(K52-$G$13+$B$2)+COS($B$2)*SIN($G$13))</f>
        <v>3.24085239109263</v>
      </c>
      <c r="M52" s="5" t="n">
        <f aca="false">1/(2*SQRT(N52))*(ABS((2*SIN($G$13)*COS($G$13)+L52)*(COS($B$2)*COS($G$13)-COS(K52-$G$13+$B$2)))*$H$13+ABS(L52*COS(K52-$G$13+$B$2))*$K$11)</f>
        <v>0.00622968179125353</v>
      </c>
      <c r="N52" s="24" t="n">
        <f aca="false">SQRT(SIN($G$13)*SIN($G$13) + (SIN(K52-$G$13+$B$2)  + COS($B$2)*SIN($G$13) )* (SIN(K52-$G$13+$B$2)  + COS($B$2)*SIN($G$13) )/(SIN($B$2)*SIN($B$2))   )</f>
        <v>1.61765857533982</v>
      </c>
      <c r="O52" s="4" t="n">
        <f aca="true">FORECAST(N52,OFFSET($Z$1:$Z$200,MATCH(N52,$Y$1:$Y$200,-1)-1,0,2),OFFSET($Y$1:$Y$200,MATCH(N52,$Y$1:$Y$200,-1)-1,0,2))</f>
        <v>577.538520582338</v>
      </c>
      <c r="P52" s="5"/>
      <c r="Q52" s="5" t="n">
        <v>8.7</v>
      </c>
      <c r="R52" s="5" t="n">
        <f aca="false">AVERAGE(Q52:Q54)</f>
        <v>8.72333333333333</v>
      </c>
      <c r="S52" s="22"/>
      <c r="T52" s="10"/>
      <c r="U52" s="10"/>
      <c r="Y52" s="3" t="n">
        <v>1.6122</v>
      </c>
      <c r="Z52" s="3" t="n">
        <v>649.8</v>
      </c>
    </row>
    <row r="53" customFormat="false" ht="15" hidden="false" customHeight="false" outlineLevel="0" collapsed="false">
      <c r="A53" s="17"/>
      <c r="B53" s="18"/>
      <c r="C53" s="18"/>
      <c r="D53" s="18"/>
      <c r="E53" s="18"/>
      <c r="F53" s="18"/>
      <c r="G53" s="5"/>
      <c r="H53" s="5"/>
      <c r="I53" s="5"/>
      <c r="J53" s="5"/>
      <c r="K53" s="5"/>
      <c r="L53" s="19"/>
      <c r="M53" s="19"/>
      <c r="N53" s="24"/>
      <c r="O53" s="4"/>
      <c r="P53" s="5"/>
      <c r="Q53" s="5" t="n">
        <v>8.71</v>
      </c>
      <c r="R53" s="5"/>
      <c r="S53" s="22"/>
      <c r="T53" s="10"/>
      <c r="U53" s="10"/>
      <c r="Y53" s="3" t="n">
        <v>1.6119</v>
      </c>
      <c r="Z53" s="3" t="n">
        <v>653.6</v>
      </c>
    </row>
    <row r="54" customFormat="false" ht="15" hidden="false" customHeight="false" outlineLevel="0" collapsed="false">
      <c r="A54" s="17"/>
      <c r="B54" s="18"/>
      <c r="C54" s="18"/>
      <c r="D54" s="18"/>
      <c r="E54" s="18"/>
      <c r="F54" s="18"/>
      <c r="G54" s="5"/>
      <c r="H54" s="5"/>
      <c r="I54" s="5"/>
      <c r="J54" s="5"/>
      <c r="K54" s="18"/>
      <c r="L54" s="19"/>
      <c r="M54" s="19"/>
      <c r="N54" s="24"/>
      <c r="O54" s="4"/>
      <c r="P54" s="5"/>
      <c r="Q54" s="5" t="n">
        <v>8.76</v>
      </c>
      <c r="R54" s="5"/>
      <c r="S54" s="22"/>
      <c r="T54" s="0"/>
      <c r="U54" s="0"/>
      <c r="Y54" s="3" t="n">
        <v>1.6117</v>
      </c>
      <c r="Z54" s="3" t="n">
        <v>657.5</v>
      </c>
    </row>
    <row r="55" customFormat="false" ht="15" hidden="false" customHeight="false" outlineLevel="0" collapsed="false">
      <c r="A55" s="17"/>
      <c r="B55" s="18"/>
      <c r="C55" s="18"/>
      <c r="D55" s="18"/>
      <c r="E55" s="18"/>
      <c r="F55" s="18"/>
      <c r="G55" s="5"/>
      <c r="H55" s="5"/>
      <c r="I55" s="5" t="n">
        <f aca="false">I40+1</f>
        <v>226</v>
      </c>
      <c r="J55" s="5" t="n">
        <v>21</v>
      </c>
      <c r="K55" s="18" t="n">
        <f aca="false">$B$3-(I55+J55/60)*PI()/180</f>
        <v>0.831649388575299</v>
      </c>
      <c r="L55" s="19" t="n">
        <f aca="false">2/(SIN($B$2)*SIN($B$2))*(SIN(K55-$G$13+$B$2)+COS($B$2)*SIN($G$13))</f>
        <v>3.23223747544404</v>
      </c>
      <c r="M55" s="5" t="n">
        <f aca="false">1/(2*SQRT(N55))*(ABS((2*SIN($G$13)*COS($G$13)+L55)*(COS($B$2)*COS($G$13)-COS(K55-$G$13+$B$2)))*$H$13+ABS(L55*COS(K55-$G$13+$B$2))*$K$11)</f>
        <v>0.0063171772046187</v>
      </c>
      <c r="N55" s="24" t="n">
        <f aca="false">SQRT(SIN($G$13)*SIN($G$13) + (SIN(K55-$G$13+$B$2)  + COS($B$2)*SIN($G$13) )* (SIN(K55-$G$13+$B$2)  + COS($B$2)*SIN($G$13) )/(SIN($B$2)*SIN($B$2))   )</f>
        <v>1.61442352119049</v>
      </c>
      <c r="O55" s="4" t="n">
        <f aca="true">FORECAST(N55,OFFSET($Z$1:$Z$200,MATCH(N55,$Y$1:$Y$200,-1)-1,0,2),OFFSET($Y$1:$Y$200,MATCH(N55,$Y$1:$Y$200,-1)-1,0,2))</f>
        <v>616.72366095216</v>
      </c>
      <c r="P55" s="5"/>
      <c r="Q55" s="5" t="n">
        <v>7.82</v>
      </c>
      <c r="R55" s="5" t="n">
        <f aca="false">AVERAGE(Q55:Q57)</f>
        <v>7.79333333333333</v>
      </c>
      <c r="S55" s="22"/>
      <c r="T55" s="10"/>
      <c r="U55" s="10"/>
      <c r="Y55" s="3" t="n">
        <v>1.6114</v>
      </c>
      <c r="Z55" s="3" t="n">
        <v>661.4</v>
      </c>
    </row>
    <row r="56" customFormat="false" ht="15" hidden="false" customHeight="false" outlineLevel="0" collapsed="false">
      <c r="A56" s="17"/>
      <c r="B56" s="18"/>
      <c r="C56" s="18"/>
      <c r="D56" s="18"/>
      <c r="E56" s="18"/>
      <c r="F56" s="18"/>
      <c r="G56" s="5"/>
      <c r="H56" s="5"/>
      <c r="I56" s="5"/>
      <c r="J56" s="5"/>
      <c r="K56" s="5"/>
      <c r="L56" s="19"/>
      <c r="M56" s="5"/>
      <c r="N56" s="24"/>
      <c r="O56" s="4"/>
      <c r="P56" s="5"/>
      <c r="Q56" s="5" t="n">
        <v>7.8</v>
      </c>
      <c r="R56" s="5"/>
      <c r="S56" s="22"/>
      <c r="T56" s="10"/>
      <c r="U56" s="10"/>
      <c r="Y56" s="3" t="n">
        <v>1.6112</v>
      </c>
      <c r="Z56" s="3" t="n">
        <v>665.4</v>
      </c>
    </row>
    <row r="57" customFormat="false" ht="15" hidden="false" customHeight="false" outlineLevel="0" collapsed="false">
      <c r="A57" s="17"/>
      <c r="B57" s="18"/>
      <c r="C57" s="18"/>
      <c r="D57" s="18"/>
      <c r="E57" s="18"/>
      <c r="F57" s="18"/>
      <c r="G57" s="5"/>
      <c r="H57" s="5"/>
      <c r="I57" s="5"/>
      <c r="J57" s="5"/>
      <c r="K57" s="18"/>
      <c r="L57" s="19"/>
      <c r="M57" s="5"/>
      <c r="N57" s="24"/>
      <c r="O57" s="4"/>
      <c r="P57" s="5"/>
      <c r="Q57" s="5" t="n">
        <v>7.76</v>
      </c>
      <c r="R57" s="5"/>
      <c r="S57" s="22"/>
      <c r="T57" s="0"/>
      <c r="U57" s="0"/>
      <c r="Y57" s="3" t="n">
        <v>1.611</v>
      </c>
      <c r="Z57" s="3" t="n">
        <v>669.4</v>
      </c>
    </row>
    <row r="58" customFormat="false" ht="15" hidden="false" customHeight="false" outlineLevel="0" collapsed="false">
      <c r="A58" s="17"/>
      <c r="B58" s="18"/>
      <c r="C58" s="18"/>
      <c r="D58" s="18"/>
      <c r="E58" s="18"/>
      <c r="F58" s="18"/>
      <c r="G58" s="5"/>
      <c r="H58" s="5"/>
      <c r="I58" s="5" t="n">
        <f aca="false">I43+1</f>
        <v>226</v>
      </c>
      <c r="J58" s="5" t="n">
        <v>41</v>
      </c>
      <c r="K58" s="18" t="n">
        <f aca="false">$B$3-(I58+J58/60)*PI()/180</f>
        <v>0.825831624401984</v>
      </c>
      <c r="L58" s="19" t="n">
        <f aca="false">2/(SIN($B$2)*SIN($B$2))*(SIN(K58-$G$13+$B$2)+COS($B$2)*SIN($G$13))</f>
        <v>3.2230978892652</v>
      </c>
      <c r="M58" s="5" t="n">
        <f aca="false">1/(2*SQRT(N58))*(ABS((2*SIN($G$13)*COS($G$13)+L58)*(COS($B$2)*COS($G$13)-COS(K58-$G$13+$B$2)))*$H$13+ABS(L58*COS(K58-$G$13+$B$2))*$K$11)</f>
        <v>0.00640858027752164</v>
      </c>
      <c r="N58" s="24" t="n">
        <f aca="false">SQRT(SIN($G$13)*SIN($G$13) + (SIN(K58-$G$13+$B$2)  + COS($B$2)*SIN($G$13) )* (SIN(K58-$G$13+$B$2)  + COS($B$2)*SIN($G$13) )/(SIN($B$2)*SIN($B$2))   )</f>
        <v>1.6109937851124</v>
      </c>
      <c r="O58" s="4" t="n">
        <f aca="true">FORECAST(N58,OFFSET($Z$1:$Z$200,MATCH(N58,$Y$1:$Y$200,-1)-1,0,2),OFFSET($Y$1:$Y$200,MATCH(N58,$Y$1:$Y$200,-1)-1,0,2))</f>
        <v>669.4870084264</v>
      </c>
      <c r="P58" s="5"/>
      <c r="Q58" s="5" t="n">
        <v>5.55</v>
      </c>
      <c r="R58" s="5" t="n">
        <f aca="false">AVERAGE(Q58:Q60)</f>
        <v>5.55666666666667</v>
      </c>
      <c r="S58" s="22"/>
      <c r="T58" s="10"/>
      <c r="U58" s="10"/>
      <c r="Y58" s="3" t="n">
        <v>1.6107</v>
      </c>
      <c r="Z58" s="3" t="n">
        <v>673.6</v>
      </c>
    </row>
    <row r="59" customFormat="false" ht="15" hidden="false" customHeight="false" outlineLevel="0" collapsed="false">
      <c r="A59" s="17"/>
      <c r="B59" s="18"/>
      <c r="C59" s="18"/>
      <c r="D59" s="18"/>
      <c r="E59" s="18"/>
      <c r="F59" s="18"/>
      <c r="G59" s="5"/>
      <c r="H59" s="5"/>
      <c r="I59" s="5"/>
      <c r="J59" s="5"/>
      <c r="K59" s="5"/>
      <c r="L59" s="19"/>
      <c r="M59" s="5"/>
      <c r="N59" s="24"/>
      <c r="O59" s="4"/>
      <c r="P59" s="5"/>
      <c r="Q59" s="5" t="n">
        <v>5.56</v>
      </c>
      <c r="R59" s="5"/>
      <c r="S59" s="22"/>
      <c r="T59" s="10"/>
      <c r="U59" s="10"/>
      <c r="Y59" s="3" t="n">
        <v>1.6105</v>
      </c>
      <c r="Z59" s="3" t="n">
        <v>677.8</v>
      </c>
    </row>
    <row r="60" customFormat="false" ht="15" hidden="false" customHeight="false" outlineLevel="0" collapsed="false">
      <c r="A60" s="17"/>
      <c r="B60" s="18"/>
      <c r="C60" s="18"/>
      <c r="D60" s="18"/>
      <c r="E60" s="18"/>
      <c r="F60" s="18"/>
      <c r="G60" s="5"/>
      <c r="H60" s="5"/>
      <c r="I60" s="5"/>
      <c r="J60" s="5"/>
      <c r="K60" s="18"/>
      <c r="L60" s="19"/>
      <c r="M60" s="5"/>
      <c r="N60" s="24"/>
      <c r="O60" s="4"/>
      <c r="P60" s="5"/>
      <c r="Q60" s="5" t="n">
        <v>5.56</v>
      </c>
      <c r="R60" s="5"/>
      <c r="S60" s="22"/>
      <c r="T60" s="0"/>
      <c r="U60" s="0"/>
      <c r="Y60" s="3" t="n">
        <v>1.6103</v>
      </c>
      <c r="Z60" s="3" t="n">
        <v>682.1</v>
      </c>
    </row>
    <row r="61" customFormat="false" ht="15" hidden="false" customHeight="false" outlineLevel="0" collapsed="false">
      <c r="A61" s="17"/>
      <c r="B61" s="18"/>
      <c r="C61" s="18"/>
      <c r="D61" s="18"/>
      <c r="E61" s="18"/>
      <c r="F61" s="18"/>
      <c r="G61" s="5"/>
      <c r="H61" s="5"/>
      <c r="I61" s="5" t="n">
        <f aca="false">I52+1</f>
        <v>227</v>
      </c>
      <c r="J61" s="5" t="n">
        <v>2</v>
      </c>
      <c r="K61" s="18" t="n">
        <f aca="false">$B$3-(I61+J61/60)*PI()/180</f>
        <v>0.819722972020003</v>
      </c>
      <c r="L61" s="19" t="n">
        <f aca="false">2/(SIN($B$2)*SIN($B$2))*(SIN(K61-$G$13+$B$2)+COS($B$2)*SIN($G$13))</f>
        <v>3.21342300340973</v>
      </c>
      <c r="M61" s="5" t="n">
        <f aca="false">1/(2*SQRT(N61))*(ABS((2*SIN($G$13)*COS($G$13)+L61)*(COS($B$2)*COS($G$13)-COS(K61-$G$13+$B$2)))*$H$13+ABS(L61*COS(K61-$G$13+$B$2))*$K$11)</f>
        <v>0.00650377795217842</v>
      </c>
      <c r="N61" s="24" t="n">
        <f aca="false">SQRT(SIN($G$13)*SIN($G$13) + (SIN(K61-$G$13+$B$2)  + COS($B$2)*SIN($G$13) )* (SIN(K61-$G$13+$B$2)  + COS($B$2)*SIN($G$13) )/(SIN($B$2)*SIN($B$2))   )</f>
        <v>1.60736581469308</v>
      </c>
      <c r="O61" s="4" t="n">
        <f aca="true">FORECAST(N61,OFFSET($Z$1:$Z$200,MATCH(N61,$Y$1:$Y$200,-1)-1,0,2),OFFSET($Y$1:$Y$200,MATCH(N61,$Y$1:$Y$200,-1)-1,0,2))</f>
        <v>743.20479239584</v>
      </c>
      <c r="P61" s="5"/>
      <c r="Q61" s="5" t="n">
        <v>3.67</v>
      </c>
      <c r="R61" s="5" t="n">
        <f aca="false">AVERAGE(Q61:Q63)</f>
        <v>3.67333333333333</v>
      </c>
      <c r="S61" s="22"/>
      <c r="T61" s="10"/>
      <c r="U61" s="10"/>
      <c r="Y61" s="3" t="n">
        <v>1.61</v>
      </c>
      <c r="Z61" s="3" t="n">
        <v>686.5</v>
      </c>
    </row>
    <row r="62" customFormat="false" ht="15" hidden="false" customHeight="false" outlineLevel="0" collapsed="false">
      <c r="A62" s="17"/>
      <c r="B62" s="18"/>
      <c r="C62" s="18"/>
      <c r="D62" s="18"/>
      <c r="E62" s="18"/>
      <c r="F62" s="18"/>
      <c r="G62" s="5"/>
      <c r="H62" s="5"/>
      <c r="I62" s="5"/>
      <c r="J62" s="5"/>
      <c r="K62" s="5"/>
      <c r="L62" s="19"/>
      <c r="M62" s="5"/>
      <c r="N62" s="24"/>
      <c r="O62" s="4"/>
      <c r="P62" s="5"/>
      <c r="Q62" s="5" t="n">
        <v>3.65</v>
      </c>
      <c r="R62" s="5"/>
      <c r="S62" s="22"/>
      <c r="T62" s="10"/>
      <c r="U62" s="10"/>
      <c r="Y62" s="3" t="n">
        <v>1.6098</v>
      </c>
      <c r="Z62" s="3" t="n">
        <v>690.9</v>
      </c>
    </row>
    <row r="63" customFormat="false" ht="15" hidden="false" customHeight="false" outlineLevel="0" collapsed="false">
      <c r="A63" s="17"/>
      <c r="B63" s="18"/>
      <c r="C63" s="18"/>
      <c r="D63" s="18"/>
      <c r="E63" s="18"/>
      <c r="F63" s="18"/>
      <c r="G63" s="5"/>
      <c r="H63" s="5"/>
      <c r="I63" s="5"/>
      <c r="J63" s="5"/>
      <c r="K63" s="18"/>
      <c r="L63" s="19"/>
      <c r="M63" s="5"/>
      <c r="N63" s="24"/>
      <c r="O63" s="4"/>
      <c r="P63" s="5"/>
      <c r="Q63" s="5" t="n">
        <v>3.7</v>
      </c>
      <c r="R63" s="5"/>
      <c r="S63" s="22"/>
      <c r="T63" s="0"/>
      <c r="U63" s="0"/>
      <c r="Y63" s="3" t="n">
        <v>1.6096</v>
      </c>
      <c r="Z63" s="3" t="n">
        <v>695.5</v>
      </c>
    </row>
    <row r="64" customFormat="false" ht="15" hidden="false" customHeight="false" outlineLevel="0" collapsed="false">
      <c r="A64" s="17"/>
      <c r="B64" s="18"/>
      <c r="C64" s="18"/>
      <c r="D64" s="18"/>
      <c r="E64" s="18"/>
      <c r="F64" s="18"/>
      <c r="G64" s="5"/>
      <c r="H64" s="5"/>
      <c r="I64" s="5" t="n">
        <f aca="false">I55+1</f>
        <v>227</v>
      </c>
      <c r="J64" s="5" t="n">
        <v>24</v>
      </c>
      <c r="K64" s="18" t="n">
        <f aca="false">$B$3-(I64+J64/60)*PI()/180</f>
        <v>0.813323431429358</v>
      </c>
      <c r="L64" s="19" t="n">
        <f aca="false">2/(SIN($B$2)*SIN($B$2))*(SIN(K64-$G$13+$B$2)+COS($B$2)*SIN($G$13))</f>
        <v>3.20320174365678</v>
      </c>
      <c r="M64" s="5" t="n">
        <f aca="false">1/(2*SQRT(N64))*(ABS((2*SIN($G$13)*COS($G$13)+L64)*(COS($B$2)*COS($G$13)-COS(K64-$G$13+$B$2)))*$H$13+ABS(L64*COS(K64-$G$13+$B$2))*$K$11)</f>
        <v>0.00660265013398861</v>
      </c>
      <c r="N64" s="24" t="n">
        <f aca="false">SQRT(SIN($G$13)*SIN($G$13) + (SIN(K64-$G$13+$B$2)  + COS($B$2)*SIN($G$13) )* (SIN(K64-$G$13+$B$2)  + COS($B$2)*SIN($G$13) )/(SIN($B$2)*SIN($B$2))   )</f>
        <v>1.603535933318</v>
      </c>
      <c r="O64" s="4" t="n">
        <f aca="true">FORECAST(N64,OFFSET($Z$1:$Z$200,MATCH(N64,$Y$1:$Y$200,-1)-1,0,2),OFFSET($Y$1:$Y$200,MATCH(N64,$Y$1:$Y$200,-1)-1,0,2))</f>
        <v>851.598600597991</v>
      </c>
      <c r="P64" s="5"/>
      <c r="Q64" s="5" t="n">
        <v>2.22</v>
      </c>
      <c r="R64" s="5" t="n">
        <f aca="false">AVERAGE(Q64:Q66)</f>
        <v>2.23666666666667</v>
      </c>
      <c r="S64" s="22"/>
      <c r="T64" s="10"/>
      <c r="U64" s="10"/>
      <c r="Y64" s="3" t="n">
        <v>1.6093</v>
      </c>
      <c r="Z64" s="3" t="n">
        <v>700.1</v>
      </c>
    </row>
    <row r="65" customFormat="false" ht="15" hidden="false" customHeight="false" outlineLevel="0" collapsed="false">
      <c r="A65" s="17"/>
      <c r="B65" s="18"/>
      <c r="C65" s="18"/>
      <c r="D65" s="18"/>
      <c r="E65" s="18"/>
      <c r="F65" s="18"/>
      <c r="G65" s="5"/>
      <c r="H65" s="5"/>
      <c r="I65" s="5"/>
      <c r="J65" s="5"/>
      <c r="K65" s="5"/>
      <c r="L65" s="19"/>
      <c r="M65" s="5"/>
      <c r="N65" s="24"/>
      <c r="O65" s="4"/>
      <c r="P65" s="5"/>
      <c r="Q65" s="5" t="n">
        <v>2.24</v>
      </c>
      <c r="R65" s="5"/>
      <c r="S65" s="22"/>
      <c r="T65" s="10"/>
      <c r="U65" s="10"/>
      <c r="Y65" s="3" t="n">
        <v>1.6091</v>
      </c>
      <c r="Z65" s="3" t="n">
        <v>704.8</v>
      </c>
    </row>
    <row r="66" customFormat="false" ht="15" hidden="false" customHeight="false" outlineLevel="0" collapsed="false">
      <c r="A66" s="17"/>
      <c r="B66" s="18"/>
      <c r="C66" s="18"/>
      <c r="D66" s="18"/>
      <c r="E66" s="18"/>
      <c r="F66" s="18"/>
      <c r="G66" s="5"/>
      <c r="H66" s="5"/>
      <c r="I66" s="5"/>
      <c r="J66" s="5"/>
      <c r="K66" s="18"/>
      <c r="L66" s="19"/>
      <c r="M66" s="5"/>
      <c r="N66" s="24"/>
      <c r="O66" s="4"/>
      <c r="P66" s="5"/>
      <c r="Q66" s="5" t="n">
        <v>2.25</v>
      </c>
      <c r="R66" s="5"/>
      <c r="S66" s="22"/>
      <c r="T66" s="0"/>
      <c r="U66" s="0"/>
      <c r="Y66" s="3" t="n">
        <v>1.6089</v>
      </c>
      <c r="Z66" s="3" t="n">
        <v>709.7</v>
      </c>
    </row>
    <row r="67" customFormat="false" ht="15" hidden="false" customHeight="false" outlineLevel="0" collapsed="false">
      <c r="A67" s="17"/>
      <c r="B67" s="18"/>
      <c r="C67" s="18"/>
      <c r="D67" s="18"/>
      <c r="E67" s="18"/>
      <c r="F67" s="18"/>
      <c r="G67" s="5"/>
      <c r="H67" s="5"/>
      <c r="I67" s="5" t="n">
        <f aca="false">I58+1</f>
        <v>227</v>
      </c>
      <c r="J67" s="5" t="n">
        <v>45</v>
      </c>
      <c r="K67" s="18" t="n">
        <f aca="false">$B$3-(I67+J67/60)*PI()/180</f>
        <v>0.807214779047377</v>
      </c>
      <c r="L67" s="19" t="n">
        <f aca="false">2/(SIN($B$2)*SIN($B$2))*(SIN(K67-$G$13+$B$2)+COS($B$2)*SIN($G$13))</f>
        <v>3.19336369409812</v>
      </c>
      <c r="M67" s="5" t="n">
        <f aca="false">1/(2*SQRT(N67))*(ABS((2*SIN($G$13)*COS($G$13)+L67)*(COS($B$2)*COS($G$13)-COS(K67-$G$13+$B$2)))*$H$13+ABS(L67*COS(K67-$G$13+$B$2))*$K$11)</f>
        <v>0.00669620210235694</v>
      </c>
      <c r="N67" s="24" t="n">
        <f aca="false">SQRT(SIN($G$13)*SIN($G$13) + (SIN(K67-$G$13+$B$2)  + COS($B$2)*SIN($G$13) )* (SIN(K67-$G$13+$B$2)  + COS($B$2)*SIN($G$13) )/(SIN($B$2)*SIN($B$2))   )</f>
        <v>1.59985254491873</v>
      </c>
      <c r="O67" s="4" t="n">
        <f aca="true">FORECAST(N67,OFFSET($Z$1:$Z$200,MATCH(N67,$Y$1:$Y$200,-1)-1,0,2),OFFSET($Y$1:$Y$200,MATCH(N67,$Y$1:$Y$200,-1)-1,0,2))</f>
        <v>999.504989700748</v>
      </c>
      <c r="P67" s="5"/>
      <c r="Q67" s="5" t="n">
        <v>1.15</v>
      </c>
      <c r="R67" s="5" t="n">
        <f aca="false">AVERAGE(Q67:Q69)</f>
        <v>1.21333333333333</v>
      </c>
      <c r="S67" s="22"/>
      <c r="T67" s="10"/>
      <c r="U67" s="10"/>
      <c r="Y67" s="3" t="n">
        <v>1.6086</v>
      </c>
      <c r="Z67" s="3" t="n">
        <v>714.6</v>
      </c>
    </row>
    <row r="68" customFormat="false" ht="15" hidden="false" customHeight="false" outlineLevel="0" collapsed="false">
      <c r="A68" s="17"/>
      <c r="B68" s="18"/>
      <c r="C68" s="18"/>
      <c r="D68" s="18"/>
      <c r="E68" s="18"/>
      <c r="F68" s="18"/>
      <c r="G68" s="5"/>
      <c r="H68" s="5"/>
      <c r="I68" s="5"/>
      <c r="J68" s="5"/>
      <c r="K68" s="5"/>
      <c r="L68" s="19"/>
      <c r="M68" s="5"/>
      <c r="N68" s="24"/>
      <c r="O68" s="4"/>
      <c r="P68" s="5"/>
      <c r="Q68" s="5" t="n">
        <v>1.22</v>
      </c>
      <c r="R68" s="5"/>
      <c r="S68" s="22"/>
      <c r="T68" s="10"/>
      <c r="U68" s="10"/>
      <c r="Y68" s="3" t="n">
        <v>1.6084</v>
      </c>
      <c r="Z68" s="3" t="n">
        <v>719.6</v>
      </c>
    </row>
    <row r="69" customFormat="false" ht="15" hidden="false" customHeight="false" outlineLevel="0" collapsed="false">
      <c r="A69" s="17"/>
      <c r="B69" s="18"/>
      <c r="C69" s="18"/>
      <c r="D69" s="18"/>
      <c r="E69" s="18"/>
      <c r="F69" s="18"/>
      <c r="G69" s="5"/>
      <c r="H69" s="5"/>
      <c r="I69" s="5"/>
      <c r="J69" s="5"/>
      <c r="K69" s="18"/>
      <c r="L69" s="19"/>
      <c r="M69" s="5"/>
      <c r="N69" s="24"/>
      <c r="O69" s="4"/>
      <c r="P69" s="5"/>
      <c r="Q69" s="5" t="n">
        <v>1.27</v>
      </c>
      <c r="R69" s="5"/>
      <c r="S69" s="22"/>
      <c r="T69" s="0"/>
      <c r="U69" s="0"/>
      <c r="Y69" s="3" t="n">
        <v>1.6082</v>
      </c>
      <c r="Z69" s="3" t="n">
        <v>724.7</v>
      </c>
    </row>
    <row r="70" customFormat="false" ht="15" hidden="false" customHeight="false" outlineLevel="0" collapsed="false">
      <c r="A70" s="17"/>
      <c r="B70" s="18"/>
      <c r="C70" s="18"/>
      <c r="D70" s="18"/>
      <c r="E70" s="18"/>
      <c r="F70" s="18"/>
      <c r="G70" s="5"/>
      <c r="H70" s="5"/>
      <c r="I70" s="5" t="n">
        <f aca="false">I64+1</f>
        <v>228</v>
      </c>
      <c r="J70" s="5" t="n">
        <v>21</v>
      </c>
      <c r="K70" s="18" t="n">
        <f aca="false">$B$3-(I70+J70/60)*PI()/180</f>
        <v>0.796742803535411</v>
      </c>
      <c r="L70" s="19" t="n">
        <f aca="false">2/(SIN($B$2)*SIN($B$2))*(SIN(K70-$G$13+$B$2)+COS($B$2)*SIN($G$13))</f>
        <v>3.1763145803082</v>
      </c>
      <c r="M70" s="5" t="n">
        <f aca="false">1/(2*SQRT(N70))*(ABS((2*SIN($G$13)*COS($G$13)+L70)*(COS($B$2)*COS($G$13)-COS(K70-$G$13+$B$2)))*$H$13+ABS(L70*COS(K70-$G$13+$B$2))*$K$11)</f>
        <v>0.00685468224131133</v>
      </c>
      <c r="N70" s="24" t="n">
        <f aca="false">SQRT(SIN($G$13)*SIN($G$13) + (SIN(K70-$G$13+$B$2)  + COS($B$2)*SIN($G$13) )* (SIN(K70-$G$13+$B$2)  + COS($B$2)*SIN($G$13) )/(SIN($B$2)*SIN($B$2))   )</f>
        <v>1.59347612428399</v>
      </c>
      <c r="O70" s="4" t="n">
        <f aca="true">FORECAST(N70,OFFSET($Z$1:$Z$200,MATCH(N70,$Y$1:$Y$200,-1)-1,0,2),OFFSET($Y$1:$Y$200,MATCH(N70,$Y$1:$Y$200,-1)-1,0,2))</f>
        <v>1444.51455441676</v>
      </c>
      <c r="P70" s="5"/>
      <c r="Q70" s="5" t="n">
        <v>0.3</v>
      </c>
      <c r="R70" s="5" t="n">
        <f aca="false">AVERAGE(Q70:Q72)</f>
        <v>0.313333333333333</v>
      </c>
      <c r="S70" s="22"/>
      <c r="T70" s="10"/>
      <c r="U70" s="10"/>
      <c r="Y70" s="3" t="n">
        <v>1.6079</v>
      </c>
      <c r="Z70" s="3" t="n">
        <v>730</v>
      </c>
    </row>
    <row r="71" customFormat="false" ht="15" hidden="false" customHeight="false" outlineLevel="0" collapsed="false">
      <c r="A71" s="17"/>
      <c r="B71" s="18"/>
      <c r="C71" s="18"/>
      <c r="D71" s="18"/>
      <c r="E71" s="18"/>
      <c r="F71" s="18"/>
      <c r="G71" s="5"/>
      <c r="H71" s="5"/>
      <c r="I71" s="5"/>
      <c r="J71" s="5"/>
      <c r="K71" s="5"/>
      <c r="L71" s="19"/>
      <c r="M71" s="5"/>
      <c r="N71" s="24"/>
      <c r="O71" s="4"/>
      <c r="P71" s="5"/>
      <c r="Q71" s="5" t="n">
        <v>0.32</v>
      </c>
      <c r="R71" s="5"/>
      <c r="S71" s="22"/>
      <c r="T71" s="10"/>
      <c r="U71" s="10"/>
      <c r="Y71" s="3" t="n">
        <v>1.6077</v>
      </c>
      <c r="Z71" s="3" t="n">
        <v>735.3</v>
      </c>
    </row>
    <row r="72" customFormat="false" ht="15" hidden="false" customHeight="false" outlineLevel="0" collapsed="false">
      <c r="A72" s="17"/>
      <c r="B72" s="18"/>
      <c r="C72" s="18"/>
      <c r="D72" s="18"/>
      <c r="E72" s="18"/>
      <c r="F72" s="18"/>
      <c r="G72" s="5"/>
      <c r="H72" s="5"/>
      <c r="I72" s="5"/>
      <c r="J72" s="5"/>
      <c r="K72" s="18"/>
      <c r="L72" s="19"/>
      <c r="M72" s="5"/>
      <c r="N72" s="24"/>
      <c r="O72" s="4"/>
      <c r="P72" s="5"/>
      <c r="Q72" s="5" t="n">
        <v>0.32</v>
      </c>
      <c r="R72" s="5"/>
      <c r="S72" s="22"/>
      <c r="T72" s="0"/>
      <c r="U72" s="0"/>
      <c r="Y72" s="3" t="n">
        <v>1.6075</v>
      </c>
      <c r="Z72" s="3" t="n">
        <v>740.7</v>
      </c>
    </row>
    <row r="73" customFormat="false" ht="15" hidden="false" customHeight="false" outlineLevel="0" collapsed="false">
      <c r="A73" s="0"/>
      <c r="B73" s="0"/>
      <c r="C73" s="0"/>
      <c r="D73" s="0"/>
      <c r="E73" s="0"/>
      <c r="F73" s="0"/>
      <c r="G73" s="0"/>
      <c r="H73" s="5"/>
      <c r="I73" s="5" t="n">
        <f aca="false">I67+1</f>
        <v>228</v>
      </c>
      <c r="J73" s="5" t="n">
        <v>45</v>
      </c>
      <c r="K73" s="18" t="n">
        <f aca="false">$B$3-(I73+J73/60)*PI()/180</f>
        <v>0.789761486527434</v>
      </c>
      <c r="L73" s="19" t="n">
        <f aca="false">2/(SIN($B$2)*SIN($B$2))*(SIN(K73-$G$13+$B$2)+COS($B$2)*SIN($G$13))</f>
        <v>3.16482024089481</v>
      </c>
      <c r="M73" s="5" t="n">
        <f aca="false">1/(2*SQRT(N73))*(ABS((2*SIN($G$13)*COS($G$13)+L73)*(COS($B$2)*COS($G$13)-COS(K73-$G$13+$B$2)))*$H$13+ABS(L73*COS(K73-$G$13+$B$2))*$K$11)</f>
        <v>0.0069589935710328</v>
      </c>
      <c r="N73" s="24" t="n">
        <f aca="false">SQRT(SIN($G$13)*SIN($G$13) + (SIN(K73-$G$13+$B$2)  + COS($B$2)*SIN($G$13) )* (SIN(K73-$G$13+$B$2)  + COS($B$2)*SIN($G$13) )/(SIN($B$2)*SIN($B$2))   )</f>
        <v>1.58918212201488</v>
      </c>
      <c r="O73" s="4" t="n">
        <f aca="true">FORECAST(N73,OFFSET($Z$1:$Z$200,MATCH(N73,$Y$1:$Y$200,-1)-1,0,2),OFFSET($Y$1:$Y$200,MATCH(N73,$Y$1:$Y$200,-1)-1,0,2))</f>
        <v>1990.63787818026</v>
      </c>
      <c r="P73" s="5"/>
      <c r="Q73" s="5" t="n">
        <v>0.02</v>
      </c>
      <c r="R73" s="5" t="n">
        <f aca="false">AVERAGE(Q73:Q75)</f>
        <v>0.0266666666666667</v>
      </c>
      <c r="S73" s="22"/>
      <c r="T73" s="10"/>
      <c r="U73" s="10"/>
      <c r="Y73" s="3" t="n">
        <v>1.6072</v>
      </c>
      <c r="Z73" s="3" t="n">
        <v>746.3</v>
      </c>
    </row>
    <row r="74" customFormat="false" ht="15" hidden="false" customHeight="false" outlineLevel="0" collapsed="false">
      <c r="A74" s="0"/>
      <c r="B74" s="0"/>
      <c r="C74" s="0"/>
      <c r="D74" s="0"/>
      <c r="E74" s="0"/>
      <c r="F74" s="0"/>
      <c r="G74" s="0"/>
      <c r="H74" s="5"/>
      <c r="I74" s="5"/>
      <c r="J74" s="5"/>
      <c r="K74" s="5"/>
      <c r="L74" s="19"/>
      <c r="M74" s="5"/>
      <c r="N74" s="24"/>
      <c r="O74" s="4"/>
      <c r="P74" s="5"/>
      <c r="Q74" s="5" t="n">
        <v>0.01</v>
      </c>
      <c r="R74" s="5"/>
      <c r="S74" s="22"/>
      <c r="T74" s="10"/>
      <c r="U74" s="10"/>
      <c r="Y74" s="3" t="n">
        <v>1.607</v>
      </c>
      <c r="Z74" s="3" t="n">
        <v>752</v>
      </c>
    </row>
    <row r="75" customFormat="false" ht="15" hidden="false" customHeight="false" outlineLevel="0" collapsed="false">
      <c r="A75" s="0"/>
      <c r="B75" s="0"/>
      <c r="C75" s="0"/>
      <c r="D75" s="0"/>
      <c r="E75" s="0"/>
      <c r="F75" s="0"/>
      <c r="G75" s="0"/>
      <c r="H75" s="5"/>
      <c r="I75" s="5"/>
      <c r="J75" s="5"/>
      <c r="K75" s="18"/>
      <c r="L75" s="19"/>
      <c r="M75" s="5"/>
      <c r="N75" s="24"/>
      <c r="O75" s="4"/>
      <c r="P75" s="5"/>
      <c r="Q75" s="5" t="n">
        <v>0.05</v>
      </c>
      <c r="R75" s="5"/>
      <c r="S75" s="22"/>
      <c r="Y75" s="3" t="n">
        <v>1.6068</v>
      </c>
      <c r="Z75" s="3" t="n">
        <v>757.7</v>
      </c>
    </row>
    <row r="76" customFormat="false" ht="15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Y76" s="3" t="n">
        <v>1.6065</v>
      </c>
      <c r="Z76" s="3" t="n">
        <v>763.7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Y77" s="3" t="n">
        <v>1.6063</v>
      </c>
      <c r="Z77" s="3" t="n">
        <v>769.7</v>
      </c>
    </row>
    <row r="78" customFormat="false" ht="15" hidden="false" customHeight="false" outlineLevel="0" collapsed="false">
      <c r="A78" s="9" t="s">
        <v>27</v>
      </c>
      <c r="B78" s="9" t="s">
        <v>17</v>
      </c>
      <c r="C78" s="9" t="s">
        <v>28</v>
      </c>
      <c r="D78" s="9" t="s">
        <v>29</v>
      </c>
      <c r="E78" s="9" t="s">
        <v>30</v>
      </c>
      <c r="F78" s="9" t="s">
        <v>4</v>
      </c>
      <c r="G78" s="9" t="s">
        <v>31</v>
      </c>
      <c r="H78" s="9" t="s">
        <v>32</v>
      </c>
      <c r="I78" s="9" t="s">
        <v>44</v>
      </c>
      <c r="J78" s="9" t="s">
        <v>45</v>
      </c>
      <c r="K78" s="9" t="s">
        <v>35</v>
      </c>
      <c r="L78" s="9" t="s">
        <v>46</v>
      </c>
      <c r="M78" s="9" t="s">
        <v>47</v>
      </c>
      <c r="N78" s="9" t="s">
        <v>38</v>
      </c>
      <c r="O78" s="9" t="s">
        <v>39</v>
      </c>
      <c r="P78" s="9" t="s">
        <v>40</v>
      </c>
      <c r="Q78" s="9" t="s">
        <v>27</v>
      </c>
      <c r="R78" s="9"/>
      <c r="S78" s="9" t="s">
        <v>41</v>
      </c>
      <c r="Y78" s="3" t="n">
        <v>1.6061</v>
      </c>
      <c r="Z78" s="3" t="n">
        <v>775.8</v>
      </c>
    </row>
    <row r="79" customFormat="false" ht="15" hidden="false" customHeight="false" outlineLevel="0" collapsed="false">
      <c r="A79" s="26" t="n">
        <v>9</v>
      </c>
      <c r="B79" s="27"/>
      <c r="C79" s="27"/>
      <c r="D79" s="27"/>
      <c r="E79" s="27"/>
      <c r="F79" s="27" t="n">
        <v>0</v>
      </c>
      <c r="G79" s="28" t="n">
        <f aca="false">F79*PI()/180</f>
        <v>0</v>
      </c>
      <c r="H79" s="28"/>
      <c r="I79" s="28" t="n">
        <v>221</v>
      </c>
      <c r="J79" s="28" t="n">
        <v>20</v>
      </c>
      <c r="K79" s="27" t="n">
        <f aca="false">$B$3-(I79+J79/60)*PI()/180</f>
        <v>0.91920673938368</v>
      </c>
      <c r="L79" s="29"/>
      <c r="M79" s="28"/>
      <c r="N79" s="20" t="n">
        <f aca="false">SQRT(SIN($G$13)*SIN($G$13) + (SIN(K79-$G$13+$B$2)  + COS($B$2)*SIN($G$13) )* (SIN(K79-$G$13+$B$2)  + COS($B$2)*SIN($G$13) )/(SIN($B$2)*SIN($B$2))   )</f>
        <v>1.66291365254689</v>
      </c>
      <c r="O79" s="30" t="e">
        <f aca="true">FORECAST(N79,OFFSET($Z$1:$Z$200,MATCH(N79,$Y$1:$Y$200,-1)-1,0,2),OFFSET($Y$1:$Y$200,MATCH(N79,$Y$1:$Y$200,-1)-1,0,2))</f>
        <v>#N/A</v>
      </c>
      <c r="P79" s="28"/>
      <c r="Q79" s="27" t="n">
        <v>0.05</v>
      </c>
      <c r="R79" s="28" t="n">
        <f aca="false">AVERAGE(Q79:Q81)</f>
        <v>0.0533333333333333</v>
      </c>
      <c r="S79" s="31"/>
      <c r="Y79" s="3" t="n">
        <v>1.6058</v>
      </c>
      <c r="Z79" s="3" t="n">
        <v>782.1</v>
      </c>
    </row>
    <row r="80" customFormat="false" ht="15" hidden="false" customHeight="false" outlineLevel="0" collapsed="false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0"/>
      <c r="O80" s="30"/>
      <c r="P80" s="28"/>
      <c r="Q80" s="29" t="n">
        <v>0.06</v>
      </c>
      <c r="R80" s="28"/>
      <c r="S80" s="31"/>
      <c r="Y80" s="3" t="n">
        <v>1.6056</v>
      </c>
      <c r="Z80" s="3" t="n">
        <v>788.6</v>
      </c>
    </row>
    <row r="81" customFormat="false" ht="15" hidden="false" customHeight="false" outlineLevel="0" collapsed="false">
      <c r="A81" s="26"/>
      <c r="B81" s="27"/>
      <c r="C81" s="27"/>
      <c r="D81" s="27"/>
      <c r="E81" s="27"/>
      <c r="F81" s="27"/>
      <c r="G81" s="27"/>
      <c r="H81" s="28"/>
      <c r="I81" s="28"/>
      <c r="J81" s="28"/>
      <c r="K81" s="27"/>
      <c r="L81" s="29"/>
      <c r="M81" s="29"/>
      <c r="N81" s="20"/>
      <c r="O81" s="30"/>
      <c r="P81" s="28"/>
      <c r="Q81" s="28" t="n">
        <v>0.05</v>
      </c>
      <c r="R81" s="28"/>
      <c r="S81" s="31"/>
      <c r="Y81" s="3" t="n">
        <v>1.6054</v>
      </c>
      <c r="Z81" s="3" t="n">
        <v>795.1</v>
      </c>
    </row>
    <row r="82" customFormat="false" ht="15" hidden="false" customHeight="false" outlineLevel="0" collapsed="false">
      <c r="A82" s="26"/>
      <c r="B82" s="27"/>
      <c r="C82" s="27"/>
      <c r="D82" s="27"/>
      <c r="E82" s="27"/>
      <c r="F82" s="27"/>
      <c r="G82" s="27"/>
      <c r="H82" s="28"/>
      <c r="I82" s="28" t="n">
        <v>221</v>
      </c>
      <c r="J82" s="28" t="n">
        <v>42</v>
      </c>
      <c r="K82" s="27" t="n">
        <f aca="false">$B$3-(I82+J82/60)*PI()/180</f>
        <v>0.912807198793035</v>
      </c>
      <c r="L82" s="29"/>
      <c r="M82" s="29"/>
      <c r="N82" s="20" t="n">
        <f aca="false">SQRT(SIN($G$13)*SIN($G$13) + (SIN(K82-$G$13+$B$2)  + COS($B$2)*SIN($G$13) )* (SIN(K82-$G$13+$B$2)  + COS($B$2)*SIN($G$13) )/(SIN($B$2)*SIN($B$2))   )</f>
        <v>1.65957489457621</v>
      </c>
      <c r="O82" s="30" t="e">
        <f aca="true">FORECAST(N82,OFFSET($Z$1:$Z$200,MATCH(N82,$Y$1:$Y$200,-1)-1,0,2),OFFSET($Y$1:$Y$200,MATCH(N82,$Y$1:$Y$200,-1)-1,0,2))</f>
        <v>#N/A</v>
      </c>
      <c r="P82" s="28"/>
      <c r="Q82" s="28" t="n">
        <v>0.02</v>
      </c>
      <c r="R82" s="28" t="n">
        <f aca="false">AVERAGE(Q82:Q84)</f>
        <v>0.0433333333333333</v>
      </c>
      <c r="S82" s="31"/>
      <c r="Y82" s="3" t="n">
        <v>1.6051</v>
      </c>
      <c r="Z82" s="3" t="n">
        <v>801.8</v>
      </c>
    </row>
    <row r="83" customFormat="false" ht="15" hidden="false" customHeight="false" outlineLevel="0" collapsed="false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0"/>
      <c r="O83" s="30"/>
      <c r="P83" s="28"/>
      <c r="Q83" s="28" t="n">
        <v>0.05</v>
      </c>
      <c r="R83" s="28"/>
      <c r="S83" s="31"/>
      <c r="Y83" s="3" t="n">
        <v>1.6049</v>
      </c>
      <c r="Z83" s="3" t="n">
        <v>808.7</v>
      </c>
    </row>
    <row r="84" customFormat="false" ht="15" hidden="false" customHeight="false" outlineLevel="0" collapsed="false">
      <c r="A84" s="26"/>
      <c r="B84" s="27"/>
      <c r="C84" s="27"/>
      <c r="D84" s="27"/>
      <c r="E84" s="27"/>
      <c r="F84" s="27"/>
      <c r="G84" s="27"/>
      <c r="H84" s="28"/>
      <c r="I84" s="28"/>
      <c r="J84" s="28"/>
      <c r="K84" s="27"/>
      <c r="L84" s="29"/>
      <c r="M84" s="29"/>
      <c r="N84" s="20"/>
      <c r="O84" s="30"/>
      <c r="P84" s="28"/>
      <c r="Q84" s="28" t="n">
        <v>0.06</v>
      </c>
      <c r="R84" s="28"/>
      <c r="S84" s="31"/>
      <c r="Y84" s="3" t="n">
        <v>1.6047</v>
      </c>
      <c r="Z84" s="3" t="n">
        <v>815.7</v>
      </c>
    </row>
    <row r="85" customFormat="false" ht="15" hidden="false" customHeight="false" outlineLevel="0" collapsed="false">
      <c r="A85" s="26"/>
      <c r="B85" s="27"/>
      <c r="C85" s="27"/>
      <c r="D85" s="27"/>
      <c r="E85" s="27"/>
      <c r="F85" s="27"/>
      <c r="G85" s="27"/>
      <c r="H85" s="28"/>
      <c r="I85" s="28" t="n">
        <v>222</v>
      </c>
      <c r="J85" s="28" t="n">
        <v>21</v>
      </c>
      <c r="K85" s="27" t="n">
        <f aca="false">$B$3-(I85+J85/60)*PI()/180</f>
        <v>0.901462558655071</v>
      </c>
      <c r="L85" s="29"/>
      <c r="M85" s="29"/>
      <c r="N85" s="20" t="n">
        <f aca="false">SQRT(SIN($G$13)*SIN($G$13) + (SIN(K85-$G$13+$B$2)  + COS($B$2)*SIN($G$13) )* (SIN(K85-$G$13+$B$2)  + COS($B$2)*SIN($G$13) )/(SIN($B$2)*SIN($B$2))   )</f>
        <v>1.65357457671791</v>
      </c>
      <c r="O85" s="30" t="e">
        <f aca="true">FORECAST(N85,OFFSET($Z$1:$Z$200,MATCH(N85,$Y$1:$Y$200,-1)-1,0,2),OFFSET($Y$1:$Y$200,MATCH(N85,$Y$1:$Y$200,-1)-1,0,2))</f>
        <v>#N/A</v>
      </c>
      <c r="P85" s="28"/>
      <c r="Q85" s="28" t="n">
        <v>0.11</v>
      </c>
      <c r="R85" s="28" t="n">
        <f aca="false">AVERAGE(Q85:Q87)</f>
        <v>0.106666666666667</v>
      </c>
      <c r="S85" s="31"/>
      <c r="Y85" s="3" t="n">
        <v>1.6044</v>
      </c>
      <c r="Z85" s="3" t="n">
        <v>822.8</v>
      </c>
    </row>
    <row r="86" customFormat="false" ht="15" hidden="false" customHeight="false" outlineLevel="0" collapsed="false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0"/>
      <c r="O86" s="30"/>
      <c r="P86" s="28"/>
      <c r="Q86" s="28" t="n">
        <v>0.1</v>
      </c>
      <c r="R86" s="28"/>
      <c r="S86" s="31"/>
      <c r="Y86" s="3" t="n">
        <v>1.6042</v>
      </c>
      <c r="Z86" s="3" t="n">
        <v>830.1</v>
      </c>
    </row>
    <row r="87" customFormat="false" ht="15" hidden="false" customHeight="false" outlineLevel="0" collapsed="false">
      <c r="A87" s="26"/>
      <c r="B87" s="27"/>
      <c r="C87" s="27"/>
      <c r="D87" s="27"/>
      <c r="E87" s="27"/>
      <c r="F87" s="27"/>
      <c r="G87" s="27"/>
      <c r="H87" s="28"/>
      <c r="I87" s="28"/>
      <c r="J87" s="28"/>
      <c r="K87" s="27"/>
      <c r="L87" s="29"/>
      <c r="M87" s="29"/>
      <c r="N87" s="20"/>
      <c r="O87" s="30"/>
      <c r="P87" s="28"/>
      <c r="Q87" s="28" t="n">
        <v>0.11</v>
      </c>
      <c r="R87" s="28"/>
      <c r="S87" s="31"/>
      <c r="Y87" s="3" t="n">
        <v>1.604</v>
      </c>
      <c r="Z87" s="3" t="n">
        <v>837.6</v>
      </c>
    </row>
    <row r="88" customFormat="false" ht="15" hidden="false" customHeight="false" outlineLevel="0" collapsed="false">
      <c r="A88" s="26"/>
      <c r="B88" s="27"/>
      <c r="C88" s="27"/>
      <c r="D88" s="27"/>
      <c r="E88" s="27"/>
      <c r="F88" s="27"/>
      <c r="G88" s="27"/>
      <c r="H88" s="28"/>
      <c r="I88" s="28" t="n">
        <v>222</v>
      </c>
      <c r="J88" s="28" t="n">
        <v>44</v>
      </c>
      <c r="K88" s="27" t="n">
        <f aca="false">$B$3-(I88+J88/60)*PI()/180</f>
        <v>0.89477212985576</v>
      </c>
      <c r="L88" s="29"/>
      <c r="M88" s="29"/>
      <c r="N88" s="20" t="n">
        <f aca="false">SQRT(SIN($G$13)*SIN($G$13) + (SIN(K88-$G$13+$B$2)  + COS($B$2)*SIN($G$13) )* (SIN(K88-$G$13+$B$2)  + COS($B$2)*SIN($G$13) )/(SIN($B$2)*SIN($B$2))   )</f>
        <v>1.64998741887532</v>
      </c>
      <c r="O88" s="30" t="e">
        <f aca="true">FORECAST(N88,OFFSET($Z$1:$Z$200,MATCH(N88,$Y$1:$Y$200,-1)-1,0,2),OFFSET($Y$1:$Y$200,MATCH(N88,$Y$1:$Y$200,-1)-1,0,2))</f>
        <v>#N/A</v>
      </c>
      <c r="P88" s="28"/>
      <c r="Q88" s="28" t="n">
        <v>0.26</v>
      </c>
      <c r="R88" s="28" t="n">
        <f aca="false">AVERAGE(Q88:Q90)</f>
        <v>0.25</v>
      </c>
      <c r="S88" s="31"/>
      <c r="Y88" s="3" t="n">
        <v>1.6037</v>
      </c>
      <c r="Z88" s="3" t="n">
        <v>845.2</v>
      </c>
    </row>
    <row r="89" customFormat="false" ht="15" hidden="false" customHeight="false" outlineLevel="0" collapsed="false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0"/>
      <c r="O89" s="30"/>
      <c r="P89" s="28"/>
      <c r="Q89" s="28" t="n">
        <v>0.26</v>
      </c>
      <c r="R89" s="28"/>
      <c r="S89" s="31"/>
      <c r="Y89" s="3" t="n">
        <v>1.6035</v>
      </c>
      <c r="Z89" s="3" t="n">
        <v>853</v>
      </c>
    </row>
    <row r="90" customFormat="false" ht="15" hidden="false" customHeight="false" outlineLevel="0" collapsed="false">
      <c r="A90" s="26"/>
      <c r="B90" s="27"/>
      <c r="C90" s="27"/>
      <c r="D90" s="27"/>
      <c r="E90" s="27"/>
      <c r="F90" s="27"/>
      <c r="G90" s="27"/>
      <c r="H90" s="28"/>
      <c r="I90" s="28"/>
      <c r="J90" s="28"/>
      <c r="K90" s="27"/>
      <c r="L90" s="29"/>
      <c r="M90" s="29"/>
      <c r="N90" s="20"/>
      <c r="O90" s="30"/>
      <c r="P90" s="28"/>
      <c r="Q90" s="28" t="n">
        <v>0.23</v>
      </c>
      <c r="R90" s="28"/>
      <c r="S90" s="31"/>
      <c r="Y90" s="3" t="n">
        <v>1.6033</v>
      </c>
      <c r="Z90" s="3" t="n">
        <v>861</v>
      </c>
    </row>
    <row r="91" customFormat="false" ht="15" hidden="false" customHeight="false" outlineLevel="0" collapsed="false">
      <c r="A91" s="26"/>
      <c r="B91" s="27"/>
      <c r="C91" s="27"/>
      <c r="D91" s="27"/>
      <c r="E91" s="27"/>
      <c r="F91" s="27"/>
      <c r="G91" s="27"/>
      <c r="H91" s="28"/>
      <c r="I91" s="28" t="n">
        <v>223</v>
      </c>
      <c r="J91" s="28" t="n">
        <v>20</v>
      </c>
      <c r="K91" s="27" t="n">
        <f aca="false">$B$3-(I91+J91/60)*PI()/180</f>
        <v>0.884300154343793</v>
      </c>
      <c r="L91" s="29"/>
      <c r="M91" s="29"/>
      <c r="N91" s="20" t="n">
        <f aca="false">SQRT(SIN($G$13)*SIN($G$13) + (SIN(K91-$G$13+$B$2)  + COS($B$2)*SIN($G$13) )* (SIN(K91-$G$13+$B$2)  + COS($B$2)*SIN($G$13) )/(SIN($B$2)*SIN($B$2))   )</f>
        <v>1.64430120756343</v>
      </c>
      <c r="O91" s="30" t="e">
        <f aca="true">FORECAST(N91,OFFSET($Z$1:$Z$200,MATCH(N91,$Y$1:$Y$200,-1)-1,0,2),OFFSET($Y$1:$Y$200,MATCH(N91,$Y$1:$Y$200,-1)-1,0,2))</f>
        <v>#N/A</v>
      </c>
      <c r="P91" s="28"/>
      <c r="Q91" s="28" t="n">
        <v>0.5</v>
      </c>
      <c r="R91" s="28" t="n">
        <f aca="false">AVERAGE(Q91:Q93)</f>
        <v>0.49</v>
      </c>
      <c r="S91" s="31"/>
      <c r="Y91" s="3" t="n">
        <v>1.603</v>
      </c>
      <c r="Z91" s="3" t="n">
        <v>869.2</v>
      </c>
    </row>
    <row r="92" customFormat="false" ht="15" hidden="false" customHeight="false" outlineLevel="0" collapsed="false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0"/>
      <c r="O92" s="30"/>
      <c r="P92" s="28"/>
      <c r="Q92" s="28" t="n">
        <v>0.51</v>
      </c>
      <c r="R92" s="28"/>
      <c r="S92" s="31"/>
      <c r="Y92" s="3" t="n">
        <v>1.6028</v>
      </c>
      <c r="Z92" s="3" t="n">
        <v>877.5</v>
      </c>
    </row>
    <row r="93" customFormat="false" ht="15" hidden="false" customHeight="false" outlineLevel="0" collapsed="false">
      <c r="A93" s="26"/>
      <c r="B93" s="27"/>
      <c r="C93" s="27"/>
      <c r="D93" s="27"/>
      <c r="E93" s="27"/>
      <c r="F93" s="27"/>
      <c r="G93" s="27"/>
      <c r="H93" s="28"/>
      <c r="I93" s="28"/>
      <c r="J93" s="28"/>
      <c r="K93" s="27"/>
      <c r="L93" s="29"/>
      <c r="M93" s="29"/>
      <c r="N93" s="20"/>
      <c r="O93" s="30"/>
      <c r="P93" s="28"/>
      <c r="Q93" s="28" t="n">
        <v>0.46</v>
      </c>
      <c r="R93" s="28"/>
      <c r="S93" s="31"/>
      <c r="Y93" s="3" t="n">
        <v>1.6025</v>
      </c>
      <c r="Z93" s="3" t="n">
        <v>886.1</v>
      </c>
    </row>
    <row r="94" customFormat="false" ht="15" hidden="false" customHeight="false" outlineLevel="0" collapsed="false">
      <c r="A94" s="26"/>
      <c r="B94" s="27"/>
      <c r="C94" s="27"/>
      <c r="D94" s="27"/>
      <c r="E94" s="27"/>
      <c r="F94" s="27"/>
      <c r="G94" s="27"/>
      <c r="H94" s="28"/>
      <c r="I94" s="28" t="n">
        <v>223</v>
      </c>
      <c r="J94" s="28" t="n">
        <v>41</v>
      </c>
      <c r="K94" s="27" t="n">
        <f aca="false">$B$3-(I94+J94/60)*PI()/180</f>
        <v>0.878191501961814</v>
      </c>
      <c r="L94" s="29"/>
      <c r="M94" s="29"/>
      <c r="N94" s="20" t="n">
        <f aca="false">SQRT(SIN($G$13)*SIN($G$13) + (SIN(K94-$G$13+$B$2)  + COS($B$2)*SIN($G$13) )* (SIN(K94-$G$13+$B$2)  + COS($B$2)*SIN($G$13) )/(SIN($B$2)*SIN($B$2))   )</f>
        <v>1.6409442782348</v>
      </c>
      <c r="O94" s="30" t="e">
        <f aca="true">FORECAST(N94,OFFSET($Z$1:$Z$200,MATCH(N94,$Y$1:$Y$200,-1)-1,0,2),OFFSET($Y$1:$Y$200,MATCH(N94,$Y$1:$Y$200,-1)-1,0,2))</f>
        <v>#N/A</v>
      </c>
      <c r="P94" s="28"/>
      <c r="Q94" s="28" t="n">
        <v>0.83</v>
      </c>
      <c r="R94" s="28" t="n">
        <f aca="false">AVERAGE(Q94:Q96)</f>
        <v>0.816666666666667</v>
      </c>
      <c r="S94" s="31"/>
      <c r="Y94" s="3" t="n">
        <v>1.6023</v>
      </c>
      <c r="Z94" s="3" t="n">
        <v>894.8</v>
      </c>
    </row>
    <row r="95" customFormat="false" ht="15" hidden="false" customHeight="false" outlineLevel="0" collapsed="false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0"/>
      <c r="O95" s="30"/>
      <c r="P95" s="28"/>
      <c r="Q95" s="28" t="n">
        <v>0.8</v>
      </c>
      <c r="R95" s="28"/>
      <c r="S95" s="31"/>
      <c r="Y95" s="3" t="n">
        <v>1.6021</v>
      </c>
      <c r="Z95" s="3" t="n">
        <v>903.7</v>
      </c>
    </row>
    <row r="96" customFormat="false" ht="15" hidden="false" customHeight="false" outlineLevel="0" collapsed="false">
      <c r="A96" s="26"/>
      <c r="B96" s="27"/>
      <c r="C96" s="27"/>
      <c r="D96" s="27"/>
      <c r="E96" s="27"/>
      <c r="F96" s="27"/>
      <c r="G96" s="27"/>
      <c r="H96" s="28"/>
      <c r="I96" s="28"/>
      <c r="J96" s="28"/>
      <c r="K96" s="27"/>
      <c r="L96" s="29"/>
      <c r="M96" s="29"/>
      <c r="N96" s="20"/>
      <c r="O96" s="30"/>
      <c r="P96" s="28"/>
      <c r="Q96" s="28" t="n">
        <v>0.82</v>
      </c>
      <c r="R96" s="28"/>
      <c r="S96" s="31"/>
      <c r="Y96" s="3" t="n">
        <v>1.6018</v>
      </c>
      <c r="Z96" s="3" t="n">
        <v>912.8</v>
      </c>
    </row>
    <row r="97" customFormat="false" ht="15" hidden="false" customHeight="false" outlineLevel="0" collapsed="false">
      <c r="A97" s="26"/>
      <c r="B97" s="27"/>
      <c r="C97" s="27"/>
      <c r="D97" s="27"/>
      <c r="E97" s="27"/>
      <c r="F97" s="27"/>
      <c r="G97" s="27"/>
      <c r="H97" s="28"/>
      <c r="I97" s="28" t="n">
        <v>224</v>
      </c>
      <c r="J97" s="28" t="n">
        <v>0</v>
      </c>
      <c r="K97" s="27" t="n">
        <f aca="false">$B$3-(I97+J97/60)*PI()/180</f>
        <v>0.872664625997165</v>
      </c>
      <c r="L97" s="29"/>
      <c r="M97" s="29"/>
      <c r="N97" s="20" t="n">
        <f aca="false">SQRT(SIN($G$13)*SIN($G$13) + (SIN(K97-$G$13+$B$2)  + COS($B$2)*SIN($G$13) )* (SIN(K97-$G$13+$B$2)  + COS($B$2)*SIN($G$13) )/(SIN($B$2)*SIN($B$2))   )</f>
        <v>1.63788188382008</v>
      </c>
      <c r="O97" s="30" t="e">
        <f aca="true">FORECAST(N97,OFFSET($Z$1:$Z$200,MATCH(N97,$Y$1:$Y$200,-1)-1,0,2),OFFSET($Y$1:$Y$200,MATCH(N97,$Y$1:$Y$200,-1)-1,0,2))</f>
        <v>#N/A</v>
      </c>
      <c r="P97" s="28"/>
      <c r="Q97" s="28" t="n">
        <v>0.96</v>
      </c>
      <c r="R97" s="28" t="n">
        <f aca="false">AVERAGE(Q97:Q99)</f>
        <v>0.963333333333333</v>
      </c>
      <c r="S97" s="31"/>
      <c r="Y97" s="3" t="n">
        <v>1.6016</v>
      </c>
      <c r="Z97" s="3" t="n">
        <v>922.2</v>
      </c>
    </row>
    <row r="98" customFormat="false" ht="15" hidden="false" customHeight="false" outlineLevel="0" collapsed="false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0"/>
      <c r="O98" s="30"/>
      <c r="P98" s="28"/>
      <c r="Q98" s="28" t="n">
        <v>0.96</v>
      </c>
      <c r="R98" s="28"/>
      <c r="S98" s="31"/>
      <c r="Y98" s="3" t="n">
        <v>1.6014</v>
      </c>
      <c r="Z98" s="3" t="n">
        <v>931.7</v>
      </c>
    </row>
    <row r="99" customFormat="false" ht="15" hidden="false" customHeight="false" outlineLevel="0" collapsed="false">
      <c r="A99" s="26"/>
      <c r="B99" s="27"/>
      <c r="C99" s="27"/>
      <c r="D99" s="27"/>
      <c r="E99" s="27"/>
      <c r="F99" s="27"/>
      <c r="G99" s="27"/>
      <c r="H99" s="28"/>
      <c r="I99" s="28"/>
      <c r="J99" s="28"/>
      <c r="K99" s="27"/>
      <c r="L99" s="29"/>
      <c r="M99" s="29"/>
      <c r="N99" s="20"/>
      <c r="O99" s="30"/>
      <c r="P99" s="28"/>
      <c r="Q99" s="28" t="n">
        <v>0.97</v>
      </c>
      <c r="R99" s="28"/>
      <c r="S99" s="31"/>
      <c r="Y99" s="3" t="n">
        <v>1.6011</v>
      </c>
      <c r="Z99" s="3" t="n">
        <v>941.5</v>
      </c>
    </row>
    <row r="100" customFormat="false" ht="15" hidden="false" customHeight="false" outlineLevel="0" collapsed="false">
      <c r="A100" s="26"/>
      <c r="B100" s="27"/>
      <c r="C100" s="27"/>
      <c r="D100" s="27"/>
      <c r="E100" s="27"/>
      <c r="F100" s="27"/>
      <c r="G100" s="27"/>
      <c r="H100" s="28"/>
      <c r="I100" s="28" t="n">
        <f aca="false">I91+1</f>
        <v>224</v>
      </c>
      <c r="J100" s="28" t="n">
        <v>23</v>
      </c>
      <c r="K100" s="27" t="n">
        <f aca="false">$B$3-(I100+J100/60)*PI()/180</f>
        <v>0.865974197197853</v>
      </c>
      <c r="L100" s="29"/>
      <c r="M100" s="29"/>
      <c r="N100" s="20" t="n">
        <f aca="false">SQRT(SIN($G$13)*SIN($G$13) + (SIN(K100-$G$13+$B$2)  + COS($B$2)*SIN($G$13) )* (SIN(K100-$G$13+$B$2)  + COS($B$2)*SIN($G$13) )/(SIN($B$2)*SIN($B$2))   )</f>
        <v>1.63414299993776</v>
      </c>
      <c r="O100" s="30" t="e">
        <f aca="true">FORECAST(N100,OFFSET($Z$1:$Z$200,MATCH(N100,$Y$1:$Y$200,-1)-1,0,2),OFFSET($Y$1:$Y$200,MATCH(N100,$Y$1:$Y$200,-1)-1,0,2))</f>
        <v>#N/A</v>
      </c>
      <c r="P100" s="28"/>
      <c r="Q100" s="28" t="n">
        <v>2.03</v>
      </c>
      <c r="R100" s="28" t="n">
        <f aca="false">AVERAGE(Q100:Q102)</f>
        <v>2.03</v>
      </c>
      <c r="S100" s="32"/>
      <c r="Y100" s="3" t="n">
        <v>1.6009</v>
      </c>
      <c r="Z100" s="3" t="n">
        <v>951.5</v>
      </c>
    </row>
    <row r="101" customFormat="false" ht="15" hidden="false" customHeight="false" outlineLevel="0" collapsed="false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0"/>
      <c r="O101" s="30"/>
      <c r="P101" s="28"/>
      <c r="Q101" s="28" t="n">
        <v>2.02</v>
      </c>
      <c r="R101" s="28"/>
      <c r="S101" s="32"/>
      <c r="Y101" s="3" t="n">
        <v>1.6007</v>
      </c>
      <c r="Z101" s="3" t="n">
        <v>961.8</v>
      </c>
    </row>
    <row r="102" customFormat="false" ht="15" hidden="false" customHeight="false" outlineLevel="0" collapsed="false">
      <c r="A102" s="26"/>
      <c r="B102" s="27"/>
      <c r="C102" s="27"/>
      <c r="D102" s="27"/>
      <c r="E102" s="27"/>
      <c r="F102" s="27"/>
      <c r="G102" s="27"/>
      <c r="H102" s="28"/>
      <c r="I102" s="28"/>
      <c r="J102" s="28"/>
      <c r="K102" s="27"/>
      <c r="L102" s="29"/>
      <c r="M102" s="29"/>
      <c r="N102" s="20"/>
      <c r="O102" s="30"/>
      <c r="P102" s="28"/>
      <c r="Q102" s="28" t="n">
        <v>2.04</v>
      </c>
      <c r="R102" s="28"/>
      <c r="S102" s="32"/>
      <c r="Y102" s="3" t="n">
        <v>1.6004</v>
      </c>
      <c r="Z102" s="3" t="n">
        <v>972.3</v>
      </c>
    </row>
    <row r="103" customFormat="false" ht="15" hidden="false" customHeight="false" outlineLevel="0" collapsed="false">
      <c r="A103" s="26"/>
      <c r="B103" s="27"/>
      <c r="C103" s="27"/>
      <c r="D103" s="27"/>
      <c r="E103" s="27"/>
      <c r="F103" s="27"/>
      <c r="G103" s="27"/>
      <c r="H103" s="28"/>
      <c r="I103" s="28" t="n">
        <f aca="false">I94+1</f>
        <v>224</v>
      </c>
      <c r="J103" s="28" t="n">
        <v>39</v>
      </c>
      <c r="K103" s="27" t="n">
        <f aca="false">$B$3-(I103+J103/60)*PI()/180</f>
        <v>0.861319985859201</v>
      </c>
      <c r="L103" s="29"/>
      <c r="M103" s="29"/>
      <c r="N103" s="20" t="n">
        <f aca="false">SQRT(SIN($G$13)*SIN($G$13) + (SIN(K103-$G$13+$B$2)  + COS($B$2)*SIN($G$13) )* (SIN(K103-$G$13+$B$2)  + COS($B$2)*SIN($G$13) )/(SIN($B$2)*SIN($B$2))   )</f>
        <v>1.63152164462871</v>
      </c>
      <c r="O103" s="30" t="e">
        <f aca="true">FORECAST(N103,OFFSET($Z$1:$Z$200,MATCH(N103,$Y$1:$Y$200,-1)-1,0,2),OFFSET($Y$1:$Y$200,MATCH(N103,$Y$1:$Y$200,-1)-1,0,2))</f>
        <v>#N/A</v>
      </c>
      <c r="P103" s="28"/>
      <c r="Q103" s="28" t="n">
        <v>2.97</v>
      </c>
      <c r="R103" s="28" t="n">
        <f aca="false">AVERAGE(Q103:Q105)</f>
        <v>2.98333333333333</v>
      </c>
      <c r="S103" s="32"/>
      <c r="Y103" s="3" t="n">
        <v>1.6002</v>
      </c>
      <c r="Z103" s="3" t="n">
        <v>983</v>
      </c>
    </row>
    <row r="104" customFormat="false" ht="15" hidden="false" customHeight="false" outlineLevel="0" collapsed="false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0"/>
      <c r="O104" s="30"/>
      <c r="P104" s="28"/>
      <c r="Q104" s="28" t="n">
        <v>3</v>
      </c>
      <c r="R104" s="28"/>
      <c r="S104" s="32"/>
      <c r="Y104" s="3" t="n">
        <v>1.6</v>
      </c>
      <c r="Z104" s="3" t="n">
        <v>994</v>
      </c>
    </row>
    <row r="105" customFormat="false" ht="15" hidden="false" customHeight="false" outlineLevel="0" collapsed="false">
      <c r="A105" s="26"/>
      <c r="B105" s="27"/>
      <c r="C105" s="27"/>
      <c r="D105" s="27"/>
      <c r="E105" s="27"/>
      <c r="F105" s="27"/>
      <c r="G105" s="27"/>
      <c r="H105" s="28"/>
      <c r="I105" s="28"/>
      <c r="J105" s="28"/>
      <c r="K105" s="27"/>
      <c r="L105" s="29"/>
      <c r="M105" s="29"/>
      <c r="N105" s="20"/>
      <c r="O105" s="30"/>
      <c r="P105" s="28"/>
      <c r="Q105" s="28" t="n">
        <v>2.98</v>
      </c>
      <c r="R105" s="28"/>
      <c r="S105" s="32"/>
      <c r="Y105" s="3" t="n">
        <v>1.5997</v>
      </c>
      <c r="Z105" s="3" t="n">
        <v>1005.2</v>
      </c>
    </row>
    <row r="106" customFormat="false" ht="15" hidden="false" customHeight="false" outlineLevel="0" collapsed="false">
      <c r="A106" s="26"/>
      <c r="B106" s="27"/>
      <c r="C106" s="27"/>
      <c r="D106" s="27"/>
      <c r="E106" s="27"/>
      <c r="F106" s="27"/>
      <c r="G106" s="27"/>
      <c r="H106" s="28"/>
      <c r="I106" s="28" t="n">
        <f aca="false">I97+1</f>
        <v>225</v>
      </c>
      <c r="J106" s="28" t="n">
        <v>1</v>
      </c>
      <c r="K106" s="27" t="n">
        <f aca="false">$B$3-(I106+J106/60)*PI()/180</f>
        <v>0.854920445268556</v>
      </c>
      <c r="L106" s="29"/>
      <c r="M106" s="29"/>
      <c r="N106" s="20" t="n">
        <f aca="false">SQRT(SIN($G$13)*SIN($G$13) + (SIN(K106-$G$13+$B$2)  + COS($B$2)*SIN($G$13) )* (SIN(K106-$G$13+$B$2)  + COS($B$2)*SIN($G$13) )/(SIN($B$2)*SIN($B$2))   )</f>
        <v>1.62789014927936</v>
      </c>
      <c r="O106" s="30" t="e">
        <f aca="true">FORECAST(N106,OFFSET($Z$1:$Z$200,MATCH(N106,$Y$1:$Y$200,-1)-1,0,2),OFFSET($Y$1:$Y$200,MATCH(N106,$Y$1:$Y$200,-1)-1,0,2))</f>
        <v>#N/A</v>
      </c>
      <c r="P106" s="28"/>
      <c r="Q106" s="28" t="n">
        <v>3.55</v>
      </c>
      <c r="R106" s="28" t="n">
        <f aca="false">AVERAGE(Q106:Q108)</f>
        <v>3.57333333333333</v>
      </c>
      <c r="S106" s="32"/>
      <c r="Y106" s="3" t="n">
        <v>1.5995</v>
      </c>
      <c r="Z106" s="3" t="n">
        <v>1016.8</v>
      </c>
    </row>
    <row r="107" customFormat="false" ht="15" hidden="false" customHeight="false" outlineLevel="0" collapsed="false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0"/>
      <c r="O107" s="30"/>
      <c r="P107" s="28"/>
      <c r="Q107" s="28" t="n">
        <v>3.62</v>
      </c>
      <c r="R107" s="28"/>
      <c r="S107" s="32"/>
      <c r="Y107" s="3" t="n">
        <v>1.5993</v>
      </c>
      <c r="Z107" s="3" t="n">
        <v>1028.6</v>
      </c>
    </row>
    <row r="108" customFormat="false" ht="15" hidden="false" customHeight="false" outlineLevel="0" collapsed="false">
      <c r="A108" s="26"/>
      <c r="B108" s="27"/>
      <c r="C108" s="27"/>
      <c r="D108" s="27"/>
      <c r="E108" s="27"/>
      <c r="F108" s="27"/>
      <c r="G108" s="27"/>
      <c r="H108" s="28"/>
      <c r="I108" s="28"/>
      <c r="J108" s="28"/>
      <c r="K108" s="27"/>
      <c r="L108" s="29"/>
      <c r="M108" s="29"/>
      <c r="N108" s="20"/>
      <c r="O108" s="30"/>
      <c r="P108" s="28"/>
      <c r="Q108" s="28" t="n">
        <v>3.55</v>
      </c>
      <c r="R108" s="28"/>
      <c r="S108" s="32"/>
      <c r="Y108" s="3" t="n">
        <v>1.5991</v>
      </c>
      <c r="Z108" s="3" t="n">
        <v>1040.6</v>
      </c>
    </row>
    <row r="109" customFormat="false" ht="15" hidden="false" customHeight="false" outlineLevel="0" collapsed="false">
      <c r="A109" s="26"/>
      <c r="B109" s="27"/>
      <c r="C109" s="27"/>
      <c r="D109" s="27"/>
      <c r="E109" s="27"/>
      <c r="F109" s="27"/>
      <c r="G109" s="27"/>
      <c r="H109" s="28"/>
      <c r="I109" s="28" t="n">
        <f aca="false">I100+1</f>
        <v>225</v>
      </c>
      <c r="J109" s="28" t="n">
        <v>22</v>
      </c>
      <c r="K109" s="27" t="n">
        <f aca="false">$B$3-(I109+J109/60)*PI()/180</f>
        <v>0.848811792886576</v>
      </c>
      <c r="L109" s="29"/>
      <c r="M109" s="29"/>
      <c r="N109" s="33" t="n">
        <f aca="false">SQRT(SIN($G$13)*SIN($G$13) + (SIN(K109-$G$13+$B$2)  + COS($B$2)*SIN($G$13) )* (SIN(K109-$G$13+$B$2)  + COS($B$2)*SIN($G$13) )/(SIN($B$2)*SIN($B$2))   )</f>
        <v>1.62439461533228</v>
      </c>
      <c r="O109" s="30" t="e">
        <f aca="true">FORECAST(N109,OFFSET($Z$1:$Z$200,MATCH(N109,$Y$1:$Y$200,-1)-1,0,2),OFFSET($Y$1:$Y$200,MATCH(N109,$Y$1:$Y$200,-1)-1,0,2))</f>
        <v>#N/A</v>
      </c>
      <c r="P109" s="28"/>
      <c r="Q109" s="28" t="n">
        <v>5.56</v>
      </c>
      <c r="R109" s="28" t="n">
        <f aca="false">AVERAGE(Q109:Q111)</f>
        <v>5.42666666666667</v>
      </c>
      <c r="S109" s="32"/>
      <c r="Y109" s="3" t="n">
        <v>1.5988</v>
      </c>
      <c r="Z109" s="3" t="n">
        <v>1053</v>
      </c>
    </row>
    <row r="110" customFormat="false" ht="15" hidden="false" customHeight="false" outlineLevel="0" collapsed="false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33"/>
      <c r="O110" s="30"/>
      <c r="P110" s="28"/>
      <c r="Q110" s="28" t="n">
        <v>5.36</v>
      </c>
      <c r="R110" s="28"/>
      <c r="S110" s="32"/>
      <c r="Y110" s="3" t="n">
        <v>1.5986</v>
      </c>
      <c r="Z110" s="3" t="n">
        <v>1065.7</v>
      </c>
    </row>
    <row r="111" customFormat="false" ht="15" hidden="false" customHeight="false" outlineLevel="0" collapsed="false">
      <c r="A111" s="26"/>
      <c r="B111" s="27"/>
      <c r="C111" s="27"/>
      <c r="D111" s="27"/>
      <c r="E111" s="27"/>
      <c r="F111" s="27"/>
      <c r="G111" s="27"/>
      <c r="H111" s="28"/>
      <c r="I111" s="28"/>
      <c r="J111" s="28"/>
      <c r="K111" s="27"/>
      <c r="L111" s="29"/>
      <c r="M111" s="29"/>
      <c r="N111" s="33"/>
      <c r="O111" s="30"/>
      <c r="P111" s="28"/>
      <c r="Q111" s="28" t="n">
        <v>5.36</v>
      </c>
      <c r="R111" s="28"/>
      <c r="S111" s="32"/>
      <c r="Y111" s="3" t="n">
        <v>1.5984</v>
      </c>
      <c r="Z111" s="3" t="n">
        <v>1078.7</v>
      </c>
    </row>
    <row r="112" customFormat="false" ht="15" hidden="false" customHeight="false" outlineLevel="0" collapsed="false">
      <c r="A112" s="26"/>
      <c r="B112" s="27"/>
      <c r="C112" s="27"/>
      <c r="D112" s="27"/>
      <c r="E112" s="27"/>
      <c r="F112" s="27"/>
      <c r="G112" s="27"/>
      <c r="H112" s="28"/>
      <c r="I112" s="28" t="n">
        <f aca="false">I103+1</f>
        <v>225</v>
      </c>
      <c r="J112" s="28" t="n">
        <v>42</v>
      </c>
      <c r="K112" s="27" t="n">
        <f aca="false">$B$3-(I112+J112/60)*PI()/180</f>
        <v>0.842994028713261</v>
      </c>
      <c r="L112" s="29"/>
      <c r="M112" s="29"/>
      <c r="N112" s="33" t="n">
        <f aca="false">SQRT(SIN($G$13)*SIN($G$13) + (SIN(K112-$G$13+$B$2)  + COS($B$2)*SIN($G$13) )* (SIN(K112-$G$13+$B$2)  + COS($B$2)*SIN($G$13) )/(SIN($B$2)*SIN($B$2))   )</f>
        <v>1.62103929978979</v>
      </c>
      <c r="O112" s="30" t="n">
        <f aca="true">FORECAST(N112,OFFSET($Z$1:$Z$200,MATCH(N112,$Y$1:$Y$200,-1)-1,0,2),OFFSET($Y$1:$Y$200,MATCH(N112,$Y$1:$Y$200,-1)-1,0,2))</f>
        <v>543.16770231231</v>
      </c>
      <c r="P112" s="28"/>
      <c r="Q112" s="25" t="n">
        <v>6</v>
      </c>
      <c r="R112" s="28" t="n">
        <f aca="false">AVERAGE(Q112:Q114)</f>
        <v>5.97666666666667</v>
      </c>
      <c r="S112" s="32"/>
      <c r="Y112" s="3" t="n">
        <v>1.5981</v>
      </c>
      <c r="Z112" s="3" t="n">
        <v>1092</v>
      </c>
    </row>
    <row r="113" customFormat="false" ht="15" hidden="false" customHeight="false" outlineLevel="0" collapsed="false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33"/>
      <c r="O113" s="30"/>
      <c r="P113" s="28"/>
      <c r="Q113" s="25" t="n">
        <v>5.96</v>
      </c>
      <c r="R113" s="28"/>
      <c r="S113" s="32"/>
      <c r="Y113" s="3" t="n">
        <v>1.5979</v>
      </c>
      <c r="Z113" s="3" t="n">
        <v>1105.7</v>
      </c>
    </row>
    <row r="114" customFormat="false" ht="15" hidden="false" customHeight="false" outlineLevel="0" collapsed="false">
      <c r="A114" s="26"/>
      <c r="B114" s="27"/>
      <c r="C114" s="27"/>
      <c r="D114" s="27"/>
      <c r="E114" s="27"/>
      <c r="F114" s="27"/>
      <c r="G114" s="27"/>
      <c r="H114" s="28"/>
      <c r="I114" s="28"/>
      <c r="J114" s="28"/>
      <c r="K114" s="27"/>
      <c r="L114" s="29"/>
      <c r="M114" s="29"/>
      <c r="N114" s="33"/>
      <c r="O114" s="30"/>
      <c r="P114" s="28"/>
      <c r="Q114" s="25" t="n">
        <v>5.97</v>
      </c>
      <c r="R114" s="28"/>
      <c r="S114" s="32"/>
      <c r="Y114" s="3" t="n">
        <v>1.5977</v>
      </c>
      <c r="Z114" s="3" t="n">
        <v>1119.6</v>
      </c>
    </row>
    <row r="115" customFormat="false" ht="15" hidden="false" customHeight="false" outlineLevel="0" collapsed="false">
      <c r="A115" s="26"/>
      <c r="B115" s="27"/>
      <c r="C115" s="27"/>
      <c r="D115" s="27"/>
      <c r="E115" s="27"/>
      <c r="F115" s="27"/>
      <c r="G115" s="27"/>
      <c r="H115" s="28"/>
      <c r="I115" s="28" t="n">
        <f aca="false">I109+1</f>
        <v>226</v>
      </c>
      <c r="J115" s="28" t="n">
        <v>21</v>
      </c>
      <c r="K115" s="27" t="n">
        <f aca="false">$B$3-(I115+J115/60)*PI()/180</f>
        <v>0.831649388575299</v>
      </c>
      <c r="L115" s="29"/>
      <c r="M115" s="29"/>
      <c r="N115" s="33" t="n">
        <f aca="false">SQRT(SIN($G$13)*SIN($G$13) + (SIN(K115-$G$13+$B$2)  + COS($B$2)*SIN($G$13) )* (SIN(K115-$G$13+$B$2)  + COS($B$2)*SIN($G$13) )/(SIN($B$2)*SIN($B$2))   )</f>
        <v>1.61442352119049</v>
      </c>
      <c r="O115" s="30" t="n">
        <f aca="true">FORECAST(N115,OFFSET($Z$1:$Z$200,MATCH(N115,$Y$1:$Y$200,-1)-1,0,2),OFFSET($Y$1:$Y$200,MATCH(N115,$Y$1:$Y$200,-1)-1,0,2))</f>
        <v>616.72366095216</v>
      </c>
      <c r="P115" s="28"/>
      <c r="Q115" s="28" t="n">
        <v>4.96</v>
      </c>
      <c r="R115" s="28" t="n">
        <f aca="false">AVERAGE(Q115:Q117)</f>
        <v>4.96</v>
      </c>
      <c r="S115" s="32"/>
      <c r="Y115" s="3" t="n">
        <v>1.5974</v>
      </c>
      <c r="Z115" s="3" t="n">
        <v>1134</v>
      </c>
    </row>
    <row r="116" customFormat="false" ht="15" hidden="false" customHeight="false" outlineLevel="0" collapsed="false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33"/>
      <c r="O116" s="30"/>
      <c r="P116" s="28"/>
      <c r="Q116" s="28" t="n">
        <v>4.95</v>
      </c>
      <c r="R116" s="28"/>
      <c r="S116" s="32"/>
      <c r="Y116" s="3" t="n">
        <v>1.5972</v>
      </c>
      <c r="Z116" s="3" t="n">
        <v>1148.7</v>
      </c>
    </row>
    <row r="117" customFormat="false" ht="15" hidden="false" customHeight="false" outlineLevel="0" collapsed="false">
      <c r="A117" s="26"/>
      <c r="B117" s="27"/>
      <c r="C117" s="27"/>
      <c r="D117" s="27"/>
      <c r="E117" s="27"/>
      <c r="F117" s="27"/>
      <c r="G117" s="27"/>
      <c r="H117" s="28"/>
      <c r="I117" s="28"/>
      <c r="J117" s="28"/>
      <c r="K117" s="27"/>
      <c r="L117" s="29"/>
      <c r="M117" s="29"/>
      <c r="N117" s="33"/>
      <c r="O117" s="30"/>
      <c r="P117" s="28"/>
      <c r="Q117" s="28" t="n">
        <v>4.97</v>
      </c>
      <c r="R117" s="28"/>
      <c r="S117" s="32"/>
      <c r="Y117" s="3" t="n">
        <v>1.597</v>
      </c>
      <c r="Z117" s="3" t="n">
        <v>1163.7</v>
      </c>
    </row>
    <row r="118" customFormat="false" ht="15" hidden="false" customHeight="false" outlineLevel="0" collapsed="false">
      <c r="A118" s="26"/>
      <c r="B118" s="27"/>
      <c r="C118" s="27"/>
      <c r="D118" s="27"/>
      <c r="E118" s="27"/>
      <c r="F118" s="27"/>
      <c r="G118" s="27"/>
      <c r="H118" s="28"/>
      <c r="I118" s="28" t="n">
        <f aca="false">I112+1</f>
        <v>226</v>
      </c>
      <c r="J118" s="28" t="n">
        <v>40</v>
      </c>
      <c r="K118" s="27" t="n">
        <f aca="false">$B$3-(I118+J118/60)*PI()/180</f>
        <v>0.82612251261065</v>
      </c>
      <c r="L118" s="29"/>
      <c r="M118" s="32"/>
      <c r="N118" s="33" t="n">
        <f aca="false">SQRT(SIN($G$13)*SIN($G$13) + (SIN(K118-$G$13+$B$2)  + COS($B$2)*SIN($G$13) )* (SIN(K118-$G$13+$B$2)  + COS($B$2)*SIN($G$13) )/(SIN($B$2)*SIN($B$2))   )</f>
        <v>1.61116586382157</v>
      </c>
      <c r="O118" s="30" t="n">
        <f aca="true">FORECAST(N118,OFFSET($Z$1:$Z$200,MATCH(N118,$Y$1:$Y$200,-1)-1,0,2),OFFSET($Y$1:$Y$200,MATCH(N118,$Y$1:$Y$200,-1)-1,0,2))</f>
        <v>666.082723568601</v>
      </c>
      <c r="P118" s="28"/>
      <c r="Q118" s="28" t="n">
        <v>3.76</v>
      </c>
      <c r="R118" s="28" t="n">
        <f aca="false">AVERAGE(Q118:Q120)</f>
        <v>3.77666666666667</v>
      </c>
      <c r="S118" s="32"/>
      <c r="Y118" s="3" t="n">
        <v>1.5967</v>
      </c>
      <c r="Z118" s="3" t="n">
        <v>1179.2</v>
      </c>
    </row>
    <row r="119" customFormat="false" ht="15" hidden="false" customHeight="false" outlineLevel="0" collapsed="false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32"/>
      <c r="N119" s="33"/>
      <c r="O119" s="30"/>
      <c r="P119" s="28"/>
      <c r="Q119" s="28" t="n">
        <v>3.8</v>
      </c>
      <c r="R119" s="28"/>
      <c r="S119" s="32"/>
      <c r="Y119" s="3" t="n">
        <v>1.5965</v>
      </c>
      <c r="Z119" s="3" t="n">
        <v>1195</v>
      </c>
    </row>
    <row r="120" customFormat="false" ht="15" hidden="false" customHeight="false" outlineLevel="0" collapsed="false">
      <c r="A120" s="26"/>
      <c r="B120" s="27"/>
      <c r="C120" s="27"/>
      <c r="D120" s="27"/>
      <c r="E120" s="27"/>
      <c r="F120" s="27"/>
      <c r="G120" s="27"/>
      <c r="H120" s="28"/>
      <c r="I120" s="28"/>
      <c r="J120" s="28"/>
      <c r="K120" s="27"/>
      <c r="L120" s="29"/>
      <c r="M120" s="32"/>
      <c r="N120" s="33"/>
      <c r="O120" s="30"/>
      <c r="P120" s="28"/>
      <c r="Q120" s="28" t="n">
        <v>3.77</v>
      </c>
      <c r="R120" s="28"/>
      <c r="S120" s="32"/>
      <c r="Y120" s="3" t="n">
        <v>1.5963</v>
      </c>
      <c r="Z120" s="3" t="n">
        <v>1211.2</v>
      </c>
    </row>
    <row r="121" customFormat="false" ht="15" hidden="false" customHeight="false" outlineLevel="0" collapsed="false">
      <c r="A121" s="26"/>
      <c r="B121" s="27"/>
      <c r="C121" s="27"/>
      <c r="D121" s="27"/>
      <c r="E121" s="27"/>
      <c r="F121" s="27"/>
      <c r="G121" s="27"/>
      <c r="H121" s="28"/>
      <c r="I121" s="28" t="n">
        <f aca="false">I115+1</f>
        <v>227</v>
      </c>
      <c r="J121" s="28" t="n">
        <v>24</v>
      </c>
      <c r="K121" s="27" t="n">
        <f aca="false">$B$3-(I121+J121/60)*PI()/180</f>
        <v>0.813323431429358</v>
      </c>
      <c r="L121" s="29"/>
      <c r="M121" s="32"/>
      <c r="N121" s="33" t="n">
        <f aca="false">SQRT(SIN($G$13)*SIN($G$13) + (SIN(K121-$G$13+$B$2)  + COS($B$2)*SIN($G$13) )* (SIN(K121-$G$13+$B$2)  + COS($B$2)*SIN($G$13) )/(SIN($B$2)*SIN($B$2))   )</f>
        <v>1.603535933318</v>
      </c>
      <c r="O121" s="30" t="n">
        <f aca="true">FORECAST(N121,OFFSET($Z$1:$Z$200,MATCH(N121,$Y$1:$Y$200,-1)-1,0,2),OFFSET($Y$1:$Y$200,MATCH(N121,$Y$1:$Y$200,-1)-1,0,2))</f>
        <v>851.598600597991</v>
      </c>
      <c r="P121" s="28"/>
      <c r="Q121" s="28" t="n">
        <v>1.42</v>
      </c>
      <c r="R121" s="28" t="n">
        <f aca="false">AVERAGE(Q121:Q123)</f>
        <v>1.41333333333333</v>
      </c>
      <c r="S121" s="32"/>
      <c r="Y121" s="3" t="n">
        <v>1.596</v>
      </c>
      <c r="Z121" s="3" t="n">
        <v>1227.9</v>
      </c>
    </row>
    <row r="122" customFormat="false" ht="15" hidden="false" customHeight="false" outlineLevel="0" collapsed="false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32"/>
      <c r="N122" s="33"/>
      <c r="O122" s="30"/>
      <c r="P122" s="28"/>
      <c r="Q122" s="28" t="n">
        <v>1.42</v>
      </c>
      <c r="R122" s="28"/>
      <c r="S122" s="32"/>
      <c r="Y122" s="3" t="n">
        <v>1.5958</v>
      </c>
      <c r="Z122" s="3" t="n">
        <v>1245</v>
      </c>
    </row>
    <row r="123" customFormat="false" ht="15" hidden="false" customHeight="false" outlineLevel="0" collapsed="false">
      <c r="A123" s="26"/>
      <c r="B123" s="27"/>
      <c r="C123" s="27"/>
      <c r="D123" s="27"/>
      <c r="E123" s="27"/>
      <c r="F123" s="27"/>
      <c r="G123" s="27"/>
      <c r="H123" s="28"/>
      <c r="I123" s="28"/>
      <c r="J123" s="28"/>
      <c r="K123" s="27"/>
      <c r="L123" s="29"/>
      <c r="M123" s="32"/>
      <c r="N123" s="33"/>
      <c r="O123" s="30"/>
      <c r="P123" s="28"/>
      <c r="Q123" s="28" t="n">
        <v>1.4</v>
      </c>
      <c r="R123" s="28"/>
      <c r="S123" s="32"/>
      <c r="Y123" s="3" t="n">
        <v>1.5956</v>
      </c>
      <c r="Z123" s="3" t="n">
        <v>1262.5</v>
      </c>
    </row>
    <row r="124" customFormat="false" ht="15" hidden="false" customHeight="false" outlineLevel="0" collapsed="false">
      <c r="A124" s="26"/>
      <c r="B124" s="27"/>
      <c r="C124" s="27"/>
      <c r="D124" s="27"/>
      <c r="E124" s="27"/>
      <c r="F124" s="27"/>
      <c r="G124" s="27"/>
      <c r="H124" s="28"/>
      <c r="I124" s="28" t="n">
        <f aca="false">I118+1</f>
        <v>227</v>
      </c>
      <c r="J124" s="28" t="n">
        <v>41</v>
      </c>
      <c r="K124" s="27" t="n">
        <f aca="false">$B$3-(I124+J124/60)*PI()/180</f>
        <v>0.808378331882041</v>
      </c>
      <c r="L124" s="29"/>
      <c r="M124" s="32"/>
      <c r="N124" s="33" t="n">
        <f aca="false">SQRT(SIN($G$13)*SIN($G$13) + (SIN(K124-$G$13+$B$2)  + COS($B$2)*SIN($G$13) )* (SIN(K124-$G$13+$B$2)  + COS($B$2)*SIN($G$13) )/(SIN($B$2)*SIN($B$2))   )</f>
        <v>1.60055620978513</v>
      </c>
      <c r="O124" s="30" t="n">
        <f aca="true">FORECAST(N124,OFFSET($Z$1:$Z$200,MATCH(N124,$Y$1:$Y$200,-1)-1,0,2),OFFSET($Y$1:$Y$200,MATCH(N124,$Y$1:$Y$200,-1)-1,0,2))</f>
        <v>966.832657520454</v>
      </c>
      <c r="P124" s="28"/>
      <c r="Q124" s="28" t="n">
        <v>0.87</v>
      </c>
      <c r="R124" s="28" t="n">
        <f aca="false">AVERAGE(Q124:Q126)</f>
        <v>0.853333333333333</v>
      </c>
      <c r="S124" s="32"/>
      <c r="Y124" s="3" t="n">
        <v>1.5953</v>
      </c>
      <c r="Z124" s="3" t="n">
        <v>1280.5</v>
      </c>
    </row>
    <row r="125" customFormat="false" ht="15" hidden="false" customHeight="false" outlineLevel="0" collapsed="false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32"/>
      <c r="N125" s="33"/>
      <c r="O125" s="30"/>
      <c r="P125" s="28"/>
      <c r="Q125" s="28" t="n">
        <v>0.84</v>
      </c>
      <c r="R125" s="28"/>
      <c r="S125" s="32"/>
      <c r="Y125" s="3" t="n">
        <v>1.5951</v>
      </c>
      <c r="Z125" s="3" t="n">
        <v>1299</v>
      </c>
    </row>
    <row r="126" customFormat="false" ht="15" hidden="false" customHeight="false" outlineLevel="0" collapsed="false">
      <c r="A126" s="26"/>
      <c r="B126" s="27"/>
      <c r="C126" s="27"/>
      <c r="D126" s="27"/>
      <c r="E126" s="27"/>
      <c r="F126" s="27"/>
      <c r="G126" s="27"/>
      <c r="H126" s="28"/>
      <c r="I126" s="28"/>
      <c r="J126" s="28"/>
      <c r="K126" s="27"/>
      <c r="L126" s="29"/>
      <c r="M126" s="32"/>
      <c r="N126" s="33"/>
      <c r="O126" s="30"/>
      <c r="P126" s="28"/>
      <c r="Q126" s="28" t="n">
        <v>0.85</v>
      </c>
      <c r="R126" s="28"/>
      <c r="S126" s="32"/>
      <c r="Y126" s="3" t="n">
        <v>1.5949</v>
      </c>
      <c r="Z126" s="3" t="n">
        <v>1317.9</v>
      </c>
    </row>
    <row r="127" customFormat="false" ht="15" hidden="false" customHeight="false" outlineLevel="0" collapsed="false">
      <c r="A127" s="26"/>
      <c r="B127" s="27"/>
      <c r="C127" s="27"/>
      <c r="D127" s="27"/>
      <c r="E127" s="27"/>
      <c r="F127" s="27"/>
      <c r="G127" s="27"/>
      <c r="H127" s="28"/>
      <c r="I127" s="28" t="n">
        <f aca="false">I121+1</f>
        <v>228</v>
      </c>
      <c r="J127" s="28" t="n">
        <v>22</v>
      </c>
      <c r="K127" s="27" t="n">
        <f aca="false">$B$3-(I127+J127/60)*PI()/180</f>
        <v>0.796451915326745</v>
      </c>
      <c r="L127" s="29"/>
      <c r="M127" s="32"/>
      <c r="N127" s="33" t="n">
        <f aca="false">SQRT(SIN($G$13)*SIN($G$13) + (SIN(K127-$G$13+$B$2)  + COS($B$2)*SIN($G$13) )* (SIN(K127-$G$13+$B$2)  + COS($B$2)*SIN($G$13) )/(SIN($B$2)*SIN($B$2))   )</f>
        <v>1.59329789166771</v>
      </c>
      <c r="O127" s="30" t="n">
        <f aca="true">FORECAST(N127,OFFSET($Z$1:$Z$200,MATCH(N127,$Y$1:$Y$200,-1)-1,0,2),OFFSET($Y$1:$Y$200,MATCH(N127,$Y$1:$Y$200,-1)-1,0,2))</f>
        <v>1458.06023325403</v>
      </c>
      <c r="P127" s="28"/>
      <c r="Q127" s="28" t="n">
        <v>0.12</v>
      </c>
      <c r="R127" s="28" t="n">
        <f aca="false">AVERAGE(Q127:Q129)</f>
        <v>0.133333333333333</v>
      </c>
      <c r="S127" s="32"/>
      <c r="Y127" s="3" t="n">
        <v>1.5946</v>
      </c>
      <c r="Z127" s="3" t="n">
        <v>1337.4</v>
      </c>
    </row>
    <row r="128" customFormat="false" ht="15" hidden="false" customHeight="false" outlineLevel="0" collapsed="false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32"/>
      <c r="N128" s="33"/>
      <c r="O128" s="30"/>
      <c r="P128" s="28"/>
      <c r="Q128" s="28" t="n">
        <v>0.14</v>
      </c>
      <c r="R128" s="28"/>
      <c r="S128" s="32"/>
      <c r="Y128" s="3" t="n">
        <v>1.5944</v>
      </c>
      <c r="Z128" s="3" t="n">
        <v>1357.4</v>
      </c>
    </row>
    <row r="129" customFormat="false" ht="15" hidden="false" customHeight="false" outlineLevel="0" collapsed="false">
      <c r="A129" s="26"/>
      <c r="B129" s="27"/>
      <c r="C129" s="27"/>
      <c r="D129" s="27"/>
      <c r="E129" s="27"/>
      <c r="F129" s="27"/>
      <c r="G129" s="27"/>
      <c r="H129" s="28"/>
      <c r="I129" s="28"/>
      <c r="J129" s="28"/>
      <c r="K129" s="27"/>
      <c r="L129" s="29"/>
      <c r="M129" s="32"/>
      <c r="N129" s="33"/>
      <c r="O129" s="30"/>
      <c r="P129" s="28"/>
      <c r="Q129" s="28" t="n">
        <v>0.14</v>
      </c>
      <c r="R129" s="28"/>
      <c r="S129" s="32"/>
      <c r="Y129" s="3" t="n">
        <v>1.5942</v>
      </c>
      <c r="Z129" s="3" t="n">
        <v>1377.9</v>
      </c>
    </row>
    <row r="130" customFormat="false" ht="15" hidden="false" customHeight="false" outlineLevel="0" collapsed="false">
      <c r="A130" s="26"/>
      <c r="B130" s="27"/>
      <c r="C130" s="27"/>
      <c r="D130" s="27"/>
      <c r="E130" s="27"/>
      <c r="F130" s="27"/>
      <c r="G130" s="27"/>
      <c r="H130" s="28"/>
      <c r="I130" s="28" t="n">
        <f aca="false">I124+1</f>
        <v>228</v>
      </c>
      <c r="J130" s="28" t="n">
        <v>39</v>
      </c>
      <c r="K130" s="27" t="n">
        <f aca="false">$B$3-(I130+J130/60)*PI()/180</f>
        <v>0.791506815779429</v>
      </c>
      <c r="L130" s="29"/>
      <c r="M130" s="32"/>
      <c r="N130" s="33" t="n">
        <f aca="false">SQRT(SIN($G$13)*SIN($G$13) + (SIN(K130-$G$13+$B$2)  + COS($B$2)*SIN($G$13) )* (SIN(K130-$G$13+$B$2)  + COS($B$2)*SIN($G$13) )/(SIN($B$2)*SIN($B$2))   )</f>
        <v>1.59025882739662</v>
      </c>
      <c r="O130" s="30" t="n">
        <f aca="true">FORECAST(N130,OFFSET($Z$1:$Z$200,MATCH(N130,$Y$1:$Y$200,-1)-1,0,2),OFFSET($Y$1:$Y$200,MATCH(N130,$Y$1:$Y$200,-1)-1,0,2))</f>
        <v>1820.78781376841</v>
      </c>
      <c r="P130" s="28"/>
      <c r="Q130" s="28" t="n">
        <v>0.01</v>
      </c>
      <c r="R130" s="28" t="n">
        <f aca="false">AVERAGE(Q130:Q132)</f>
        <v>0.0166666666666667</v>
      </c>
      <c r="S130" s="32"/>
      <c r="Y130" s="3" t="n">
        <v>1.5939</v>
      </c>
      <c r="Z130" s="3" t="n">
        <v>1398.9</v>
      </c>
    </row>
    <row r="131" customFormat="false" ht="15" hidden="false" customHeight="false" outlineLevel="0" collapsed="false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32"/>
      <c r="N131" s="33"/>
      <c r="O131" s="30"/>
      <c r="P131" s="28"/>
      <c r="Q131" s="28" t="n">
        <v>0.02</v>
      </c>
      <c r="R131" s="28"/>
      <c r="S131" s="32"/>
      <c r="Y131" s="3" t="n">
        <v>1.5937</v>
      </c>
      <c r="Z131" s="3" t="n">
        <v>1420.5</v>
      </c>
    </row>
    <row r="132" customFormat="false" ht="15" hidden="false" customHeight="false" outlineLevel="0" collapsed="false">
      <c r="A132" s="26"/>
      <c r="B132" s="27"/>
      <c r="C132" s="27"/>
      <c r="D132" s="27"/>
      <c r="E132" s="27"/>
      <c r="F132" s="27"/>
      <c r="G132" s="27"/>
      <c r="H132" s="28"/>
      <c r="I132" s="28"/>
      <c r="J132" s="28"/>
      <c r="K132" s="27"/>
      <c r="L132" s="29"/>
      <c r="M132" s="32"/>
      <c r="N132" s="33"/>
      <c r="O132" s="30"/>
      <c r="P132" s="28"/>
      <c r="Q132" s="28" t="n">
        <v>0.02</v>
      </c>
      <c r="R132" s="28"/>
      <c r="S132" s="32"/>
      <c r="Y132" s="3" t="n">
        <v>1.5935</v>
      </c>
      <c r="Z132" s="3" t="n">
        <v>1442.7</v>
      </c>
    </row>
    <row r="133" customFormat="false" ht="15" hidden="false" customHeight="false" outlineLevel="0" collapsed="false">
      <c r="A133" s="26"/>
      <c r="B133" s="27"/>
      <c r="C133" s="27"/>
      <c r="D133" s="27"/>
      <c r="E133" s="27"/>
      <c r="F133" s="27"/>
      <c r="G133" s="27"/>
      <c r="H133" s="34"/>
      <c r="I133" s="34" t="n">
        <v>225</v>
      </c>
      <c r="J133" s="34" t="n">
        <v>32</v>
      </c>
      <c r="K133" s="35" t="n">
        <f aca="false">$B$3-(I133+J133/60)*PI()/180</f>
        <v>0.845902910799918</v>
      </c>
      <c r="L133" s="36"/>
      <c r="M133" s="37"/>
      <c r="N133" s="33" t="n">
        <f aca="false">SQRT(SIN($G$13)*SIN($G$13) + (SIN(K133-$G$13+$B$2)  + COS($B$2)*SIN($G$13) )* (SIN(K133-$G$13+$B$2)  + COS($B$2)*SIN($G$13) )/(SIN($B$2)*SIN($B$2))   )</f>
        <v>1.62272014520369</v>
      </c>
      <c r="O133" s="30" t="n">
        <f aca="true">FORECAST(N133,OFFSET($Z$1:$Z$200,MATCH(N133,$Y$1:$Y$200,-1)-1,0,2),OFFSET($Y$1:$Y$200,MATCH(N133,$Y$1:$Y$200,-1)-1,0,2))</f>
        <v>527.95898357417</v>
      </c>
      <c r="P133" s="34"/>
      <c r="Q133" s="36" t="n">
        <v>5.33</v>
      </c>
      <c r="R133" s="34" t="n">
        <f aca="false">AVERAGE(Q133:Q135)</f>
        <v>5.33</v>
      </c>
      <c r="S133" s="37"/>
      <c r="Y133" s="3" t="n">
        <v>1.5932</v>
      </c>
      <c r="Z133" s="3" t="n">
        <v>1465.5</v>
      </c>
    </row>
    <row r="134" customFormat="false" ht="15" hidden="false" customHeight="false" outlineLevel="0" collapsed="false">
      <c r="A134" s="26"/>
      <c r="B134" s="27"/>
      <c r="C134" s="27"/>
      <c r="D134" s="27"/>
      <c r="E134" s="27"/>
      <c r="F134" s="27"/>
      <c r="G134" s="27"/>
      <c r="H134" s="34"/>
      <c r="I134" s="34"/>
      <c r="J134" s="34"/>
      <c r="K134" s="34"/>
      <c r="L134" s="34"/>
      <c r="M134" s="37"/>
      <c r="N134" s="33"/>
      <c r="O134" s="30"/>
      <c r="P134" s="34"/>
      <c r="Q134" s="34"/>
      <c r="R134" s="34"/>
      <c r="S134" s="37"/>
      <c r="Y134" s="3" t="n">
        <v>1.593</v>
      </c>
      <c r="Z134" s="3" t="n">
        <v>1489</v>
      </c>
    </row>
    <row r="135" customFormat="false" ht="15" hidden="false" customHeight="false" outlineLevel="0" collapsed="false">
      <c r="A135" s="26"/>
      <c r="B135" s="27"/>
      <c r="C135" s="27"/>
      <c r="D135" s="27"/>
      <c r="E135" s="27"/>
      <c r="F135" s="27"/>
      <c r="G135" s="27"/>
      <c r="H135" s="34"/>
      <c r="I135" s="34"/>
      <c r="J135" s="34"/>
      <c r="K135" s="35"/>
      <c r="L135" s="36"/>
      <c r="M135" s="37"/>
      <c r="N135" s="33"/>
      <c r="O135" s="30"/>
      <c r="P135" s="34"/>
      <c r="Q135" s="34"/>
      <c r="R135" s="34"/>
      <c r="S135" s="37"/>
      <c r="Y135" s="3" t="n">
        <v>1.5928</v>
      </c>
      <c r="Z135" s="3" t="n">
        <v>1513.1</v>
      </c>
    </row>
    <row r="136" customFormat="false" ht="15" hidden="false" customHeight="false" outlineLevel="0" collapsed="false">
      <c r="A136" s="26"/>
      <c r="B136" s="27"/>
      <c r="C136" s="27"/>
      <c r="D136" s="27"/>
      <c r="E136" s="27"/>
      <c r="F136" s="27"/>
      <c r="G136" s="27"/>
      <c r="H136" s="34"/>
      <c r="I136" s="34" t="n">
        <v>225</v>
      </c>
      <c r="J136" s="34" t="n">
        <v>37</v>
      </c>
      <c r="K136" s="35" t="n">
        <f aca="false">$B$3-(I136+J136/60)*PI()/180</f>
        <v>0.844448469756589</v>
      </c>
      <c r="L136" s="36"/>
      <c r="M136" s="37"/>
      <c r="N136" s="33" t="n">
        <f aca="false">SQRT(SIN($G$13)*SIN($G$13) + (SIN(K136-$G$13+$B$2)  + COS($B$2)*SIN($G$13) )* (SIN(K136-$G$13+$B$2)  + COS($B$2)*SIN($G$13) )/(SIN($B$2)*SIN($B$2))   )</f>
        <v>1.6218805179709</v>
      </c>
      <c r="O136" s="30" t="n">
        <f aca="true">FORECAST(N136,OFFSET($Z$1:$Z$200,MATCH(N136,$Y$1:$Y$200,-1)-1,0,2),OFFSET($Y$1:$Y$200,MATCH(N136,$Y$1:$Y$200,-1)-1,0,2))</f>
        <v>535.3363742037</v>
      </c>
      <c r="P136" s="34"/>
      <c r="Q136" s="36" t="n">
        <v>5.42</v>
      </c>
      <c r="R136" s="34" t="n">
        <f aca="false">AVERAGE(Q136:Q138)</f>
        <v>5.42</v>
      </c>
      <c r="S136" s="37"/>
      <c r="Y136" s="3" t="n">
        <v>1.5925</v>
      </c>
      <c r="Z136" s="3" t="n">
        <v>1537.8</v>
      </c>
    </row>
    <row r="137" customFormat="false" ht="15" hidden="false" customHeight="false" outlineLevel="0" collapsed="false">
      <c r="A137" s="26"/>
      <c r="B137" s="27"/>
      <c r="C137" s="27"/>
      <c r="D137" s="27"/>
      <c r="E137" s="27"/>
      <c r="F137" s="27"/>
      <c r="G137" s="27"/>
      <c r="H137" s="34"/>
      <c r="I137" s="34"/>
      <c r="J137" s="34"/>
      <c r="K137" s="34"/>
      <c r="L137" s="34"/>
      <c r="M137" s="37"/>
      <c r="N137" s="33"/>
      <c r="O137" s="30"/>
      <c r="P137" s="34"/>
      <c r="Q137" s="34"/>
      <c r="R137" s="34"/>
      <c r="S137" s="37"/>
      <c r="Y137" s="3" t="n">
        <v>1.5923</v>
      </c>
      <c r="Z137" s="3" t="n">
        <v>1563.3</v>
      </c>
    </row>
    <row r="138" customFormat="false" ht="15" hidden="false" customHeight="false" outlineLevel="0" collapsed="false">
      <c r="A138" s="26"/>
      <c r="B138" s="27"/>
      <c r="C138" s="27"/>
      <c r="D138" s="27"/>
      <c r="E138" s="27"/>
      <c r="F138" s="27"/>
      <c r="G138" s="28"/>
      <c r="H138" s="34"/>
      <c r="I138" s="34"/>
      <c r="J138" s="34"/>
      <c r="K138" s="35"/>
      <c r="L138" s="36"/>
      <c r="M138" s="37"/>
      <c r="N138" s="33"/>
      <c r="O138" s="30"/>
      <c r="P138" s="34"/>
      <c r="Q138" s="34"/>
      <c r="R138" s="34"/>
      <c r="S138" s="37"/>
      <c r="Y138" s="3" t="n">
        <v>1.5921</v>
      </c>
      <c r="Z138" s="3" t="n">
        <v>1589.4</v>
      </c>
    </row>
    <row r="139" customFormat="false" ht="15" hidden="false" customHeight="false" outlineLevel="0" collapsed="false">
      <c r="A139" s="0"/>
      <c r="B139" s="0"/>
      <c r="C139" s="0"/>
      <c r="D139" s="0"/>
      <c r="E139" s="0"/>
      <c r="F139" s="0"/>
      <c r="G139" s="0"/>
      <c r="H139" s="34"/>
      <c r="I139" s="34" t="n">
        <v>225</v>
      </c>
      <c r="J139" s="34" t="n">
        <v>42</v>
      </c>
      <c r="K139" s="35" t="n">
        <f aca="false">$B$3-(I139+J139/60)*PI()/180</f>
        <v>0.842994028713261</v>
      </c>
      <c r="L139" s="36"/>
      <c r="M139" s="37"/>
      <c r="N139" s="33" t="n">
        <f aca="false">SQRT(SIN($G$13)*SIN($G$13) + (SIN(K139-$G$13+$B$2)  + COS($B$2)*SIN($G$13) )* (SIN(K139-$G$13+$B$2)  + COS($B$2)*SIN($G$13) )/(SIN($B$2)*SIN($B$2))   )</f>
        <v>1.62103929978979</v>
      </c>
      <c r="O139" s="30" t="n">
        <f aca="true">FORECAST(N139,OFFSET($Z$1:$Z$200,MATCH(N139,$Y$1:$Y$200,-1)-1,0,2),OFFSET($Y$1:$Y$200,MATCH(N139,$Y$1:$Y$200,-1)-1,0,2))</f>
        <v>543.16770231231</v>
      </c>
      <c r="P139" s="34"/>
      <c r="Q139" s="36" t="n">
        <v>5.56</v>
      </c>
      <c r="R139" s="34" t="n">
        <f aca="false">AVERAGE(Q139:Q141)</f>
        <v>5.56</v>
      </c>
      <c r="S139" s="37"/>
      <c r="Y139" s="3" t="n">
        <v>1.5918</v>
      </c>
      <c r="Z139" s="3" t="n">
        <v>1616.3</v>
      </c>
    </row>
    <row r="140" customFormat="false" ht="15" hidden="false" customHeight="false" outlineLevel="0" collapsed="false">
      <c r="A140" s="0"/>
      <c r="B140" s="0"/>
      <c r="C140" s="0"/>
      <c r="D140" s="0"/>
      <c r="E140" s="0"/>
      <c r="F140" s="0"/>
      <c r="G140" s="0"/>
      <c r="H140" s="34"/>
      <c r="I140" s="34"/>
      <c r="J140" s="34"/>
      <c r="K140" s="34"/>
      <c r="L140" s="34"/>
      <c r="M140" s="37"/>
      <c r="N140" s="33"/>
      <c r="O140" s="30"/>
      <c r="P140" s="34"/>
      <c r="Q140" s="34"/>
      <c r="R140" s="34"/>
      <c r="S140" s="37"/>
      <c r="Y140" s="3" t="n">
        <v>1.5916</v>
      </c>
      <c r="Z140" s="3" t="n">
        <v>1643.9</v>
      </c>
    </row>
    <row r="141" customFormat="false" ht="15" hidden="false" customHeight="false" outlineLevel="0" collapsed="false">
      <c r="A141" s="0"/>
      <c r="B141" s="0"/>
      <c r="C141" s="0"/>
      <c r="D141" s="0"/>
      <c r="E141" s="0"/>
      <c r="F141" s="0"/>
      <c r="G141" s="0"/>
      <c r="H141" s="34"/>
      <c r="I141" s="34"/>
      <c r="J141" s="34"/>
      <c r="K141" s="35"/>
      <c r="L141" s="36"/>
      <c r="M141" s="37"/>
      <c r="N141" s="33"/>
      <c r="O141" s="30"/>
      <c r="P141" s="34"/>
      <c r="Q141" s="34"/>
      <c r="R141" s="34"/>
      <c r="S141" s="37"/>
      <c r="Y141" s="3" t="n">
        <v>1.5914</v>
      </c>
      <c r="Z141" s="3" t="n">
        <v>1672.4</v>
      </c>
    </row>
    <row r="142" customFormat="false" ht="15" hidden="false" customHeight="false" outlineLevel="0" collapsed="false">
      <c r="A142" s="0"/>
      <c r="B142" s="0"/>
      <c r="C142" s="0"/>
      <c r="D142" s="0"/>
      <c r="E142" s="0"/>
      <c r="F142" s="0"/>
      <c r="G142" s="0"/>
      <c r="H142" s="34"/>
      <c r="I142" s="34" t="n">
        <f aca="false">I136+1</f>
        <v>226</v>
      </c>
      <c r="J142" s="34" t="n">
        <v>0</v>
      </c>
      <c r="K142" s="35" t="n">
        <f aca="false">$B$3-(I142+J142/60)*PI()/180</f>
        <v>0.837758040957278</v>
      </c>
      <c r="L142" s="36"/>
      <c r="M142" s="38"/>
      <c r="N142" s="33" t="n">
        <f aca="false">SQRT(SIN($G$13)*SIN($G$13) + (SIN(K142-$G$13+$B$2)  + COS($B$2)*SIN($G$13) )* (SIN(K142-$G$13+$B$2)  + COS($B$2)*SIN($G$13) )/(SIN($B$2)*SIN($B$2))   )</f>
        <v>1.61799778590933</v>
      </c>
      <c r="O142" s="30" t="n">
        <f aca="true">FORECAST(N142,OFFSET($Z$1:$Z$200,MATCH(N142,$Y$1:$Y$200,-1)-1,0,2),OFFSET($Y$1:$Y$200,MATCH(N142,$Y$1:$Y$200,-1)-1,0,2))</f>
        <v>573.128783178709</v>
      </c>
      <c r="P142" s="34"/>
      <c r="Q142" s="36" t="n">
        <v>6.1</v>
      </c>
      <c r="R142" s="34" t="n">
        <f aca="false">AVERAGE(Q142:Q144)</f>
        <v>6.1</v>
      </c>
      <c r="S142" s="38"/>
      <c r="Y142" s="3" t="n">
        <v>1.5911</v>
      </c>
      <c r="Z142" s="3" t="n">
        <v>1701.6</v>
      </c>
    </row>
    <row r="143" customFormat="false" ht="15" hidden="false" customHeight="false" outlineLevel="0" collapsed="false">
      <c r="A143" s="0"/>
      <c r="B143" s="0"/>
      <c r="C143" s="0"/>
      <c r="D143" s="0"/>
      <c r="E143" s="0"/>
      <c r="F143" s="0"/>
      <c r="G143" s="0"/>
      <c r="H143" s="34"/>
      <c r="I143" s="34"/>
      <c r="J143" s="34"/>
      <c r="K143" s="34"/>
      <c r="L143" s="34"/>
      <c r="M143" s="38"/>
      <c r="N143" s="33"/>
      <c r="O143" s="30"/>
      <c r="P143" s="34"/>
      <c r="Q143" s="34"/>
      <c r="R143" s="34"/>
      <c r="S143" s="38"/>
      <c r="Y143" s="3" t="n">
        <v>1.5909</v>
      </c>
      <c r="Z143" s="3" t="n">
        <v>1731.7</v>
      </c>
    </row>
    <row r="144" customFormat="false" ht="15" hidden="false" customHeight="false" outlineLevel="0" collapsed="false">
      <c r="A144" s="0"/>
      <c r="B144" s="0"/>
      <c r="C144" s="0"/>
      <c r="D144" s="0"/>
      <c r="E144" s="0"/>
      <c r="F144" s="0"/>
      <c r="G144" s="0"/>
      <c r="H144" s="34"/>
      <c r="I144" s="34"/>
      <c r="J144" s="34"/>
      <c r="K144" s="35"/>
      <c r="L144" s="36"/>
      <c r="M144" s="38"/>
      <c r="N144" s="33"/>
      <c r="O144" s="30"/>
      <c r="P144" s="34"/>
      <c r="Q144" s="34"/>
      <c r="R144" s="34"/>
      <c r="S144" s="38"/>
      <c r="Y144" s="3" t="n">
        <v>1.5907</v>
      </c>
      <c r="Z144" s="3" t="n">
        <v>1762.6</v>
      </c>
    </row>
    <row r="145" customFormat="false" ht="15" hidden="false" customHeight="false" outlineLevel="0" collapsed="false">
      <c r="A145" s="0"/>
      <c r="B145" s="0"/>
      <c r="C145" s="0"/>
      <c r="D145" s="0"/>
      <c r="E145" s="0"/>
      <c r="F145" s="0"/>
      <c r="G145" s="0"/>
      <c r="H145" s="34"/>
      <c r="I145" s="34" t="n">
        <f aca="false">I139+1</f>
        <v>226</v>
      </c>
      <c r="J145" s="34" t="n">
        <v>10</v>
      </c>
      <c r="K145" s="35" t="n">
        <f aca="false">$B$3-(I145+J145/60)*PI()/180</f>
        <v>0.834849158870621</v>
      </c>
      <c r="L145" s="36"/>
      <c r="M145" s="38"/>
      <c r="N145" s="33" t="n">
        <f aca="false">SQRT(SIN($G$13)*SIN($G$13) + (SIN(K145-$G$13+$B$2)  + COS($B$2)*SIN($G$13) )* (SIN(K145-$G$13+$B$2)  + COS($B$2)*SIN($G$13) )/(SIN($B$2)*SIN($B$2))   )</f>
        <v>1.6162992125892</v>
      </c>
      <c r="O145" s="30" t="n">
        <f aca="true">FORECAST(N145,OFFSET($Z$1:$Z$200,MATCH(N145,$Y$1:$Y$200,-1)-1,0,2),OFFSET($Y$1:$Y$200,MATCH(N145,$Y$1:$Y$200,-1)-1,0,2))</f>
        <v>593.161417456599</v>
      </c>
      <c r="P145" s="34"/>
      <c r="Q145" s="36" t="n">
        <v>5.96</v>
      </c>
      <c r="R145" s="34" t="n">
        <f aca="false">AVERAGE(Q145:Q147)</f>
        <v>5.96</v>
      </c>
      <c r="S145" s="38"/>
      <c r="Y145" s="3" t="n">
        <v>1.5905</v>
      </c>
      <c r="Z145" s="3" t="n">
        <v>1794.5</v>
      </c>
    </row>
    <row r="146" customFormat="false" ht="15" hidden="false" customHeight="false" outlineLevel="0" collapsed="false">
      <c r="A146" s="0"/>
      <c r="B146" s="0"/>
      <c r="C146" s="0"/>
      <c r="D146" s="0"/>
      <c r="E146" s="0"/>
      <c r="F146" s="0"/>
      <c r="G146" s="0"/>
      <c r="H146" s="34"/>
      <c r="I146" s="34"/>
      <c r="J146" s="34"/>
      <c r="K146" s="34"/>
      <c r="L146" s="34"/>
      <c r="M146" s="38"/>
      <c r="N146" s="33"/>
      <c r="O146" s="30"/>
      <c r="P146" s="34"/>
      <c r="Q146" s="34"/>
      <c r="R146" s="34"/>
      <c r="S146" s="38"/>
      <c r="Y146" s="3" t="n">
        <v>1.5902</v>
      </c>
      <c r="Z146" s="3" t="n">
        <v>1827.2</v>
      </c>
    </row>
    <row r="147" customFormat="false" ht="15" hidden="false" customHeight="false" outlineLevel="0" collapsed="false">
      <c r="A147" s="0"/>
      <c r="B147" s="0"/>
      <c r="C147" s="0"/>
      <c r="D147" s="0"/>
      <c r="E147" s="0"/>
      <c r="F147" s="0"/>
      <c r="G147" s="0"/>
      <c r="H147" s="34"/>
      <c r="I147" s="34"/>
      <c r="J147" s="34"/>
      <c r="K147" s="35"/>
      <c r="L147" s="36"/>
      <c r="M147" s="38"/>
      <c r="N147" s="33"/>
      <c r="O147" s="30"/>
      <c r="P147" s="34"/>
      <c r="Q147" s="34"/>
      <c r="R147" s="34"/>
      <c r="S147" s="38"/>
      <c r="Y147" s="3" t="n">
        <v>1.59</v>
      </c>
      <c r="Z147" s="3" t="n">
        <v>1861</v>
      </c>
    </row>
    <row r="148" customFormat="false" ht="15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Y148" s="3" t="n">
        <v>1.5898</v>
      </c>
      <c r="Z148" s="3" t="n">
        <v>1895.7</v>
      </c>
    </row>
    <row r="149" customFormat="false" ht="15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Y149" s="3" t="n">
        <v>1.5895</v>
      </c>
      <c r="Z149" s="3" t="n">
        <v>1931.5</v>
      </c>
    </row>
    <row r="150" customFormat="false" ht="15" hidden="false" customHeight="false" outlineLevel="0" collapsed="false">
      <c r="A150" s="9" t="s">
        <v>27</v>
      </c>
      <c r="B150" s="9" t="s">
        <v>17</v>
      </c>
      <c r="C150" s="9" t="s">
        <v>28</v>
      </c>
      <c r="D150" s="9" t="s">
        <v>29</v>
      </c>
      <c r="E150" s="9" t="s">
        <v>30</v>
      </c>
      <c r="F150" s="9" t="s">
        <v>4</v>
      </c>
      <c r="G150" s="9" t="s">
        <v>31</v>
      </c>
      <c r="H150" s="9" t="s">
        <v>32</v>
      </c>
      <c r="I150" s="9" t="s">
        <v>44</v>
      </c>
      <c r="J150" s="9" t="s">
        <v>45</v>
      </c>
      <c r="K150" s="9" t="s">
        <v>35</v>
      </c>
      <c r="L150" s="9" t="s">
        <v>46</v>
      </c>
      <c r="M150" s="9" t="s">
        <v>47</v>
      </c>
      <c r="N150" s="9" t="s">
        <v>38</v>
      </c>
      <c r="O150" s="9" t="s">
        <v>39</v>
      </c>
      <c r="P150" s="9" t="s">
        <v>40</v>
      </c>
      <c r="Q150" s="9" t="s">
        <v>27</v>
      </c>
      <c r="R150" s="9"/>
      <c r="S150" s="9" t="s">
        <v>41</v>
      </c>
      <c r="Y150" s="3" t="n">
        <v>1.5893</v>
      </c>
      <c r="Z150" s="3" t="n">
        <v>1968.3</v>
      </c>
    </row>
    <row r="151" customFormat="false" ht="15" hidden="false" customHeight="false" outlineLevel="0" collapsed="false">
      <c r="A151" s="26" t="n">
        <v>5.97</v>
      </c>
      <c r="B151" s="27"/>
      <c r="C151" s="27"/>
      <c r="D151" s="27"/>
      <c r="E151" s="27"/>
      <c r="F151" s="27" t="n">
        <v>0</v>
      </c>
      <c r="G151" s="28" t="n">
        <f aca="false">F151*PI()/180</f>
        <v>0</v>
      </c>
      <c r="H151" s="28"/>
      <c r="I151" s="28" t="n">
        <v>222</v>
      </c>
      <c r="J151" s="28" t="n">
        <v>10</v>
      </c>
      <c r="K151" s="27" t="n">
        <f aca="false">$B$3-(I151+J151/60)*PI()/180</f>
        <v>0.904662328950395</v>
      </c>
      <c r="L151" s="29"/>
      <c r="M151" s="28"/>
      <c r="N151" s="20" t="n">
        <f aca="false">SQRT(SIN($G$13)*SIN($G$13) + (SIN(K151-$G$13+$B$2)  + COS($B$2)*SIN($G$13) )* (SIN(K151-$G$13+$B$2)  + COS($B$2)*SIN($G$13) )/(SIN($B$2)*SIN($B$2))   )</f>
        <v>1.65527748747729</v>
      </c>
      <c r="O151" s="31" t="e">
        <f aca="true">FORECAST(N151,OFFSET($Z$1:$Z$200,MATCH(N151,$Y$1:$Y$200,-1)-1,0,2),OFFSET($Y$1:$Y$200,MATCH(N151,$Y$1:$Y$200,-1)-1,0,2))</f>
        <v>#N/A</v>
      </c>
      <c r="P151" s="28"/>
      <c r="Q151" s="27" t="n">
        <v>0.02</v>
      </c>
      <c r="R151" s="28" t="n">
        <f aca="false">AVERAGE(Q151:Q153)</f>
        <v>0.0133333333333333</v>
      </c>
      <c r="S151" s="31"/>
      <c r="Y151" s="3" t="n">
        <v>1.5891</v>
      </c>
      <c r="Z151" s="3" t="n">
        <v>2006.2</v>
      </c>
    </row>
    <row r="152" customFormat="false" ht="15" hidden="false" customHeight="false" outlineLevel="0" collapsed="false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0"/>
      <c r="O152" s="31"/>
      <c r="P152" s="28"/>
      <c r="Q152" s="29" t="n">
        <v>0.01</v>
      </c>
      <c r="R152" s="28"/>
      <c r="S152" s="31"/>
      <c r="Y152" s="3" t="n">
        <v>1.5888</v>
      </c>
      <c r="Z152" s="3" t="n">
        <v>2045.3</v>
      </c>
    </row>
    <row r="153" customFormat="false" ht="15" hidden="false" customHeight="false" outlineLevel="0" collapsed="false">
      <c r="A153" s="26"/>
      <c r="B153" s="27"/>
      <c r="C153" s="27"/>
      <c r="D153" s="27"/>
      <c r="E153" s="27"/>
      <c r="F153" s="27"/>
      <c r="G153" s="27"/>
      <c r="H153" s="28"/>
      <c r="I153" s="28"/>
      <c r="J153" s="28"/>
      <c r="K153" s="27"/>
      <c r="L153" s="29"/>
      <c r="M153" s="29"/>
      <c r="N153" s="20"/>
      <c r="O153" s="31"/>
      <c r="P153" s="28"/>
      <c r="Q153" s="28" t="n">
        <v>0.01</v>
      </c>
      <c r="R153" s="28"/>
      <c r="S153" s="31"/>
      <c r="Y153" s="3" t="n">
        <v>1.5886</v>
      </c>
      <c r="Z153" s="3" t="n">
        <v>2085.6</v>
      </c>
    </row>
    <row r="154" customFormat="false" ht="15" hidden="false" customHeight="false" outlineLevel="0" collapsed="false">
      <c r="A154" s="26"/>
      <c r="B154" s="27"/>
      <c r="C154" s="27"/>
      <c r="D154" s="27"/>
      <c r="E154" s="27"/>
      <c r="F154" s="27"/>
      <c r="G154" s="27"/>
      <c r="H154" s="28"/>
      <c r="I154" s="28" t="n">
        <v>222</v>
      </c>
      <c r="J154" s="28" t="n">
        <v>41</v>
      </c>
      <c r="K154" s="27" t="n">
        <f aca="false">$B$3-(I154+J154/60)*PI()/180</f>
        <v>0.895644794481757</v>
      </c>
      <c r="L154" s="29"/>
      <c r="M154" s="29"/>
      <c r="N154" s="20" t="n">
        <f aca="false">SQRT(SIN($G$13)*SIN($G$13) + (SIN(K154-$G$13+$B$2)  + COS($B$2)*SIN($G$13) )* (SIN(K154-$G$13+$B$2)  + COS($B$2)*SIN($G$13) )/(SIN($B$2)*SIN($B$2))   )</f>
        <v>1.65045733783573</v>
      </c>
      <c r="O154" s="31" t="e">
        <f aca="true">FORECAST(N154,OFFSET($Z$1:$Z$200,MATCH(N154,$Y$1:$Y$200,-1)-1,0,2),OFFSET($Y$1:$Y$200,MATCH(N154,$Y$1:$Y$200,-1)-1,0,2))</f>
        <v>#N/A</v>
      </c>
      <c r="P154" s="28"/>
      <c r="Q154" s="27" t="n">
        <v>0.07</v>
      </c>
      <c r="R154" s="28" t="n">
        <f aca="false">AVERAGE(Q154:Q156)</f>
        <v>0.0466666666666667</v>
      </c>
      <c r="S154" s="31"/>
      <c r="Y154" s="3" t="n">
        <v>1.5884</v>
      </c>
      <c r="Z154" s="3" t="n">
        <v>2127.1</v>
      </c>
    </row>
    <row r="155" customFormat="false" ht="15" hidden="false" customHeight="false" outlineLevel="0" collapsed="false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0"/>
      <c r="O155" s="31"/>
      <c r="P155" s="28"/>
      <c r="Q155" s="29" t="n">
        <v>0.03</v>
      </c>
      <c r="R155" s="28"/>
      <c r="S155" s="31"/>
      <c r="Y155" s="3" t="n">
        <v>1.5881</v>
      </c>
      <c r="Z155" s="3" t="n">
        <v>2169.8</v>
      </c>
    </row>
    <row r="156" customFormat="false" ht="15" hidden="false" customHeight="false" outlineLevel="0" collapsed="false">
      <c r="A156" s="26"/>
      <c r="B156" s="27"/>
      <c r="C156" s="27"/>
      <c r="D156" s="27"/>
      <c r="E156" s="27"/>
      <c r="F156" s="27"/>
      <c r="G156" s="27"/>
      <c r="H156" s="28"/>
      <c r="I156" s="28"/>
      <c r="J156" s="28"/>
      <c r="K156" s="27"/>
      <c r="L156" s="29"/>
      <c r="M156" s="29"/>
      <c r="N156" s="20"/>
      <c r="O156" s="31"/>
      <c r="P156" s="28"/>
      <c r="Q156" s="28" t="n">
        <v>0.04</v>
      </c>
      <c r="R156" s="28"/>
      <c r="S156" s="31"/>
      <c r="Y156" s="3" t="n">
        <v>1.5879</v>
      </c>
      <c r="Z156" s="3" t="n">
        <v>2213.9</v>
      </c>
    </row>
    <row r="157" customFormat="false" ht="15" hidden="false" customHeight="false" outlineLevel="0" collapsed="false">
      <c r="A157" s="26"/>
      <c r="B157" s="27"/>
      <c r="C157" s="27"/>
      <c r="D157" s="27"/>
      <c r="E157" s="27"/>
      <c r="F157" s="27"/>
      <c r="G157" s="27"/>
      <c r="H157" s="28"/>
      <c r="I157" s="28" t="n">
        <f aca="false">I151+1</f>
        <v>223</v>
      </c>
      <c r="J157" s="28" t="n">
        <v>19</v>
      </c>
      <c r="K157" s="27" t="n">
        <f aca="false">$B$3-(I157+J157/60)*PI()/180</f>
        <v>0.884591042552459</v>
      </c>
      <c r="L157" s="29"/>
      <c r="M157" s="29"/>
      <c r="N157" s="20" t="n">
        <f aca="false">SQRT(SIN($G$13)*SIN($G$13) + (SIN(K157-$G$13+$B$2)  + COS($B$2)*SIN($G$13) )* (SIN(K157-$G$13+$B$2)  + COS($B$2)*SIN($G$13) )/(SIN($B$2)*SIN($B$2))   )</f>
        <v>1.64446032941337</v>
      </c>
      <c r="O157" s="31" t="e">
        <f aca="true">FORECAST(N157,OFFSET($Z$1:$Z$200,MATCH(N157,$Y$1:$Y$200,-1)-1,0,2),OFFSET($Y$1:$Y$200,MATCH(N157,$Y$1:$Y$200,-1)-1,0,2))</f>
        <v>#N/A</v>
      </c>
      <c r="P157" s="28"/>
      <c r="Q157" s="27" t="n">
        <v>0.06</v>
      </c>
      <c r="R157" s="28" t="n">
        <f aca="false">AVERAGE(Q157:Q159)</f>
        <v>0.0766666666666667</v>
      </c>
      <c r="S157" s="31"/>
      <c r="Y157" s="3" t="n">
        <v>1.5877</v>
      </c>
      <c r="Z157" s="3" t="n">
        <v>2259.3</v>
      </c>
    </row>
    <row r="158" customFormat="false" ht="15" hidden="false" customHeight="false" outlineLevel="0" collapsed="false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0"/>
      <c r="O158" s="31"/>
      <c r="P158" s="28"/>
      <c r="Q158" s="29" t="n">
        <v>0.1</v>
      </c>
      <c r="R158" s="28"/>
      <c r="S158" s="31"/>
      <c r="Y158" s="3" t="n">
        <v>1.5874</v>
      </c>
      <c r="Z158" s="3" t="n">
        <v>2306.2</v>
      </c>
    </row>
    <row r="159" customFormat="false" ht="15" hidden="false" customHeight="false" outlineLevel="0" collapsed="false">
      <c r="A159" s="26"/>
      <c r="B159" s="27"/>
      <c r="C159" s="27"/>
      <c r="D159" s="27"/>
      <c r="E159" s="27"/>
      <c r="F159" s="27"/>
      <c r="G159" s="27"/>
      <c r="H159" s="28"/>
      <c r="I159" s="28"/>
      <c r="J159" s="28"/>
      <c r="K159" s="27"/>
      <c r="L159" s="29"/>
      <c r="M159" s="29"/>
      <c r="N159" s="20"/>
      <c r="O159" s="31"/>
      <c r="P159" s="28"/>
      <c r="Q159" s="28" t="n">
        <v>0.07</v>
      </c>
      <c r="R159" s="28"/>
      <c r="S159" s="31"/>
      <c r="Y159" s="3" t="n">
        <v>1.5872</v>
      </c>
      <c r="Z159" s="3" t="n">
        <v>2354.5</v>
      </c>
    </row>
    <row r="160" customFormat="false" ht="15" hidden="false" customHeight="false" outlineLevel="0" collapsed="false">
      <c r="A160" s="26"/>
      <c r="B160" s="27"/>
      <c r="C160" s="27"/>
      <c r="D160" s="27"/>
      <c r="E160" s="27"/>
      <c r="F160" s="27"/>
      <c r="G160" s="27"/>
      <c r="H160" s="28"/>
      <c r="I160" s="28" t="n">
        <f aca="false">I154+1</f>
        <v>223</v>
      </c>
      <c r="J160" s="28" t="n">
        <v>41</v>
      </c>
      <c r="K160" s="27" t="n">
        <f aca="false">$B$3-(I160+J160/60)*PI()/180</f>
        <v>0.878191501961814</v>
      </c>
      <c r="L160" s="29"/>
      <c r="M160" s="29"/>
      <c r="N160" s="20" t="n">
        <f aca="false">SQRT(SIN($G$13)*SIN($G$13) + (SIN(K160-$G$13+$B$2)  + COS($B$2)*SIN($G$13) )* (SIN(K160-$G$13+$B$2)  + COS($B$2)*SIN($G$13) )/(SIN($B$2)*SIN($B$2))   )</f>
        <v>1.6409442782348</v>
      </c>
      <c r="O160" s="31" t="e">
        <f aca="true">FORECAST(N160,OFFSET($Z$1:$Z$200,MATCH(N160,$Y$1:$Y$200,-1)-1,0,2),OFFSET($Y$1:$Y$200,MATCH(N160,$Y$1:$Y$200,-1)-1,0,2))</f>
        <v>#N/A</v>
      </c>
      <c r="P160" s="28"/>
      <c r="Q160" s="27" t="n">
        <v>0.22</v>
      </c>
      <c r="R160" s="28" t="n">
        <f aca="false">AVERAGE(Q160:Q162)</f>
        <v>0.21</v>
      </c>
      <c r="S160" s="31"/>
      <c r="Y160" s="3" t="n">
        <v>1.587</v>
      </c>
      <c r="Z160" s="3" t="n">
        <v>2404.3</v>
      </c>
    </row>
    <row r="161" customFormat="false" ht="15" hidden="false" customHeight="false" outlineLevel="0" collapsed="false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0"/>
      <c r="O161" s="31"/>
      <c r="P161" s="28"/>
      <c r="Q161" s="29" t="n">
        <v>0.2</v>
      </c>
      <c r="R161" s="28"/>
      <c r="S161" s="31"/>
      <c r="Y161" s="3" t="n">
        <v>1.5867</v>
      </c>
      <c r="Z161" s="3" t="n">
        <v>2455.8</v>
      </c>
    </row>
    <row r="162" customFormat="false" ht="15" hidden="false" customHeight="false" outlineLevel="0" collapsed="false">
      <c r="A162" s="26"/>
      <c r="B162" s="27"/>
      <c r="C162" s="27"/>
      <c r="D162" s="27"/>
      <c r="E162" s="27"/>
      <c r="F162" s="27"/>
      <c r="G162" s="27"/>
      <c r="H162" s="28"/>
      <c r="I162" s="28"/>
      <c r="J162" s="28"/>
      <c r="K162" s="27"/>
      <c r="L162" s="29"/>
      <c r="M162" s="29"/>
      <c r="N162" s="20"/>
      <c r="O162" s="31"/>
      <c r="P162" s="28"/>
      <c r="Q162" s="28" t="n">
        <v>0.21</v>
      </c>
      <c r="R162" s="28"/>
      <c r="S162" s="31"/>
      <c r="Y162" s="3" t="n">
        <v>1.5865</v>
      </c>
      <c r="Z162" s="3" t="n">
        <v>2508.8</v>
      </c>
    </row>
    <row r="163" customFormat="false" ht="15" hidden="false" customHeight="false" outlineLevel="0" collapsed="false">
      <c r="A163" s="26"/>
      <c r="B163" s="27"/>
      <c r="C163" s="27"/>
      <c r="D163" s="27"/>
      <c r="E163" s="27"/>
      <c r="F163" s="27"/>
      <c r="G163" s="27"/>
      <c r="H163" s="28"/>
      <c r="I163" s="28" t="n">
        <f aca="false">I157+1</f>
        <v>224</v>
      </c>
      <c r="J163" s="28" t="n">
        <v>21</v>
      </c>
      <c r="K163" s="27" t="n">
        <f aca="false">$B$3-(I163+J163/60)*PI()/180</f>
        <v>0.866555973615185</v>
      </c>
      <c r="L163" s="29"/>
      <c r="M163" s="29"/>
      <c r="N163" s="20" t="n">
        <f aca="false">SQRT(SIN($G$13)*SIN($G$13) + (SIN(K163-$G$13+$B$2)  + COS($B$2)*SIN($G$13) )* (SIN(K163-$G$13+$B$2)  + COS($B$2)*SIN($G$13) )/(SIN($B$2)*SIN($B$2))   )</f>
        <v>1.63446949564278</v>
      </c>
      <c r="O163" s="31" t="e">
        <f aca="true">FORECAST(N163,OFFSET($Z$1:$Z$200,MATCH(N163,$Y$1:$Y$200,-1)-1,0,2),OFFSET($Y$1:$Y$200,MATCH(N163,$Y$1:$Y$200,-1)-1,0,2))</f>
        <v>#N/A</v>
      </c>
      <c r="P163" s="28"/>
      <c r="Q163" s="27" t="n">
        <v>0.63</v>
      </c>
      <c r="R163" s="28" t="n">
        <f aca="false">AVERAGE(Q163:Q165)</f>
        <v>0.623333333333333</v>
      </c>
      <c r="S163" s="31"/>
      <c r="Y163" s="3" t="n">
        <v>1.5863</v>
      </c>
      <c r="Z163" s="3" t="n">
        <v>2563.6</v>
      </c>
    </row>
    <row r="164" customFormat="false" ht="15" hidden="false" customHeight="false" outlineLevel="0" collapsed="false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0"/>
      <c r="O164" s="31"/>
      <c r="P164" s="28"/>
      <c r="Q164" s="29" t="n">
        <v>0.62</v>
      </c>
      <c r="R164" s="28"/>
      <c r="S164" s="31"/>
      <c r="Y164" s="3" t="n">
        <v>1.5861</v>
      </c>
      <c r="Z164" s="3" t="n">
        <v>2620.1</v>
      </c>
    </row>
    <row r="165" customFormat="false" ht="15" hidden="false" customHeight="false" outlineLevel="0" collapsed="false">
      <c r="A165" s="26"/>
      <c r="B165" s="27"/>
      <c r="C165" s="27"/>
      <c r="D165" s="27"/>
      <c r="E165" s="27"/>
      <c r="F165" s="27"/>
      <c r="G165" s="27"/>
      <c r="H165" s="28"/>
      <c r="I165" s="28"/>
      <c r="J165" s="28"/>
      <c r="K165" s="27"/>
      <c r="L165" s="29"/>
      <c r="M165" s="29"/>
      <c r="N165" s="20"/>
      <c r="O165" s="31"/>
      <c r="P165" s="28"/>
      <c r="Q165" s="28" t="n">
        <v>0.62</v>
      </c>
      <c r="R165" s="28"/>
      <c r="S165" s="31"/>
      <c r="Y165" s="3" t="n">
        <v>1.5858</v>
      </c>
      <c r="Z165" s="3" t="n">
        <v>2678.5</v>
      </c>
    </row>
    <row r="166" customFormat="false" ht="15" hidden="false" customHeight="false" outlineLevel="0" collapsed="false">
      <c r="A166" s="26"/>
      <c r="B166" s="27"/>
      <c r="C166" s="27"/>
      <c r="D166" s="27"/>
      <c r="E166" s="27"/>
      <c r="F166" s="27"/>
      <c r="G166" s="27"/>
      <c r="H166" s="28"/>
      <c r="I166" s="28" t="n">
        <f aca="false">I160+1</f>
        <v>224</v>
      </c>
      <c r="J166" s="28" t="n">
        <v>40</v>
      </c>
      <c r="K166" s="27" t="n">
        <f aca="false">$B$3-(I166+J166/60)*PI()/180</f>
        <v>0.861029097650536</v>
      </c>
      <c r="L166" s="29"/>
      <c r="M166" s="29"/>
      <c r="N166" s="20" t="n">
        <f aca="false">SQRT(SIN($G$13)*SIN($G$13) + (SIN(K166-$G$13+$B$2)  + COS($B$2)*SIN($G$13) )* (SIN(K166-$G$13+$B$2)  + COS($B$2)*SIN($G$13) )/(SIN($B$2)*SIN($B$2))   )</f>
        <v>1.63135725686812</v>
      </c>
      <c r="O166" s="31" t="e">
        <f aca="true">FORECAST(N166,OFFSET($Z$1:$Z$200,MATCH(N166,$Y$1:$Y$200,-1)-1,0,2),OFFSET($Y$1:$Y$200,MATCH(N166,$Y$1:$Y$200,-1)-1,0,2))</f>
        <v>#N/A</v>
      </c>
      <c r="P166" s="28"/>
      <c r="Q166" s="27" t="n">
        <v>1.05</v>
      </c>
      <c r="R166" s="28" t="n">
        <f aca="false">AVERAGE(Q166:Q168)</f>
        <v>1.03333333333333</v>
      </c>
      <c r="S166" s="31"/>
      <c r="Y166" s="3" t="n">
        <v>1.5856</v>
      </c>
      <c r="Z166" s="3" t="n">
        <v>2738.8</v>
      </c>
    </row>
    <row r="167" customFormat="false" ht="15" hidden="false" customHeight="false" outlineLevel="0" collapsed="false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0"/>
      <c r="O167" s="31"/>
      <c r="P167" s="28"/>
      <c r="Q167" s="29" t="n">
        <v>1.03</v>
      </c>
      <c r="R167" s="28"/>
      <c r="S167" s="31"/>
      <c r="Y167" s="3" t="n">
        <v>1.5854</v>
      </c>
      <c r="Z167" s="3" t="n">
        <v>2801</v>
      </c>
    </row>
    <row r="168" customFormat="false" ht="15" hidden="false" customHeight="false" outlineLevel="0" collapsed="false">
      <c r="A168" s="26"/>
      <c r="B168" s="27"/>
      <c r="C168" s="27"/>
      <c r="D168" s="27"/>
      <c r="E168" s="27"/>
      <c r="F168" s="27"/>
      <c r="G168" s="27"/>
      <c r="H168" s="28"/>
      <c r="I168" s="28"/>
      <c r="J168" s="28"/>
      <c r="K168" s="27"/>
      <c r="L168" s="29"/>
      <c r="M168" s="29"/>
      <c r="N168" s="20"/>
      <c r="O168" s="31"/>
      <c r="P168" s="28"/>
      <c r="Q168" s="28" t="n">
        <v>1.02</v>
      </c>
      <c r="R168" s="28"/>
      <c r="S168" s="31"/>
      <c r="Y168" s="3" t="n">
        <v>1.5851</v>
      </c>
      <c r="Z168" s="3" t="n">
        <v>2865.3</v>
      </c>
    </row>
    <row r="169" customFormat="false" ht="15" hidden="false" customHeight="false" outlineLevel="0" collapsed="false">
      <c r="A169" s="26"/>
      <c r="B169" s="27"/>
      <c r="C169" s="27"/>
      <c r="D169" s="27"/>
      <c r="E169" s="27"/>
      <c r="F169" s="27"/>
      <c r="G169" s="27"/>
      <c r="H169" s="28"/>
      <c r="I169" s="28" t="n">
        <f aca="false">I163+1</f>
        <v>225</v>
      </c>
      <c r="J169" s="28" t="n">
        <v>0</v>
      </c>
      <c r="K169" s="27" t="n">
        <f aca="false">$B$3-(I169+J169/60)*PI()/180</f>
        <v>0.855211333477222</v>
      </c>
      <c r="L169" s="29"/>
      <c r="M169" s="29"/>
      <c r="N169" s="23" t="n">
        <f aca="false">SQRT(SIN($G$13)*SIN($G$13) + (SIN(K169-$G$13+$B$2)  + COS($B$2)*SIN($G$13) )* (SIN(K169-$G$13+$B$2)  + COS($B$2)*SIN($G$13) )/(SIN($B$2)*SIN($B$2))   )</f>
        <v>1.6280558958866</v>
      </c>
      <c r="O169" s="31" t="e">
        <f aca="true">FORECAST(N169,OFFSET($Z$1:$Z$200,MATCH(N169,$Y$1:$Y$200,-1)-1,0,2),OFFSET($Y$1:$Y$200,MATCH(N169,$Y$1:$Y$200,-1)-1,0,2))</f>
        <v>#N/A</v>
      </c>
      <c r="P169" s="28"/>
      <c r="Q169" s="27" t="n">
        <v>1.8</v>
      </c>
      <c r="R169" s="28" t="n">
        <f aca="false">AVERAGE(Q169:Q171)</f>
        <v>1.82</v>
      </c>
      <c r="S169" s="31"/>
      <c r="Y169" s="3" t="n">
        <v>1.5849</v>
      </c>
      <c r="Z169" s="3" t="n">
        <v>2931.7</v>
      </c>
    </row>
    <row r="170" customFormat="false" ht="15" hidden="false" customHeight="false" outlineLevel="0" collapsed="false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3"/>
      <c r="O170" s="31"/>
      <c r="P170" s="28"/>
      <c r="Q170" s="29" t="n">
        <v>1.81</v>
      </c>
      <c r="R170" s="28"/>
      <c r="S170" s="31"/>
      <c r="Y170" s="3" t="n">
        <v>1.5847</v>
      </c>
      <c r="Z170" s="3" t="n">
        <v>3000.4</v>
      </c>
    </row>
    <row r="171" customFormat="false" ht="15" hidden="false" customHeight="false" outlineLevel="0" collapsed="false">
      <c r="A171" s="26"/>
      <c r="B171" s="27"/>
      <c r="C171" s="27"/>
      <c r="D171" s="27"/>
      <c r="E171" s="27"/>
      <c r="F171" s="27"/>
      <c r="G171" s="27"/>
      <c r="H171" s="28"/>
      <c r="I171" s="28"/>
      <c r="J171" s="28"/>
      <c r="K171" s="27"/>
      <c r="L171" s="29"/>
      <c r="M171" s="29"/>
      <c r="N171" s="23"/>
      <c r="O171" s="31"/>
      <c r="P171" s="28"/>
      <c r="Q171" s="28" t="n">
        <v>1.85</v>
      </c>
      <c r="R171" s="28"/>
      <c r="S171" s="31"/>
      <c r="Y171" s="3" t="n">
        <v>1.5844</v>
      </c>
      <c r="Z171" s="3" t="n">
        <v>3071.3</v>
      </c>
    </row>
    <row r="172" customFormat="false" ht="15" hidden="false" customHeight="false" outlineLevel="0" collapsed="false">
      <c r="A172" s="26"/>
      <c r="B172" s="27"/>
      <c r="C172" s="27"/>
      <c r="D172" s="27"/>
      <c r="E172" s="27"/>
      <c r="F172" s="27"/>
      <c r="G172" s="27"/>
      <c r="H172" s="28"/>
      <c r="I172" s="28" t="n">
        <f aca="false">I163+1</f>
        <v>225</v>
      </c>
      <c r="J172" s="28" t="n">
        <v>18</v>
      </c>
      <c r="K172" s="27" t="n">
        <f aca="false">$B$3-(I172+J172/60)*PI()/180</f>
        <v>0.849975345721238</v>
      </c>
      <c r="L172" s="29"/>
      <c r="M172" s="29"/>
      <c r="N172" s="33" t="n">
        <f aca="false">SQRT(SIN($G$13)*SIN($G$13) + (SIN(K172-$G$13+$B$2)  + COS($B$2)*SIN($G$13) )* (SIN(K172-$G$13+$B$2)  + COS($B$2)*SIN($G$13) )/(SIN($B$2)*SIN($B$2))   )</f>
        <v>1.62506261316804</v>
      </c>
      <c r="O172" s="31" t="e">
        <f aca="true">FORECAST(N172,OFFSET($Z$1:$Z$200,MATCH(N172,$Y$1:$Y$200,-1)-1,0,2),OFFSET($Y$1:$Y$200,MATCH(N172,$Y$1:$Y$200,-1)-1,0,2))</f>
        <v>#N/A</v>
      </c>
      <c r="P172" s="28"/>
      <c r="Q172" s="27" t="n">
        <v>2.25</v>
      </c>
      <c r="R172" s="28" t="n">
        <f aca="false">AVERAGE(Q172:Q174)</f>
        <v>2.25666666666667</v>
      </c>
      <c r="S172" s="31"/>
      <c r="Y172" s="3" t="n">
        <v>1.5842</v>
      </c>
      <c r="Z172" s="3" t="n">
        <v>3144.7</v>
      </c>
    </row>
    <row r="173" customFormat="false" ht="15" hidden="false" customHeight="false" outlineLevel="0" collapsed="false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33"/>
      <c r="O173" s="31"/>
      <c r="P173" s="28"/>
      <c r="Q173" s="29" t="n">
        <v>2.25</v>
      </c>
      <c r="R173" s="28"/>
      <c r="S173" s="31"/>
      <c r="Y173" s="3" t="n">
        <v>1.584</v>
      </c>
      <c r="Z173" s="3" t="n">
        <v>3220.5</v>
      </c>
    </row>
    <row r="174" customFormat="false" ht="15" hidden="false" customHeight="false" outlineLevel="0" collapsed="false">
      <c r="A174" s="26"/>
      <c r="B174" s="27"/>
      <c r="C174" s="27"/>
      <c r="D174" s="27"/>
      <c r="E174" s="27"/>
      <c r="F174" s="27"/>
      <c r="G174" s="27"/>
      <c r="H174" s="28"/>
      <c r="I174" s="28"/>
      <c r="J174" s="28"/>
      <c r="K174" s="27"/>
      <c r="L174" s="29"/>
      <c r="M174" s="29"/>
      <c r="N174" s="33"/>
      <c r="O174" s="31"/>
      <c r="P174" s="28"/>
      <c r="Q174" s="28" t="n">
        <v>2.27</v>
      </c>
      <c r="R174" s="28"/>
      <c r="S174" s="31"/>
      <c r="Y174" s="3" t="n">
        <v>1.5837</v>
      </c>
      <c r="Z174" s="3" t="n">
        <v>3298.9</v>
      </c>
    </row>
    <row r="175" customFormat="false" ht="15" hidden="false" customHeight="false" outlineLevel="0" collapsed="false">
      <c r="A175" s="26"/>
      <c r="B175" s="27"/>
      <c r="C175" s="27"/>
      <c r="D175" s="27"/>
      <c r="E175" s="27"/>
      <c r="F175" s="27"/>
      <c r="G175" s="27"/>
      <c r="H175" s="39"/>
      <c r="I175" s="39" t="n">
        <v>225</v>
      </c>
      <c r="J175" s="39" t="n">
        <v>30</v>
      </c>
      <c r="K175" s="27" t="n">
        <f aca="false">$B$3-(I175+J175/60)*PI()/180</f>
        <v>0.84648468721725</v>
      </c>
      <c r="L175" s="39"/>
      <c r="M175" s="39"/>
      <c r="N175" s="33" t="n">
        <f aca="false">SQRT(SIN($G$13)*SIN($G$13) + (SIN(K175-$G$13+$B$2)  + COS($B$2)*SIN($G$13) )* (SIN(K175-$G$13+$B$2)  + COS($B$2)*SIN($G$13) )/(SIN($B$2)*SIN($B$2))   )</f>
        <v>1.62305554998706</v>
      </c>
      <c r="O175" s="31" t="n">
        <f aca="true">FORECAST(N175,OFFSET($Z$1:$Z$200,MATCH(N175,$Y$1:$Y$200,-1)-1,0,2),OFFSET($Y$1:$Y$200,MATCH(N175,$Y$1:$Y$200,-1)-1,0,2))</f>
        <v>524.7445001294</v>
      </c>
      <c r="P175" s="39"/>
      <c r="Q175" s="40" t="n">
        <v>2.87</v>
      </c>
      <c r="R175" s="28" t="n">
        <f aca="false">AVERAGE(Q175:Q177)</f>
        <v>2.87666666666667</v>
      </c>
      <c r="S175" s="41"/>
      <c r="Y175" s="3" t="n">
        <v>1.5835</v>
      </c>
      <c r="Z175" s="3" t="n">
        <v>3380</v>
      </c>
    </row>
    <row r="176" customFormat="false" ht="15" hidden="false" customHeight="false" outlineLevel="0" collapsed="false">
      <c r="A176" s="26"/>
      <c r="B176" s="27"/>
      <c r="C176" s="27"/>
      <c r="D176" s="27"/>
      <c r="E176" s="27"/>
      <c r="F176" s="27"/>
      <c r="G176" s="27"/>
      <c r="H176" s="39"/>
      <c r="I176" s="39"/>
      <c r="J176" s="39"/>
      <c r="K176" s="27"/>
      <c r="L176" s="39"/>
      <c r="M176" s="39"/>
      <c r="N176" s="33"/>
      <c r="O176" s="31"/>
      <c r="P176" s="39"/>
      <c r="Q176" s="42" t="n">
        <v>2.9</v>
      </c>
      <c r="R176" s="28"/>
      <c r="S176" s="41"/>
      <c r="Y176" s="3" t="n">
        <v>1.5833</v>
      </c>
      <c r="Z176" s="3" t="n">
        <v>3463.9</v>
      </c>
    </row>
    <row r="177" customFormat="false" ht="15" hidden="false" customHeight="false" outlineLevel="0" collapsed="false">
      <c r="A177" s="26"/>
      <c r="B177" s="27"/>
      <c r="C177" s="27"/>
      <c r="D177" s="27"/>
      <c r="E177" s="27"/>
      <c r="F177" s="27"/>
      <c r="G177" s="27"/>
      <c r="H177" s="39"/>
      <c r="I177" s="39"/>
      <c r="J177" s="39"/>
      <c r="K177" s="27"/>
      <c r="L177" s="39"/>
      <c r="M177" s="39"/>
      <c r="N177" s="33"/>
      <c r="O177" s="31"/>
      <c r="P177" s="39"/>
      <c r="Q177" s="43" t="n">
        <v>2.86</v>
      </c>
      <c r="R177" s="28"/>
      <c r="S177" s="41"/>
      <c r="Y177" s="3" t="n">
        <v>1.5831</v>
      </c>
      <c r="Z177" s="3" t="n">
        <v>3550.8</v>
      </c>
    </row>
    <row r="178" customFormat="false" ht="15" hidden="false" customHeight="false" outlineLevel="0" collapsed="false">
      <c r="A178" s="26"/>
      <c r="B178" s="27"/>
      <c r="C178" s="27"/>
      <c r="D178" s="27"/>
      <c r="E178" s="27"/>
      <c r="F178" s="27"/>
      <c r="G178" s="27"/>
      <c r="H178" s="28"/>
      <c r="I178" s="28" t="n">
        <f aca="false">I166+1</f>
        <v>225</v>
      </c>
      <c r="J178" s="28" t="n">
        <v>41</v>
      </c>
      <c r="K178" s="27" t="n">
        <f aca="false">$B$3-(I178+J178/60)*PI()/180</f>
        <v>0.843284916921927</v>
      </c>
      <c r="L178" s="29"/>
      <c r="M178" s="29"/>
      <c r="N178" s="33" t="n">
        <f aca="false">SQRT(SIN($G$13)*SIN($G$13) + (SIN(K178-$G$13+$B$2)  + COS($B$2)*SIN($G$13) )* (SIN(K178-$G$13+$B$2)  + COS($B$2)*SIN($G$13) )/(SIN($B$2)*SIN($B$2))   )</f>
        <v>1.62120767056363</v>
      </c>
      <c r="O178" s="31" t="n">
        <f aca="true">FORECAST(N178,OFFSET($Z$1:$Z$200,MATCH(N178,$Y$1:$Y$200,-1)-1,0,2),OFFSET($Y$1:$Y$200,MATCH(N178,$Y$1:$Y$200,-1)-1,0,2))</f>
        <v>541.31562380007</v>
      </c>
      <c r="P178" s="28"/>
      <c r="Q178" s="27" t="n">
        <v>3.07</v>
      </c>
      <c r="R178" s="28" t="n">
        <f aca="false">AVERAGE(Q178:Q180)</f>
        <v>3.04666666666667</v>
      </c>
      <c r="S178" s="32"/>
      <c r="Y178" s="3" t="n">
        <v>1.5828</v>
      </c>
      <c r="Z178" s="3" t="n">
        <v>3640.7</v>
      </c>
    </row>
    <row r="179" customFormat="false" ht="15" hidden="false" customHeight="false" outlineLevel="0" collapsed="false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33"/>
      <c r="O179" s="31"/>
      <c r="P179" s="28"/>
      <c r="Q179" s="29" t="n">
        <v>3.03</v>
      </c>
      <c r="R179" s="28"/>
      <c r="S179" s="32"/>
      <c r="Y179" s="3" t="n">
        <v>1.5826</v>
      </c>
      <c r="Z179" s="3" t="n">
        <v>3733.7</v>
      </c>
    </row>
    <row r="180" customFormat="false" ht="15" hidden="false" customHeight="false" outlineLevel="0" collapsed="false">
      <c r="A180" s="26"/>
      <c r="B180" s="27"/>
      <c r="C180" s="27"/>
      <c r="D180" s="27"/>
      <c r="E180" s="27"/>
      <c r="F180" s="27"/>
      <c r="G180" s="27"/>
      <c r="H180" s="28"/>
      <c r="I180" s="28"/>
      <c r="J180" s="28"/>
      <c r="K180" s="27"/>
      <c r="L180" s="29"/>
      <c r="M180" s="29"/>
      <c r="N180" s="33"/>
      <c r="O180" s="31"/>
      <c r="P180" s="28"/>
      <c r="Q180" s="28" t="n">
        <v>3.04</v>
      </c>
      <c r="R180" s="28"/>
      <c r="S180" s="32"/>
      <c r="Y180" s="3" t="n">
        <v>1.5824</v>
      </c>
      <c r="Z180" s="3" t="n">
        <v>3830</v>
      </c>
    </row>
    <row r="181" customFormat="false" ht="15" hidden="false" customHeight="false" outlineLevel="0" collapsed="false">
      <c r="A181" s="26"/>
      <c r="B181" s="27"/>
      <c r="C181" s="27"/>
      <c r="D181" s="27"/>
      <c r="E181" s="27"/>
      <c r="F181" s="27"/>
      <c r="G181" s="27"/>
      <c r="H181" s="28"/>
      <c r="I181" s="28" t="n">
        <v>226</v>
      </c>
      <c r="J181" s="28" t="n">
        <v>0</v>
      </c>
      <c r="K181" s="27" t="n">
        <f aca="false">$B$3-(I181+J181/60)*PI()/180</f>
        <v>0.837758040957278</v>
      </c>
      <c r="L181" s="29"/>
      <c r="M181" s="29"/>
      <c r="N181" s="33" t="n">
        <f aca="false">SQRT(SIN($G$13)*SIN($G$13) + (SIN(K181-$G$13+$B$2)  + COS($B$2)*SIN($G$13) )* (SIN(K181-$G$13+$B$2)  + COS($B$2)*SIN($G$13) )/(SIN($B$2)*SIN($B$2))   )</f>
        <v>1.61799778590933</v>
      </c>
      <c r="O181" s="31" t="n">
        <f aca="true">FORECAST(N181,OFFSET($Z$1:$Z$200,MATCH(N181,$Y$1:$Y$200,-1)-1,0,2),OFFSET($Y$1:$Y$200,MATCH(N181,$Y$1:$Y$200,-1)-1,0,2))</f>
        <v>573.128783178709</v>
      </c>
      <c r="P181" s="28"/>
      <c r="Q181" s="44" t="n">
        <v>3.46</v>
      </c>
      <c r="R181" s="28" t="n">
        <f aca="false">AVERAGE(Q181:Q183)</f>
        <v>3.50333333333333</v>
      </c>
      <c r="S181" s="32"/>
      <c r="Y181" s="3" t="n">
        <v>1.5821</v>
      </c>
      <c r="Z181" s="3" t="n">
        <v>3929.8</v>
      </c>
    </row>
    <row r="182" customFormat="false" ht="15" hidden="false" customHeight="false" outlineLevel="0" collapsed="false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33"/>
      <c r="O182" s="31"/>
      <c r="P182" s="28"/>
      <c r="Q182" s="45" t="n">
        <v>3.5</v>
      </c>
      <c r="R182" s="28"/>
      <c r="S182" s="32"/>
      <c r="Y182" s="3" t="n">
        <v>1.5819</v>
      </c>
      <c r="Z182" s="3" t="n">
        <v>4033.1</v>
      </c>
    </row>
    <row r="183" customFormat="false" ht="15" hidden="false" customHeight="false" outlineLevel="0" collapsed="false">
      <c r="A183" s="26"/>
      <c r="B183" s="27"/>
      <c r="C183" s="27"/>
      <c r="D183" s="27"/>
      <c r="E183" s="27"/>
      <c r="F183" s="27"/>
      <c r="G183" s="27"/>
      <c r="H183" s="28"/>
      <c r="I183" s="28"/>
      <c r="J183" s="28"/>
      <c r="K183" s="27"/>
      <c r="L183" s="29"/>
      <c r="M183" s="29"/>
      <c r="N183" s="33"/>
      <c r="O183" s="31"/>
      <c r="P183" s="28"/>
      <c r="Q183" s="25" t="n">
        <v>3.55</v>
      </c>
      <c r="R183" s="28"/>
      <c r="S183" s="32"/>
      <c r="Y183" s="3" t="n">
        <v>1.5817</v>
      </c>
      <c r="Z183" s="3" t="n">
        <v>4140.1</v>
      </c>
    </row>
    <row r="184" customFormat="false" ht="15" hidden="false" customHeight="false" outlineLevel="0" collapsed="false">
      <c r="A184" s="26"/>
      <c r="B184" s="27"/>
      <c r="C184" s="27"/>
      <c r="D184" s="27"/>
      <c r="E184" s="27"/>
      <c r="F184" s="27"/>
      <c r="G184" s="27"/>
      <c r="H184" s="28"/>
      <c r="I184" s="28" t="n">
        <v>226</v>
      </c>
      <c r="J184" s="28" t="n">
        <v>10</v>
      </c>
      <c r="K184" s="27" t="n">
        <f aca="false">$B$3-(I184+J184/60)*PI()/180</f>
        <v>0.834849158870621</v>
      </c>
      <c r="L184" s="29"/>
      <c r="M184" s="29"/>
      <c r="N184" s="33" t="n">
        <f aca="false">SQRT(SIN($G$13)*SIN($G$13) + (SIN(K184-$G$13+$B$2)  + COS($B$2)*SIN($G$13) )* (SIN(K184-$G$13+$B$2)  + COS($B$2)*SIN($G$13) )/(SIN($B$2)*SIN($B$2))   )</f>
        <v>1.6162992125892</v>
      </c>
      <c r="O184" s="31" t="n">
        <f aca="true">FORECAST(N184,OFFSET($Z$1:$Z$200,MATCH(N184,$Y$1:$Y$200,-1)-1,0,2),OFFSET($Y$1:$Y$200,MATCH(N184,$Y$1:$Y$200,-1)-1,0,2))</f>
        <v>593.161417456599</v>
      </c>
      <c r="P184" s="28"/>
      <c r="Q184" s="44" t="n">
        <v>3.49</v>
      </c>
      <c r="R184" s="28" t="n">
        <f aca="false">AVERAGE(Q184:Q186)</f>
        <v>3.51</v>
      </c>
      <c r="S184" s="32"/>
      <c r="Y184" s="3" t="n">
        <v>1.5814</v>
      </c>
      <c r="Z184" s="3" t="n">
        <v>4251.1</v>
      </c>
    </row>
    <row r="185" customFormat="false" ht="15" hidden="false" customHeight="false" outlineLevel="0" collapsed="false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33"/>
      <c r="O185" s="31"/>
      <c r="P185" s="28"/>
      <c r="Q185" s="45" t="n">
        <v>3.5</v>
      </c>
      <c r="R185" s="28"/>
      <c r="S185" s="32"/>
      <c r="Y185" s="3" t="n">
        <v>1.5812</v>
      </c>
      <c r="Z185" s="3" t="n">
        <v>4366</v>
      </c>
    </row>
    <row r="186" customFormat="false" ht="15" hidden="false" customHeight="false" outlineLevel="0" collapsed="false">
      <c r="A186" s="26"/>
      <c r="B186" s="27"/>
      <c r="C186" s="27"/>
      <c r="D186" s="27"/>
      <c r="E186" s="27"/>
      <c r="F186" s="27"/>
      <c r="G186" s="27"/>
      <c r="H186" s="28"/>
      <c r="I186" s="28"/>
      <c r="J186" s="28"/>
      <c r="K186" s="27"/>
      <c r="L186" s="29"/>
      <c r="M186" s="29"/>
      <c r="N186" s="33"/>
      <c r="O186" s="31"/>
      <c r="P186" s="28"/>
      <c r="Q186" s="25" t="n">
        <v>3.54</v>
      </c>
      <c r="R186" s="28"/>
      <c r="S186" s="32"/>
      <c r="Y186" s="3" t="n">
        <v>1.581</v>
      </c>
      <c r="Z186" s="3" t="n">
        <v>4485.2</v>
      </c>
    </row>
    <row r="187" customFormat="false" ht="15" hidden="false" customHeight="false" outlineLevel="0" collapsed="false">
      <c r="A187" s="26"/>
      <c r="B187" s="27"/>
      <c r="C187" s="27"/>
      <c r="D187" s="27"/>
      <c r="E187" s="27"/>
      <c r="F187" s="27"/>
      <c r="G187" s="27"/>
      <c r="H187" s="28"/>
      <c r="I187" s="28" t="n">
        <f aca="false">I172+1</f>
        <v>226</v>
      </c>
      <c r="J187" s="28" t="n">
        <v>19</v>
      </c>
      <c r="K187" s="27" t="n">
        <f aca="false">$B$3-(I187+J187/60)*PI()/180</f>
        <v>0.83223116499263</v>
      </c>
      <c r="L187" s="29"/>
      <c r="M187" s="29"/>
      <c r="N187" s="33" t="n">
        <f aca="false">SQRT(SIN($G$13)*SIN($G$13) + (SIN(K187-$G$13+$B$2)  + COS($B$2)*SIN($G$13) )* (SIN(K187-$G$13+$B$2)  + COS($B$2)*SIN($G$13) )/(SIN($B$2)*SIN($B$2))   )</f>
        <v>1.61476512042594</v>
      </c>
      <c r="O187" s="31" t="n">
        <f aca="true">FORECAST(N187,OFFSET($Z$1:$Z$200,MATCH(N187,$Y$1:$Y$200,-1)-1,0,2),OFFSET($Y$1:$Y$200,MATCH(N187,$Y$1:$Y$200,-1)-1,0,2))</f>
        <v>611.727088931953</v>
      </c>
      <c r="P187" s="28"/>
      <c r="Q187" s="27" t="n">
        <v>3.05</v>
      </c>
      <c r="R187" s="28" t="n">
        <f aca="false">AVERAGE(Q187:Q189)</f>
        <v>3.03</v>
      </c>
      <c r="S187" s="32"/>
      <c r="Y187" s="3" t="n">
        <v>1.5807</v>
      </c>
      <c r="Z187" s="3" t="n">
        <v>4608.8</v>
      </c>
    </row>
    <row r="188" customFormat="false" ht="15" hidden="false" customHeight="false" outlineLevel="0" collapsed="false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33"/>
      <c r="O188" s="31"/>
      <c r="P188" s="28"/>
      <c r="Q188" s="29" t="n">
        <v>3.03</v>
      </c>
      <c r="R188" s="28"/>
      <c r="S188" s="32"/>
      <c r="Y188" s="3" t="n">
        <v>1.5805</v>
      </c>
      <c r="Z188" s="3" t="n">
        <v>4737</v>
      </c>
    </row>
    <row r="189" customFormat="false" ht="15" hidden="false" customHeight="false" outlineLevel="0" collapsed="false">
      <c r="A189" s="26"/>
      <c r="B189" s="27"/>
      <c r="C189" s="27"/>
      <c r="D189" s="27"/>
      <c r="E189" s="27"/>
      <c r="F189" s="27"/>
      <c r="G189" s="27"/>
      <c r="H189" s="28"/>
      <c r="I189" s="28"/>
      <c r="J189" s="28"/>
      <c r="K189" s="27"/>
      <c r="L189" s="29"/>
      <c r="M189" s="29"/>
      <c r="N189" s="33"/>
      <c r="O189" s="31"/>
      <c r="P189" s="28"/>
      <c r="Q189" s="28" t="n">
        <v>3.01</v>
      </c>
      <c r="R189" s="28"/>
      <c r="S189" s="32"/>
      <c r="Y189" s="3" t="n">
        <v>1.5803</v>
      </c>
      <c r="Z189" s="3" t="n">
        <v>4869.9</v>
      </c>
    </row>
    <row r="190" customFormat="false" ht="15" hidden="false" customHeight="false" outlineLevel="0" collapsed="false">
      <c r="A190" s="26"/>
      <c r="B190" s="27"/>
      <c r="C190" s="27"/>
      <c r="D190" s="27"/>
      <c r="E190" s="27"/>
      <c r="F190" s="27"/>
      <c r="G190" s="27"/>
      <c r="H190" s="28"/>
      <c r="I190" s="28" t="n">
        <f aca="false">I178+1</f>
        <v>226</v>
      </c>
      <c r="J190" s="28" t="n">
        <v>43</v>
      </c>
      <c r="K190" s="27" t="n">
        <f aca="false">$B$3-(I190+J190/60)*PI()/180</f>
        <v>0.825249847984652</v>
      </c>
      <c r="L190" s="29"/>
      <c r="M190" s="29"/>
      <c r="N190" s="33" t="n">
        <f aca="false">SQRT(SIN($G$13)*SIN($G$13) + (SIN(K190-$G$13+$B$2)  + COS($B$2)*SIN($G$13) )* (SIN(K190-$G$13+$B$2)  + COS($B$2)*SIN($G$13) )/(SIN($B$2)*SIN($B$2))   )</f>
        <v>1.61064944129881</v>
      </c>
      <c r="O190" s="31" t="n">
        <f aca="true">FORECAST(N190,OFFSET($Z$1:$Z$200,MATCH(N190,$Y$1:$Y$200,-1)-1,0,2),OFFSET($Y$1:$Y$200,MATCH(N190,$Y$1:$Y$200,-1)-1,0,2))</f>
        <v>674.661732724992</v>
      </c>
      <c r="P190" s="28"/>
      <c r="Q190" s="27" t="n">
        <v>2.26</v>
      </c>
      <c r="R190" s="28" t="n">
        <f aca="false">AVERAGE(Q190:Q192)</f>
        <v>2.29</v>
      </c>
      <c r="S190" s="32"/>
      <c r="Y190" s="3" t="n">
        <v>1.5801</v>
      </c>
      <c r="Z190" s="3" t="n">
        <v>5007.9</v>
      </c>
    </row>
    <row r="191" customFormat="false" ht="15" hidden="false" customHeight="false" outlineLevel="0" collapsed="false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33"/>
      <c r="O191" s="31"/>
      <c r="P191" s="28"/>
      <c r="Q191" s="29" t="n">
        <v>2.31</v>
      </c>
      <c r="R191" s="28"/>
      <c r="S191" s="32"/>
      <c r="Y191" s="3" t="n">
        <v>1.5798</v>
      </c>
      <c r="Z191" s="3" t="n">
        <v>5151.1</v>
      </c>
    </row>
    <row r="192" customFormat="false" ht="15" hidden="false" customHeight="false" outlineLevel="0" collapsed="false">
      <c r="A192" s="26"/>
      <c r="B192" s="27"/>
      <c r="C192" s="27"/>
      <c r="D192" s="27"/>
      <c r="E192" s="27"/>
      <c r="F192" s="27"/>
      <c r="G192" s="27"/>
      <c r="H192" s="28"/>
      <c r="I192" s="28"/>
      <c r="J192" s="28"/>
      <c r="K192" s="27"/>
      <c r="L192" s="29"/>
      <c r="M192" s="29"/>
      <c r="N192" s="33"/>
      <c r="O192" s="31"/>
      <c r="P192" s="28"/>
      <c r="Q192" s="28" t="n">
        <v>2.3</v>
      </c>
      <c r="R192" s="28"/>
      <c r="S192" s="32"/>
      <c r="Y192" s="3" t="n">
        <v>1.5796</v>
      </c>
      <c r="Z192" s="3" t="n">
        <v>5299.7</v>
      </c>
    </row>
    <row r="193" customFormat="false" ht="15" hidden="false" customHeight="false" outlineLevel="0" collapsed="false">
      <c r="A193" s="26"/>
      <c r="B193" s="27"/>
      <c r="C193" s="27"/>
      <c r="D193" s="27"/>
      <c r="E193" s="27"/>
      <c r="F193" s="27"/>
      <c r="G193" s="27"/>
      <c r="H193" s="28"/>
      <c r="I193" s="28" t="n">
        <f aca="false">I187+1</f>
        <v>227</v>
      </c>
      <c r="J193" s="28" t="n">
        <v>21</v>
      </c>
      <c r="K193" s="27" t="n">
        <f aca="false">$B$3-(I193+J193/60)*PI()/180</f>
        <v>0.814196096055355</v>
      </c>
      <c r="L193" s="29"/>
      <c r="M193" s="29"/>
      <c r="N193" s="33" t="n">
        <f aca="false">SQRT(SIN($G$13)*SIN($G$13) + (SIN(K193-$G$13+$B$2)  + COS($B$2)*SIN($G$13) )* (SIN(K193-$G$13+$B$2)  + COS($B$2)*SIN($G$13) )/(SIN($B$2)*SIN($B$2))   )</f>
        <v>1.60405993713152</v>
      </c>
      <c r="O193" s="31" t="n">
        <f aca="true">FORECAST(N193,OFFSET($Z$1:$Z$200,MATCH(N193,$Y$1:$Y$200,-1)-1,0,2),OFFSET($Y$1:$Y$200,MATCH(N193,$Y$1:$Y$200,-1)-1,0,2))</f>
        <v>835.352357568009</v>
      </c>
      <c r="P193" s="28"/>
      <c r="Q193" s="27" t="n">
        <v>1.11</v>
      </c>
      <c r="R193" s="28" t="n">
        <f aca="false">AVERAGE(Q193:Q195)</f>
        <v>1.08</v>
      </c>
      <c r="S193" s="32"/>
      <c r="Y193" s="3" t="n">
        <v>1.5794</v>
      </c>
      <c r="Z193" s="3" t="n">
        <v>5454</v>
      </c>
    </row>
    <row r="194" customFormat="false" ht="15" hidden="false" customHeight="false" outlineLevel="0" collapsed="false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33"/>
      <c r="O194" s="31"/>
      <c r="P194" s="28"/>
      <c r="Q194" s="29" t="n">
        <v>1.07</v>
      </c>
      <c r="R194" s="28"/>
      <c r="S194" s="32"/>
      <c r="Y194" s="3" t="n">
        <v>1.5791</v>
      </c>
      <c r="Z194" s="3" t="n">
        <v>5614.2</v>
      </c>
    </row>
    <row r="195" customFormat="false" ht="15" hidden="false" customHeight="false" outlineLevel="0" collapsed="false">
      <c r="A195" s="26"/>
      <c r="B195" s="27"/>
      <c r="C195" s="27"/>
      <c r="D195" s="27"/>
      <c r="E195" s="27"/>
      <c r="F195" s="27"/>
      <c r="G195" s="27"/>
      <c r="H195" s="28"/>
      <c r="I195" s="28"/>
      <c r="J195" s="28"/>
      <c r="K195" s="27"/>
      <c r="L195" s="29"/>
      <c r="M195" s="29"/>
      <c r="N195" s="33"/>
      <c r="O195" s="31"/>
      <c r="P195" s="28"/>
      <c r="Q195" s="28" t="n">
        <v>1.06</v>
      </c>
      <c r="R195" s="28"/>
      <c r="S195" s="32"/>
      <c r="Y195" s="3" t="n">
        <v>1.5789</v>
      </c>
      <c r="Z195" s="3" t="n">
        <v>5780.6</v>
      </c>
    </row>
    <row r="196" customFormat="false" ht="15" hidden="false" customHeight="false" outlineLevel="0" collapsed="false">
      <c r="A196" s="26"/>
      <c r="B196" s="27"/>
      <c r="C196" s="27"/>
      <c r="D196" s="27"/>
      <c r="E196" s="27"/>
      <c r="F196" s="27"/>
      <c r="G196" s="27"/>
      <c r="H196" s="28"/>
      <c r="I196" s="28" t="n">
        <f aca="false">I190+1</f>
        <v>227</v>
      </c>
      <c r="J196" s="28" t="n">
        <v>39</v>
      </c>
      <c r="K196" s="27" t="n">
        <f aca="false">$B$3-(I196+J196/60)*PI()/180</f>
        <v>0.808960108299372</v>
      </c>
      <c r="L196" s="29"/>
      <c r="M196" s="29"/>
      <c r="N196" s="33" t="n">
        <f aca="false">SQRT(SIN($G$13)*SIN($G$13) + (SIN(K196-$G$13+$B$2)  + COS($B$2)*SIN($G$13) )* (SIN(K196-$G$13+$B$2)  + COS($B$2)*SIN($G$13) )/(SIN($B$2)*SIN($B$2))   )</f>
        <v>1.6009076781744</v>
      </c>
      <c r="O196" s="31" t="n">
        <f aca="true">FORECAST(N196,OFFSET($Z$1:$Z$200,MATCH(N196,$Y$1:$Y$200,-1)-1,0,2),OFFSET($Y$1:$Y$200,MATCH(N196,$Y$1:$Y$200,-1)-1,0,2))</f>
        <v>951.116091279992</v>
      </c>
      <c r="P196" s="28"/>
      <c r="Q196" s="27" t="n">
        <v>0.61</v>
      </c>
      <c r="R196" s="28" t="n">
        <f aca="false">AVERAGE(Q196:Q198)</f>
        <v>0.63</v>
      </c>
      <c r="S196" s="32"/>
      <c r="Y196" s="3" t="n">
        <v>1.5787</v>
      </c>
      <c r="Z196" s="3" t="n">
        <v>5953.5</v>
      </c>
    </row>
    <row r="197" customFormat="false" ht="15" hidden="false" customHeight="false" outlineLevel="0" collapsed="false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33"/>
      <c r="O197" s="31"/>
      <c r="P197" s="28"/>
      <c r="Q197" s="29" t="n">
        <v>0.65</v>
      </c>
      <c r="R197" s="28"/>
      <c r="S197" s="32"/>
      <c r="Y197" s="3" t="n">
        <v>1.5784</v>
      </c>
      <c r="Z197" s="3" t="n">
        <v>6133.2</v>
      </c>
    </row>
    <row r="198" customFormat="false" ht="15" hidden="false" customHeight="false" outlineLevel="0" collapsed="false">
      <c r="A198" s="26"/>
      <c r="B198" s="27"/>
      <c r="C198" s="27"/>
      <c r="D198" s="27"/>
      <c r="E198" s="27"/>
      <c r="F198" s="27"/>
      <c r="G198" s="27"/>
      <c r="H198" s="28"/>
      <c r="I198" s="28"/>
      <c r="J198" s="28"/>
      <c r="K198" s="27"/>
      <c r="L198" s="29"/>
      <c r="M198" s="29"/>
      <c r="N198" s="33"/>
      <c r="O198" s="31"/>
      <c r="P198" s="28"/>
      <c r="Q198" s="28" t="n">
        <v>0.63</v>
      </c>
      <c r="R198" s="28"/>
      <c r="S198" s="32"/>
      <c r="Y198" s="3" t="n">
        <v>1.5782</v>
      </c>
      <c r="Z198" s="3" t="n">
        <v>6320</v>
      </c>
    </row>
    <row r="199" customFormat="false" ht="15" hidden="false" customHeight="false" outlineLevel="0" collapsed="false">
      <c r="A199" s="26"/>
      <c r="B199" s="27"/>
      <c r="C199" s="27"/>
      <c r="D199" s="27"/>
      <c r="E199" s="27"/>
      <c r="F199" s="27"/>
      <c r="G199" s="27"/>
      <c r="H199" s="28"/>
      <c r="I199" s="28" t="n">
        <f aca="false">I193+1</f>
        <v>228</v>
      </c>
      <c r="J199" s="28" t="n">
        <v>20</v>
      </c>
      <c r="K199" s="27" t="n">
        <f aca="false">$B$3-(I199+J199/60)*PI()/180</f>
        <v>0.797033691744077</v>
      </c>
      <c r="L199" s="29"/>
      <c r="M199" s="29"/>
      <c r="N199" s="33" t="n">
        <f aca="false">SQRT(SIN($G$13)*SIN($G$13) + (SIN(K199-$G$13+$B$2)  + COS($B$2)*SIN($G$13) )* (SIN(K199-$G$13+$B$2)  + COS($B$2)*SIN($G$13) )/(SIN($B$2)*SIN($B$2))   )</f>
        <v>1.59365429720041</v>
      </c>
      <c r="O199" s="31" t="n">
        <f aca="true">FORECAST(N199,OFFSET($Z$1:$Z$200,MATCH(N199,$Y$1:$Y$200,-1)-1,0,2),OFFSET($Y$1:$Y$200,MATCH(N199,$Y$1:$Y$200,-1)-1,0,2))</f>
        <v>1425.57301075451</v>
      </c>
      <c r="P199" s="28"/>
      <c r="Q199" s="27" t="n">
        <v>0.14</v>
      </c>
      <c r="R199" s="28" t="n">
        <f aca="false">AVERAGE(Q199:Q201)</f>
        <v>0.15</v>
      </c>
      <c r="S199" s="32"/>
      <c r="Y199" s="3" t="n">
        <v>1.578</v>
      </c>
      <c r="Z199" s="3" t="n">
        <v>6514.2</v>
      </c>
    </row>
    <row r="200" customFormat="false" ht="15" hidden="false" customHeight="false" outlineLevel="0" collapsed="false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33"/>
      <c r="O200" s="31"/>
      <c r="P200" s="28"/>
      <c r="Q200" s="29" t="n">
        <v>0.16</v>
      </c>
      <c r="R200" s="28"/>
      <c r="S200" s="32"/>
      <c r="Y200" s="3" t="n">
        <v>1.5778</v>
      </c>
      <c r="Z200" s="3" t="n">
        <v>6716.1</v>
      </c>
    </row>
    <row r="201" customFormat="false" ht="15" hidden="false" customHeight="false" outlineLevel="0" collapsed="false">
      <c r="A201" s="26"/>
      <c r="B201" s="27"/>
      <c r="C201" s="27"/>
      <c r="D201" s="27"/>
      <c r="E201" s="27"/>
      <c r="F201" s="27"/>
      <c r="G201" s="27"/>
      <c r="H201" s="28"/>
      <c r="I201" s="28"/>
      <c r="J201" s="28"/>
      <c r="K201" s="27"/>
      <c r="L201" s="29"/>
      <c r="M201" s="29"/>
      <c r="N201" s="33"/>
      <c r="O201" s="31"/>
      <c r="P201" s="28"/>
      <c r="Q201" s="28" t="n">
        <v>0.15</v>
      </c>
      <c r="R201" s="28"/>
      <c r="S201" s="32"/>
    </row>
    <row r="202" customFormat="false" ht="15" hidden="false" customHeight="false" outlineLevel="0" collapsed="false">
      <c r="A202" s="26"/>
      <c r="B202" s="27"/>
      <c r="C202" s="27"/>
      <c r="D202" s="27"/>
      <c r="E202" s="27"/>
      <c r="F202" s="27"/>
      <c r="G202" s="27"/>
      <c r="H202" s="28"/>
      <c r="I202" s="28" t="n">
        <f aca="false">I196+1</f>
        <v>228</v>
      </c>
      <c r="J202" s="28" t="n">
        <v>43</v>
      </c>
      <c r="K202" s="27" t="n">
        <f aca="false">$B$3-(I202+J202/60)*PI()/180</f>
        <v>0.790343262944766</v>
      </c>
      <c r="L202" s="29"/>
      <c r="M202" s="32"/>
      <c r="N202" s="33" t="n">
        <f aca="false">SQRT(SIN($G$13)*SIN($G$13) + (SIN(K202-$G$13+$B$2)  + COS($B$2)*SIN($G$13) )* (SIN(K202-$G$13+$B$2)  + COS($B$2)*SIN($G$13) )/(SIN($B$2)*SIN($B$2))   )</f>
        <v>1.58954126046319</v>
      </c>
      <c r="O202" s="31" t="n">
        <f aca="true">FORECAST(N202,OFFSET($Z$1:$Z$200,MATCH(N202,$Y$1:$Y$200,-1)-1,0,2),OFFSET($Y$1:$Y$200,MATCH(N202,$Y$1:$Y$200,-1)-1,0,2))</f>
        <v>1926.57625139267</v>
      </c>
      <c r="P202" s="28"/>
      <c r="Q202" s="27" t="n">
        <v>0.05</v>
      </c>
      <c r="R202" s="28" t="n">
        <f aca="false">AVERAGE(Q202:Q204)</f>
        <v>0.06</v>
      </c>
      <c r="S202" s="32"/>
    </row>
    <row r="203" customFormat="false" ht="15" hidden="false" customHeight="false" outlineLevel="0" collapsed="false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32"/>
      <c r="N203" s="33"/>
      <c r="O203" s="31"/>
      <c r="P203" s="28"/>
      <c r="Q203" s="29" t="n">
        <v>0.06</v>
      </c>
      <c r="R203" s="28"/>
      <c r="S203" s="32"/>
    </row>
    <row r="204" customFormat="false" ht="15" hidden="false" customHeight="false" outlineLevel="0" collapsed="false">
      <c r="A204" s="26"/>
      <c r="B204" s="27"/>
      <c r="C204" s="27"/>
      <c r="D204" s="27"/>
      <c r="E204" s="27"/>
      <c r="F204" s="27"/>
      <c r="G204" s="27"/>
      <c r="H204" s="28"/>
      <c r="I204" s="28"/>
      <c r="J204" s="28"/>
      <c r="K204" s="27"/>
      <c r="L204" s="29"/>
      <c r="M204" s="32"/>
      <c r="N204" s="33"/>
      <c r="O204" s="31"/>
      <c r="P204" s="28"/>
      <c r="Q204" s="28" t="n">
        <v>0.07</v>
      </c>
      <c r="R204" s="28"/>
      <c r="S204" s="32"/>
    </row>
    <row r="205" customFormat="false" ht="15" hidden="false" customHeight="false" outlineLevel="0" collapsed="false">
      <c r="A205" s="26"/>
      <c r="B205" s="27"/>
      <c r="C205" s="27"/>
      <c r="D205" s="27"/>
      <c r="E205" s="27"/>
      <c r="F205" s="27"/>
      <c r="G205" s="27"/>
    </row>
    <row r="206" customFormat="false" ht="15" hidden="false" customHeight="false" outlineLevel="0" collapsed="false">
      <c r="A206" s="26"/>
      <c r="B206" s="27"/>
      <c r="C206" s="27"/>
      <c r="D206" s="27"/>
      <c r="E206" s="27"/>
      <c r="F206" s="27"/>
      <c r="G206" s="27"/>
    </row>
    <row r="207" customFormat="false" ht="15" hidden="false" customHeight="false" outlineLevel="0" collapsed="false">
      <c r="A207" s="26"/>
      <c r="B207" s="27"/>
      <c r="C207" s="27"/>
      <c r="D207" s="27"/>
      <c r="E207" s="27"/>
      <c r="F207" s="27"/>
      <c r="G207" s="27"/>
    </row>
    <row r="208" customFormat="false" ht="15" hidden="false" customHeight="false" outlineLevel="0" collapsed="false">
      <c r="A208" s="26"/>
      <c r="B208" s="27"/>
      <c r="C208" s="27"/>
      <c r="D208" s="27"/>
      <c r="E208" s="27"/>
      <c r="F208" s="27"/>
      <c r="G208" s="27"/>
    </row>
    <row r="209" customFormat="false" ht="15" hidden="false" customHeight="false" outlineLevel="0" collapsed="false">
      <c r="A209" s="26"/>
      <c r="B209" s="27"/>
      <c r="C209" s="27"/>
      <c r="D209" s="27"/>
      <c r="E209" s="27"/>
      <c r="F209" s="27"/>
      <c r="G209" s="27"/>
    </row>
    <row r="210" customFormat="false" ht="15" hidden="false" customHeight="false" outlineLevel="0" collapsed="false">
      <c r="A210" s="26"/>
      <c r="B210" s="27"/>
      <c r="C210" s="27"/>
      <c r="D210" s="27"/>
      <c r="E210" s="27"/>
      <c r="F210" s="27"/>
      <c r="G210" s="28"/>
    </row>
  </sheetData>
  <mergeCells count="712">
    <mergeCell ref="AH1:AH3"/>
    <mergeCell ref="AI1:AI3"/>
    <mergeCell ref="AH4:AH6"/>
    <mergeCell ref="AI4:AI6"/>
    <mergeCell ref="AH7:AH9"/>
    <mergeCell ref="AI7:AI9"/>
    <mergeCell ref="AH10:AH12"/>
    <mergeCell ref="AI10:AI12"/>
    <mergeCell ref="M11:N11"/>
    <mergeCell ref="A13:A72"/>
    <mergeCell ref="B13:B72"/>
    <mergeCell ref="C13:C72"/>
    <mergeCell ref="D13:D72"/>
    <mergeCell ref="E13:E72"/>
    <mergeCell ref="F13:F72"/>
    <mergeCell ref="G13:G72"/>
    <mergeCell ref="H13:H72"/>
    <mergeCell ref="I13:I15"/>
    <mergeCell ref="J13:J15"/>
    <mergeCell ref="K13:K15"/>
    <mergeCell ref="L13:L15"/>
    <mergeCell ref="M13:M15"/>
    <mergeCell ref="N13:N15"/>
    <mergeCell ref="O13:O15"/>
    <mergeCell ref="P13:P15"/>
    <mergeCell ref="R13:R15"/>
    <mergeCell ref="S13:S15"/>
    <mergeCell ref="AH13:AH15"/>
    <mergeCell ref="AI13:AI15"/>
    <mergeCell ref="I16:I18"/>
    <mergeCell ref="J16:J18"/>
    <mergeCell ref="K16:K18"/>
    <mergeCell ref="L16:L18"/>
    <mergeCell ref="M16:M18"/>
    <mergeCell ref="N16:N18"/>
    <mergeCell ref="O16:O18"/>
    <mergeCell ref="P16:P18"/>
    <mergeCell ref="R16:R18"/>
    <mergeCell ref="S16:S18"/>
    <mergeCell ref="AH16:AH18"/>
    <mergeCell ref="AI16:AI18"/>
    <mergeCell ref="I19:I21"/>
    <mergeCell ref="J19:J21"/>
    <mergeCell ref="K19:K21"/>
    <mergeCell ref="L19:L21"/>
    <mergeCell ref="M19:M21"/>
    <mergeCell ref="N19:N21"/>
    <mergeCell ref="O19:O21"/>
    <mergeCell ref="P19:P21"/>
    <mergeCell ref="R19:R21"/>
    <mergeCell ref="S19:S21"/>
    <mergeCell ref="AH19:AH21"/>
    <mergeCell ref="AI19:AI21"/>
    <mergeCell ref="I22:I24"/>
    <mergeCell ref="J22:J24"/>
    <mergeCell ref="K22:K24"/>
    <mergeCell ref="L22:L24"/>
    <mergeCell ref="M22:M24"/>
    <mergeCell ref="N22:N24"/>
    <mergeCell ref="O22:O24"/>
    <mergeCell ref="P22:P24"/>
    <mergeCell ref="R22:R24"/>
    <mergeCell ref="S22:S24"/>
    <mergeCell ref="AH22:AH24"/>
    <mergeCell ref="AI22:AI24"/>
    <mergeCell ref="I25:I27"/>
    <mergeCell ref="J25:J27"/>
    <mergeCell ref="K25:K27"/>
    <mergeCell ref="L25:L27"/>
    <mergeCell ref="M25:M27"/>
    <mergeCell ref="N25:N27"/>
    <mergeCell ref="O25:O27"/>
    <mergeCell ref="P25:P27"/>
    <mergeCell ref="R25:R27"/>
    <mergeCell ref="S25:S27"/>
    <mergeCell ref="AH25:AH27"/>
    <mergeCell ref="AI25:AI27"/>
    <mergeCell ref="I28:I30"/>
    <mergeCell ref="J28:J30"/>
    <mergeCell ref="K28:K30"/>
    <mergeCell ref="L28:L30"/>
    <mergeCell ref="M28:M30"/>
    <mergeCell ref="N28:N30"/>
    <mergeCell ref="O28:O30"/>
    <mergeCell ref="P28:P30"/>
    <mergeCell ref="R28:R30"/>
    <mergeCell ref="S28:S30"/>
    <mergeCell ref="AH28:AH30"/>
    <mergeCell ref="AI28:AI30"/>
    <mergeCell ref="I31:I33"/>
    <mergeCell ref="J31:J33"/>
    <mergeCell ref="K31:K33"/>
    <mergeCell ref="L31:L33"/>
    <mergeCell ref="M31:M33"/>
    <mergeCell ref="N31:N33"/>
    <mergeCell ref="O31:O33"/>
    <mergeCell ref="P31:P33"/>
    <mergeCell ref="R31:R33"/>
    <mergeCell ref="S31:S33"/>
    <mergeCell ref="AH31:AH33"/>
    <mergeCell ref="AI31:AI33"/>
    <mergeCell ref="I34:I36"/>
    <mergeCell ref="J34:J36"/>
    <mergeCell ref="K34:K36"/>
    <mergeCell ref="L34:L36"/>
    <mergeCell ref="M34:M36"/>
    <mergeCell ref="N34:N36"/>
    <mergeCell ref="O34:O36"/>
    <mergeCell ref="P34:P36"/>
    <mergeCell ref="R34:R36"/>
    <mergeCell ref="S34:S36"/>
    <mergeCell ref="I37:I39"/>
    <mergeCell ref="J37:J39"/>
    <mergeCell ref="K37:K39"/>
    <mergeCell ref="L37:L39"/>
    <mergeCell ref="M37:M39"/>
    <mergeCell ref="N37:N39"/>
    <mergeCell ref="O37:O39"/>
    <mergeCell ref="P37:P39"/>
    <mergeCell ref="R37:R39"/>
    <mergeCell ref="S37:S39"/>
    <mergeCell ref="I40:I42"/>
    <mergeCell ref="J40:J42"/>
    <mergeCell ref="K40:K42"/>
    <mergeCell ref="L40:L42"/>
    <mergeCell ref="M40:M42"/>
    <mergeCell ref="N40:N42"/>
    <mergeCell ref="O40:O42"/>
    <mergeCell ref="P40:P42"/>
    <mergeCell ref="R40:R42"/>
    <mergeCell ref="S40:S42"/>
    <mergeCell ref="I43:I45"/>
    <mergeCell ref="J43:J45"/>
    <mergeCell ref="K43:K45"/>
    <mergeCell ref="L43:L45"/>
    <mergeCell ref="M43:M45"/>
    <mergeCell ref="N43:N45"/>
    <mergeCell ref="O43:O45"/>
    <mergeCell ref="P43:P45"/>
    <mergeCell ref="R43:R45"/>
    <mergeCell ref="S43:S45"/>
    <mergeCell ref="I46:I48"/>
    <mergeCell ref="J46:J48"/>
    <mergeCell ref="K46:K48"/>
    <mergeCell ref="L46:L48"/>
    <mergeCell ref="M46:M48"/>
    <mergeCell ref="N46:N48"/>
    <mergeCell ref="O46:O48"/>
    <mergeCell ref="P46:P48"/>
    <mergeCell ref="R46:R48"/>
    <mergeCell ref="S46:S48"/>
    <mergeCell ref="I49:I51"/>
    <mergeCell ref="J49:J51"/>
    <mergeCell ref="K49:K51"/>
    <mergeCell ref="L49:L51"/>
    <mergeCell ref="M49:M51"/>
    <mergeCell ref="N49:N51"/>
    <mergeCell ref="O49:O51"/>
    <mergeCell ref="P49:P51"/>
    <mergeCell ref="R49:R51"/>
    <mergeCell ref="S49:S51"/>
    <mergeCell ref="I52:I54"/>
    <mergeCell ref="J52:J54"/>
    <mergeCell ref="K52:K54"/>
    <mergeCell ref="L52:L54"/>
    <mergeCell ref="M52:M54"/>
    <mergeCell ref="N52:N54"/>
    <mergeCell ref="O52:O54"/>
    <mergeCell ref="P52:P54"/>
    <mergeCell ref="R52:R54"/>
    <mergeCell ref="S52:S54"/>
    <mergeCell ref="I55:I57"/>
    <mergeCell ref="J55:J57"/>
    <mergeCell ref="K55:K57"/>
    <mergeCell ref="L55:L57"/>
    <mergeCell ref="M55:M57"/>
    <mergeCell ref="N55:N57"/>
    <mergeCell ref="O55:O57"/>
    <mergeCell ref="P55:P57"/>
    <mergeCell ref="R55:R57"/>
    <mergeCell ref="S55:S57"/>
    <mergeCell ref="I58:I60"/>
    <mergeCell ref="J58:J60"/>
    <mergeCell ref="K58:K60"/>
    <mergeCell ref="L58:L60"/>
    <mergeCell ref="M58:M60"/>
    <mergeCell ref="N58:N60"/>
    <mergeCell ref="O58:O60"/>
    <mergeCell ref="P58:P60"/>
    <mergeCell ref="R58:R60"/>
    <mergeCell ref="S58:S60"/>
    <mergeCell ref="I61:I63"/>
    <mergeCell ref="J61:J63"/>
    <mergeCell ref="K61:K63"/>
    <mergeCell ref="L61:L63"/>
    <mergeCell ref="M61:M63"/>
    <mergeCell ref="N61:N63"/>
    <mergeCell ref="O61:O63"/>
    <mergeCell ref="P61:P63"/>
    <mergeCell ref="R61:R63"/>
    <mergeCell ref="S61:S63"/>
    <mergeCell ref="I64:I66"/>
    <mergeCell ref="J64:J66"/>
    <mergeCell ref="K64:K66"/>
    <mergeCell ref="L64:L66"/>
    <mergeCell ref="M64:M66"/>
    <mergeCell ref="N64:N66"/>
    <mergeCell ref="O64:O66"/>
    <mergeCell ref="P64:P66"/>
    <mergeCell ref="R64:R66"/>
    <mergeCell ref="S64:S66"/>
    <mergeCell ref="I67:I69"/>
    <mergeCell ref="J67:J69"/>
    <mergeCell ref="K67:K69"/>
    <mergeCell ref="L67:L69"/>
    <mergeCell ref="M67:M69"/>
    <mergeCell ref="N67:N69"/>
    <mergeCell ref="O67:O69"/>
    <mergeCell ref="P67:P69"/>
    <mergeCell ref="R67:R69"/>
    <mergeCell ref="S67:S69"/>
    <mergeCell ref="I70:I72"/>
    <mergeCell ref="J70:J72"/>
    <mergeCell ref="K70:K72"/>
    <mergeCell ref="L70:L72"/>
    <mergeCell ref="M70:M72"/>
    <mergeCell ref="N70:N72"/>
    <mergeCell ref="O70:O72"/>
    <mergeCell ref="P70:P72"/>
    <mergeCell ref="R70:R72"/>
    <mergeCell ref="S70:S72"/>
    <mergeCell ref="H73:H75"/>
    <mergeCell ref="I73:I75"/>
    <mergeCell ref="J73:J75"/>
    <mergeCell ref="K73:K75"/>
    <mergeCell ref="L73:L75"/>
    <mergeCell ref="M73:M75"/>
    <mergeCell ref="N73:N75"/>
    <mergeCell ref="O73:O75"/>
    <mergeCell ref="P73:P75"/>
    <mergeCell ref="R73:R75"/>
    <mergeCell ref="S73:S75"/>
    <mergeCell ref="A79:A138"/>
    <mergeCell ref="B79:B138"/>
    <mergeCell ref="C79:C138"/>
    <mergeCell ref="D79:D138"/>
    <mergeCell ref="E79:E138"/>
    <mergeCell ref="F79:F138"/>
    <mergeCell ref="G79:G138"/>
    <mergeCell ref="H79:H81"/>
    <mergeCell ref="I79:I81"/>
    <mergeCell ref="J79:J81"/>
    <mergeCell ref="K79:K81"/>
    <mergeCell ref="L79:L81"/>
    <mergeCell ref="M79:M81"/>
    <mergeCell ref="N79:N81"/>
    <mergeCell ref="O79:O81"/>
    <mergeCell ref="P79:P81"/>
    <mergeCell ref="R79:R81"/>
    <mergeCell ref="S79:S81"/>
    <mergeCell ref="H82:H84"/>
    <mergeCell ref="I82:I84"/>
    <mergeCell ref="J82:J84"/>
    <mergeCell ref="K82:K84"/>
    <mergeCell ref="L82:L84"/>
    <mergeCell ref="M82:M84"/>
    <mergeCell ref="N82:N84"/>
    <mergeCell ref="O82:O84"/>
    <mergeCell ref="P82:P84"/>
    <mergeCell ref="R82:R84"/>
    <mergeCell ref="S82:S84"/>
    <mergeCell ref="H85:H87"/>
    <mergeCell ref="I85:I87"/>
    <mergeCell ref="J85:J87"/>
    <mergeCell ref="K85:K87"/>
    <mergeCell ref="L85:L87"/>
    <mergeCell ref="M85:M87"/>
    <mergeCell ref="N85:N87"/>
    <mergeCell ref="O85:O87"/>
    <mergeCell ref="P85:P87"/>
    <mergeCell ref="R85:R87"/>
    <mergeCell ref="S85:S87"/>
    <mergeCell ref="H88:H90"/>
    <mergeCell ref="I88:I90"/>
    <mergeCell ref="J88:J90"/>
    <mergeCell ref="K88:K90"/>
    <mergeCell ref="L88:L90"/>
    <mergeCell ref="M88:M90"/>
    <mergeCell ref="N88:N90"/>
    <mergeCell ref="O88:O90"/>
    <mergeCell ref="P88:P90"/>
    <mergeCell ref="R88:R90"/>
    <mergeCell ref="S88:S90"/>
    <mergeCell ref="H91:H93"/>
    <mergeCell ref="I91:I93"/>
    <mergeCell ref="J91:J93"/>
    <mergeCell ref="K91:K93"/>
    <mergeCell ref="L91:L93"/>
    <mergeCell ref="M91:M93"/>
    <mergeCell ref="N91:N93"/>
    <mergeCell ref="O91:O93"/>
    <mergeCell ref="P91:P93"/>
    <mergeCell ref="R91:R93"/>
    <mergeCell ref="S91:S93"/>
    <mergeCell ref="H94:H96"/>
    <mergeCell ref="I94:I96"/>
    <mergeCell ref="J94:J96"/>
    <mergeCell ref="K94:K96"/>
    <mergeCell ref="L94:L96"/>
    <mergeCell ref="M94:M96"/>
    <mergeCell ref="N94:N96"/>
    <mergeCell ref="O94:O96"/>
    <mergeCell ref="P94:P96"/>
    <mergeCell ref="R94:R96"/>
    <mergeCell ref="S94:S96"/>
    <mergeCell ref="H97:H99"/>
    <mergeCell ref="I97:I99"/>
    <mergeCell ref="J97:J99"/>
    <mergeCell ref="K97:K99"/>
    <mergeCell ref="L97:L99"/>
    <mergeCell ref="M97:M99"/>
    <mergeCell ref="N97:N99"/>
    <mergeCell ref="O97:O99"/>
    <mergeCell ref="P97:P99"/>
    <mergeCell ref="R97:R99"/>
    <mergeCell ref="S97:S99"/>
    <mergeCell ref="H100:H102"/>
    <mergeCell ref="I100:I102"/>
    <mergeCell ref="J100:J102"/>
    <mergeCell ref="K100:K102"/>
    <mergeCell ref="L100:L102"/>
    <mergeCell ref="M100:M102"/>
    <mergeCell ref="N100:N102"/>
    <mergeCell ref="O100:O102"/>
    <mergeCell ref="P100:P102"/>
    <mergeCell ref="R100:R102"/>
    <mergeCell ref="S100:S102"/>
    <mergeCell ref="H103:H105"/>
    <mergeCell ref="I103:I105"/>
    <mergeCell ref="J103:J105"/>
    <mergeCell ref="K103:K105"/>
    <mergeCell ref="L103:L105"/>
    <mergeCell ref="M103:M105"/>
    <mergeCell ref="N103:N105"/>
    <mergeCell ref="O103:O105"/>
    <mergeCell ref="P103:P105"/>
    <mergeCell ref="R103:R105"/>
    <mergeCell ref="S103:S105"/>
    <mergeCell ref="H106:H108"/>
    <mergeCell ref="I106:I108"/>
    <mergeCell ref="J106:J108"/>
    <mergeCell ref="K106:K108"/>
    <mergeCell ref="L106:L108"/>
    <mergeCell ref="M106:M108"/>
    <mergeCell ref="N106:N108"/>
    <mergeCell ref="O106:O108"/>
    <mergeCell ref="P106:P108"/>
    <mergeCell ref="R106:R108"/>
    <mergeCell ref="S106:S108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P111"/>
    <mergeCell ref="R109:R111"/>
    <mergeCell ref="S109:S111"/>
    <mergeCell ref="H112:H114"/>
    <mergeCell ref="I112:I114"/>
    <mergeCell ref="J112:J114"/>
    <mergeCell ref="K112:K114"/>
    <mergeCell ref="L112:L114"/>
    <mergeCell ref="M112:M114"/>
    <mergeCell ref="N112:N114"/>
    <mergeCell ref="O112:O114"/>
    <mergeCell ref="P112:P114"/>
    <mergeCell ref="R112:R114"/>
    <mergeCell ref="S112:S114"/>
    <mergeCell ref="H115:H117"/>
    <mergeCell ref="I115:I117"/>
    <mergeCell ref="J115:J117"/>
    <mergeCell ref="K115:K117"/>
    <mergeCell ref="L115:L117"/>
    <mergeCell ref="M115:M117"/>
    <mergeCell ref="N115:N117"/>
    <mergeCell ref="O115:O117"/>
    <mergeCell ref="P115:P117"/>
    <mergeCell ref="R115:R117"/>
    <mergeCell ref="S115:S117"/>
    <mergeCell ref="H118:H120"/>
    <mergeCell ref="I118:I120"/>
    <mergeCell ref="J118:J120"/>
    <mergeCell ref="K118:K120"/>
    <mergeCell ref="L118:L120"/>
    <mergeCell ref="M118:M120"/>
    <mergeCell ref="N118:N120"/>
    <mergeCell ref="O118:O120"/>
    <mergeCell ref="P118:P120"/>
    <mergeCell ref="R118:R120"/>
    <mergeCell ref="S118:S120"/>
    <mergeCell ref="H121:H123"/>
    <mergeCell ref="I121:I123"/>
    <mergeCell ref="J121:J123"/>
    <mergeCell ref="K121:K123"/>
    <mergeCell ref="L121:L123"/>
    <mergeCell ref="M121:M123"/>
    <mergeCell ref="N121:N123"/>
    <mergeCell ref="O121:O123"/>
    <mergeCell ref="P121:P123"/>
    <mergeCell ref="R121:R123"/>
    <mergeCell ref="S121:S123"/>
    <mergeCell ref="H124:H126"/>
    <mergeCell ref="I124:I126"/>
    <mergeCell ref="J124:J126"/>
    <mergeCell ref="K124:K126"/>
    <mergeCell ref="L124:L126"/>
    <mergeCell ref="M124:M126"/>
    <mergeCell ref="N124:N126"/>
    <mergeCell ref="O124:O126"/>
    <mergeCell ref="P124:P126"/>
    <mergeCell ref="R124:R126"/>
    <mergeCell ref="S124:S126"/>
    <mergeCell ref="H127:H129"/>
    <mergeCell ref="I127:I129"/>
    <mergeCell ref="J127:J129"/>
    <mergeCell ref="K127:K129"/>
    <mergeCell ref="L127:L129"/>
    <mergeCell ref="M127:M129"/>
    <mergeCell ref="N127:N129"/>
    <mergeCell ref="O127:O129"/>
    <mergeCell ref="P127:P129"/>
    <mergeCell ref="R127:R129"/>
    <mergeCell ref="S127:S129"/>
    <mergeCell ref="H130:H132"/>
    <mergeCell ref="I130:I132"/>
    <mergeCell ref="J130:J132"/>
    <mergeCell ref="K130:K132"/>
    <mergeCell ref="L130:L132"/>
    <mergeCell ref="M130:M132"/>
    <mergeCell ref="N130:N132"/>
    <mergeCell ref="O130:O132"/>
    <mergeCell ref="P130:P132"/>
    <mergeCell ref="R130:R132"/>
    <mergeCell ref="S130:S132"/>
    <mergeCell ref="H133:H135"/>
    <mergeCell ref="I133:I135"/>
    <mergeCell ref="J133:J135"/>
    <mergeCell ref="K133:K135"/>
    <mergeCell ref="L133:L135"/>
    <mergeCell ref="M133:M135"/>
    <mergeCell ref="N133:N135"/>
    <mergeCell ref="O133:O135"/>
    <mergeCell ref="P133:P135"/>
    <mergeCell ref="Q133:Q135"/>
    <mergeCell ref="R133:R135"/>
    <mergeCell ref="S133:S135"/>
    <mergeCell ref="H136:H138"/>
    <mergeCell ref="I136:I138"/>
    <mergeCell ref="J136:J138"/>
    <mergeCell ref="K136:K138"/>
    <mergeCell ref="L136:L138"/>
    <mergeCell ref="M136:M138"/>
    <mergeCell ref="N136:N138"/>
    <mergeCell ref="O136:O138"/>
    <mergeCell ref="P136:P138"/>
    <mergeCell ref="Q136:Q138"/>
    <mergeCell ref="R136:R138"/>
    <mergeCell ref="S136:S138"/>
    <mergeCell ref="H139:H141"/>
    <mergeCell ref="I139:I141"/>
    <mergeCell ref="J139:J141"/>
    <mergeCell ref="K139:K141"/>
    <mergeCell ref="L139:L141"/>
    <mergeCell ref="M139:M141"/>
    <mergeCell ref="N139:N141"/>
    <mergeCell ref="O139:O141"/>
    <mergeCell ref="P139:P141"/>
    <mergeCell ref="Q139:Q141"/>
    <mergeCell ref="R139:R141"/>
    <mergeCell ref="S139:S141"/>
    <mergeCell ref="H142:H144"/>
    <mergeCell ref="I142:I144"/>
    <mergeCell ref="J142:J144"/>
    <mergeCell ref="K142:K144"/>
    <mergeCell ref="L142:L144"/>
    <mergeCell ref="M142:M144"/>
    <mergeCell ref="N142:N144"/>
    <mergeCell ref="O142:O144"/>
    <mergeCell ref="P142:P144"/>
    <mergeCell ref="Q142:Q144"/>
    <mergeCell ref="R142:R144"/>
    <mergeCell ref="S142:S144"/>
    <mergeCell ref="H145:H147"/>
    <mergeCell ref="I145:I147"/>
    <mergeCell ref="J145:J147"/>
    <mergeCell ref="K145:K147"/>
    <mergeCell ref="L145:L147"/>
    <mergeCell ref="M145:M147"/>
    <mergeCell ref="N145:N147"/>
    <mergeCell ref="O145:O147"/>
    <mergeCell ref="P145:P147"/>
    <mergeCell ref="Q145:Q147"/>
    <mergeCell ref="R145:R147"/>
    <mergeCell ref="S145:S147"/>
    <mergeCell ref="A151:A210"/>
    <mergeCell ref="B151:B210"/>
    <mergeCell ref="C151:C210"/>
    <mergeCell ref="D151:D210"/>
    <mergeCell ref="E151:E210"/>
    <mergeCell ref="F151:F210"/>
    <mergeCell ref="G151:G210"/>
    <mergeCell ref="H151:H153"/>
    <mergeCell ref="I151:I153"/>
    <mergeCell ref="J151:J153"/>
    <mergeCell ref="K151:K153"/>
    <mergeCell ref="L151:L153"/>
    <mergeCell ref="M151:M153"/>
    <mergeCell ref="N151:N153"/>
    <mergeCell ref="O151:O153"/>
    <mergeCell ref="P151:P153"/>
    <mergeCell ref="R151:R153"/>
    <mergeCell ref="S151:S153"/>
    <mergeCell ref="H154:H156"/>
    <mergeCell ref="I154:I156"/>
    <mergeCell ref="J154:J156"/>
    <mergeCell ref="K154:K156"/>
    <mergeCell ref="L154:L156"/>
    <mergeCell ref="M154:M156"/>
    <mergeCell ref="N154:N156"/>
    <mergeCell ref="O154:O156"/>
    <mergeCell ref="P154:P156"/>
    <mergeCell ref="R154:R156"/>
    <mergeCell ref="S154:S156"/>
    <mergeCell ref="H157:H159"/>
    <mergeCell ref="I157:I159"/>
    <mergeCell ref="J157:J159"/>
    <mergeCell ref="K157:K159"/>
    <mergeCell ref="L157:L159"/>
    <mergeCell ref="M157:M159"/>
    <mergeCell ref="N157:N159"/>
    <mergeCell ref="O157:O159"/>
    <mergeCell ref="P157:P159"/>
    <mergeCell ref="R157:R159"/>
    <mergeCell ref="S157:S159"/>
    <mergeCell ref="H160:H162"/>
    <mergeCell ref="I160:I162"/>
    <mergeCell ref="J160:J162"/>
    <mergeCell ref="K160:K162"/>
    <mergeCell ref="L160:L162"/>
    <mergeCell ref="M160:M162"/>
    <mergeCell ref="N160:N162"/>
    <mergeCell ref="O160:O162"/>
    <mergeCell ref="P160:P162"/>
    <mergeCell ref="R160:R162"/>
    <mergeCell ref="S160:S162"/>
    <mergeCell ref="H163:H165"/>
    <mergeCell ref="I163:I165"/>
    <mergeCell ref="J163:J165"/>
    <mergeCell ref="K163:K165"/>
    <mergeCell ref="L163:L165"/>
    <mergeCell ref="M163:M165"/>
    <mergeCell ref="N163:N165"/>
    <mergeCell ref="O163:O165"/>
    <mergeCell ref="P163:P165"/>
    <mergeCell ref="R163:R165"/>
    <mergeCell ref="S163:S165"/>
    <mergeCell ref="H166:H168"/>
    <mergeCell ref="I166:I168"/>
    <mergeCell ref="J166:J168"/>
    <mergeCell ref="K166:K168"/>
    <mergeCell ref="L166:L168"/>
    <mergeCell ref="M166:M168"/>
    <mergeCell ref="N166:N168"/>
    <mergeCell ref="O166:O168"/>
    <mergeCell ref="P166:P168"/>
    <mergeCell ref="R166:R168"/>
    <mergeCell ref="S166:S168"/>
    <mergeCell ref="H169:H171"/>
    <mergeCell ref="I169:I171"/>
    <mergeCell ref="J169:J171"/>
    <mergeCell ref="K169:K171"/>
    <mergeCell ref="L169:L171"/>
    <mergeCell ref="M169:M171"/>
    <mergeCell ref="N169:N171"/>
    <mergeCell ref="O169:O171"/>
    <mergeCell ref="P169:P171"/>
    <mergeCell ref="R169:R171"/>
    <mergeCell ref="S169:S171"/>
    <mergeCell ref="H172:H174"/>
    <mergeCell ref="I172:I174"/>
    <mergeCell ref="J172:J174"/>
    <mergeCell ref="K172:K174"/>
    <mergeCell ref="L172:L174"/>
    <mergeCell ref="M172:M174"/>
    <mergeCell ref="N172:N174"/>
    <mergeCell ref="O172:O174"/>
    <mergeCell ref="P172:P174"/>
    <mergeCell ref="R172:R174"/>
    <mergeCell ref="S172:S174"/>
    <mergeCell ref="H175:H177"/>
    <mergeCell ref="I175:I177"/>
    <mergeCell ref="J175:J177"/>
    <mergeCell ref="K175:K177"/>
    <mergeCell ref="L175:L177"/>
    <mergeCell ref="M175:M177"/>
    <mergeCell ref="N175:N177"/>
    <mergeCell ref="O175:O177"/>
    <mergeCell ref="P175:P177"/>
    <mergeCell ref="R175:R177"/>
    <mergeCell ref="S175:S177"/>
    <mergeCell ref="H178:H180"/>
    <mergeCell ref="I178:I180"/>
    <mergeCell ref="J178:J180"/>
    <mergeCell ref="K178:K180"/>
    <mergeCell ref="L178:L180"/>
    <mergeCell ref="M178:M180"/>
    <mergeCell ref="N178:N180"/>
    <mergeCell ref="O178:O180"/>
    <mergeCell ref="P178:P180"/>
    <mergeCell ref="R178:R180"/>
    <mergeCell ref="S178:S180"/>
    <mergeCell ref="H181:H183"/>
    <mergeCell ref="I181:I183"/>
    <mergeCell ref="J181:J183"/>
    <mergeCell ref="K181:K183"/>
    <mergeCell ref="L181:L183"/>
    <mergeCell ref="M181:M183"/>
    <mergeCell ref="N181:N183"/>
    <mergeCell ref="O181:O183"/>
    <mergeCell ref="P181:P183"/>
    <mergeCell ref="R181:R183"/>
    <mergeCell ref="S181:S183"/>
    <mergeCell ref="H184:H186"/>
    <mergeCell ref="I184:I186"/>
    <mergeCell ref="J184:J186"/>
    <mergeCell ref="K184:K186"/>
    <mergeCell ref="L184:L186"/>
    <mergeCell ref="M184:M186"/>
    <mergeCell ref="N184:N186"/>
    <mergeCell ref="O184:O186"/>
    <mergeCell ref="P184:P186"/>
    <mergeCell ref="R184:R186"/>
    <mergeCell ref="S184:S186"/>
    <mergeCell ref="H187:H189"/>
    <mergeCell ref="I187:I189"/>
    <mergeCell ref="J187:J189"/>
    <mergeCell ref="K187:K189"/>
    <mergeCell ref="L187:L189"/>
    <mergeCell ref="M187:M189"/>
    <mergeCell ref="N187:N189"/>
    <mergeCell ref="O187:O189"/>
    <mergeCell ref="P187:P189"/>
    <mergeCell ref="R187:R189"/>
    <mergeCell ref="S187:S189"/>
    <mergeCell ref="H190:H192"/>
    <mergeCell ref="I190:I192"/>
    <mergeCell ref="J190:J192"/>
    <mergeCell ref="K190:K192"/>
    <mergeCell ref="L190:L192"/>
    <mergeCell ref="M190:M192"/>
    <mergeCell ref="N190:N192"/>
    <mergeCell ref="O190:O192"/>
    <mergeCell ref="P190:P192"/>
    <mergeCell ref="R190:R192"/>
    <mergeCell ref="S190:S192"/>
    <mergeCell ref="H193:H195"/>
    <mergeCell ref="I193:I195"/>
    <mergeCell ref="J193:J195"/>
    <mergeCell ref="K193:K195"/>
    <mergeCell ref="L193:L195"/>
    <mergeCell ref="M193:M195"/>
    <mergeCell ref="N193:N195"/>
    <mergeCell ref="O193:O195"/>
    <mergeCell ref="P193:P195"/>
    <mergeCell ref="R193:R195"/>
    <mergeCell ref="S193:S195"/>
    <mergeCell ref="H196:H198"/>
    <mergeCell ref="I196:I198"/>
    <mergeCell ref="J196:J198"/>
    <mergeCell ref="K196:K198"/>
    <mergeCell ref="L196:L198"/>
    <mergeCell ref="M196:M198"/>
    <mergeCell ref="N196:N198"/>
    <mergeCell ref="O196:O198"/>
    <mergeCell ref="P196:P198"/>
    <mergeCell ref="R196:R198"/>
    <mergeCell ref="S196:S198"/>
    <mergeCell ref="H199:H201"/>
    <mergeCell ref="I199:I201"/>
    <mergeCell ref="J199:J201"/>
    <mergeCell ref="K199:K201"/>
    <mergeCell ref="L199:L201"/>
    <mergeCell ref="M199:M201"/>
    <mergeCell ref="N199:N201"/>
    <mergeCell ref="O199:O201"/>
    <mergeCell ref="P199:P201"/>
    <mergeCell ref="R199:R201"/>
    <mergeCell ref="S199:S201"/>
    <mergeCell ref="H202:H204"/>
    <mergeCell ref="I202:I204"/>
    <mergeCell ref="J202:J204"/>
    <mergeCell ref="K202:K204"/>
    <mergeCell ref="L202:L204"/>
    <mergeCell ref="M202:M204"/>
    <mergeCell ref="N202:N204"/>
    <mergeCell ref="O202:O204"/>
    <mergeCell ref="P202:P204"/>
    <mergeCell ref="R202:R204"/>
    <mergeCell ref="S202:S20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G11" activeCellId="1" sqref="I7:I16 G11"/>
    </sheetView>
  </sheetViews>
  <sheetFormatPr defaultRowHeight="15"/>
  <cols>
    <col collapsed="false" hidden="false" max="3" min="1" style="0" width="10.5296296296296"/>
    <col collapsed="false" hidden="false" max="4" min="4" style="0" width="11.162962962963"/>
    <col collapsed="false" hidden="false" max="1025" min="5" style="0" width="10.5296296296296"/>
  </cols>
  <sheetData>
    <row r="1" customFormat="false" ht="20" hidden="false" customHeight="false" outlineLevel="0" collapsed="false">
      <c r="A1" s="46" t="s">
        <v>0</v>
      </c>
      <c r="B1" s="46"/>
      <c r="C1" s="46"/>
    </row>
    <row r="2" customFormat="false" ht="15" hidden="false" customHeight="false" outlineLevel="0" collapsed="false">
      <c r="A2" s="47" t="s">
        <v>1</v>
      </c>
      <c r="B2" s="48" t="n">
        <v>1.047197551</v>
      </c>
      <c r="C2" s="48"/>
    </row>
    <row r="3" customFormat="false" ht="15" hidden="false" customHeight="false" outlineLevel="0" collapsed="false">
      <c r="A3" s="47" t="s">
        <v>3</v>
      </c>
      <c r="B3" s="48"/>
      <c r="C3" s="48"/>
    </row>
    <row r="4" customFormat="false" ht="15" hidden="false" customHeight="false" outlineLevel="0" collapsed="false">
      <c r="A4" s="49" t="s">
        <v>24</v>
      </c>
      <c r="B4" s="50" t="n">
        <v>6.62606957E-034</v>
      </c>
      <c r="C4" s="49" t="s">
        <v>25</v>
      </c>
      <c r="D4" s="51" t="n">
        <v>2998792458</v>
      </c>
      <c r="E4" s="49" t="s">
        <v>26</v>
      </c>
      <c r="F4" s="50" t="n">
        <v>1.3806488E-023</v>
      </c>
    </row>
    <row r="6" customFormat="false" ht="15" hidden="false" customHeight="false" outlineLevel="0" collapsed="false">
      <c r="A6" s="52" t="s">
        <v>27</v>
      </c>
      <c r="B6" s="52" t="s">
        <v>17</v>
      </c>
      <c r="C6" s="52" t="s">
        <v>28</v>
      </c>
      <c r="D6" s="52" t="s">
        <v>29</v>
      </c>
      <c r="E6" s="52" t="s">
        <v>30</v>
      </c>
      <c r="F6" s="52" t="s">
        <v>4</v>
      </c>
      <c r="G6" s="52" t="s">
        <v>31</v>
      </c>
      <c r="H6" s="52" t="s">
        <v>32</v>
      </c>
      <c r="I6" s="52" t="s">
        <v>35</v>
      </c>
      <c r="J6" s="52" t="s">
        <v>47</v>
      </c>
      <c r="K6" s="52" t="s">
        <v>38</v>
      </c>
      <c r="L6" s="52" t="s">
        <v>39</v>
      </c>
      <c r="M6" s="52" t="s">
        <v>40</v>
      </c>
      <c r="N6" s="52" t="s">
        <v>27</v>
      </c>
      <c r="O6" s="52" t="s">
        <v>41</v>
      </c>
    </row>
    <row r="7" customFormat="false" ht="15" hidden="false" customHeight="false" outlineLevel="0" collapsed="false">
      <c r="A7" s="53" t="n">
        <v>5</v>
      </c>
      <c r="B7" s="53"/>
      <c r="C7" s="53"/>
      <c r="D7" s="53"/>
      <c r="E7" s="53"/>
      <c r="F7" s="53" t="n">
        <v>0</v>
      </c>
      <c r="G7" s="53" t="n">
        <f aca="false">F7*PI()/180</f>
        <v>0</v>
      </c>
      <c r="H7" s="53"/>
      <c r="I7" s="53" t="n">
        <f aca="false">F7-$B$3</f>
        <v>0</v>
      </c>
      <c r="J7" s="53"/>
      <c r="K7" s="53" t="n">
        <f aca="false">SQRT(SIN(G7)*SIN(G7) + (SIN(I7-G7+$B$2)  + COS($B$2)*SIN(G7) )* (SIN(I7-G7+$B$2)  + COS($B$2)*SIN(G7) )/(SIN($B$2)*SIN($B$2))   )</f>
        <v>1</v>
      </c>
      <c r="L7" s="53"/>
      <c r="M7" s="53"/>
      <c r="N7" s="53"/>
      <c r="O7" s="53"/>
    </row>
    <row r="8" customFormat="false" ht="15" hidden="false" customHeight="false" outlineLevel="0" collapsed="false">
      <c r="A8" s="53" t="n">
        <f aca="false">A7+1</f>
        <v>6</v>
      </c>
      <c r="B8" s="53"/>
      <c r="C8" s="53"/>
      <c r="D8" s="53"/>
      <c r="E8" s="53"/>
      <c r="F8" s="53" t="n">
        <v>1</v>
      </c>
      <c r="G8" s="53" t="n">
        <f aca="false">F8*PI()/180</f>
        <v>0.0174532925199433</v>
      </c>
      <c r="H8" s="53"/>
      <c r="I8" s="53" t="n">
        <f aca="false">F8-$B$3</f>
        <v>1</v>
      </c>
      <c r="J8" s="53"/>
      <c r="K8" s="53" t="n">
        <f aca="false">SQRT(SIN(G8)*SIN(G8) + (SIN(I8-G8+$B$2)  + COS($B$2)*SIN(G8) )* (SIN(I8-G8+$B$2)  + COS($B$2)*SIN(G8) )/(SIN($B$2)*SIN($B$2))   )</f>
        <v>1.04543288399095</v>
      </c>
      <c r="L8" s="53"/>
      <c r="M8" s="53"/>
      <c r="N8" s="53"/>
      <c r="O8" s="53"/>
    </row>
    <row r="9" customFormat="false" ht="15" hidden="false" customHeight="false" outlineLevel="0" collapsed="false">
      <c r="A9" s="53" t="n">
        <f aca="false">A8+1</f>
        <v>7</v>
      </c>
      <c r="B9" s="53"/>
      <c r="C9" s="53"/>
      <c r="D9" s="53"/>
      <c r="E9" s="53"/>
      <c r="F9" s="53" t="n">
        <v>2</v>
      </c>
      <c r="G9" s="53" t="n">
        <f aca="false">F9*PI()/180</f>
        <v>0.0349065850398866</v>
      </c>
      <c r="H9" s="53"/>
      <c r="I9" s="53" t="n">
        <f aca="false">F9-$B$3</f>
        <v>2</v>
      </c>
      <c r="J9" s="53"/>
      <c r="K9" s="53" t="n">
        <f aca="false">SQRT(SIN(G9)*SIN(G9) + (SIN(I9-G9+$B$2)  + COS($B$2)*SIN(G9) )* (SIN(I9-G9+$B$2)  + COS($B$2)*SIN(G9) )/(SIN($B$2)*SIN($B$2))   )</f>
        <v>0.172603339918324</v>
      </c>
      <c r="L9" s="53"/>
      <c r="M9" s="53"/>
      <c r="N9" s="53"/>
      <c r="O9" s="53"/>
    </row>
    <row r="10" customFormat="false" ht="15" hidden="false" customHeight="false" outlineLevel="0" collapsed="false">
      <c r="A10" s="53" t="n">
        <f aca="false">A9+1</f>
        <v>8</v>
      </c>
      <c r="B10" s="53"/>
      <c r="C10" s="53"/>
      <c r="D10" s="53"/>
      <c r="E10" s="53"/>
      <c r="F10" s="53" t="n">
        <v>3</v>
      </c>
      <c r="G10" s="53" t="n">
        <f aca="false">F10*PI()/180</f>
        <v>0.0523598775598299</v>
      </c>
      <c r="H10" s="53"/>
      <c r="I10" s="53" t="n">
        <f aca="false">F10-$B$3</f>
        <v>3</v>
      </c>
      <c r="J10" s="53"/>
      <c r="K10" s="53" t="n">
        <f aca="false">SQRT(SIN(G10)*SIN(G10) + (SIN(I10-G10+$B$2)  + COS($B$2)*SIN(G10) )* (SIN(I10-G10+$B$2)  + COS($B$2)*SIN(G10) )/(SIN($B$2)*SIN($B$2))   )</f>
        <v>0.841385393495843</v>
      </c>
      <c r="L10" s="53"/>
      <c r="M10" s="53"/>
      <c r="N10" s="53"/>
      <c r="O10" s="53"/>
    </row>
    <row r="11" customFormat="false" ht="15" hidden="false" customHeight="false" outlineLevel="0" collapsed="false">
      <c r="A11" s="53" t="n">
        <f aca="false">A10+1</f>
        <v>9</v>
      </c>
      <c r="B11" s="53"/>
      <c r="C11" s="53"/>
      <c r="D11" s="53"/>
      <c r="E11" s="53"/>
      <c r="F11" s="53" t="n">
        <v>4</v>
      </c>
      <c r="G11" s="53" t="n">
        <f aca="false">F11*PI()/180</f>
        <v>0.0698131700797732</v>
      </c>
      <c r="H11" s="53"/>
      <c r="I11" s="53" t="n">
        <f aca="false">F11-$B$3</f>
        <v>4</v>
      </c>
      <c r="J11" s="53"/>
      <c r="K11" s="53" t="n">
        <f aca="false">SQRT(SIN(G11)*SIN(G11) + (SIN(I11-G11+$B$2)  + COS($B$2)*SIN(G11) )* (SIN(I11-G11+$B$2)  + COS($B$2)*SIN(G11) )/(SIN($B$2)*SIN($B$2))   )</f>
        <v>1.07638301268402</v>
      </c>
      <c r="L11" s="53"/>
      <c r="M11" s="53"/>
      <c r="N11" s="53"/>
      <c r="O11" s="53"/>
    </row>
    <row r="12" customFormat="false" ht="15" hidden="false" customHeight="false" outlineLevel="0" collapsed="false">
      <c r="A12" s="53" t="n">
        <f aca="false">A11+1</f>
        <v>10</v>
      </c>
      <c r="B12" s="53"/>
      <c r="C12" s="53"/>
      <c r="D12" s="53"/>
      <c r="E12" s="53"/>
      <c r="F12" s="53" t="n">
        <v>5</v>
      </c>
      <c r="G12" s="53" t="n">
        <f aca="false">F12*PI()/180</f>
        <v>0.0872664625997165</v>
      </c>
      <c r="H12" s="53"/>
      <c r="I12" s="53" t="n">
        <f aca="false">F12-$B$3</f>
        <v>5</v>
      </c>
      <c r="J12" s="53"/>
      <c r="K12" s="53" t="n">
        <f aca="false">SQRT(SIN(G12)*SIN(G12) + (SIN(I12-G12+$B$2)  + COS($B$2)*SIN(G12) )* (SIN(I12-G12+$B$2)  + COS($B$2)*SIN(G12) )/(SIN($B$2)*SIN($B$2))   )</f>
        <v>0.328257555744257</v>
      </c>
      <c r="L12" s="53"/>
      <c r="M12" s="53"/>
      <c r="N12" s="53"/>
      <c r="O12" s="53"/>
    </row>
    <row r="13" customFormat="false" ht="15" hidden="false" customHeight="false" outlineLevel="0" collapsed="false">
      <c r="A13" s="53" t="n">
        <f aca="false">A12+1</f>
        <v>11</v>
      </c>
      <c r="B13" s="53"/>
      <c r="C13" s="53"/>
      <c r="D13" s="53"/>
      <c r="E13" s="53"/>
      <c r="F13" s="53" t="n">
        <v>6</v>
      </c>
      <c r="G13" s="53" t="n">
        <f aca="false">F13*PI()/180</f>
        <v>0.10471975511966</v>
      </c>
      <c r="H13" s="53"/>
      <c r="I13" s="53" t="n">
        <f aca="false">F13-$B$3</f>
        <v>6</v>
      </c>
      <c r="J13" s="53"/>
      <c r="K13" s="53" t="n">
        <f aca="false">SQRT(SIN(G13)*SIN(G13) + (SIN(I13-G13+$B$2)  + COS($B$2)*SIN(G13) )* (SIN(I13-G13+$B$2)  + COS($B$2)*SIN(G13) )/(SIN($B$2)*SIN($B$2))   )</f>
        <v>0.774754106268713</v>
      </c>
      <c r="L13" s="53"/>
      <c r="M13" s="53"/>
      <c r="N13" s="53"/>
      <c r="O13" s="53"/>
    </row>
    <row r="14" customFormat="false" ht="15" hidden="false" customHeight="false" outlineLevel="0" collapsed="false">
      <c r="A14" s="53" t="n">
        <f aca="false">A13+1</f>
        <v>12</v>
      </c>
      <c r="B14" s="53"/>
      <c r="C14" s="53"/>
      <c r="D14" s="53"/>
      <c r="E14" s="53"/>
      <c r="F14" s="53" t="n">
        <v>7</v>
      </c>
      <c r="G14" s="53" t="n">
        <f aca="false">F14*PI()/180</f>
        <v>0.122173047639603</v>
      </c>
      <c r="H14" s="53"/>
      <c r="I14" s="53" t="n">
        <f aca="false">F14-$B$3</f>
        <v>7</v>
      </c>
      <c r="J14" s="53"/>
      <c r="K14" s="53" t="n">
        <f aca="false">SQRT(SIN(G14)*SIN(G14) + (SIN(I14-G14+$B$2)  + COS($B$2)*SIN(G14) )* (SIN(I14-G14+$B$2)  + COS($B$2)*SIN(G14) )/(SIN($B$2)*SIN($B$2))   )</f>
        <v>1.22821033117216</v>
      </c>
      <c r="L14" s="53"/>
      <c r="M14" s="53"/>
      <c r="N14" s="53"/>
      <c r="O14" s="5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7" activeCellId="0" sqref="I7:I16"/>
    </sheetView>
  </sheetViews>
  <sheetFormatPr defaultRowHeight="15"/>
  <cols>
    <col collapsed="false" hidden="false" max="3" min="1" style="0" width="10.5296296296296"/>
    <col collapsed="false" hidden="false" max="4" min="4" style="0" width="11.162962962963"/>
    <col collapsed="false" hidden="false" max="1025" min="5" style="0" width="10.5296296296296"/>
  </cols>
  <sheetData>
    <row r="1" customFormat="false" ht="20" hidden="false" customHeight="false" outlineLevel="0" collapsed="false">
      <c r="A1" s="46" t="s">
        <v>0</v>
      </c>
      <c r="B1" s="46"/>
      <c r="C1" s="46"/>
      <c r="AC1" s="1" t="n">
        <v>1</v>
      </c>
      <c r="AD1" s="1" t="n">
        <v>292.35</v>
      </c>
    </row>
    <row r="2" customFormat="false" ht="15" hidden="false" customHeight="false" outlineLevel="0" collapsed="false">
      <c r="A2" s="47" t="s">
        <v>1</v>
      </c>
      <c r="B2" s="48" t="n">
        <v>1.047197551</v>
      </c>
      <c r="C2" s="48"/>
      <c r="AC2" s="1" t="n">
        <v>1.036625</v>
      </c>
      <c r="AD2" s="1" t="n">
        <v>300</v>
      </c>
    </row>
    <row r="3" customFormat="false" ht="15" hidden="false" customHeight="false" outlineLevel="0" collapsed="false">
      <c r="A3" s="47" t="s">
        <v>3</v>
      </c>
      <c r="B3" s="48"/>
      <c r="C3" s="48"/>
      <c r="AC3" s="1" t="n">
        <v>1.522336</v>
      </c>
      <c r="AD3" s="1" t="n">
        <v>400</v>
      </c>
    </row>
    <row r="4" customFormat="false" ht="15" hidden="false" customHeight="false" outlineLevel="0" collapsed="false">
      <c r="A4" s="49" t="s">
        <v>24</v>
      </c>
      <c r="B4" s="50" t="n">
        <v>6.62606957E-034</v>
      </c>
      <c r="C4" s="49" t="s">
        <v>25</v>
      </c>
      <c r="D4" s="51" t="n">
        <v>2998792458</v>
      </c>
      <c r="E4" s="49" t="s">
        <v>26</v>
      </c>
      <c r="F4" s="50" t="n">
        <v>1.3806488E-023</v>
      </c>
      <c r="AC4" s="1" t="n">
        <v>2.021194</v>
      </c>
      <c r="AD4" s="1" t="n">
        <v>500</v>
      </c>
    </row>
    <row r="5" customFormat="false" ht="15" hidden="false" customHeight="false" outlineLevel="0" collapsed="false">
      <c r="AC5" s="1" t="n">
        <v>2.533535</v>
      </c>
      <c r="AD5" s="1" t="n">
        <v>600</v>
      </c>
    </row>
    <row r="6" customFormat="false" ht="15" hidden="false" customHeight="false" outlineLevel="0" collapsed="false">
      <c r="A6" s="54" t="s">
        <v>27</v>
      </c>
      <c r="B6" s="54" t="s">
        <v>11</v>
      </c>
      <c r="C6" s="54" t="s">
        <v>12</v>
      </c>
      <c r="D6" s="54" t="s">
        <v>48</v>
      </c>
      <c r="E6" s="54"/>
      <c r="F6" s="54" t="s">
        <v>14</v>
      </c>
      <c r="G6" s="54"/>
      <c r="H6" s="54"/>
      <c r="I6" s="54" t="s">
        <v>17</v>
      </c>
      <c r="J6" s="54" t="s">
        <v>49</v>
      </c>
      <c r="AC6" s="1" t="n">
        <v>3.059699</v>
      </c>
      <c r="AD6" s="1" t="n">
        <v>700</v>
      </c>
    </row>
    <row r="7" customFormat="false" ht="15" hidden="false" customHeight="false" outlineLevel="0" collapsed="false">
      <c r="A7" s="55" t="n">
        <v>11.98</v>
      </c>
      <c r="B7" s="55"/>
      <c r="C7" s="55" t="n">
        <v>1.69</v>
      </c>
      <c r="D7" s="56" t="n">
        <v>0.00691</v>
      </c>
      <c r="E7" s="56" t="n">
        <v>1E-005</v>
      </c>
      <c r="F7" s="55" t="n">
        <f aca="false">A7/C7</f>
        <v>7.0887573964497</v>
      </c>
      <c r="G7" s="55"/>
      <c r="H7" s="55" t="n">
        <f aca="false">F7/0.4911</f>
        <v>14.4344479667068</v>
      </c>
      <c r="I7" s="10" t="n">
        <f aca="true">FORECAST(H7,OFFSET($AD$1:$AD$35,MATCH(H7,$AC$1:$AC$35,1)-1,0,2),OFFSET($AC$1:$AC$35,MATCH(H7,$AC$1:$AC$35,1)-1,0,2))</f>
        <v>2398.48778577927</v>
      </c>
      <c r="J7" s="55"/>
      <c r="AC7" s="1" t="n">
        <v>3.600023</v>
      </c>
      <c r="AD7" s="1" t="n">
        <v>800</v>
      </c>
    </row>
    <row r="8" customFormat="false" ht="15" hidden="false" customHeight="false" outlineLevel="0" collapsed="false">
      <c r="A8" s="55" t="n">
        <v>10.99</v>
      </c>
      <c r="B8" s="55"/>
      <c r="C8" s="55" t="n">
        <v>1.61</v>
      </c>
      <c r="D8" s="56" t="n">
        <v>0.00607</v>
      </c>
      <c r="E8" s="56" t="n">
        <v>1E-005</v>
      </c>
      <c r="F8" s="55" t="n">
        <f aca="false">A8/C8</f>
        <v>6.82608695652174</v>
      </c>
      <c r="G8" s="55"/>
      <c r="H8" s="55" t="n">
        <f aca="false">F8/0.4911</f>
        <v>13.8995865536993</v>
      </c>
      <c r="I8" s="10" t="n">
        <f aca="true">FORECAST(H8,OFFSET($AD$1:$AD$35,MATCH(H8,$AC$1:$AC$35,1)-1,0,2),OFFSET($AC$1:$AC$35,MATCH(H8,$AC$1:$AC$35,1)-1,0,2))</f>
        <v>2332.68703373307</v>
      </c>
      <c r="J8" s="55"/>
      <c r="AC8" s="1" t="n">
        <v>4.154845</v>
      </c>
      <c r="AD8" s="1" t="n">
        <v>900</v>
      </c>
    </row>
    <row r="9" customFormat="false" ht="15" hidden="false" customHeight="false" outlineLevel="0" collapsed="false">
      <c r="A9" s="55" t="n">
        <v>9.95</v>
      </c>
      <c r="B9" s="55"/>
      <c r="C9" s="55" t="n">
        <v>1.53</v>
      </c>
      <c r="D9" s="56" t="n">
        <v>0.00516</v>
      </c>
      <c r="E9" s="56" t="n">
        <v>1E-005</v>
      </c>
      <c r="F9" s="55" t="n">
        <f aca="false">A9/C9</f>
        <v>6.50326797385621</v>
      </c>
      <c r="G9" s="55"/>
      <c r="H9" s="55" t="n">
        <f aca="false">F9/0.4911</f>
        <v>13.2422479614258</v>
      </c>
      <c r="I9" s="10" t="n">
        <f aca="true">FORECAST(H9,OFFSET($AD$1:$AD$35,MATCH(H9,$AC$1:$AC$35,1)-1,0,2),OFFSET($AC$1:$AC$35,MATCH(H9,$AC$1:$AC$35,1)-1,0,2))</f>
        <v>2250.63003749317</v>
      </c>
      <c r="J9" s="55"/>
      <c r="AC9" s="1" t="n">
        <v>4.724503</v>
      </c>
      <c r="AD9" s="1" t="n">
        <v>1000</v>
      </c>
    </row>
    <row r="10" customFormat="false" ht="15" hidden="false" customHeight="false" outlineLevel="0" collapsed="false">
      <c r="A10" s="55" t="n">
        <v>9</v>
      </c>
      <c r="B10" s="55"/>
      <c r="C10" s="55" t="n">
        <v>1.46</v>
      </c>
      <c r="D10" s="56" t="n">
        <v>0.00435</v>
      </c>
      <c r="E10" s="56" t="n">
        <v>1E-005</v>
      </c>
      <c r="F10" s="55" t="n">
        <f aca="false">A10/C10</f>
        <v>6.16438356164384</v>
      </c>
      <c r="G10" s="55"/>
      <c r="H10" s="55" t="n">
        <f aca="false">F10/0.4911</f>
        <v>12.5521962159312</v>
      </c>
      <c r="I10" s="10" t="n">
        <f aca="true">FORECAST(H10,OFFSET($AD$1:$AD$35,MATCH(H10,$AC$1:$AC$35,1)-1,0,2),OFFSET($AC$1:$AC$35,MATCH(H10,$AC$1:$AC$35,1)-1,0,2))</f>
        <v>2162.73916282507</v>
      </c>
      <c r="J10" s="55"/>
      <c r="AC10" s="1" t="n">
        <v>5.309336</v>
      </c>
      <c r="AD10" s="1" t="n">
        <v>1100</v>
      </c>
    </row>
    <row r="11" customFormat="false" ht="15" hidden="false" customHeight="false" outlineLevel="0" collapsed="false">
      <c r="A11" s="55" t="n">
        <v>7.99</v>
      </c>
      <c r="B11" s="55"/>
      <c r="C11" s="55" t="n">
        <v>1.37</v>
      </c>
      <c r="D11" s="56" t="n">
        <v>0.00355</v>
      </c>
      <c r="E11" s="56" t="n">
        <v>1E-005</v>
      </c>
      <c r="F11" s="55" t="n">
        <f aca="false">A11/C11</f>
        <v>5.83211678832117</v>
      </c>
      <c r="G11" s="55"/>
      <c r="H11" s="55" t="n">
        <f aca="false">F11/0.4911</f>
        <v>11.8756196056224</v>
      </c>
      <c r="I11" s="10" t="n">
        <f aca="true">FORECAST(H11,OFFSET($AD$1:$AD$35,MATCH(H11,$AC$1:$AC$35,1)-1,0,2),OFFSET($AC$1:$AC$35,MATCH(H11,$AC$1:$AC$35,1)-1,0,2))</f>
        <v>2074.71391567647</v>
      </c>
      <c r="J11" s="55"/>
      <c r="AC11" s="1" t="n">
        <v>5.909679</v>
      </c>
      <c r="AD11" s="1" t="n">
        <v>1200</v>
      </c>
    </row>
    <row r="12" customFormat="false" ht="15" hidden="false" customHeight="false" outlineLevel="0" collapsed="false">
      <c r="A12" s="55" t="n">
        <v>7.02</v>
      </c>
      <c r="B12" s="55"/>
      <c r="C12" s="55" t="n">
        <v>1.28</v>
      </c>
      <c r="D12" s="56" t="n">
        <v>0.00286</v>
      </c>
      <c r="E12" s="56" t="n">
        <v>1E-005</v>
      </c>
      <c r="F12" s="55" t="n">
        <f aca="false">A12/C12</f>
        <v>5.484375</v>
      </c>
      <c r="G12" s="55"/>
      <c r="H12" s="55" t="n">
        <f aca="false">F12/0.4911</f>
        <v>11.1675320708613</v>
      </c>
      <c r="I12" s="10" t="n">
        <f aca="true">FORECAST(H12,OFFSET($AD$1:$AD$35,MATCH(H12,$AC$1:$AC$35,1)-1,0,2),OFFSET($AC$1:$AC$35,MATCH(H12,$AC$1:$AC$35,1)-1,0,2))</f>
        <v>1980.46755689731</v>
      </c>
      <c r="J12" s="55"/>
      <c r="AC12" s="1" t="n">
        <v>6.525873</v>
      </c>
      <c r="AD12" s="1" t="n">
        <v>1300</v>
      </c>
    </row>
    <row r="13" customFormat="false" ht="15" hidden="false" customHeight="false" outlineLevel="0" collapsed="false">
      <c r="A13" s="55" t="n">
        <v>5.99</v>
      </c>
      <c r="B13" s="55"/>
      <c r="C13" s="55" t="n">
        <v>1.18</v>
      </c>
      <c r="D13" s="56" t="n">
        <v>0.00216</v>
      </c>
      <c r="E13" s="56" t="n">
        <v>1E-005</v>
      </c>
      <c r="F13" s="55" t="n">
        <f aca="false">A13/C13</f>
        <v>5.07627118644068</v>
      </c>
      <c r="G13" s="55"/>
      <c r="H13" s="55" t="n">
        <f aca="false">F13/0.4911</f>
        <v>10.3365326541248</v>
      </c>
      <c r="I13" s="10" t="n">
        <f aca="true">FORECAST(H13,OFFSET($AD$1:$AD$35,MATCH(H13,$AC$1:$AC$35,1)-1,0,2),OFFSET($AC$1:$AC$35,MATCH(H13,$AC$1:$AC$35,1)-1,0,2))</f>
        <v>1866.83291746415</v>
      </c>
      <c r="J13" s="55"/>
      <c r="AC13" s="1" t="n">
        <v>7.158254</v>
      </c>
      <c r="AD13" s="1" t="n">
        <v>1400</v>
      </c>
    </row>
    <row r="14" customFormat="false" ht="15" hidden="false" customHeight="false" outlineLevel="0" collapsed="false">
      <c r="A14" s="55" t="n">
        <v>5.02</v>
      </c>
      <c r="B14" s="55"/>
      <c r="C14" s="55" t="n">
        <v>1.08</v>
      </c>
      <c r="D14" s="56" t="n">
        <v>0.00156</v>
      </c>
      <c r="E14" s="56" t="n">
        <v>1E-005</v>
      </c>
      <c r="F14" s="55" t="n">
        <f aca="false">A14/C14</f>
        <v>4.64814814814815</v>
      </c>
      <c r="G14" s="55"/>
      <c r="H14" s="55" t="n">
        <f aca="false">F14/0.4911</f>
        <v>9.46476918783984</v>
      </c>
      <c r="I14" s="10" t="n">
        <f aca="true">FORECAST(H14,OFFSET($AD$1:$AD$35,MATCH(H14,$AC$1:$AC$35,1)-1,0,2),OFFSET($AC$1:$AC$35,MATCH(H14,$AC$1:$AC$35,1)-1,0,2))</f>
        <v>1744.09141153242</v>
      </c>
      <c r="J14" s="55"/>
      <c r="AC14" s="1" t="n">
        <v>7.807161</v>
      </c>
      <c r="AD14" s="1" t="n">
        <v>1500</v>
      </c>
    </row>
    <row r="15" customFormat="false" ht="15" hidden="false" customHeight="false" outlineLevel="0" collapsed="false">
      <c r="A15" s="55" t="n">
        <v>3.995</v>
      </c>
      <c r="B15" s="55"/>
      <c r="C15" s="55" t="n">
        <v>0.97</v>
      </c>
      <c r="D15" s="56" t="n">
        <v>0.00103</v>
      </c>
      <c r="E15" s="56" t="n">
        <v>1E-005</v>
      </c>
      <c r="F15" s="55" t="n">
        <f aca="false">A15/C15</f>
        <v>4.11855670103093</v>
      </c>
      <c r="G15" s="55"/>
      <c r="H15" s="55" t="n">
        <f aca="false">F15/0.4911</f>
        <v>8.38639116479521</v>
      </c>
      <c r="I15" s="10" t="n">
        <f aca="true">FORECAST(H15,OFFSET($AD$1:$AD$35,MATCH(H15,$AC$1:$AC$35,1)-1,0,2),OFFSET($AC$1:$AC$35,MATCH(H15,$AC$1:$AC$35,1)-1,0,2))</f>
        <v>1587.00141111511</v>
      </c>
      <c r="J15" s="55"/>
      <c r="AC15" s="1" t="n">
        <v>8.472932</v>
      </c>
      <c r="AD15" s="1" t="n">
        <v>1600</v>
      </c>
    </row>
    <row r="16" customFormat="false" ht="15" hidden="false" customHeight="false" outlineLevel="0" collapsed="false">
      <c r="A16" s="55" t="n">
        <v>2.987</v>
      </c>
      <c r="B16" s="55"/>
      <c r="C16" s="55" t="n">
        <v>0.85</v>
      </c>
      <c r="D16" s="56" t="n">
        <v>0.00057</v>
      </c>
      <c r="E16" s="56" t="n">
        <v>1E-005</v>
      </c>
      <c r="F16" s="55" t="n">
        <f aca="false">A16/C16</f>
        <v>3.51411764705882</v>
      </c>
      <c r="G16" s="55"/>
      <c r="H16" s="55" t="n">
        <f aca="false">F16/0.4911</f>
        <v>7.1556050642615</v>
      </c>
      <c r="I16" s="10" t="n">
        <f aca="true">FORECAST(H16,OFFSET($AD$1:$AD$35,MATCH(H16,$AC$1:$AC$35,1)-1,0,2),OFFSET($AC$1:$AC$35,MATCH(H16,$AC$1:$AC$35,1)-1,0,2))</f>
        <v>1399.58111712109</v>
      </c>
      <c r="J16" s="55"/>
      <c r="AC16" s="1" t="n">
        <v>9.155904</v>
      </c>
      <c r="AD16" s="1" t="n">
        <v>1700</v>
      </c>
    </row>
    <row r="17" customFormat="false" ht="15" hidden="false" customHeight="false" outlineLevel="0" collapsed="false">
      <c r="AC17" s="1" t="n">
        <v>9.856415</v>
      </c>
      <c r="AD17" s="1" t="n">
        <v>1800</v>
      </c>
    </row>
    <row r="18" customFormat="false" ht="15" hidden="false" customHeight="false" outlineLevel="0" collapsed="false">
      <c r="B18" s="0" t="n">
        <f aca="false">LOG(I7)</f>
        <v>3.37993751117708</v>
      </c>
      <c r="C18" s="0" t="n">
        <f aca="false">LOG(D7)</f>
        <v>-2.1605219526258</v>
      </c>
      <c r="D18" s="0" t="n">
        <f aca="false">E7/D7</f>
        <v>0.00144717800289436</v>
      </c>
      <c r="F18" s="55"/>
      <c r="AC18" s="1" t="n">
        <v>10.5748</v>
      </c>
      <c r="AD18" s="1" t="n">
        <v>1900</v>
      </c>
    </row>
    <row r="19" customFormat="false" ht="15" hidden="false" customHeight="false" outlineLevel="0" collapsed="false">
      <c r="B19" s="0" t="n">
        <f aca="false">LOG(I8)</f>
        <v>3.36785647533889</v>
      </c>
      <c r="C19" s="0" t="n">
        <f aca="false">LOG(D8)</f>
        <v>-2.21681130892474</v>
      </c>
      <c r="D19" s="0" t="n">
        <f aca="false">E8/D8</f>
        <v>0.00164744645799012</v>
      </c>
      <c r="AC19" s="1" t="n">
        <v>11.31141</v>
      </c>
      <c r="AD19" s="1" t="n">
        <v>2000</v>
      </c>
    </row>
    <row r="20" customFormat="false" ht="15" hidden="false" customHeight="false" outlineLevel="0" collapsed="false">
      <c r="B20" s="0" t="n">
        <f aca="false">LOG(I9)</f>
        <v>3.35230411078003</v>
      </c>
      <c r="C20" s="0" t="n">
        <f aca="false">LOG(D9)</f>
        <v>-2.28735029837279</v>
      </c>
      <c r="D20" s="0" t="n">
        <f aca="false">E9/D9</f>
        <v>0.00193798449612403</v>
      </c>
      <c r="AC20" s="1" t="n">
        <v>12.06657</v>
      </c>
      <c r="AD20" s="1" t="n">
        <v>2100</v>
      </c>
    </row>
    <row r="21" customFormat="false" ht="15" hidden="false" customHeight="false" outlineLevel="0" collapsed="false">
      <c r="B21" s="0" t="n">
        <f aca="false">LOG(I10)</f>
        <v>3.33500414450772</v>
      </c>
      <c r="C21" s="0" t="n">
        <f aca="false">LOG(D10)</f>
        <v>-2.36151074304536</v>
      </c>
      <c r="D21" s="0" t="n">
        <f aca="false">E10/D10</f>
        <v>0.00229885057471264</v>
      </c>
      <c r="AC21" s="1" t="n">
        <v>12.84061</v>
      </c>
      <c r="AD21" s="1" t="n">
        <v>2200</v>
      </c>
    </row>
    <row r="22" customFormat="false" ht="15" hidden="false" customHeight="false" outlineLevel="0" collapsed="false">
      <c r="B22" s="0" t="n">
        <f aca="false">LOG(I11)</f>
        <v>3.31695821988725</v>
      </c>
      <c r="C22" s="0" t="n">
        <f aca="false">LOG(D11)</f>
        <v>-2.44977164694491</v>
      </c>
      <c r="D22" s="0" t="n">
        <f aca="false">E11/D11</f>
        <v>0.0028169014084507</v>
      </c>
      <c r="AC22" s="1" t="n">
        <v>13.63389</v>
      </c>
      <c r="AD22" s="1" t="n">
        <v>2300</v>
      </c>
    </row>
    <row r="23" customFormat="false" ht="15" hidden="false" customHeight="false" outlineLevel="0" collapsed="false">
      <c r="B23" s="0" t="n">
        <f aca="false">LOG(I12)</f>
        <v>3.29676773238743</v>
      </c>
      <c r="C23" s="0" t="n">
        <f aca="false">LOG(D12)</f>
        <v>-2.54363396687096</v>
      </c>
      <c r="D23" s="0" t="n">
        <f aca="false">E12/D12</f>
        <v>0.0034965034965035</v>
      </c>
      <c r="AC23" s="1" t="n">
        <v>14.44674</v>
      </c>
      <c r="AD23" s="1" t="n">
        <v>2400</v>
      </c>
    </row>
    <row r="24" customFormat="false" ht="15" hidden="false" customHeight="false" outlineLevel="0" collapsed="false">
      <c r="B24" s="0" t="n">
        <f aca="false">LOG(I13)</f>
        <v>3.27110545010202</v>
      </c>
      <c r="C24" s="0" t="n">
        <f aca="false">LOG(D13)</f>
        <v>-2.66554624884907</v>
      </c>
      <c r="D24" s="0" t="n">
        <f aca="false">E13/D13</f>
        <v>0.00462962962962963</v>
      </c>
      <c r="AC24" s="1" t="n">
        <v>15.27949</v>
      </c>
      <c r="AD24" s="1" t="n">
        <v>2500</v>
      </c>
    </row>
    <row r="25" customFormat="false" ht="15" hidden="false" customHeight="false" outlineLevel="0" collapsed="false">
      <c r="B25" s="0" t="n">
        <f aca="false">LOG(I14)</f>
        <v>3.24156924348859</v>
      </c>
      <c r="C25" s="0" t="n">
        <f aca="false">LOG(D14)</f>
        <v>-2.80687540164554</v>
      </c>
      <c r="D25" s="0" t="n">
        <f aca="false">E14/D14</f>
        <v>0.00641025641025641</v>
      </c>
      <c r="AC25" s="1" t="n">
        <v>16.13248</v>
      </c>
      <c r="AD25" s="1" t="n">
        <v>2600</v>
      </c>
    </row>
    <row r="26" customFormat="false" ht="15" hidden="false" customHeight="false" outlineLevel="0" collapsed="false">
      <c r="B26" s="0" t="n">
        <f aca="false">LOG(I15)</f>
        <v>3.20057731291694</v>
      </c>
      <c r="C26" s="0" t="n">
        <f aca="false">LOG(D15)</f>
        <v>-2.98716277529483</v>
      </c>
      <c r="D26" s="0" t="n">
        <f aca="false">E15/D15</f>
        <v>0.00970873786407767</v>
      </c>
      <c r="AC26" s="1" t="n">
        <v>17.00605</v>
      </c>
      <c r="AD26" s="1" t="n">
        <v>2700</v>
      </c>
    </row>
    <row r="27" customFormat="false" ht="15" hidden="false" customHeight="false" outlineLevel="0" collapsed="false">
      <c r="B27" s="0" t="n">
        <f aca="false">LOG(I16)</f>
        <v>3.14599807443288</v>
      </c>
      <c r="C27" s="0" t="n">
        <f aca="false">LOG(D16)</f>
        <v>-3.24412514432751</v>
      </c>
      <c r="D27" s="0" t="n">
        <f aca="false">E16/D16</f>
        <v>0.0175438596491228</v>
      </c>
      <c r="AC27" s="1" t="n">
        <v>17.90054</v>
      </c>
      <c r="AD27" s="1" t="n">
        <v>2800</v>
      </c>
    </row>
    <row r="28" customFormat="false" ht="15" hidden="false" customHeight="false" outlineLevel="0" collapsed="false">
      <c r="AC28" s="1" t="n">
        <v>18.81629</v>
      </c>
      <c r="AD28" s="1" t="n">
        <v>2900</v>
      </c>
    </row>
    <row r="29" customFormat="false" ht="15" hidden="false" customHeight="false" outlineLevel="0" collapsed="false">
      <c r="AC29" s="1" t="n">
        <v>19.75363</v>
      </c>
      <c r="AD29" s="1" t="n">
        <v>3000</v>
      </c>
    </row>
    <row r="30" customFormat="false" ht="15" hidden="false" customHeight="false" outlineLevel="0" collapsed="false">
      <c r="AC30" s="1" t="n">
        <v>20.71291</v>
      </c>
      <c r="AD30" s="1" t="n">
        <v>3100</v>
      </c>
    </row>
    <row r="31" customFormat="false" ht="15" hidden="false" customHeight="false" outlineLevel="0" collapsed="false">
      <c r="AC31" s="1" t="n">
        <v>21.69445</v>
      </c>
      <c r="AD31" s="1" t="n">
        <v>3200</v>
      </c>
    </row>
    <row r="32" customFormat="false" ht="15" hidden="false" customHeight="false" outlineLevel="0" collapsed="false">
      <c r="AC32" s="1" t="n">
        <v>22.69861</v>
      </c>
      <c r="AD32" s="1" t="n">
        <v>3300</v>
      </c>
    </row>
    <row r="33" customFormat="false" ht="15" hidden="false" customHeight="false" outlineLevel="0" collapsed="false">
      <c r="AC33" s="1" t="n">
        <v>23.72571</v>
      </c>
      <c r="AD33" s="1" t="n">
        <v>3400</v>
      </c>
    </row>
    <row r="34" customFormat="false" ht="15" hidden="false" customHeight="false" outlineLevel="0" collapsed="false">
      <c r="AC34" s="1" t="n">
        <v>24.77609</v>
      </c>
      <c r="AD34" s="1" t="n">
        <v>3500</v>
      </c>
    </row>
    <row r="35" customFormat="false" ht="15" hidden="false" customHeight="false" outlineLevel="0" collapsed="false">
      <c r="AC35" s="1" t="n">
        <v>25.8501</v>
      </c>
      <c r="AD35" s="1" t="n">
        <v>3600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J10" activeCellId="1" sqref="I7:I16 J10"/>
    </sheetView>
  </sheetViews>
  <sheetFormatPr defaultRowHeight="15"/>
  <cols>
    <col collapsed="false" hidden="false" max="3" min="1" style="0" width="10.5296296296296"/>
    <col collapsed="false" hidden="false" max="4" min="4" style="0" width="11.162962962963"/>
    <col collapsed="false" hidden="false" max="1025" min="5" style="0" width="10.5296296296296"/>
  </cols>
  <sheetData>
    <row r="1" customFormat="false" ht="15" hidden="false" customHeight="false" outlineLevel="0" collapsed="false">
      <c r="A1" s="49" t="s">
        <v>24</v>
      </c>
      <c r="B1" s="50" t="n">
        <v>6.62606957E-034</v>
      </c>
      <c r="C1" s="49" t="s">
        <v>25</v>
      </c>
      <c r="D1" s="51" t="n">
        <v>2998792458</v>
      </c>
      <c r="E1" s="49" t="s">
        <v>26</v>
      </c>
      <c r="F1" s="50" t="n">
        <v>1.3806488E-023</v>
      </c>
      <c r="L1" s="0" t="s">
        <v>50</v>
      </c>
    </row>
    <row r="2" customFormat="false" ht="15" hidden="false" customHeight="false" outlineLevel="0" collapsed="false">
      <c r="B2" s="0" t="s">
        <v>51</v>
      </c>
      <c r="L2" s="0" t="n">
        <f aca="false">27+273.15</f>
        <v>300.15</v>
      </c>
    </row>
    <row r="3" customFormat="false" ht="15" hidden="false" customHeight="false" outlineLevel="0" collapsed="false">
      <c r="A3" s="52" t="s">
        <v>17</v>
      </c>
      <c r="B3" s="52" t="s">
        <v>52</v>
      </c>
      <c r="C3" s="52" t="s">
        <v>53</v>
      </c>
      <c r="D3" s="52" t="s">
        <v>54</v>
      </c>
      <c r="E3" s="52" t="s">
        <v>55</v>
      </c>
      <c r="J3" s="0" t="s">
        <v>56</v>
      </c>
    </row>
    <row r="4" customFormat="false" ht="15" hidden="false" customHeight="false" outlineLevel="0" collapsed="false">
      <c r="A4" s="57" t="n">
        <v>90</v>
      </c>
      <c r="B4" s="57" t="s">
        <v>57</v>
      </c>
      <c r="C4" s="57" t="s">
        <v>58</v>
      </c>
      <c r="D4" s="57" t="s">
        <v>59</v>
      </c>
      <c r="E4" s="57" t="s">
        <v>60</v>
      </c>
      <c r="F4" s="57" t="s">
        <v>61</v>
      </c>
      <c r="I4" s="0" t="s">
        <v>62</v>
      </c>
      <c r="J4" s="0" t="s">
        <v>63</v>
      </c>
      <c r="K4" s="0" t="s">
        <v>64</v>
      </c>
      <c r="L4" s="0" t="s">
        <v>65</v>
      </c>
    </row>
    <row r="5" customFormat="false" ht="15" hidden="false" customHeight="false" outlineLevel="0" collapsed="false">
      <c r="A5" s="57" t="n">
        <v>69</v>
      </c>
      <c r="B5" s="57" t="s">
        <v>66</v>
      </c>
      <c r="C5" s="57" t="s">
        <v>67</v>
      </c>
      <c r="D5" s="57" t="s">
        <v>68</v>
      </c>
      <c r="E5" s="57" t="n">
        <v>1.82</v>
      </c>
      <c r="F5" s="57" t="s">
        <v>69</v>
      </c>
      <c r="I5" s="0" t="s">
        <v>70</v>
      </c>
      <c r="J5" s="0" t="n">
        <f aca="false">0.00023</f>
        <v>0.00023</v>
      </c>
      <c r="K5" s="0" t="n">
        <f aca="false">41+273.15</f>
        <v>314.15</v>
      </c>
      <c r="L5" s="0" t="n">
        <f aca="false">LOG(K5)</f>
        <v>2.49713706405196</v>
      </c>
    </row>
    <row r="6" customFormat="false" ht="15" hidden="false" customHeight="false" outlineLevel="0" collapsed="false">
      <c r="A6" s="58"/>
      <c r="B6" s="58"/>
      <c r="C6" s="58"/>
      <c r="D6" s="58"/>
      <c r="E6" s="58"/>
      <c r="I6" s="0" t="s">
        <v>71</v>
      </c>
      <c r="J6" s="0" t="n">
        <f aca="false">0.00036</f>
        <v>0.00036</v>
      </c>
      <c r="K6" s="0" t="n">
        <f aca="false">49+273.15</f>
        <v>322.15</v>
      </c>
      <c r="L6" s="0" t="n">
        <f aca="false">LOG(K6)</f>
        <v>2.50805813568236</v>
      </c>
    </row>
    <row r="7" customFormat="false" ht="15" hidden="false" customHeight="false" outlineLevel="0" collapsed="false">
      <c r="G7" s="0" t="s">
        <v>72</v>
      </c>
      <c r="I7" s="0" t="s">
        <v>73</v>
      </c>
      <c r="J7" s="0" t="n">
        <f aca="false">0.0004</f>
        <v>0.0004</v>
      </c>
      <c r="K7" s="0" t="n">
        <f aca="false">273.15+56</f>
        <v>329.15</v>
      </c>
      <c r="L7" s="0" t="n">
        <f aca="false">LOG(K7)</f>
        <v>2.5173938594281</v>
      </c>
    </row>
    <row r="8" customFormat="false" ht="15" hidden="false" customHeight="false" outlineLevel="0" collapsed="false">
      <c r="I8" s="0" t="s">
        <v>74</v>
      </c>
      <c r="J8" s="0" t="n">
        <f aca="false">0.0005</f>
        <v>0.0005</v>
      </c>
      <c r="K8" s="0" t="n">
        <f aca="false">273.15+63</f>
        <v>336.15</v>
      </c>
      <c r="L8" s="0" t="n">
        <f aca="false">LOG(K8)</f>
        <v>2.52653311559074</v>
      </c>
    </row>
    <row r="9" customFormat="false" ht="15" hidden="false" customHeight="false" outlineLevel="0" collapsed="false">
      <c r="I9" s="0" t="s">
        <v>75</v>
      </c>
      <c r="J9" s="0" t="n">
        <f aca="false">0.00043</f>
        <v>0.00043</v>
      </c>
      <c r="K9" s="0" t="n">
        <f aca="false">273.15+72</f>
        <v>345.15</v>
      </c>
      <c r="L9" s="0" t="n">
        <f aca="false">LOG(K9)</f>
        <v>2.53800787772432</v>
      </c>
    </row>
    <row r="10" customFormat="false" ht="15" hidden="false" customHeight="false" outlineLevel="0" collapsed="false">
      <c r="A10" s="0" t="n">
        <f aca="false">273.15+69</f>
        <v>342.15</v>
      </c>
      <c r="I10" s="0" t="s">
        <v>76</v>
      </c>
      <c r="J10" s="0" t="n">
        <f aca="false">0.00038</f>
        <v>0.00038</v>
      </c>
      <c r="K10" s="0" t="n">
        <f aca="false">273.15+77</f>
        <v>350.15</v>
      </c>
      <c r="L10" s="0" t="n">
        <f aca="false">LOG(K10)</f>
        <v>2.54425413068401</v>
      </c>
    </row>
    <row r="11" customFormat="false" ht="15" hidden="false" customHeight="false" outlineLevel="0" collapsed="false">
      <c r="I11" s="0" t="s">
        <v>77</v>
      </c>
      <c r="J11" s="0" t="n">
        <f aca="false">0.00034</f>
        <v>0.00034</v>
      </c>
      <c r="K11" s="0" t="n">
        <f aca="false">273.15+85</f>
        <v>358.15</v>
      </c>
      <c r="L11" s="0" t="n">
        <f aca="false">LOG(K11)</f>
        <v>2.55406495549464</v>
      </c>
    </row>
    <row r="13" customFormat="false" ht="15" hidden="false" customHeight="false" outlineLevel="0" collapsed="false">
      <c r="J13" s="0" t="n">
        <f aca="false">41+273.15</f>
        <v>314.15</v>
      </c>
      <c r="K13" s="0" t="n">
        <f aca="false">0.00023</f>
        <v>0.00023</v>
      </c>
    </row>
    <row r="14" customFormat="false" ht="15" hidden="false" customHeight="false" outlineLevel="0" collapsed="false">
      <c r="J14" s="0" t="n">
        <f aca="false">49+273.15</f>
        <v>322.15</v>
      </c>
      <c r="K14" s="0" t="n">
        <f aca="false">0.00036</f>
        <v>0.00036</v>
      </c>
    </row>
    <row r="15" customFormat="false" ht="15" hidden="false" customHeight="false" outlineLevel="0" collapsed="false">
      <c r="J15" s="0" t="n">
        <f aca="false">273.15+56</f>
        <v>329.15</v>
      </c>
      <c r="K15" s="0" t="n">
        <f aca="false">0.0004</f>
        <v>0.0004</v>
      </c>
    </row>
    <row r="16" customFormat="false" ht="15" hidden="false" customHeight="false" outlineLevel="0" collapsed="false">
      <c r="J16" s="0" t="n">
        <f aca="false">273.15+63</f>
        <v>336.15</v>
      </c>
      <c r="K16" s="0" t="n">
        <f aca="false">0.0005</f>
        <v>0.0005</v>
      </c>
    </row>
    <row r="17" customFormat="false" ht="15" hidden="false" customHeight="false" outlineLevel="0" collapsed="false">
      <c r="J17" s="0" t="n">
        <f aca="false">273.15+72</f>
        <v>345.15</v>
      </c>
      <c r="K17" s="0" t="n">
        <f aca="false">0.00043</f>
        <v>0.00043</v>
      </c>
    </row>
    <row r="18" customFormat="false" ht="15" hidden="false" customHeight="false" outlineLevel="0" collapsed="false">
      <c r="J18" s="0" t="n">
        <f aca="false">273.15+77</f>
        <v>350.15</v>
      </c>
      <c r="K18" s="0" t="n">
        <f aca="false">0.00038</f>
        <v>0.00038</v>
      </c>
    </row>
    <row r="19" customFormat="false" ht="15" hidden="false" customHeight="false" outlineLevel="0" collapsed="false">
      <c r="J19" s="0" t="n">
        <f aca="false">273.15+85</f>
        <v>358.15</v>
      </c>
      <c r="K19" s="0" t="n">
        <f aca="false">0.00034</f>
        <v>0.00034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1" sqref="I7:I16 B1"/>
    </sheetView>
  </sheetViews>
  <sheetFormatPr defaultRowHeight="15"/>
  <cols>
    <col collapsed="false" hidden="false" max="1025" min="1" style="0" width="10.5296296296296"/>
  </cols>
  <sheetData>
    <row r="1" customFormat="false" ht="16" hidden="false" customHeight="false" outlineLevel="0" collapsed="false">
      <c r="A1" s="0" t="n">
        <v>1.6242</v>
      </c>
      <c r="B1" s="0" t="n">
        <v>515.1</v>
      </c>
      <c r="D1" s="59" t="e">
        <f aca="false">LINEST(B1:B200,A1:A200^{1;2;3;4;5;6})</f>
        <v>#VALUE!</v>
      </c>
    </row>
    <row r="2" customFormat="false" ht="15" hidden="false" customHeight="false" outlineLevel="0" collapsed="false">
      <c r="A2" s="0" t="n">
        <v>1.6239</v>
      </c>
      <c r="B2" s="0" t="n">
        <v>517.1</v>
      </c>
    </row>
    <row r="3" customFormat="false" ht="15" hidden="false" customHeight="false" outlineLevel="0" collapsed="false">
      <c r="A3" s="0" t="n">
        <v>1.6237</v>
      </c>
      <c r="B3" s="0" t="n">
        <v>519.2</v>
      </c>
    </row>
    <row r="4" customFormat="false" ht="15" hidden="false" customHeight="false" outlineLevel="0" collapsed="false">
      <c r="A4" s="0" t="n">
        <v>1.6235</v>
      </c>
      <c r="B4" s="0" t="n">
        <v>521.2</v>
      </c>
      <c r="F4" s="0" t="s">
        <v>2</v>
      </c>
    </row>
    <row r="5" customFormat="false" ht="15" hidden="false" customHeight="false" outlineLevel="0" collapsed="false">
      <c r="A5" s="0" t="n">
        <v>1.6232</v>
      </c>
      <c r="B5" s="0" t="n">
        <v>523.3</v>
      </c>
    </row>
    <row r="6" customFormat="false" ht="15" hidden="false" customHeight="false" outlineLevel="0" collapsed="false">
      <c r="A6" s="0" t="n">
        <v>1.623</v>
      </c>
      <c r="B6" s="0" t="n">
        <v>525.3</v>
      </c>
    </row>
    <row r="7" customFormat="false" ht="15" hidden="false" customHeight="false" outlineLevel="0" collapsed="false">
      <c r="A7" s="0" t="n">
        <v>1.6228</v>
      </c>
      <c r="B7" s="0" t="n">
        <v>527.4</v>
      </c>
    </row>
    <row r="8" customFormat="false" ht="15" hidden="false" customHeight="false" outlineLevel="0" collapsed="false">
      <c r="A8" s="0" t="n">
        <v>1.6225</v>
      </c>
      <c r="B8" s="0" t="n">
        <v>529.5</v>
      </c>
    </row>
    <row r="9" customFormat="false" ht="15" hidden="false" customHeight="false" outlineLevel="0" collapsed="false">
      <c r="A9" s="0" t="n">
        <v>1.6223</v>
      </c>
      <c r="B9" s="0" t="n">
        <v>531.6</v>
      </c>
    </row>
    <row r="10" customFormat="false" ht="15" hidden="false" customHeight="false" outlineLevel="0" collapsed="false">
      <c r="A10" s="0" t="n">
        <v>1.6221</v>
      </c>
      <c r="B10" s="0" t="n">
        <v>533.8</v>
      </c>
    </row>
    <row r="11" customFormat="false" ht="15" hidden="false" customHeight="false" outlineLevel="0" collapsed="false">
      <c r="A11" s="0" t="n">
        <v>1.6218</v>
      </c>
      <c r="B11" s="0" t="n">
        <v>535.9</v>
      </c>
    </row>
    <row r="12" customFormat="false" ht="15" hidden="false" customHeight="false" outlineLevel="0" collapsed="false">
      <c r="A12" s="0" t="n">
        <v>1.6216</v>
      </c>
      <c r="B12" s="0" t="n">
        <v>538.1</v>
      </c>
    </row>
    <row r="13" customFormat="false" ht="15" hidden="false" customHeight="false" outlineLevel="0" collapsed="false">
      <c r="A13" s="0" t="n">
        <v>1.6213</v>
      </c>
      <c r="B13" s="0" t="n">
        <v>540.3</v>
      </c>
    </row>
    <row r="14" customFormat="false" ht="15" hidden="false" customHeight="false" outlineLevel="0" collapsed="false">
      <c r="A14" s="0" t="n">
        <v>1.6211</v>
      </c>
      <c r="B14" s="0" t="n">
        <v>542.5</v>
      </c>
    </row>
    <row r="15" customFormat="false" ht="15" hidden="false" customHeight="false" outlineLevel="0" collapsed="false">
      <c r="A15" s="0" t="n">
        <v>1.6209</v>
      </c>
      <c r="B15" s="0" t="n">
        <v>544.7</v>
      </c>
    </row>
    <row r="16" customFormat="false" ht="15" hidden="false" customHeight="false" outlineLevel="0" collapsed="false">
      <c r="A16" s="0" t="n">
        <v>1.6206</v>
      </c>
      <c r="B16" s="0" t="n">
        <v>546.9</v>
      </c>
    </row>
    <row r="17" customFormat="false" ht="15" hidden="false" customHeight="false" outlineLevel="0" collapsed="false">
      <c r="A17" s="0" t="n">
        <v>1.6204</v>
      </c>
      <c r="B17" s="0" t="n">
        <v>549.2</v>
      </c>
    </row>
    <row r="18" customFormat="false" ht="15" hidden="false" customHeight="false" outlineLevel="0" collapsed="false">
      <c r="A18" s="0" t="n">
        <v>1.6202</v>
      </c>
      <c r="B18" s="0" t="n">
        <v>551.4</v>
      </c>
    </row>
    <row r="19" customFormat="false" ht="15" hidden="false" customHeight="false" outlineLevel="0" collapsed="false">
      <c r="A19" s="0" t="n">
        <v>1.6199</v>
      </c>
      <c r="B19" s="0" t="n">
        <v>553.7</v>
      </c>
    </row>
    <row r="20" customFormat="false" ht="15" hidden="false" customHeight="false" outlineLevel="0" collapsed="false">
      <c r="A20" s="0" t="n">
        <v>1.6197</v>
      </c>
      <c r="B20" s="0" t="n">
        <v>556.1</v>
      </c>
    </row>
    <row r="21" customFormat="false" ht="15" hidden="false" customHeight="false" outlineLevel="0" collapsed="false">
      <c r="A21" s="0" t="n">
        <v>1.6195</v>
      </c>
      <c r="B21" s="0" t="n">
        <v>558.4</v>
      </c>
    </row>
    <row r="22" customFormat="false" ht="15" hidden="false" customHeight="false" outlineLevel="0" collapsed="false">
      <c r="A22" s="0" t="n">
        <v>1.6192</v>
      </c>
      <c r="B22" s="0" t="n">
        <v>560.8</v>
      </c>
    </row>
    <row r="23" customFormat="false" ht="15" hidden="false" customHeight="false" outlineLevel="0" collapsed="false">
      <c r="A23" s="0" t="n">
        <v>1.619</v>
      </c>
      <c r="B23" s="0" t="n">
        <v>563.2</v>
      </c>
    </row>
    <row r="24" customFormat="false" ht="15" hidden="false" customHeight="false" outlineLevel="0" collapsed="false">
      <c r="A24" s="0" t="n">
        <v>1.6187</v>
      </c>
      <c r="B24" s="0" t="n">
        <v>565.6</v>
      </c>
    </row>
    <row r="25" customFormat="false" ht="15" hidden="false" customHeight="false" outlineLevel="0" collapsed="false">
      <c r="A25" s="0" t="n">
        <v>1.6185</v>
      </c>
      <c r="B25" s="0" t="n">
        <v>568.1</v>
      </c>
    </row>
    <row r="26" customFormat="false" ht="15" hidden="false" customHeight="false" outlineLevel="0" collapsed="false">
      <c r="A26" s="0" t="n">
        <v>1.6183</v>
      </c>
      <c r="B26" s="0" t="n">
        <v>570.6</v>
      </c>
    </row>
    <row r="27" customFormat="false" ht="15" hidden="false" customHeight="false" outlineLevel="0" collapsed="false">
      <c r="A27" s="0" t="n">
        <v>1.618</v>
      </c>
      <c r="B27" s="0" t="n">
        <v>573.1</v>
      </c>
    </row>
    <row r="28" customFormat="false" ht="15" hidden="false" customHeight="false" outlineLevel="0" collapsed="false">
      <c r="A28" s="0" t="n">
        <v>1.6178</v>
      </c>
      <c r="B28" s="0" t="n">
        <v>575.7</v>
      </c>
    </row>
    <row r="29" customFormat="false" ht="15" hidden="false" customHeight="false" outlineLevel="0" collapsed="false">
      <c r="A29" s="0" t="n">
        <v>1.6176</v>
      </c>
      <c r="B29" s="0" t="n">
        <v>578.3</v>
      </c>
    </row>
    <row r="30" customFormat="false" ht="15" hidden="false" customHeight="false" outlineLevel="0" collapsed="false">
      <c r="A30" s="0" t="n">
        <v>1.6173</v>
      </c>
      <c r="B30" s="0" t="n">
        <v>580.9</v>
      </c>
    </row>
    <row r="31" customFormat="false" ht="15" hidden="false" customHeight="false" outlineLevel="0" collapsed="false">
      <c r="A31" s="0" t="n">
        <v>1.6171</v>
      </c>
      <c r="B31" s="0" t="n">
        <v>583.5</v>
      </c>
    </row>
    <row r="32" customFormat="false" ht="15" hidden="false" customHeight="false" outlineLevel="0" collapsed="false">
      <c r="A32" s="0" t="n">
        <v>1.6169</v>
      </c>
      <c r="B32" s="0" t="n">
        <v>586.2</v>
      </c>
    </row>
    <row r="33" customFormat="false" ht="15" hidden="false" customHeight="false" outlineLevel="0" collapsed="false">
      <c r="A33" s="0" t="n">
        <v>1.6166</v>
      </c>
      <c r="B33" s="0" t="n">
        <v>589</v>
      </c>
    </row>
    <row r="34" customFormat="false" ht="15" hidden="false" customHeight="false" outlineLevel="0" collapsed="false">
      <c r="A34" s="0" t="n">
        <v>1.6164</v>
      </c>
      <c r="B34" s="0" t="n">
        <v>591.7</v>
      </c>
    </row>
    <row r="35" customFormat="false" ht="15" hidden="false" customHeight="false" outlineLevel="0" collapsed="false">
      <c r="A35" s="0" t="n">
        <v>1.6162</v>
      </c>
      <c r="B35" s="0" t="n">
        <v>594.6</v>
      </c>
    </row>
    <row r="36" customFormat="false" ht="15" hidden="false" customHeight="false" outlineLevel="0" collapsed="false">
      <c r="A36" s="0" t="n">
        <v>1.6159</v>
      </c>
      <c r="B36" s="0" t="n">
        <v>597.4</v>
      </c>
    </row>
    <row r="37" customFormat="false" ht="15" hidden="false" customHeight="false" outlineLevel="0" collapsed="false">
      <c r="A37" s="0" t="n">
        <v>1.6157</v>
      </c>
      <c r="B37" s="0" t="n">
        <v>600.3</v>
      </c>
    </row>
    <row r="38" customFormat="false" ht="15" hidden="false" customHeight="false" outlineLevel="0" collapsed="false">
      <c r="A38" s="0" t="n">
        <v>1.6154</v>
      </c>
      <c r="B38" s="0" t="n">
        <v>603.3</v>
      </c>
    </row>
    <row r="39" customFormat="false" ht="15" hidden="false" customHeight="false" outlineLevel="0" collapsed="false">
      <c r="A39" s="0" t="n">
        <v>1.6152</v>
      </c>
      <c r="B39" s="0" t="n">
        <v>606.2</v>
      </c>
    </row>
    <row r="40" customFormat="false" ht="15" hidden="false" customHeight="false" outlineLevel="0" collapsed="false">
      <c r="A40" s="0" t="n">
        <v>1.615</v>
      </c>
      <c r="B40" s="0" t="n">
        <v>609.3</v>
      </c>
    </row>
    <row r="41" customFormat="false" ht="15" hidden="false" customHeight="false" outlineLevel="0" collapsed="false">
      <c r="A41" s="0" t="n">
        <v>1.6147</v>
      </c>
      <c r="B41" s="0" t="n">
        <v>612.4</v>
      </c>
    </row>
    <row r="42" customFormat="false" ht="15" hidden="false" customHeight="false" outlineLevel="0" collapsed="false">
      <c r="A42" s="0" t="n">
        <v>1.6145</v>
      </c>
      <c r="B42" s="0" t="n">
        <v>615.5</v>
      </c>
    </row>
    <row r="43" customFormat="false" ht="15" hidden="false" customHeight="false" outlineLevel="0" collapsed="false">
      <c r="A43" s="0" t="n">
        <v>1.6143</v>
      </c>
      <c r="B43" s="0" t="n">
        <v>618.7</v>
      </c>
    </row>
    <row r="44" customFormat="false" ht="15" hidden="false" customHeight="false" outlineLevel="0" collapsed="false">
      <c r="A44" s="0" t="n">
        <v>1.614</v>
      </c>
      <c r="B44" s="0" t="n">
        <v>621.9</v>
      </c>
    </row>
    <row r="45" customFormat="false" ht="15" hidden="false" customHeight="false" outlineLevel="0" collapsed="false">
      <c r="A45" s="0" t="n">
        <v>1.6138</v>
      </c>
      <c r="B45" s="0" t="n">
        <v>625.2</v>
      </c>
    </row>
    <row r="46" customFormat="false" ht="15" hidden="false" customHeight="false" outlineLevel="0" collapsed="false">
      <c r="A46" s="0" t="n">
        <v>1.6136</v>
      </c>
      <c r="B46" s="0" t="n">
        <v>628.5</v>
      </c>
    </row>
    <row r="47" customFormat="false" ht="15" hidden="false" customHeight="false" outlineLevel="0" collapsed="false">
      <c r="A47" s="0" t="n">
        <v>1.6133</v>
      </c>
      <c r="B47" s="0" t="n">
        <v>631.9</v>
      </c>
    </row>
    <row r="48" customFormat="false" ht="15" hidden="false" customHeight="false" outlineLevel="0" collapsed="false">
      <c r="A48" s="0" t="n">
        <v>1.6131</v>
      </c>
      <c r="B48" s="0" t="n">
        <v>635.4</v>
      </c>
    </row>
    <row r="49" customFormat="false" ht="15" hidden="false" customHeight="false" outlineLevel="0" collapsed="false">
      <c r="A49" s="0" t="n">
        <v>1.6129</v>
      </c>
      <c r="B49" s="0" t="n">
        <v>638.9</v>
      </c>
    </row>
    <row r="50" customFormat="false" ht="15" hidden="false" customHeight="false" outlineLevel="0" collapsed="false">
      <c r="A50" s="0" t="n">
        <v>1.6126</v>
      </c>
      <c r="B50" s="0" t="n">
        <v>642.5</v>
      </c>
    </row>
    <row r="51" customFormat="false" ht="15" hidden="false" customHeight="false" outlineLevel="0" collapsed="false">
      <c r="A51" s="0" t="n">
        <v>1.6124</v>
      </c>
      <c r="B51" s="0" t="n">
        <v>646.1</v>
      </c>
    </row>
    <row r="52" customFormat="false" ht="15" hidden="false" customHeight="false" outlineLevel="0" collapsed="false">
      <c r="A52" s="0" t="n">
        <v>1.6122</v>
      </c>
      <c r="B52" s="0" t="n">
        <v>649.8</v>
      </c>
    </row>
    <row r="53" customFormat="false" ht="15" hidden="false" customHeight="false" outlineLevel="0" collapsed="false">
      <c r="A53" s="0" t="n">
        <v>1.6119</v>
      </c>
      <c r="B53" s="0" t="n">
        <v>653.6</v>
      </c>
    </row>
    <row r="54" customFormat="false" ht="15" hidden="false" customHeight="false" outlineLevel="0" collapsed="false">
      <c r="A54" s="0" t="n">
        <v>1.6117</v>
      </c>
      <c r="B54" s="0" t="n">
        <v>657.5</v>
      </c>
    </row>
    <row r="55" customFormat="false" ht="15" hidden="false" customHeight="false" outlineLevel="0" collapsed="false">
      <c r="A55" s="0" t="n">
        <v>1.6114</v>
      </c>
      <c r="B55" s="0" t="n">
        <v>661.4</v>
      </c>
    </row>
    <row r="56" customFormat="false" ht="15" hidden="false" customHeight="false" outlineLevel="0" collapsed="false">
      <c r="A56" s="0" t="n">
        <v>1.6112</v>
      </c>
      <c r="B56" s="0" t="n">
        <v>665.4</v>
      </c>
    </row>
    <row r="57" customFormat="false" ht="15" hidden="false" customHeight="false" outlineLevel="0" collapsed="false">
      <c r="A57" s="0" t="n">
        <v>1.611</v>
      </c>
      <c r="B57" s="0" t="n">
        <v>669.4</v>
      </c>
    </row>
    <row r="58" customFormat="false" ht="15" hidden="false" customHeight="false" outlineLevel="0" collapsed="false">
      <c r="A58" s="0" t="n">
        <v>1.6107</v>
      </c>
      <c r="B58" s="0" t="n">
        <v>673.6</v>
      </c>
    </row>
    <row r="59" customFormat="false" ht="15" hidden="false" customHeight="false" outlineLevel="0" collapsed="false">
      <c r="A59" s="0" t="n">
        <v>1.6105</v>
      </c>
      <c r="B59" s="0" t="n">
        <v>677.8</v>
      </c>
    </row>
    <row r="60" customFormat="false" ht="15" hidden="false" customHeight="false" outlineLevel="0" collapsed="false">
      <c r="A60" s="0" t="n">
        <v>1.6103</v>
      </c>
      <c r="B60" s="0" t="n">
        <v>682.1</v>
      </c>
    </row>
    <row r="61" customFormat="false" ht="15" hidden="false" customHeight="false" outlineLevel="0" collapsed="false">
      <c r="A61" s="0" t="n">
        <v>1.61</v>
      </c>
      <c r="B61" s="0" t="n">
        <v>686.5</v>
      </c>
    </row>
    <row r="62" customFormat="false" ht="15" hidden="false" customHeight="false" outlineLevel="0" collapsed="false">
      <c r="A62" s="0" t="n">
        <v>1.6098</v>
      </c>
      <c r="B62" s="0" t="n">
        <v>690.9</v>
      </c>
    </row>
    <row r="63" customFormat="false" ht="15" hidden="false" customHeight="false" outlineLevel="0" collapsed="false">
      <c r="A63" s="0" t="n">
        <v>1.6096</v>
      </c>
      <c r="B63" s="0" t="n">
        <v>695.5</v>
      </c>
    </row>
    <row r="64" customFormat="false" ht="15" hidden="false" customHeight="false" outlineLevel="0" collapsed="false">
      <c r="A64" s="0" t="n">
        <v>1.6093</v>
      </c>
      <c r="B64" s="0" t="n">
        <v>700.1</v>
      </c>
    </row>
    <row r="65" customFormat="false" ht="15" hidden="false" customHeight="false" outlineLevel="0" collapsed="false">
      <c r="A65" s="0" t="n">
        <v>1.6091</v>
      </c>
      <c r="B65" s="0" t="n">
        <v>704.8</v>
      </c>
    </row>
    <row r="66" customFormat="false" ht="15" hidden="false" customHeight="false" outlineLevel="0" collapsed="false">
      <c r="A66" s="0" t="n">
        <v>1.6089</v>
      </c>
      <c r="B66" s="0" t="n">
        <v>709.7</v>
      </c>
    </row>
    <row r="67" customFormat="false" ht="15" hidden="false" customHeight="false" outlineLevel="0" collapsed="false">
      <c r="A67" s="0" t="n">
        <v>1.6086</v>
      </c>
      <c r="B67" s="0" t="n">
        <v>714.6</v>
      </c>
    </row>
    <row r="68" customFormat="false" ht="15" hidden="false" customHeight="false" outlineLevel="0" collapsed="false">
      <c r="A68" s="0" t="n">
        <v>1.6084</v>
      </c>
      <c r="B68" s="0" t="n">
        <v>719.6</v>
      </c>
    </row>
    <row r="69" customFormat="false" ht="15" hidden="false" customHeight="false" outlineLevel="0" collapsed="false">
      <c r="A69" s="0" t="n">
        <v>1.6082</v>
      </c>
      <c r="B69" s="0" t="n">
        <v>724.7</v>
      </c>
    </row>
    <row r="70" customFormat="false" ht="15" hidden="false" customHeight="false" outlineLevel="0" collapsed="false">
      <c r="A70" s="0" t="n">
        <v>1.6079</v>
      </c>
      <c r="B70" s="0" t="n">
        <v>730</v>
      </c>
    </row>
    <row r="71" customFormat="false" ht="15" hidden="false" customHeight="false" outlineLevel="0" collapsed="false">
      <c r="A71" s="0" t="n">
        <v>1.6077</v>
      </c>
      <c r="B71" s="0" t="n">
        <v>735.3</v>
      </c>
    </row>
    <row r="72" customFormat="false" ht="15" hidden="false" customHeight="false" outlineLevel="0" collapsed="false">
      <c r="A72" s="0" t="n">
        <v>1.6075</v>
      </c>
      <c r="B72" s="0" t="n">
        <v>740.7</v>
      </c>
    </row>
    <row r="73" customFormat="false" ht="15" hidden="false" customHeight="false" outlineLevel="0" collapsed="false">
      <c r="A73" s="0" t="n">
        <v>1.6072</v>
      </c>
      <c r="B73" s="0" t="n">
        <v>746.3</v>
      </c>
    </row>
    <row r="74" customFormat="false" ht="15" hidden="false" customHeight="false" outlineLevel="0" collapsed="false">
      <c r="A74" s="0" t="n">
        <v>1.607</v>
      </c>
      <c r="B74" s="0" t="n">
        <v>752</v>
      </c>
    </row>
    <row r="75" customFormat="false" ht="15" hidden="false" customHeight="false" outlineLevel="0" collapsed="false">
      <c r="A75" s="0" t="n">
        <v>1.6068</v>
      </c>
      <c r="B75" s="0" t="n">
        <v>757.7</v>
      </c>
    </row>
    <row r="76" customFormat="false" ht="15" hidden="false" customHeight="false" outlineLevel="0" collapsed="false">
      <c r="A76" s="0" t="n">
        <v>1.6065</v>
      </c>
      <c r="B76" s="0" t="n">
        <v>763.7</v>
      </c>
    </row>
    <row r="77" customFormat="false" ht="15" hidden="false" customHeight="false" outlineLevel="0" collapsed="false">
      <c r="A77" s="0" t="n">
        <v>1.6063</v>
      </c>
      <c r="B77" s="0" t="n">
        <v>769.7</v>
      </c>
    </row>
    <row r="78" customFormat="false" ht="15" hidden="false" customHeight="false" outlineLevel="0" collapsed="false">
      <c r="A78" s="0" t="n">
        <v>1.6061</v>
      </c>
      <c r="B78" s="0" t="n">
        <v>775.8</v>
      </c>
    </row>
    <row r="79" customFormat="false" ht="15" hidden="false" customHeight="false" outlineLevel="0" collapsed="false">
      <c r="A79" s="0" t="n">
        <v>1.6058</v>
      </c>
      <c r="B79" s="0" t="n">
        <v>782.1</v>
      </c>
    </row>
    <row r="80" customFormat="false" ht="15" hidden="false" customHeight="false" outlineLevel="0" collapsed="false">
      <c r="A80" s="0" t="n">
        <v>1.6056</v>
      </c>
      <c r="B80" s="0" t="n">
        <v>788.6</v>
      </c>
    </row>
    <row r="81" customFormat="false" ht="15" hidden="false" customHeight="false" outlineLevel="0" collapsed="false">
      <c r="A81" s="0" t="n">
        <v>1.6054</v>
      </c>
      <c r="B81" s="0" t="n">
        <v>795.1</v>
      </c>
    </row>
    <row r="82" customFormat="false" ht="15" hidden="false" customHeight="false" outlineLevel="0" collapsed="false">
      <c r="A82" s="0" t="n">
        <v>1.6051</v>
      </c>
      <c r="B82" s="0" t="n">
        <v>801.8</v>
      </c>
    </row>
    <row r="83" customFormat="false" ht="15" hidden="false" customHeight="false" outlineLevel="0" collapsed="false">
      <c r="A83" s="0" t="n">
        <v>1.6049</v>
      </c>
      <c r="B83" s="0" t="n">
        <v>808.7</v>
      </c>
    </row>
    <row r="84" customFormat="false" ht="15" hidden="false" customHeight="false" outlineLevel="0" collapsed="false">
      <c r="A84" s="0" t="n">
        <v>1.6047</v>
      </c>
      <c r="B84" s="0" t="n">
        <v>815.7</v>
      </c>
    </row>
    <row r="85" customFormat="false" ht="15" hidden="false" customHeight="false" outlineLevel="0" collapsed="false">
      <c r="A85" s="0" t="n">
        <v>1.6044</v>
      </c>
      <c r="B85" s="0" t="n">
        <v>822.8</v>
      </c>
    </row>
    <row r="86" customFormat="false" ht="15" hidden="false" customHeight="false" outlineLevel="0" collapsed="false">
      <c r="A86" s="0" t="n">
        <v>1.6042</v>
      </c>
      <c r="B86" s="0" t="n">
        <v>830.1</v>
      </c>
    </row>
    <row r="87" customFormat="false" ht="15" hidden="false" customHeight="false" outlineLevel="0" collapsed="false">
      <c r="A87" s="0" t="n">
        <v>1.604</v>
      </c>
      <c r="B87" s="0" t="n">
        <v>837.6</v>
      </c>
    </row>
    <row r="88" customFormat="false" ht="15" hidden="false" customHeight="false" outlineLevel="0" collapsed="false">
      <c r="A88" s="0" t="n">
        <v>1.6037</v>
      </c>
      <c r="B88" s="0" t="n">
        <v>845.2</v>
      </c>
    </row>
    <row r="89" customFormat="false" ht="15" hidden="false" customHeight="false" outlineLevel="0" collapsed="false">
      <c r="A89" s="0" t="n">
        <v>1.6035</v>
      </c>
      <c r="B89" s="0" t="n">
        <v>853</v>
      </c>
    </row>
    <row r="90" customFormat="false" ht="15" hidden="false" customHeight="false" outlineLevel="0" collapsed="false">
      <c r="A90" s="0" t="n">
        <v>1.6033</v>
      </c>
      <c r="B90" s="0" t="n">
        <v>861</v>
      </c>
    </row>
    <row r="91" customFormat="false" ht="15" hidden="false" customHeight="false" outlineLevel="0" collapsed="false">
      <c r="A91" s="0" t="n">
        <v>1.603</v>
      </c>
      <c r="B91" s="0" t="n">
        <v>869.2</v>
      </c>
    </row>
    <row r="92" customFormat="false" ht="15" hidden="false" customHeight="false" outlineLevel="0" collapsed="false">
      <c r="A92" s="0" t="n">
        <v>1.6028</v>
      </c>
      <c r="B92" s="0" t="n">
        <v>877.5</v>
      </c>
    </row>
    <row r="93" customFormat="false" ht="15" hidden="false" customHeight="false" outlineLevel="0" collapsed="false">
      <c r="A93" s="0" t="n">
        <v>1.6025</v>
      </c>
      <c r="B93" s="0" t="n">
        <v>886.1</v>
      </c>
    </row>
    <row r="94" customFormat="false" ht="15" hidden="false" customHeight="false" outlineLevel="0" collapsed="false">
      <c r="A94" s="0" t="n">
        <v>1.6023</v>
      </c>
      <c r="B94" s="0" t="n">
        <v>894.8</v>
      </c>
    </row>
    <row r="95" customFormat="false" ht="15" hidden="false" customHeight="false" outlineLevel="0" collapsed="false">
      <c r="A95" s="0" t="n">
        <v>1.6021</v>
      </c>
      <c r="B95" s="0" t="n">
        <v>903.7</v>
      </c>
    </row>
    <row r="96" customFormat="false" ht="15" hidden="false" customHeight="false" outlineLevel="0" collapsed="false">
      <c r="A96" s="0" t="n">
        <v>1.6018</v>
      </c>
      <c r="B96" s="0" t="n">
        <v>912.8</v>
      </c>
    </row>
    <row r="97" customFormat="false" ht="15" hidden="false" customHeight="false" outlineLevel="0" collapsed="false">
      <c r="A97" s="0" t="n">
        <v>1.6016</v>
      </c>
      <c r="B97" s="0" t="n">
        <v>922.2</v>
      </c>
    </row>
    <row r="98" customFormat="false" ht="15" hidden="false" customHeight="false" outlineLevel="0" collapsed="false">
      <c r="A98" s="0" t="n">
        <v>1.6014</v>
      </c>
      <c r="B98" s="0" t="n">
        <v>931.7</v>
      </c>
    </row>
    <row r="99" customFormat="false" ht="15" hidden="false" customHeight="false" outlineLevel="0" collapsed="false">
      <c r="A99" s="0" t="n">
        <v>1.6011</v>
      </c>
      <c r="B99" s="0" t="n">
        <v>941.5</v>
      </c>
    </row>
    <row r="100" customFormat="false" ht="15" hidden="false" customHeight="false" outlineLevel="0" collapsed="false">
      <c r="A100" s="0" t="n">
        <v>1.6009</v>
      </c>
      <c r="B100" s="0" t="n">
        <v>951.5</v>
      </c>
    </row>
    <row r="101" customFormat="false" ht="15" hidden="false" customHeight="false" outlineLevel="0" collapsed="false">
      <c r="A101" s="0" t="n">
        <v>1.6007</v>
      </c>
      <c r="B101" s="0" t="n">
        <v>961.8</v>
      </c>
    </row>
    <row r="102" customFormat="false" ht="15" hidden="false" customHeight="false" outlineLevel="0" collapsed="false">
      <c r="A102" s="0" t="n">
        <v>1.6004</v>
      </c>
      <c r="B102" s="0" t="n">
        <v>972.3</v>
      </c>
    </row>
    <row r="103" customFormat="false" ht="15" hidden="false" customHeight="false" outlineLevel="0" collapsed="false">
      <c r="A103" s="0" t="n">
        <v>1.6002</v>
      </c>
      <c r="B103" s="0" t="n">
        <v>983</v>
      </c>
    </row>
    <row r="104" customFormat="false" ht="15" hidden="false" customHeight="false" outlineLevel="0" collapsed="false">
      <c r="A104" s="0" t="n">
        <v>1.6</v>
      </c>
      <c r="B104" s="0" t="n">
        <v>994</v>
      </c>
    </row>
    <row r="105" customFormat="false" ht="15" hidden="false" customHeight="false" outlineLevel="0" collapsed="false">
      <c r="A105" s="0" t="n">
        <v>1.5997</v>
      </c>
      <c r="B105" s="0" t="n">
        <v>1005.2</v>
      </c>
    </row>
    <row r="106" customFormat="false" ht="15" hidden="false" customHeight="false" outlineLevel="0" collapsed="false">
      <c r="A106" s="0" t="n">
        <v>1.5995</v>
      </c>
      <c r="B106" s="0" t="n">
        <v>1016.8</v>
      </c>
    </row>
    <row r="107" customFormat="false" ht="15" hidden="false" customHeight="false" outlineLevel="0" collapsed="false">
      <c r="A107" s="0" t="n">
        <v>1.5993</v>
      </c>
      <c r="B107" s="0" t="n">
        <v>1028.6</v>
      </c>
    </row>
    <row r="108" customFormat="false" ht="15" hidden="false" customHeight="false" outlineLevel="0" collapsed="false">
      <c r="A108" s="0" t="n">
        <v>1.5991</v>
      </c>
      <c r="B108" s="0" t="n">
        <v>1040.6</v>
      </c>
    </row>
    <row r="109" customFormat="false" ht="15" hidden="false" customHeight="false" outlineLevel="0" collapsed="false">
      <c r="A109" s="0" t="n">
        <v>1.5988</v>
      </c>
      <c r="B109" s="0" t="n">
        <v>1053</v>
      </c>
    </row>
    <row r="110" customFormat="false" ht="15" hidden="false" customHeight="false" outlineLevel="0" collapsed="false">
      <c r="A110" s="0" t="n">
        <v>1.5986</v>
      </c>
      <c r="B110" s="0" t="n">
        <v>1065.7</v>
      </c>
    </row>
    <row r="111" customFormat="false" ht="15" hidden="false" customHeight="false" outlineLevel="0" collapsed="false">
      <c r="A111" s="0" t="n">
        <v>1.5984</v>
      </c>
      <c r="B111" s="0" t="n">
        <v>1078.7</v>
      </c>
    </row>
    <row r="112" customFormat="false" ht="15" hidden="false" customHeight="false" outlineLevel="0" collapsed="false">
      <c r="A112" s="0" t="n">
        <v>1.5981</v>
      </c>
      <c r="B112" s="0" t="n">
        <v>1092</v>
      </c>
    </row>
    <row r="113" customFormat="false" ht="15" hidden="false" customHeight="false" outlineLevel="0" collapsed="false">
      <c r="A113" s="0" t="n">
        <v>1.5979</v>
      </c>
      <c r="B113" s="0" t="n">
        <v>1105.7</v>
      </c>
    </row>
    <row r="114" customFormat="false" ht="15" hidden="false" customHeight="false" outlineLevel="0" collapsed="false">
      <c r="A114" s="0" t="n">
        <v>1.5977</v>
      </c>
      <c r="B114" s="0" t="n">
        <v>1119.6</v>
      </c>
    </row>
    <row r="115" customFormat="false" ht="15" hidden="false" customHeight="false" outlineLevel="0" collapsed="false">
      <c r="A115" s="0" t="n">
        <v>1.5974</v>
      </c>
      <c r="B115" s="0" t="n">
        <v>1134</v>
      </c>
    </row>
    <row r="116" customFormat="false" ht="15" hidden="false" customHeight="false" outlineLevel="0" collapsed="false">
      <c r="A116" s="0" t="n">
        <v>1.5972</v>
      </c>
      <c r="B116" s="0" t="n">
        <v>1148.7</v>
      </c>
    </row>
    <row r="117" customFormat="false" ht="15" hidden="false" customHeight="false" outlineLevel="0" collapsed="false">
      <c r="A117" s="0" t="n">
        <v>1.597</v>
      </c>
      <c r="B117" s="0" t="n">
        <v>1163.7</v>
      </c>
    </row>
    <row r="118" customFormat="false" ht="15" hidden="false" customHeight="false" outlineLevel="0" collapsed="false">
      <c r="A118" s="0" t="n">
        <v>1.5967</v>
      </c>
      <c r="B118" s="0" t="n">
        <v>1179.2</v>
      </c>
    </row>
    <row r="119" customFormat="false" ht="15" hidden="false" customHeight="false" outlineLevel="0" collapsed="false">
      <c r="A119" s="0" t="n">
        <v>1.5965</v>
      </c>
      <c r="B119" s="0" t="n">
        <v>1195</v>
      </c>
    </row>
    <row r="120" customFormat="false" ht="15" hidden="false" customHeight="false" outlineLevel="0" collapsed="false">
      <c r="A120" s="0" t="n">
        <v>1.5963</v>
      </c>
      <c r="B120" s="0" t="n">
        <v>1211.2</v>
      </c>
    </row>
    <row r="121" customFormat="false" ht="15" hidden="false" customHeight="false" outlineLevel="0" collapsed="false">
      <c r="A121" s="0" t="n">
        <v>1.596</v>
      </c>
      <c r="B121" s="0" t="n">
        <v>1227.9</v>
      </c>
    </row>
    <row r="122" customFormat="false" ht="15" hidden="false" customHeight="false" outlineLevel="0" collapsed="false">
      <c r="A122" s="0" t="n">
        <v>1.5958</v>
      </c>
      <c r="B122" s="0" t="n">
        <v>1245</v>
      </c>
    </row>
    <row r="123" customFormat="false" ht="15" hidden="false" customHeight="false" outlineLevel="0" collapsed="false">
      <c r="A123" s="0" t="n">
        <v>1.5956</v>
      </c>
      <c r="B123" s="0" t="n">
        <v>1262.5</v>
      </c>
    </row>
    <row r="124" customFormat="false" ht="15" hidden="false" customHeight="false" outlineLevel="0" collapsed="false">
      <c r="A124" s="0" t="n">
        <v>1.5953</v>
      </c>
      <c r="B124" s="0" t="n">
        <v>1280.5</v>
      </c>
    </row>
    <row r="125" customFormat="false" ht="15" hidden="false" customHeight="false" outlineLevel="0" collapsed="false">
      <c r="A125" s="0" t="n">
        <v>1.5951</v>
      </c>
      <c r="B125" s="0" t="n">
        <v>1299</v>
      </c>
    </row>
    <row r="126" customFormat="false" ht="15" hidden="false" customHeight="false" outlineLevel="0" collapsed="false">
      <c r="A126" s="0" t="n">
        <v>1.5949</v>
      </c>
      <c r="B126" s="0" t="n">
        <v>1317.9</v>
      </c>
    </row>
    <row r="127" customFormat="false" ht="15" hidden="false" customHeight="false" outlineLevel="0" collapsed="false">
      <c r="A127" s="0" t="n">
        <v>1.5946</v>
      </c>
      <c r="B127" s="0" t="n">
        <v>1337.4</v>
      </c>
    </row>
    <row r="128" customFormat="false" ht="15" hidden="false" customHeight="false" outlineLevel="0" collapsed="false">
      <c r="A128" s="0" t="n">
        <v>1.5944</v>
      </c>
      <c r="B128" s="0" t="n">
        <v>1357.4</v>
      </c>
    </row>
    <row r="129" customFormat="false" ht="15" hidden="false" customHeight="false" outlineLevel="0" collapsed="false">
      <c r="A129" s="0" t="n">
        <v>1.5942</v>
      </c>
      <c r="B129" s="0" t="n">
        <v>1377.9</v>
      </c>
    </row>
    <row r="130" customFormat="false" ht="15" hidden="false" customHeight="false" outlineLevel="0" collapsed="false">
      <c r="A130" s="0" t="n">
        <v>1.5939</v>
      </c>
      <c r="B130" s="0" t="n">
        <v>1398.9</v>
      </c>
    </row>
    <row r="131" customFormat="false" ht="15" hidden="false" customHeight="false" outlineLevel="0" collapsed="false">
      <c r="A131" s="0" t="n">
        <v>1.5937</v>
      </c>
      <c r="B131" s="0" t="n">
        <v>1420.5</v>
      </c>
    </row>
    <row r="132" customFormat="false" ht="15" hidden="false" customHeight="false" outlineLevel="0" collapsed="false">
      <c r="A132" s="0" t="n">
        <v>1.5935</v>
      </c>
      <c r="B132" s="0" t="n">
        <v>1442.7</v>
      </c>
    </row>
    <row r="133" customFormat="false" ht="15" hidden="false" customHeight="false" outlineLevel="0" collapsed="false">
      <c r="A133" s="0" t="n">
        <v>1.5932</v>
      </c>
      <c r="B133" s="0" t="n">
        <v>1465.5</v>
      </c>
    </row>
    <row r="134" customFormat="false" ht="15" hidden="false" customHeight="false" outlineLevel="0" collapsed="false">
      <c r="A134" s="0" t="n">
        <v>1.593</v>
      </c>
      <c r="B134" s="0" t="n">
        <v>1489</v>
      </c>
    </row>
    <row r="135" customFormat="false" ht="15" hidden="false" customHeight="false" outlineLevel="0" collapsed="false">
      <c r="A135" s="0" t="n">
        <v>1.5928</v>
      </c>
      <c r="B135" s="0" t="n">
        <v>1513.1</v>
      </c>
    </row>
    <row r="136" customFormat="false" ht="15" hidden="false" customHeight="false" outlineLevel="0" collapsed="false">
      <c r="A136" s="0" t="n">
        <v>1.5925</v>
      </c>
      <c r="B136" s="0" t="n">
        <v>1537.8</v>
      </c>
    </row>
    <row r="137" customFormat="false" ht="15" hidden="false" customHeight="false" outlineLevel="0" collapsed="false">
      <c r="A137" s="0" t="n">
        <v>1.5923</v>
      </c>
      <c r="B137" s="0" t="n">
        <v>1563.3</v>
      </c>
    </row>
    <row r="138" customFormat="false" ht="15" hidden="false" customHeight="false" outlineLevel="0" collapsed="false">
      <c r="A138" s="0" t="n">
        <v>1.5921</v>
      </c>
      <c r="B138" s="0" t="n">
        <v>1589.4</v>
      </c>
    </row>
    <row r="139" customFormat="false" ht="15" hidden="false" customHeight="false" outlineLevel="0" collapsed="false">
      <c r="A139" s="0" t="n">
        <v>1.5918</v>
      </c>
      <c r="B139" s="0" t="n">
        <v>1616.3</v>
      </c>
    </row>
    <row r="140" customFormat="false" ht="15" hidden="false" customHeight="false" outlineLevel="0" collapsed="false">
      <c r="A140" s="0" t="n">
        <v>1.5916</v>
      </c>
      <c r="B140" s="0" t="n">
        <v>1643.9</v>
      </c>
    </row>
    <row r="141" customFormat="false" ht="15" hidden="false" customHeight="false" outlineLevel="0" collapsed="false">
      <c r="A141" s="0" t="n">
        <v>1.5914</v>
      </c>
      <c r="B141" s="0" t="n">
        <v>1672.4</v>
      </c>
    </row>
    <row r="142" customFormat="false" ht="15" hidden="false" customHeight="false" outlineLevel="0" collapsed="false">
      <c r="A142" s="0" t="n">
        <v>1.5911</v>
      </c>
      <c r="B142" s="0" t="n">
        <v>1701.6</v>
      </c>
    </row>
    <row r="143" customFormat="false" ht="15" hidden="false" customHeight="false" outlineLevel="0" collapsed="false">
      <c r="A143" s="0" t="n">
        <v>1.5909</v>
      </c>
      <c r="B143" s="0" t="n">
        <v>1731.7</v>
      </c>
    </row>
    <row r="144" customFormat="false" ht="15" hidden="false" customHeight="false" outlineLevel="0" collapsed="false">
      <c r="A144" s="0" t="n">
        <v>1.5907</v>
      </c>
      <c r="B144" s="0" t="n">
        <v>1762.6</v>
      </c>
    </row>
    <row r="145" customFormat="false" ht="15" hidden="false" customHeight="false" outlineLevel="0" collapsed="false">
      <c r="A145" s="0" t="n">
        <v>1.5905</v>
      </c>
      <c r="B145" s="0" t="n">
        <v>1794.5</v>
      </c>
    </row>
    <row r="146" customFormat="false" ht="15" hidden="false" customHeight="false" outlineLevel="0" collapsed="false">
      <c r="A146" s="0" t="n">
        <v>1.5902</v>
      </c>
      <c r="B146" s="0" t="n">
        <v>1827.2</v>
      </c>
    </row>
    <row r="147" customFormat="false" ht="15" hidden="false" customHeight="false" outlineLevel="0" collapsed="false">
      <c r="A147" s="0" t="n">
        <v>1.59</v>
      </c>
      <c r="B147" s="0" t="n">
        <v>1861</v>
      </c>
    </row>
    <row r="148" customFormat="false" ht="15" hidden="false" customHeight="false" outlineLevel="0" collapsed="false">
      <c r="A148" s="0" t="n">
        <v>1.5898</v>
      </c>
      <c r="B148" s="0" t="n">
        <v>1895.7</v>
      </c>
    </row>
    <row r="149" customFormat="false" ht="15" hidden="false" customHeight="false" outlineLevel="0" collapsed="false">
      <c r="A149" s="0" t="n">
        <v>1.5895</v>
      </c>
      <c r="B149" s="0" t="n">
        <v>1931.5</v>
      </c>
    </row>
    <row r="150" customFormat="false" ht="15" hidden="false" customHeight="false" outlineLevel="0" collapsed="false">
      <c r="A150" s="0" t="n">
        <v>1.5893</v>
      </c>
      <c r="B150" s="0" t="n">
        <v>1968.3</v>
      </c>
    </row>
    <row r="151" customFormat="false" ht="15" hidden="false" customHeight="false" outlineLevel="0" collapsed="false">
      <c r="A151" s="0" t="n">
        <v>1.5891</v>
      </c>
      <c r="B151" s="0" t="n">
        <v>2006.2</v>
      </c>
    </row>
    <row r="152" customFormat="false" ht="15" hidden="false" customHeight="false" outlineLevel="0" collapsed="false">
      <c r="A152" s="0" t="n">
        <v>1.5888</v>
      </c>
      <c r="B152" s="0" t="n">
        <v>2045.3</v>
      </c>
    </row>
    <row r="153" customFormat="false" ht="15" hidden="false" customHeight="false" outlineLevel="0" collapsed="false">
      <c r="A153" s="0" t="n">
        <v>1.5886</v>
      </c>
      <c r="B153" s="0" t="n">
        <v>2085.6</v>
      </c>
    </row>
    <row r="154" customFormat="false" ht="15" hidden="false" customHeight="false" outlineLevel="0" collapsed="false">
      <c r="A154" s="0" t="n">
        <v>1.5884</v>
      </c>
      <c r="B154" s="0" t="n">
        <v>2127.1</v>
      </c>
    </row>
    <row r="155" customFormat="false" ht="15" hidden="false" customHeight="false" outlineLevel="0" collapsed="false">
      <c r="A155" s="0" t="n">
        <v>1.5881</v>
      </c>
      <c r="B155" s="0" t="n">
        <v>2169.8</v>
      </c>
    </row>
    <row r="156" customFormat="false" ht="15" hidden="false" customHeight="false" outlineLevel="0" collapsed="false">
      <c r="A156" s="0" t="n">
        <v>1.5879</v>
      </c>
      <c r="B156" s="0" t="n">
        <v>2213.9</v>
      </c>
    </row>
    <row r="157" customFormat="false" ht="15" hidden="false" customHeight="false" outlineLevel="0" collapsed="false">
      <c r="A157" s="0" t="n">
        <v>1.5877</v>
      </c>
      <c r="B157" s="0" t="n">
        <v>2259.3</v>
      </c>
    </row>
    <row r="158" customFormat="false" ht="15" hidden="false" customHeight="false" outlineLevel="0" collapsed="false">
      <c r="A158" s="0" t="n">
        <v>1.5874</v>
      </c>
      <c r="B158" s="0" t="n">
        <v>2306.2</v>
      </c>
    </row>
    <row r="159" customFormat="false" ht="15" hidden="false" customHeight="false" outlineLevel="0" collapsed="false">
      <c r="A159" s="0" t="n">
        <v>1.5872</v>
      </c>
      <c r="B159" s="0" t="n">
        <v>2354.5</v>
      </c>
    </row>
    <row r="160" customFormat="false" ht="15" hidden="false" customHeight="false" outlineLevel="0" collapsed="false">
      <c r="A160" s="0" t="n">
        <v>1.587</v>
      </c>
      <c r="B160" s="0" t="n">
        <v>2404.3</v>
      </c>
    </row>
    <row r="161" customFormat="false" ht="15" hidden="false" customHeight="false" outlineLevel="0" collapsed="false">
      <c r="A161" s="0" t="n">
        <v>1.5867</v>
      </c>
      <c r="B161" s="0" t="n">
        <v>2455.8</v>
      </c>
    </row>
    <row r="162" customFormat="false" ht="15" hidden="false" customHeight="false" outlineLevel="0" collapsed="false">
      <c r="A162" s="0" t="n">
        <v>1.5865</v>
      </c>
      <c r="B162" s="0" t="n">
        <v>2508.8</v>
      </c>
    </row>
    <row r="163" customFormat="false" ht="15" hidden="false" customHeight="false" outlineLevel="0" collapsed="false">
      <c r="A163" s="0" t="n">
        <v>1.5863</v>
      </c>
      <c r="B163" s="0" t="n">
        <v>2563.6</v>
      </c>
    </row>
    <row r="164" customFormat="false" ht="15" hidden="false" customHeight="false" outlineLevel="0" collapsed="false">
      <c r="A164" s="0" t="n">
        <v>1.5861</v>
      </c>
      <c r="B164" s="0" t="n">
        <v>2620.1</v>
      </c>
    </row>
    <row r="165" customFormat="false" ht="15" hidden="false" customHeight="false" outlineLevel="0" collapsed="false">
      <c r="A165" s="0" t="n">
        <v>1.5858</v>
      </c>
      <c r="B165" s="0" t="n">
        <v>2678.5</v>
      </c>
    </row>
    <row r="166" customFormat="false" ht="15" hidden="false" customHeight="false" outlineLevel="0" collapsed="false">
      <c r="A166" s="0" t="n">
        <v>1.5856</v>
      </c>
      <c r="B166" s="0" t="n">
        <v>2738.8</v>
      </c>
    </row>
    <row r="167" customFormat="false" ht="15" hidden="false" customHeight="false" outlineLevel="0" collapsed="false">
      <c r="A167" s="0" t="n">
        <v>1.5854</v>
      </c>
      <c r="B167" s="0" t="n">
        <v>2801</v>
      </c>
    </row>
    <row r="168" customFormat="false" ht="15" hidden="false" customHeight="false" outlineLevel="0" collapsed="false">
      <c r="A168" s="0" t="n">
        <v>1.5851</v>
      </c>
      <c r="B168" s="0" t="n">
        <v>2865.3</v>
      </c>
    </row>
    <row r="169" customFormat="false" ht="15" hidden="false" customHeight="false" outlineLevel="0" collapsed="false">
      <c r="A169" s="0" t="n">
        <v>1.5849</v>
      </c>
      <c r="B169" s="0" t="n">
        <v>2931.7</v>
      </c>
    </row>
    <row r="170" customFormat="false" ht="15" hidden="false" customHeight="false" outlineLevel="0" collapsed="false">
      <c r="A170" s="0" t="n">
        <v>1.5847</v>
      </c>
      <c r="B170" s="0" t="n">
        <v>3000.4</v>
      </c>
    </row>
    <row r="171" customFormat="false" ht="15" hidden="false" customHeight="false" outlineLevel="0" collapsed="false">
      <c r="A171" s="0" t="n">
        <v>1.5844</v>
      </c>
      <c r="B171" s="0" t="n">
        <v>3071.3</v>
      </c>
    </row>
    <row r="172" customFormat="false" ht="15" hidden="false" customHeight="false" outlineLevel="0" collapsed="false">
      <c r="A172" s="0" t="n">
        <v>1.5842</v>
      </c>
      <c r="B172" s="0" t="n">
        <v>3144.7</v>
      </c>
    </row>
    <row r="173" customFormat="false" ht="15" hidden="false" customHeight="false" outlineLevel="0" collapsed="false">
      <c r="A173" s="0" t="n">
        <v>1.584</v>
      </c>
      <c r="B173" s="0" t="n">
        <v>3220.5</v>
      </c>
    </row>
    <row r="174" customFormat="false" ht="15" hidden="false" customHeight="false" outlineLevel="0" collapsed="false">
      <c r="A174" s="0" t="n">
        <v>1.5837</v>
      </c>
      <c r="B174" s="0" t="n">
        <v>3298.9</v>
      </c>
    </row>
    <row r="175" customFormat="false" ht="15" hidden="false" customHeight="false" outlineLevel="0" collapsed="false">
      <c r="A175" s="0" t="n">
        <v>1.5835</v>
      </c>
      <c r="B175" s="0" t="n">
        <v>3380</v>
      </c>
    </row>
    <row r="176" customFormat="false" ht="15" hidden="false" customHeight="false" outlineLevel="0" collapsed="false">
      <c r="A176" s="0" t="n">
        <v>1.5833</v>
      </c>
      <c r="B176" s="0" t="n">
        <v>3463.9</v>
      </c>
    </row>
    <row r="177" customFormat="false" ht="15" hidden="false" customHeight="false" outlineLevel="0" collapsed="false">
      <c r="A177" s="0" t="n">
        <v>1.5831</v>
      </c>
      <c r="B177" s="0" t="n">
        <v>3550.8</v>
      </c>
    </row>
    <row r="178" customFormat="false" ht="15" hidden="false" customHeight="false" outlineLevel="0" collapsed="false">
      <c r="A178" s="0" t="n">
        <v>1.5828</v>
      </c>
      <c r="B178" s="0" t="n">
        <v>3640.7</v>
      </c>
    </row>
    <row r="179" customFormat="false" ht="15" hidden="false" customHeight="false" outlineLevel="0" collapsed="false">
      <c r="A179" s="0" t="n">
        <v>1.5826</v>
      </c>
      <c r="B179" s="0" t="n">
        <v>3733.7</v>
      </c>
    </row>
    <row r="180" customFormat="false" ht="15" hidden="false" customHeight="false" outlineLevel="0" collapsed="false">
      <c r="A180" s="0" t="n">
        <v>1.5824</v>
      </c>
      <c r="B180" s="0" t="n">
        <v>3830</v>
      </c>
    </row>
    <row r="181" customFormat="false" ht="15" hidden="false" customHeight="false" outlineLevel="0" collapsed="false">
      <c r="A181" s="0" t="n">
        <v>1.5821</v>
      </c>
      <c r="B181" s="0" t="n">
        <v>3929.8</v>
      </c>
    </row>
    <row r="182" customFormat="false" ht="15" hidden="false" customHeight="false" outlineLevel="0" collapsed="false">
      <c r="A182" s="0" t="n">
        <v>1.5819</v>
      </c>
      <c r="B182" s="0" t="n">
        <v>4033.1</v>
      </c>
    </row>
    <row r="183" customFormat="false" ht="15" hidden="false" customHeight="false" outlineLevel="0" collapsed="false">
      <c r="A183" s="0" t="n">
        <v>1.5817</v>
      </c>
      <c r="B183" s="0" t="n">
        <v>4140.1</v>
      </c>
    </row>
    <row r="184" customFormat="false" ht="15" hidden="false" customHeight="false" outlineLevel="0" collapsed="false">
      <c r="A184" s="0" t="n">
        <v>1.5814</v>
      </c>
      <c r="B184" s="0" t="n">
        <v>4251.1</v>
      </c>
    </row>
    <row r="185" customFormat="false" ht="15" hidden="false" customHeight="false" outlineLevel="0" collapsed="false">
      <c r="A185" s="0" t="n">
        <v>1.5812</v>
      </c>
      <c r="B185" s="0" t="n">
        <v>4366</v>
      </c>
    </row>
    <row r="186" customFormat="false" ht="15" hidden="false" customHeight="false" outlineLevel="0" collapsed="false">
      <c r="A186" s="0" t="n">
        <v>1.581</v>
      </c>
      <c r="B186" s="0" t="n">
        <v>4485.2</v>
      </c>
    </row>
    <row r="187" customFormat="false" ht="15" hidden="false" customHeight="false" outlineLevel="0" collapsed="false">
      <c r="A187" s="0" t="n">
        <v>1.5807</v>
      </c>
      <c r="B187" s="0" t="n">
        <v>4608.8</v>
      </c>
    </row>
    <row r="188" customFormat="false" ht="15" hidden="false" customHeight="false" outlineLevel="0" collapsed="false">
      <c r="A188" s="0" t="n">
        <v>1.5805</v>
      </c>
      <c r="B188" s="0" t="n">
        <v>4737</v>
      </c>
    </row>
    <row r="189" customFormat="false" ht="15" hidden="false" customHeight="false" outlineLevel="0" collapsed="false">
      <c r="A189" s="0" t="n">
        <v>1.5803</v>
      </c>
      <c r="B189" s="0" t="n">
        <v>4869.9</v>
      </c>
    </row>
    <row r="190" customFormat="false" ht="15" hidden="false" customHeight="false" outlineLevel="0" collapsed="false">
      <c r="A190" s="0" t="n">
        <v>1.5801</v>
      </c>
      <c r="B190" s="0" t="n">
        <v>5007.9</v>
      </c>
    </row>
    <row r="191" customFormat="false" ht="15" hidden="false" customHeight="false" outlineLevel="0" collapsed="false">
      <c r="A191" s="0" t="n">
        <v>1.5798</v>
      </c>
      <c r="B191" s="0" t="n">
        <v>5151.1</v>
      </c>
    </row>
    <row r="192" customFormat="false" ht="15" hidden="false" customHeight="false" outlineLevel="0" collapsed="false">
      <c r="A192" s="0" t="n">
        <v>1.5796</v>
      </c>
      <c r="B192" s="0" t="n">
        <v>5299.7</v>
      </c>
    </row>
    <row r="193" customFormat="false" ht="15" hidden="false" customHeight="false" outlineLevel="0" collapsed="false">
      <c r="A193" s="0" t="n">
        <v>1.5794</v>
      </c>
      <c r="B193" s="0" t="n">
        <v>5454</v>
      </c>
    </row>
    <row r="194" customFormat="false" ht="15" hidden="false" customHeight="false" outlineLevel="0" collapsed="false">
      <c r="A194" s="0" t="n">
        <v>1.5791</v>
      </c>
      <c r="B194" s="0" t="n">
        <v>5614.2</v>
      </c>
    </row>
    <row r="195" customFormat="false" ht="15" hidden="false" customHeight="false" outlineLevel="0" collapsed="false">
      <c r="A195" s="0" t="n">
        <v>1.5789</v>
      </c>
      <c r="B195" s="0" t="n">
        <v>5780.6</v>
      </c>
    </row>
    <row r="196" customFormat="false" ht="15" hidden="false" customHeight="false" outlineLevel="0" collapsed="false">
      <c r="A196" s="0" t="n">
        <v>1.5787</v>
      </c>
      <c r="B196" s="0" t="n">
        <v>5953.5</v>
      </c>
    </row>
    <row r="197" customFormat="false" ht="15" hidden="false" customHeight="false" outlineLevel="0" collapsed="false">
      <c r="A197" s="0" t="n">
        <v>1.5784</v>
      </c>
      <c r="B197" s="0" t="n">
        <v>6133.2</v>
      </c>
    </row>
    <row r="198" customFormat="false" ht="15" hidden="false" customHeight="false" outlineLevel="0" collapsed="false">
      <c r="A198" s="0" t="n">
        <v>1.5782</v>
      </c>
      <c r="B198" s="0" t="n">
        <v>6320</v>
      </c>
    </row>
    <row r="199" customFormat="false" ht="15" hidden="false" customHeight="false" outlineLevel="0" collapsed="false">
      <c r="A199" s="0" t="n">
        <v>1.578</v>
      </c>
      <c r="B199" s="0" t="n">
        <v>6514.2</v>
      </c>
    </row>
    <row r="200" customFormat="false" ht="15" hidden="false" customHeight="false" outlineLevel="0" collapsed="false">
      <c r="A200" s="0" t="n">
        <v>1.5778</v>
      </c>
      <c r="B200" s="0" t="n">
        <v>6716.1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95" zoomScaleNormal="95" zoomScalePageLayoutView="100" workbookViewId="0">
      <selection pane="topLeft" activeCell="D10" activeCellId="1" sqref="I7:I16 D10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A1" s="4" t="n">
        <v>544.267702312281</v>
      </c>
      <c r="B1" s="5" t="n">
        <v>10.3933333333333</v>
      </c>
    </row>
    <row r="2" customFormat="false" ht="15" hidden="false" customHeight="false" outlineLevel="0" collapsed="false">
      <c r="A2" s="4"/>
      <c r="B2" s="5"/>
    </row>
    <row r="3" customFormat="false" ht="15" hidden="false" customHeight="false" outlineLevel="0" collapsed="false">
      <c r="A3" s="4"/>
      <c r="B3" s="5"/>
    </row>
    <row r="4" customFormat="false" ht="15" hidden="false" customHeight="false" outlineLevel="0" collapsed="false">
      <c r="A4" s="4" t="n">
        <v>553.538571030633</v>
      </c>
      <c r="B4" s="5" t="n">
        <v>10.38</v>
      </c>
    </row>
    <row r="5" customFormat="false" ht="15" hidden="false" customHeight="false" outlineLevel="0" collapsed="false">
      <c r="A5" s="4"/>
      <c r="B5" s="5"/>
    </row>
    <row r="6" customFormat="false" ht="15" hidden="false" customHeight="false" outlineLevel="0" collapsed="false">
      <c r="A6" s="4"/>
      <c r="B6" s="5"/>
    </row>
    <row r="7" customFormat="false" ht="15" hidden="false" customHeight="false" outlineLevel="0" collapsed="false">
      <c r="A7" s="4" t="n">
        <v>564.686627449177</v>
      </c>
      <c r="B7" s="5" t="n">
        <v>9.84333333333333</v>
      </c>
    </row>
    <row r="8" customFormat="false" ht="15" hidden="false" customHeight="false" outlineLevel="0" collapsed="false">
      <c r="A8" s="4"/>
      <c r="B8" s="5"/>
    </row>
    <row r="9" customFormat="false" ht="15" hidden="false" customHeight="false" outlineLevel="0" collapsed="false">
      <c r="A9" s="4"/>
      <c r="B9" s="5"/>
    </row>
    <row r="10" customFormat="false" ht="15" hidden="false" customHeight="false" outlineLevel="0" collapsed="false">
      <c r="A10" s="4" t="n">
        <v>581.45567126196</v>
      </c>
      <c r="B10" s="5" t="n">
        <v>8.72333333333333</v>
      </c>
    </row>
    <row r="11" customFormat="false" ht="15" hidden="false" customHeight="false" outlineLevel="0" collapsed="false">
      <c r="A11" s="4"/>
      <c r="B11" s="5"/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4" t="n">
        <v>617.041266904653</v>
      </c>
      <c r="B13" s="5" t="n">
        <v>7.79333333333333</v>
      </c>
    </row>
    <row r="14" customFormat="false" ht="15" hidden="false" customHeight="false" outlineLevel="0" collapsed="false">
      <c r="A14" s="4"/>
      <c r="B14" s="5"/>
    </row>
    <row r="15" customFormat="false" ht="15" hidden="false" customHeight="false" outlineLevel="0" collapsed="false">
      <c r="A15" s="4"/>
      <c r="B15" s="5"/>
    </row>
    <row r="16" customFormat="false" ht="15" hidden="false" customHeight="false" outlineLevel="0" collapsed="false">
      <c r="A16" s="4" t="n">
        <v>654.768363763633</v>
      </c>
      <c r="B16" s="5" t="n">
        <v>5.55666666666667</v>
      </c>
    </row>
    <row r="17" customFormat="false" ht="15" hidden="false" customHeight="false" outlineLevel="0" collapsed="false">
      <c r="A17" s="4"/>
      <c r="B17" s="5"/>
    </row>
    <row r="18" customFormat="false" ht="15" hidden="false" customHeight="false" outlineLevel="0" collapsed="false">
      <c r="A18" s="4"/>
      <c r="B18" s="5"/>
    </row>
    <row r="19" customFormat="false" ht="15" hidden="false" customHeight="false" outlineLevel="0" collapsed="false">
      <c r="A19" s="4" t="n">
        <v>694.676038376077</v>
      </c>
      <c r="B19" s="5" t="n">
        <v>3.67333333333333</v>
      </c>
    </row>
    <row r="20" customFormat="false" ht="15" hidden="false" customHeight="false" outlineLevel="0" collapsed="false">
      <c r="A20" s="4"/>
      <c r="B20" s="5"/>
    </row>
    <row r="21" customFormat="false" ht="15" hidden="false" customHeight="false" outlineLevel="0" collapsed="false">
      <c r="A21" s="4"/>
      <c r="B21" s="5"/>
    </row>
    <row r="22" customFormat="false" ht="15" hidden="false" customHeight="false" outlineLevel="0" collapsed="false">
      <c r="A22" s="4" t="n">
        <v>736.804733502038</v>
      </c>
      <c r="B22" s="5" t="n">
        <v>2.23666666666667</v>
      </c>
    </row>
    <row r="23" customFormat="false" ht="15" hidden="false" customHeight="false" outlineLevel="0" collapsed="false">
      <c r="A23" s="4"/>
      <c r="B23" s="5"/>
    </row>
    <row r="24" customFormat="false" ht="15" hidden="false" customHeight="false" outlineLevel="0" collapsed="false">
      <c r="A24" s="4"/>
      <c r="B24" s="5"/>
    </row>
    <row r="25" customFormat="false" ht="15" hidden="false" customHeight="false" outlineLevel="0" collapsed="false">
      <c r="A25" s="4" t="n">
        <v>777.322005894024</v>
      </c>
      <c r="B25" s="5" t="n">
        <v>1.21333333333333</v>
      </c>
    </row>
    <row r="26" customFormat="false" ht="15" hidden="false" customHeight="false" outlineLevel="0" collapsed="false">
      <c r="A26" s="4"/>
      <c r="B26" s="5"/>
    </row>
    <row r="27" customFormat="false" ht="15" hidden="false" customHeight="false" outlineLevel="0" collapsed="false">
      <c r="A27" s="4"/>
      <c r="B27" s="5"/>
    </row>
    <row r="28" customFormat="false" ht="15" hidden="false" customHeight="false" outlineLevel="0" collapsed="false">
      <c r="A28" s="4" t="n">
        <v>847.462632876101</v>
      </c>
      <c r="B28" s="5" t="n">
        <v>0.313333333333333</v>
      </c>
    </row>
    <row r="29" customFormat="false" ht="15" hidden="false" customHeight="false" outlineLevel="0" collapsed="false">
      <c r="A29" s="4"/>
      <c r="B29" s="5"/>
    </row>
    <row r="30" customFormat="false" ht="15" hidden="false" customHeight="false" outlineLevel="0" collapsed="false">
      <c r="A30" s="4"/>
      <c r="B30" s="5"/>
    </row>
    <row r="31" customFormat="false" ht="15" hidden="false" customHeight="false" outlineLevel="0" collapsed="false">
      <c r="A31" s="4" t="n">
        <v>894.696657836375</v>
      </c>
      <c r="B31" s="5" t="n">
        <v>0.0266666666666667</v>
      </c>
    </row>
    <row r="32" customFormat="false" ht="15" hidden="false" customHeight="false" outlineLevel="0" collapsed="false">
      <c r="A32" s="4"/>
      <c r="B32" s="5"/>
    </row>
    <row r="33" customFormat="false" ht="15" hidden="false" customHeight="false" outlineLevel="0" collapsed="false">
      <c r="A33" s="4"/>
      <c r="B33" s="5"/>
    </row>
  </sheetData>
  <mergeCells count="22">
    <mergeCell ref="A1:A3"/>
    <mergeCell ref="B1:B3"/>
    <mergeCell ref="A4:A6"/>
    <mergeCell ref="B4:B6"/>
    <mergeCell ref="A7:A9"/>
    <mergeCell ref="B7:B9"/>
    <mergeCell ref="A10:A12"/>
    <mergeCell ref="B10:B12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2015-03-26T11:32:35Z</dcterms:created>
  <dc:creator>Joao Ferreira</dc:creator>
  <dc:language>en-US</dc:language>
  <cp:lastModifiedBy>Joao Ferreira</cp:lastModifiedBy>
  <dcterms:modified xsi:type="dcterms:W3CDTF">2015-04-10T00:09:06Z</dcterms:modified>
  <cp:revision>0</cp:revision>
</cp:coreProperties>
</file>