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8" firstSheet="0" activeTab="0"/>
  </bookViews>
  <sheets>
    <sheet name="Espetro da lampada" sheetId="1" state="visible" r:id="rId2"/>
    <sheet name="Wien" sheetId="2" state="visible" r:id="rId3"/>
    <sheet name="Stefan" sheetId="3" state="visible" r:id="rId4"/>
    <sheet name="Leslei" sheetId="4" state="visible" r:id="rId5"/>
    <sheet name="Sheet1" sheetId="5" state="visible" r:id="rId6"/>
    <sheet name="Sheet3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<sst xmlns="http://schemas.openxmlformats.org/spreadsheetml/2006/main" count="183" uniqueCount="94">
  <si>
    <t>Coisas do goniómetro</t>
  </si>
  <si>
    <t>coisas do henrique de integrais</t>
  </si>
  <si>
    <t>a partir do segundo </t>
  </si>
  <si>
    <t>α(rad)</t>
  </si>
  <si>
    <t>Υ(rad)</t>
  </si>
  <si>
    <t>θ</t>
  </si>
  <si>
    <t>D.minimo(max)</t>
  </si>
  <si>
    <t>D.minimo(min)</t>
  </si>
  <si>
    <t>Coisas da lâmpada</t>
  </si>
  <si>
    <t>(pequenas variações de temperatura)</t>
  </si>
  <si>
    <t>Rodrigo</t>
  </si>
  <si>
    <t>V(V)</t>
  </si>
  <si>
    <t>εV</t>
  </si>
  <si>
    <t>I</t>
  </si>
  <si>
    <t>εI</t>
  </si>
  <si>
    <t>R</t>
  </si>
  <si>
    <t>εR</t>
  </si>
  <si>
    <t>R/Rcerto</t>
  </si>
  <si>
    <t>T</t>
  </si>
  <si>
    <t>Henrique</t>
  </si>
  <si>
    <t>Cristina</t>
  </si>
  <si>
    <t>VALOR</t>
  </si>
  <si>
    <t>Itotal</t>
  </si>
  <si>
    <t>Ivisivel</t>
  </si>
  <si>
    <t>Efficiencia</t>
  </si>
  <si>
    <t>ERRO</t>
  </si>
  <si>
    <t>Espetro da lâmpada</t>
  </si>
  <si>
    <t>y = 6E+12x6 - 6E+13x5 + 2E+14x4 - 5E+14x3 + 6E+14x2 - 4E+14x + 1E+14</t>
  </si>
  <si>
    <t>ErroItotal</t>
  </si>
  <si>
    <t>ErroIvisivel</t>
  </si>
  <si>
    <t>Erro Eficiencia</t>
  </si>
  <si>
    <t>h</t>
  </si>
  <si>
    <t>c</t>
  </si>
  <si>
    <t>Kb</t>
  </si>
  <si>
    <t>Integrais</t>
  </si>
  <si>
    <t>Erros</t>
  </si>
  <si>
    <t>V</t>
  </si>
  <si>
    <t>τ máximo</t>
  </si>
  <si>
    <t>τ(rad)</t>
  </si>
  <si>
    <t>ετ(rad)</t>
  </si>
  <si>
    <t>θ(rad)</t>
  </si>
  <si>
    <t>εθ(rad)</t>
  </si>
  <si>
    <t>ang. Medido</t>
  </si>
  <si>
    <t>ang. Medido s</t>
  </si>
  <si>
    <t>δ(rad)</t>
  </si>
  <si>
    <t>AUX Rodrigo</t>
  </si>
  <si>
    <t>εn</t>
  </si>
  <si>
    <t>n</t>
  </si>
  <si>
    <t>Λ(m)</t>
  </si>
  <si>
    <t>εΛ</t>
  </si>
  <si>
    <t>εV(rad)</t>
  </si>
  <si>
    <t>Λ--</t>
  </si>
  <si>
    <t>Λ++</t>
  </si>
  <si>
    <t>=</t>
  </si>
  <si>
    <t>Erro Itotal</t>
  </si>
  <si>
    <t>Erro Ivisivel</t>
  </si>
  <si>
    <t>Eficiencia</t>
  </si>
  <si>
    <t>δ_med</t>
  </si>
  <si>
    <t>εδ(rad)</t>
  </si>
  <si>
    <t>ErroEficiencia</t>
  </si>
  <si>
    <t>Sensor</t>
  </si>
  <si>
    <t>εT</t>
  </si>
  <si>
    <t>v(e-3)</t>
  </si>
  <si>
    <t>Preta</t>
  </si>
  <si>
    <t>Espelhada</t>
  </si>
  <si>
    <t>Branca A</t>
  </si>
  <si>
    <t>Branca B</t>
  </si>
  <si>
    <t>espelhada</t>
  </si>
  <si>
    <t>12.43</t>
  </si>
  <si>
    <t>0.66</t>
  </si>
  <si>
    <t>12.46</t>
  </si>
  <si>
    <t>3.46</t>
  </si>
  <si>
    <t>(12.54/94)</t>
  </si>
  <si>
    <t>resistência</t>
  </si>
  <si>
    <t>mcv</t>
  </si>
  <si>
    <t>temperatura ºc</t>
  </si>
  <si>
    <t>7.07</t>
  </si>
  <si>
    <t>0.26</t>
  </si>
  <si>
    <t>6.96</t>
  </si>
  <si>
    <t>(6.83/69)</t>
  </si>
  <si>
    <t>10.19k</t>
  </si>
  <si>
    <t>0.23e-3</t>
  </si>
  <si>
    <t>96.7k</t>
  </si>
  <si>
    <t>0.36</t>
  </si>
  <si>
    <t>89.1k</t>
  </si>
  <si>
    <t>0.40</t>
  </si>
  <si>
    <t>81.2</t>
  </si>
  <si>
    <t>0.50</t>
  </si>
  <si>
    <t>73.7</t>
  </si>
  <si>
    <t>0.43</t>
  </si>
  <si>
    <t>68.8</t>
  </si>
  <si>
    <t>0.38</t>
  </si>
  <si>
    <t>59.5</t>
  </si>
  <si>
    <t>0.34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</si>
</sst>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name val="Calibri"/>
      <family val="2"/>
      <charset val="1"/>
    </font>
    <font>
      <sz val="13"/>
      <color rgb="FF222222"/>
      <name val="Consolas"/>
      <family val="2"/>
      <charset val="1"/>
    </font>
    <font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B3A2C7"/>
        <bgColor rgb="FFB1A0C7"/>
      </patternFill>
    </fill>
    <fill>
      <patternFill patternType="solid">
        <fgColor rgb="FFE6E0EC"/>
        <bgColor rgb="FFE4DFEC"/>
      </patternFill>
    </fill>
    <fill>
      <patternFill patternType="solid">
        <fgColor rgb="FF9BBB59"/>
        <bgColor rgb="FF95B3D7"/>
      </patternFill>
    </fill>
    <fill>
      <patternFill patternType="solid">
        <fgColor rgb="FFC0504D"/>
        <bgColor rgb="FF993366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CD5B4"/>
      </patternFill>
    </fill>
    <fill>
      <patternFill patternType="solid">
        <fgColor rgb="FFFCD5B4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3CDDD"/>
      </patternFill>
    </fill>
    <fill>
      <patternFill patternType="solid">
        <fgColor rgb="FFDCE6F2"/>
        <bgColor rgb="FFE4DFEC"/>
      </patternFill>
    </fill>
    <fill>
      <patternFill patternType="solid">
        <fgColor rgb="FFFF0000"/>
        <bgColor rgb="FF993300"/>
      </patternFill>
    </fill>
    <fill>
      <patternFill patternType="solid">
        <fgColor rgb="FF008000"/>
        <bgColor rgb="FF008080"/>
      </patternFill>
    </fill>
    <fill>
      <patternFill patternType="solid">
        <fgColor rgb="FF3399FF"/>
        <bgColor rgb="FF4BACC6"/>
      </patternFill>
    </fill>
    <fill>
      <patternFill patternType="solid">
        <fgColor rgb="FFFDEADA"/>
        <bgColor rgb="FFFDE9D9"/>
      </patternFill>
    </fill>
    <fill>
      <patternFill patternType="solid">
        <fgColor rgb="FF93CDDD"/>
        <bgColor rgb="FF99CCFF"/>
      </patternFill>
    </fill>
    <fill>
      <patternFill patternType="solid">
        <fgColor rgb="FF4BACC6"/>
        <bgColor rgb="FF3399FF"/>
      </patternFill>
    </fill>
    <fill>
      <patternFill patternType="solid">
        <fgColor rgb="FFFDE9D9"/>
        <bgColor rgb="FFFDEADA"/>
      </patternFill>
    </fill>
    <fill>
      <patternFill patternType="solid">
        <fgColor rgb="FFB1A0C7"/>
        <bgColor rgb="FFB3A2C7"/>
      </patternFill>
    </fill>
    <fill>
      <patternFill patternType="solid">
        <fgColor rgb="FFE4DFEC"/>
        <bgColor rgb="FFE6E0EC"/>
      </patternFill>
    </fill>
    <fill>
      <patternFill patternType="solid">
        <fgColor rgb="FFD7E4BD"/>
        <bgColor rgb="FFE4DFE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DDD"/>
      <rgbColor rgb="FF878787"/>
      <rgbColor rgb="FF95B3D7"/>
      <rgbColor rgb="FFC0504D"/>
      <rgbColor rgb="FFEBF1DE"/>
      <rgbColor rgb="FFDCE6F2"/>
      <rgbColor rgb="FF660066"/>
      <rgbColor rgb="FFFF8080"/>
      <rgbColor rgb="FF0066CC"/>
      <rgbColor rgb="FFE4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7E4BD"/>
      <rgbColor rgb="FFFDE9D9"/>
      <rgbColor rgb="FF99CCFF"/>
      <rgbColor rgb="FFFCD5B5"/>
      <rgbColor rgb="FFB3A2C7"/>
      <rgbColor rgb="FFFCD5B4"/>
      <rgbColor rgb="FF3399FF"/>
      <rgbColor rgb="FF4BACC6"/>
      <rgbColor rgb="FF9BBB59"/>
      <rgbColor rgb="FFFFCC00"/>
      <rgbColor rgb="FFF79646"/>
      <rgbColor rgb="FFFF6600"/>
      <rgbColor rgb="FF666699"/>
      <rgbColor rgb="FFB1A0C7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6"/>
            <c:forward val="0"/>
            <c:backward val="0"/>
            <c:dispRSqr val="1"/>
            <c:dispEq val="1"/>
          </c:trendline>
          <c:xVal>
            <c:numRef>
              <c:f>Sheet1!$A$1:$A$200</c:f>
              <c:numCache>
                <c:formatCode>General</c:formatCode>
                <c:ptCount val="200"/>
                <c:pt idx="0">
                  <c:v>1.6242</c:v>
                </c:pt>
                <c:pt idx="1">
                  <c:v>1.6239</c:v>
                </c:pt>
                <c:pt idx="2">
                  <c:v>1.6237</c:v>
                </c:pt>
                <c:pt idx="3">
                  <c:v>1.6235</c:v>
                </c:pt>
                <c:pt idx="4">
                  <c:v>1.6232</c:v>
                </c:pt>
                <c:pt idx="5">
                  <c:v>1.623</c:v>
                </c:pt>
                <c:pt idx="6">
                  <c:v>1.6228</c:v>
                </c:pt>
                <c:pt idx="7">
                  <c:v>1.6225</c:v>
                </c:pt>
                <c:pt idx="8">
                  <c:v>1.6223</c:v>
                </c:pt>
                <c:pt idx="9">
                  <c:v>1.6221</c:v>
                </c:pt>
                <c:pt idx="10">
                  <c:v>1.6218</c:v>
                </c:pt>
                <c:pt idx="11">
                  <c:v>1.6216</c:v>
                </c:pt>
                <c:pt idx="12">
                  <c:v>1.6213</c:v>
                </c:pt>
                <c:pt idx="13">
                  <c:v>1.6211</c:v>
                </c:pt>
                <c:pt idx="14">
                  <c:v>1.6209</c:v>
                </c:pt>
                <c:pt idx="15">
                  <c:v>1.6206</c:v>
                </c:pt>
                <c:pt idx="16">
                  <c:v>1.6204</c:v>
                </c:pt>
                <c:pt idx="17">
                  <c:v>1.6202</c:v>
                </c:pt>
                <c:pt idx="18">
                  <c:v>1.6199</c:v>
                </c:pt>
                <c:pt idx="19">
                  <c:v>1.6197</c:v>
                </c:pt>
                <c:pt idx="20">
                  <c:v>1.6195</c:v>
                </c:pt>
                <c:pt idx="21">
                  <c:v>1.6192</c:v>
                </c:pt>
                <c:pt idx="22">
                  <c:v>1.619</c:v>
                </c:pt>
                <c:pt idx="23">
                  <c:v>1.6187</c:v>
                </c:pt>
                <c:pt idx="24">
                  <c:v>1.6185</c:v>
                </c:pt>
                <c:pt idx="25">
                  <c:v>1.6183</c:v>
                </c:pt>
                <c:pt idx="26">
                  <c:v>1.618</c:v>
                </c:pt>
                <c:pt idx="27">
                  <c:v>1.6178</c:v>
                </c:pt>
                <c:pt idx="28">
                  <c:v>1.6176</c:v>
                </c:pt>
                <c:pt idx="29">
                  <c:v>1.6173</c:v>
                </c:pt>
                <c:pt idx="30">
                  <c:v>1.6171</c:v>
                </c:pt>
                <c:pt idx="31">
                  <c:v>1.6169</c:v>
                </c:pt>
                <c:pt idx="32">
                  <c:v>1.6166</c:v>
                </c:pt>
                <c:pt idx="33">
                  <c:v>1.6164</c:v>
                </c:pt>
                <c:pt idx="34">
                  <c:v>1.6162</c:v>
                </c:pt>
                <c:pt idx="35">
                  <c:v>1.6159</c:v>
                </c:pt>
                <c:pt idx="36">
                  <c:v>1.6157</c:v>
                </c:pt>
                <c:pt idx="37">
                  <c:v>1.6154</c:v>
                </c:pt>
                <c:pt idx="38">
                  <c:v>1.6152</c:v>
                </c:pt>
                <c:pt idx="39">
                  <c:v>1.615</c:v>
                </c:pt>
                <c:pt idx="40">
                  <c:v>1.6147</c:v>
                </c:pt>
                <c:pt idx="41">
                  <c:v>1.6145</c:v>
                </c:pt>
                <c:pt idx="42">
                  <c:v>1.6143</c:v>
                </c:pt>
                <c:pt idx="43">
                  <c:v>1.614</c:v>
                </c:pt>
                <c:pt idx="44">
                  <c:v>1.6138</c:v>
                </c:pt>
                <c:pt idx="45">
                  <c:v>1.6136</c:v>
                </c:pt>
                <c:pt idx="46">
                  <c:v>1.6133</c:v>
                </c:pt>
                <c:pt idx="47">
                  <c:v>1.6131</c:v>
                </c:pt>
                <c:pt idx="48">
                  <c:v>1.6129</c:v>
                </c:pt>
                <c:pt idx="49">
                  <c:v>1.6126</c:v>
                </c:pt>
                <c:pt idx="50">
                  <c:v>1.6124</c:v>
                </c:pt>
                <c:pt idx="51">
                  <c:v>1.6122</c:v>
                </c:pt>
                <c:pt idx="52">
                  <c:v>1.6119</c:v>
                </c:pt>
                <c:pt idx="53">
                  <c:v>1.6117</c:v>
                </c:pt>
                <c:pt idx="54">
                  <c:v>1.6114</c:v>
                </c:pt>
                <c:pt idx="55">
                  <c:v>1.6112</c:v>
                </c:pt>
                <c:pt idx="56">
                  <c:v>1.611</c:v>
                </c:pt>
                <c:pt idx="57">
                  <c:v>1.6107</c:v>
                </c:pt>
                <c:pt idx="58">
                  <c:v>1.6105</c:v>
                </c:pt>
                <c:pt idx="59">
                  <c:v>1.6103</c:v>
                </c:pt>
                <c:pt idx="60">
                  <c:v>1.61</c:v>
                </c:pt>
                <c:pt idx="61">
                  <c:v>1.6098</c:v>
                </c:pt>
                <c:pt idx="62">
                  <c:v>1.6096</c:v>
                </c:pt>
                <c:pt idx="63">
                  <c:v>1.6093</c:v>
                </c:pt>
                <c:pt idx="64">
                  <c:v>1.6091</c:v>
                </c:pt>
                <c:pt idx="65">
                  <c:v>1.6089</c:v>
                </c:pt>
                <c:pt idx="66">
                  <c:v>1.6086</c:v>
                </c:pt>
                <c:pt idx="67">
                  <c:v>1.6084</c:v>
                </c:pt>
                <c:pt idx="68">
                  <c:v>1.6082</c:v>
                </c:pt>
                <c:pt idx="69">
                  <c:v>1.6079</c:v>
                </c:pt>
                <c:pt idx="70">
                  <c:v>1.6077</c:v>
                </c:pt>
                <c:pt idx="71">
                  <c:v>1.6075</c:v>
                </c:pt>
                <c:pt idx="72">
                  <c:v>1.6072</c:v>
                </c:pt>
                <c:pt idx="73">
                  <c:v>1.607</c:v>
                </c:pt>
                <c:pt idx="74">
                  <c:v>1.6068</c:v>
                </c:pt>
                <c:pt idx="75">
                  <c:v>1.6065</c:v>
                </c:pt>
                <c:pt idx="76">
                  <c:v>1.6063</c:v>
                </c:pt>
                <c:pt idx="77">
                  <c:v>1.6061</c:v>
                </c:pt>
                <c:pt idx="78">
                  <c:v>1.6058</c:v>
                </c:pt>
                <c:pt idx="79">
                  <c:v>1.6056</c:v>
                </c:pt>
                <c:pt idx="80">
                  <c:v>1.6054</c:v>
                </c:pt>
                <c:pt idx="81">
                  <c:v>1.6051</c:v>
                </c:pt>
                <c:pt idx="82">
                  <c:v>1.6049</c:v>
                </c:pt>
                <c:pt idx="83">
                  <c:v>1.6047</c:v>
                </c:pt>
                <c:pt idx="84">
                  <c:v>1.6044</c:v>
                </c:pt>
                <c:pt idx="85">
                  <c:v>1.6042</c:v>
                </c:pt>
                <c:pt idx="86">
                  <c:v>1.604</c:v>
                </c:pt>
                <c:pt idx="87">
                  <c:v>1.6037</c:v>
                </c:pt>
                <c:pt idx="88">
                  <c:v>1.6035</c:v>
                </c:pt>
                <c:pt idx="89">
                  <c:v>1.6033</c:v>
                </c:pt>
                <c:pt idx="90">
                  <c:v>1.603</c:v>
                </c:pt>
                <c:pt idx="91">
                  <c:v>1.6028</c:v>
                </c:pt>
                <c:pt idx="92">
                  <c:v>1.6025</c:v>
                </c:pt>
                <c:pt idx="93">
                  <c:v>1.6023</c:v>
                </c:pt>
                <c:pt idx="94">
                  <c:v>1.6021</c:v>
                </c:pt>
                <c:pt idx="95">
                  <c:v>1.6018</c:v>
                </c:pt>
                <c:pt idx="96">
                  <c:v>1.6016</c:v>
                </c:pt>
                <c:pt idx="97">
                  <c:v>1.6014</c:v>
                </c:pt>
                <c:pt idx="98">
                  <c:v>1.6011</c:v>
                </c:pt>
                <c:pt idx="99">
                  <c:v>1.6009</c:v>
                </c:pt>
                <c:pt idx="100">
                  <c:v>1.6007</c:v>
                </c:pt>
                <c:pt idx="101">
                  <c:v>1.6004</c:v>
                </c:pt>
                <c:pt idx="102">
                  <c:v>1.6002</c:v>
                </c:pt>
                <c:pt idx="103">
                  <c:v>1.6</c:v>
                </c:pt>
                <c:pt idx="104">
                  <c:v>1.5997</c:v>
                </c:pt>
                <c:pt idx="105">
                  <c:v>1.5995</c:v>
                </c:pt>
                <c:pt idx="106">
                  <c:v>1.5993</c:v>
                </c:pt>
                <c:pt idx="107">
                  <c:v>1.5991</c:v>
                </c:pt>
                <c:pt idx="108">
                  <c:v>1.5988</c:v>
                </c:pt>
                <c:pt idx="109">
                  <c:v>1.5986</c:v>
                </c:pt>
                <c:pt idx="110">
                  <c:v>1.5984</c:v>
                </c:pt>
                <c:pt idx="111">
                  <c:v>1.5981</c:v>
                </c:pt>
                <c:pt idx="112">
                  <c:v>1.5979</c:v>
                </c:pt>
                <c:pt idx="113">
                  <c:v>1.5977</c:v>
                </c:pt>
                <c:pt idx="114">
                  <c:v>1.5974</c:v>
                </c:pt>
                <c:pt idx="115">
                  <c:v>1.5972</c:v>
                </c:pt>
                <c:pt idx="116">
                  <c:v>1.597</c:v>
                </c:pt>
                <c:pt idx="117">
                  <c:v>1.5967</c:v>
                </c:pt>
                <c:pt idx="118">
                  <c:v>1.5965</c:v>
                </c:pt>
                <c:pt idx="119">
                  <c:v>1.5963</c:v>
                </c:pt>
                <c:pt idx="120">
                  <c:v>1.596</c:v>
                </c:pt>
                <c:pt idx="121">
                  <c:v>1.5958</c:v>
                </c:pt>
                <c:pt idx="122">
                  <c:v>1.5956</c:v>
                </c:pt>
                <c:pt idx="123">
                  <c:v>1.5953</c:v>
                </c:pt>
                <c:pt idx="124">
                  <c:v>1.5951</c:v>
                </c:pt>
                <c:pt idx="125">
                  <c:v>1.5949</c:v>
                </c:pt>
                <c:pt idx="126">
                  <c:v>1.5946</c:v>
                </c:pt>
                <c:pt idx="127">
                  <c:v>1.5944</c:v>
                </c:pt>
                <c:pt idx="128">
                  <c:v>1.5942</c:v>
                </c:pt>
                <c:pt idx="129">
                  <c:v>1.5939</c:v>
                </c:pt>
                <c:pt idx="130">
                  <c:v>1.5937</c:v>
                </c:pt>
                <c:pt idx="131">
                  <c:v>1.5935</c:v>
                </c:pt>
                <c:pt idx="132">
                  <c:v>1.5932</c:v>
                </c:pt>
                <c:pt idx="133">
                  <c:v>1.593</c:v>
                </c:pt>
                <c:pt idx="134">
                  <c:v>1.5928</c:v>
                </c:pt>
                <c:pt idx="135">
                  <c:v>1.5925</c:v>
                </c:pt>
                <c:pt idx="136">
                  <c:v>1.5923</c:v>
                </c:pt>
                <c:pt idx="137">
                  <c:v>1.5921</c:v>
                </c:pt>
                <c:pt idx="138">
                  <c:v>1.5918</c:v>
                </c:pt>
                <c:pt idx="139">
                  <c:v>1.5916</c:v>
                </c:pt>
                <c:pt idx="140">
                  <c:v>1.5914</c:v>
                </c:pt>
                <c:pt idx="141">
                  <c:v>1.5911</c:v>
                </c:pt>
                <c:pt idx="142">
                  <c:v>1.5909</c:v>
                </c:pt>
                <c:pt idx="143">
                  <c:v>1.5907</c:v>
                </c:pt>
                <c:pt idx="144">
                  <c:v>1.5905</c:v>
                </c:pt>
                <c:pt idx="145">
                  <c:v>1.5902</c:v>
                </c:pt>
                <c:pt idx="146">
                  <c:v>1.59</c:v>
                </c:pt>
                <c:pt idx="147">
                  <c:v>1.5898</c:v>
                </c:pt>
                <c:pt idx="148">
                  <c:v>1.5895</c:v>
                </c:pt>
                <c:pt idx="149">
                  <c:v>1.5893</c:v>
                </c:pt>
                <c:pt idx="150">
                  <c:v>1.5891</c:v>
                </c:pt>
                <c:pt idx="151">
                  <c:v>1.5888</c:v>
                </c:pt>
                <c:pt idx="152">
                  <c:v>1.5886</c:v>
                </c:pt>
                <c:pt idx="153">
                  <c:v>1.5884</c:v>
                </c:pt>
                <c:pt idx="154">
                  <c:v>1.5881</c:v>
                </c:pt>
                <c:pt idx="155">
                  <c:v>1.5879</c:v>
                </c:pt>
                <c:pt idx="156">
                  <c:v>1.5877</c:v>
                </c:pt>
                <c:pt idx="157">
                  <c:v>1.5874</c:v>
                </c:pt>
                <c:pt idx="158">
                  <c:v>1.5872</c:v>
                </c:pt>
                <c:pt idx="159">
                  <c:v>1.587</c:v>
                </c:pt>
                <c:pt idx="160">
                  <c:v>1.5867</c:v>
                </c:pt>
                <c:pt idx="161">
                  <c:v>1.5865</c:v>
                </c:pt>
                <c:pt idx="162">
                  <c:v>1.5863</c:v>
                </c:pt>
                <c:pt idx="163">
                  <c:v>1.5861</c:v>
                </c:pt>
                <c:pt idx="164">
                  <c:v>1.5858</c:v>
                </c:pt>
                <c:pt idx="165">
                  <c:v>1.5856</c:v>
                </c:pt>
                <c:pt idx="166">
                  <c:v>1.5854</c:v>
                </c:pt>
                <c:pt idx="167">
                  <c:v>1.5851</c:v>
                </c:pt>
                <c:pt idx="168">
                  <c:v>1.5849</c:v>
                </c:pt>
                <c:pt idx="169">
                  <c:v>1.5847</c:v>
                </c:pt>
                <c:pt idx="170">
                  <c:v>1.5844</c:v>
                </c:pt>
                <c:pt idx="171">
                  <c:v>1.5842</c:v>
                </c:pt>
                <c:pt idx="172">
                  <c:v>1.584</c:v>
                </c:pt>
                <c:pt idx="173">
                  <c:v>1.5837</c:v>
                </c:pt>
                <c:pt idx="174">
                  <c:v>1.5835</c:v>
                </c:pt>
                <c:pt idx="175">
                  <c:v>1.5833</c:v>
                </c:pt>
                <c:pt idx="176">
                  <c:v>1.5831</c:v>
                </c:pt>
                <c:pt idx="177">
                  <c:v>1.5828</c:v>
                </c:pt>
                <c:pt idx="178">
                  <c:v>1.5826</c:v>
                </c:pt>
                <c:pt idx="179">
                  <c:v>1.5824</c:v>
                </c:pt>
                <c:pt idx="180">
                  <c:v>1.5821</c:v>
                </c:pt>
                <c:pt idx="181">
                  <c:v>1.5819</c:v>
                </c:pt>
                <c:pt idx="182">
                  <c:v>1.5817</c:v>
                </c:pt>
                <c:pt idx="183">
                  <c:v>1.5814</c:v>
                </c:pt>
                <c:pt idx="184">
                  <c:v>1.5812</c:v>
                </c:pt>
                <c:pt idx="185">
                  <c:v>1.581</c:v>
                </c:pt>
                <c:pt idx="186">
                  <c:v>1.5807</c:v>
                </c:pt>
                <c:pt idx="187">
                  <c:v>1.5805</c:v>
                </c:pt>
                <c:pt idx="188">
                  <c:v>1.5803</c:v>
                </c:pt>
                <c:pt idx="189">
                  <c:v>1.5801</c:v>
                </c:pt>
                <c:pt idx="190">
                  <c:v>1.5798</c:v>
                </c:pt>
                <c:pt idx="191">
                  <c:v>1.5796</c:v>
                </c:pt>
                <c:pt idx="192">
                  <c:v>1.5794</c:v>
                </c:pt>
                <c:pt idx="193">
                  <c:v>1.5791</c:v>
                </c:pt>
                <c:pt idx="194">
                  <c:v>1.5789</c:v>
                </c:pt>
                <c:pt idx="195">
                  <c:v>1.5787</c:v>
                </c:pt>
                <c:pt idx="196">
                  <c:v>1.5784</c:v>
                </c:pt>
                <c:pt idx="197">
                  <c:v>1.5782</c:v>
                </c:pt>
                <c:pt idx="198">
                  <c:v>1.578</c:v>
                </c:pt>
                <c:pt idx="199">
                  <c:v>1.5778</c:v>
                </c:pt>
              </c:numCache>
            </c:numRef>
          </c:xVal>
          <c:yVal>
            <c:numRef>
              <c:f>Sheet1!$B$1:$B$200</c:f>
              <c:numCache>
                <c:formatCode>General</c:formatCode>
                <c:ptCount val="200"/>
                <c:pt idx="0">
                  <c:v>515.1</c:v>
                </c:pt>
                <c:pt idx="1">
                  <c:v>517.1</c:v>
                </c:pt>
                <c:pt idx="2">
                  <c:v>519.2</c:v>
                </c:pt>
                <c:pt idx="3">
                  <c:v>521.2</c:v>
                </c:pt>
                <c:pt idx="4">
                  <c:v>523.3</c:v>
                </c:pt>
                <c:pt idx="5">
                  <c:v>525.3</c:v>
                </c:pt>
                <c:pt idx="6">
                  <c:v>527.4</c:v>
                </c:pt>
                <c:pt idx="7">
                  <c:v>529.5</c:v>
                </c:pt>
                <c:pt idx="8">
                  <c:v>531.6</c:v>
                </c:pt>
                <c:pt idx="9">
                  <c:v>533.8</c:v>
                </c:pt>
                <c:pt idx="10">
                  <c:v>535.9</c:v>
                </c:pt>
                <c:pt idx="11">
                  <c:v>538.1</c:v>
                </c:pt>
                <c:pt idx="12">
                  <c:v>540.3</c:v>
                </c:pt>
                <c:pt idx="13">
                  <c:v>542.5</c:v>
                </c:pt>
                <c:pt idx="14">
                  <c:v>544.7</c:v>
                </c:pt>
                <c:pt idx="15">
                  <c:v>546.9</c:v>
                </c:pt>
                <c:pt idx="16">
                  <c:v>549.2</c:v>
                </c:pt>
                <c:pt idx="17">
                  <c:v>551.4</c:v>
                </c:pt>
                <c:pt idx="18">
                  <c:v>553.7</c:v>
                </c:pt>
                <c:pt idx="19">
                  <c:v>556.1</c:v>
                </c:pt>
                <c:pt idx="20">
                  <c:v>558.4</c:v>
                </c:pt>
                <c:pt idx="21">
                  <c:v>560.8</c:v>
                </c:pt>
                <c:pt idx="22">
                  <c:v>563.2</c:v>
                </c:pt>
                <c:pt idx="23">
                  <c:v>565.6</c:v>
                </c:pt>
                <c:pt idx="24">
                  <c:v>568.1</c:v>
                </c:pt>
                <c:pt idx="25">
                  <c:v>570.6</c:v>
                </c:pt>
                <c:pt idx="26">
                  <c:v>573.1</c:v>
                </c:pt>
                <c:pt idx="27">
                  <c:v>575.7</c:v>
                </c:pt>
                <c:pt idx="28">
                  <c:v>578.3</c:v>
                </c:pt>
                <c:pt idx="29">
                  <c:v>580.9</c:v>
                </c:pt>
                <c:pt idx="30">
                  <c:v>583.5</c:v>
                </c:pt>
                <c:pt idx="31">
                  <c:v>586.2</c:v>
                </c:pt>
                <c:pt idx="32">
                  <c:v>589</c:v>
                </c:pt>
                <c:pt idx="33">
                  <c:v>591.7</c:v>
                </c:pt>
                <c:pt idx="34">
                  <c:v>594.6</c:v>
                </c:pt>
                <c:pt idx="35">
                  <c:v>597.4</c:v>
                </c:pt>
                <c:pt idx="36">
                  <c:v>600.3</c:v>
                </c:pt>
                <c:pt idx="37">
                  <c:v>603.3</c:v>
                </c:pt>
                <c:pt idx="38">
                  <c:v>606.2</c:v>
                </c:pt>
                <c:pt idx="39">
                  <c:v>609.3</c:v>
                </c:pt>
                <c:pt idx="40">
                  <c:v>612.4</c:v>
                </c:pt>
                <c:pt idx="41">
                  <c:v>615.5</c:v>
                </c:pt>
                <c:pt idx="42">
                  <c:v>618.7</c:v>
                </c:pt>
                <c:pt idx="43">
                  <c:v>621.9</c:v>
                </c:pt>
                <c:pt idx="44">
                  <c:v>625.2</c:v>
                </c:pt>
                <c:pt idx="45">
                  <c:v>628.5</c:v>
                </c:pt>
                <c:pt idx="46">
                  <c:v>631.9</c:v>
                </c:pt>
                <c:pt idx="47">
                  <c:v>635.4</c:v>
                </c:pt>
                <c:pt idx="48">
                  <c:v>638.9</c:v>
                </c:pt>
                <c:pt idx="49">
                  <c:v>642.5</c:v>
                </c:pt>
                <c:pt idx="50">
                  <c:v>646.1</c:v>
                </c:pt>
                <c:pt idx="51">
                  <c:v>649.8</c:v>
                </c:pt>
                <c:pt idx="52">
                  <c:v>653.6</c:v>
                </c:pt>
                <c:pt idx="53">
                  <c:v>657.5</c:v>
                </c:pt>
                <c:pt idx="54">
                  <c:v>661.4</c:v>
                </c:pt>
                <c:pt idx="55">
                  <c:v>665.4</c:v>
                </c:pt>
                <c:pt idx="56">
                  <c:v>669.4</c:v>
                </c:pt>
                <c:pt idx="57">
                  <c:v>673.6</c:v>
                </c:pt>
                <c:pt idx="58">
                  <c:v>677.8</c:v>
                </c:pt>
                <c:pt idx="59">
                  <c:v>682.1</c:v>
                </c:pt>
                <c:pt idx="60">
                  <c:v>686.5</c:v>
                </c:pt>
                <c:pt idx="61">
                  <c:v>690.9</c:v>
                </c:pt>
                <c:pt idx="62">
                  <c:v>695.5</c:v>
                </c:pt>
                <c:pt idx="63">
                  <c:v>700.1</c:v>
                </c:pt>
                <c:pt idx="64">
                  <c:v>704.8</c:v>
                </c:pt>
                <c:pt idx="65">
                  <c:v>709.7</c:v>
                </c:pt>
                <c:pt idx="66">
                  <c:v>714.6</c:v>
                </c:pt>
                <c:pt idx="67">
                  <c:v>719.6</c:v>
                </c:pt>
                <c:pt idx="68">
                  <c:v>724.7</c:v>
                </c:pt>
                <c:pt idx="69">
                  <c:v>730</c:v>
                </c:pt>
                <c:pt idx="70">
                  <c:v>735.3</c:v>
                </c:pt>
                <c:pt idx="71">
                  <c:v>740.7</c:v>
                </c:pt>
                <c:pt idx="72">
                  <c:v>746.3</c:v>
                </c:pt>
                <c:pt idx="73">
                  <c:v>752</c:v>
                </c:pt>
                <c:pt idx="74">
                  <c:v>757.7</c:v>
                </c:pt>
                <c:pt idx="75">
                  <c:v>763.7</c:v>
                </c:pt>
                <c:pt idx="76">
                  <c:v>769.7</c:v>
                </c:pt>
                <c:pt idx="77">
                  <c:v>775.8</c:v>
                </c:pt>
                <c:pt idx="78">
                  <c:v>782.1</c:v>
                </c:pt>
                <c:pt idx="79">
                  <c:v>788.6</c:v>
                </c:pt>
                <c:pt idx="80">
                  <c:v>795.1</c:v>
                </c:pt>
                <c:pt idx="81">
                  <c:v>801.8</c:v>
                </c:pt>
                <c:pt idx="82">
                  <c:v>808.7</c:v>
                </c:pt>
                <c:pt idx="83">
                  <c:v>815.7</c:v>
                </c:pt>
                <c:pt idx="84">
                  <c:v>822.8</c:v>
                </c:pt>
                <c:pt idx="85">
                  <c:v>830.1</c:v>
                </c:pt>
                <c:pt idx="86">
                  <c:v>837.6</c:v>
                </c:pt>
                <c:pt idx="87">
                  <c:v>845.2</c:v>
                </c:pt>
                <c:pt idx="88">
                  <c:v>853</c:v>
                </c:pt>
                <c:pt idx="89">
                  <c:v>861</c:v>
                </c:pt>
                <c:pt idx="90">
                  <c:v>869.2</c:v>
                </c:pt>
                <c:pt idx="91">
                  <c:v>877.5</c:v>
                </c:pt>
                <c:pt idx="92">
                  <c:v>886.1</c:v>
                </c:pt>
                <c:pt idx="93">
                  <c:v>894.8</c:v>
                </c:pt>
                <c:pt idx="94">
                  <c:v>903.7</c:v>
                </c:pt>
                <c:pt idx="95">
                  <c:v>912.8</c:v>
                </c:pt>
                <c:pt idx="96">
                  <c:v>922.2</c:v>
                </c:pt>
                <c:pt idx="97">
                  <c:v>931.7</c:v>
                </c:pt>
                <c:pt idx="98">
                  <c:v>941.5</c:v>
                </c:pt>
                <c:pt idx="99">
                  <c:v>951.5</c:v>
                </c:pt>
                <c:pt idx="100">
                  <c:v>961.8</c:v>
                </c:pt>
                <c:pt idx="101">
                  <c:v>972.3</c:v>
                </c:pt>
                <c:pt idx="102">
                  <c:v>983</c:v>
                </c:pt>
                <c:pt idx="103">
                  <c:v>994</c:v>
                </c:pt>
                <c:pt idx="104">
                  <c:v>1005.2</c:v>
                </c:pt>
                <c:pt idx="105">
                  <c:v>1016.8</c:v>
                </c:pt>
                <c:pt idx="106">
                  <c:v>1028.6</c:v>
                </c:pt>
                <c:pt idx="107">
                  <c:v>1040.6</c:v>
                </c:pt>
                <c:pt idx="108">
                  <c:v>1053</c:v>
                </c:pt>
                <c:pt idx="109">
                  <c:v>1065.7</c:v>
                </c:pt>
                <c:pt idx="110">
                  <c:v>1078.7</c:v>
                </c:pt>
                <c:pt idx="111">
                  <c:v>1092</c:v>
                </c:pt>
                <c:pt idx="112">
                  <c:v>1105.7</c:v>
                </c:pt>
                <c:pt idx="113">
                  <c:v>1119.6</c:v>
                </c:pt>
                <c:pt idx="114">
                  <c:v>1134</c:v>
                </c:pt>
                <c:pt idx="115">
                  <c:v>1148.7</c:v>
                </c:pt>
                <c:pt idx="116">
                  <c:v>1163.7</c:v>
                </c:pt>
                <c:pt idx="117">
                  <c:v>1179.2</c:v>
                </c:pt>
                <c:pt idx="118">
                  <c:v>1195</c:v>
                </c:pt>
                <c:pt idx="119">
                  <c:v>1211.2</c:v>
                </c:pt>
                <c:pt idx="120">
                  <c:v>1227.9</c:v>
                </c:pt>
                <c:pt idx="121">
                  <c:v>1245</c:v>
                </c:pt>
                <c:pt idx="122">
                  <c:v>1262.5</c:v>
                </c:pt>
                <c:pt idx="123">
                  <c:v>1280.5</c:v>
                </c:pt>
                <c:pt idx="124">
                  <c:v>1299</c:v>
                </c:pt>
                <c:pt idx="125">
                  <c:v>1317.9</c:v>
                </c:pt>
                <c:pt idx="126">
                  <c:v>1337.4</c:v>
                </c:pt>
                <c:pt idx="127">
                  <c:v>1357.4</c:v>
                </c:pt>
                <c:pt idx="128">
                  <c:v>1377.9</c:v>
                </c:pt>
                <c:pt idx="129">
                  <c:v>1398.9</c:v>
                </c:pt>
                <c:pt idx="130">
                  <c:v>1420.5</c:v>
                </c:pt>
                <c:pt idx="131">
                  <c:v>1442.7</c:v>
                </c:pt>
                <c:pt idx="132">
                  <c:v>1465.5</c:v>
                </c:pt>
                <c:pt idx="133">
                  <c:v>1489</c:v>
                </c:pt>
                <c:pt idx="134">
                  <c:v>1513.1</c:v>
                </c:pt>
                <c:pt idx="135">
                  <c:v>1537.8</c:v>
                </c:pt>
                <c:pt idx="136">
                  <c:v>1563.3</c:v>
                </c:pt>
                <c:pt idx="137">
                  <c:v>1589.4</c:v>
                </c:pt>
                <c:pt idx="138">
                  <c:v>1616.3</c:v>
                </c:pt>
                <c:pt idx="139">
                  <c:v>1643.9</c:v>
                </c:pt>
                <c:pt idx="140">
                  <c:v>1672.4</c:v>
                </c:pt>
                <c:pt idx="141">
                  <c:v>1701.6</c:v>
                </c:pt>
                <c:pt idx="142">
                  <c:v>1731.7</c:v>
                </c:pt>
                <c:pt idx="143">
                  <c:v>1762.6</c:v>
                </c:pt>
                <c:pt idx="144">
                  <c:v>1794.5</c:v>
                </c:pt>
                <c:pt idx="145">
                  <c:v>1827.2</c:v>
                </c:pt>
                <c:pt idx="146">
                  <c:v>1861</c:v>
                </c:pt>
                <c:pt idx="147">
                  <c:v>1895.7</c:v>
                </c:pt>
                <c:pt idx="148">
                  <c:v>1931.5</c:v>
                </c:pt>
                <c:pt idx="149">
                  <c:v>1968.3</c:v>
                </c:pt>
                <c:pt idx="150">
                  <c:v>2006.2</c:v>
                </c:pt>
                <c:pt idx="151">
                  <c:v>2045.3</c:v>
                </c:pt>
                <c:pt idx="152">
                  <c:v>2085.6</c:v>
                </c:pt>
                <c:pt idx="153">
                  <c:v>2127.1</c:v>
                </c:pt>
                <c:pt idx="154">
                  <c:v>2169.8</c:v>
                </c:pt>
                <c:pt idx="155">
                  <c:v>2213.9</c:v>
                </c:pt>
                <c:pt idx="156">
                  <c:v>2259.3</c:v>
                </c:pt>
                <c:pt idx="157">
                  <c:v>2306.2</c:v>
                </c:pt>
                <c:pt idx="158">
                  <c:v>2354.5</c:v>
                </c:pt>
                <c:pt idx="159">
                  <c:v>2404.3</c:v>
                </c:pt>
                <c:pt idx="160">
                  <c:v>2455.8</c:v>
                </c:pt>
                <c:pt idx="161">
                  <c:v>2508.8</c:v>
                </c:pt>
                <c:pt idx="162">
                  <c:v>2563.6</c:v>
                </c:pt>
                <c:pt idx="163">
                  <c:v>2620.1</c:v>
                </c:pt>
                <c:pt idx="164">
                  <c:v>2678.5</c:v>
                </c:pt>
                <c:pt idx="165">
                  <c:v>2738.8</c:v>
                </c:pt>
                <c:pt idx="166">
                  <c:v>2801</c:v>
                </c:pt>
                <c:pt idx="167">
                  <c:v>2865.3</c:v>
                </c:pt>
                <c:pt idx="168">
                  <c:v>2931.7</c:v>
                </c:pt>
                <c:pt idx="169">
                  <c:v>3000.4</c:v>
                </c:pt>
                <c:pt idx="170">
                  <c:v>3071.3</c:v>
                </c:pt>
                <c:pt idx="171">
                  <c:v>3144.7</c:v>
                </c:pt>
                <c:pt idx="172">
                  <c:v>3220.5</c:v>
                </c:pt>
                <c:pt idx="173">
                  <c:v>3298.9</c:v>
                </c:pt>
                <c:pt idx="174">
                  <c:v>3380</c:v>
                </c:pt>
                <c:pt idx="175">
                  <c:v>3463.9</c:v>
                </c:pt>
                <c:pt idx="176">
                  <c:v>3550.8</c:v>
                </c:pt>
                <c:pt idx="177">
                  <c:v>3640.7</c:v>
                </c:pt>
                <c:pt idx="178">
                  <c:v>3733.7</c:v>
                </c:pt>
                <c:pt idx="179">
                  <c:v>3830</c:v>
                </c:pt>
                <c:pt idx="180">
                  <c:v>3929.8</c:v>
                </c:pt>
                <c:pt idx="181">
                  <c:v>4033.1</c:v>
                </c:pt>
                <c:pt idx="182">
                  <c:v>4140.1</c:v>
                </c:pt>
                <c:pt idx="183">
                  <c:v>4251.1</c:v>
                </c:pt>
                <c:pt idx="184">
                  <c:v>4366</c:v>
                </c:pt>
                <c:pt idx="185">
                  <c:v>4485.2</c:v>
                </c:pt>
                <c:pt idx="186">
                  <c:v>4608.8</c:v>
                </c:pt>
                <c:pt idx="187">
                  <c:v>4737</c:v>
                </c:pt>
                <c:pt idx="188">
                  <c:v>4869.9</c:v>
                </c:pt>
                <c:pt idx="189">
                  <c:v>5007.9</c:v>
                </c:pt>
                <c:pt idx="190">
                  <c:v>5151.1</c:v>
                </c:pt>
                <c:pt idx="191">
                  <c:v>5299.7</c:v>
                </c:pt>
                <c:pt idx="192">
                  <c:v>5454</c:v>
                </c:pt>
                <c:pt idx="193">
                  <c:v>5614.2</c:v>
                </c:pt>
                <c:pt idx="194">
                  <c:v>5780.6</c:v>
                </c:pt>
                <c:pt idx="195">
                  <c:v>5953.5</c:v>
                </c:pt>
                <c:pt idx="196">
                  <c:v>6133.2</c:v>
                </c:pt>
                <c:pt idx="197">
                  <c:v>6320</c:v>
                </c:pt>
                <c:pt idx="198">
                  <c:v>6514.2</c:v>
                </c:pt>
                <c:pt idx="199">
                  <c:v>6716.1</c:v>
                </c:pt>
              </c:numCache>
            </c:numRef>
          </c:yVal>
        </c:ser>
        <c:axId val="8753074"/>
        <c:axId val="78837079"/>
      </c:scatterChart>
      <c:valAx>
        <c:axId val="87530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837079"/>
        <c:crossesAt val="0"/>
      </c:valAx>
      <c:valAx>
        <c:axId val="788370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5307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476280</xdr:colOff>
      <xdr:row>6</xdr:row>
      <xdr:rowOff>131040</xdr:rowOff>
    </xdr:from>
    <xdr:to>
      <xdr:col>16</xdr:col>
      <xdr:colOff>581400</xdr:colOff>
      <xdr:row>34</xdr:row>
      <xdr:rowOff>115920</xdr:rowOff>
    </xdr:to>
    <xdr:graphicFrame>
      <xdr:nvGraphicFramePr>
        <xdr:cNvPr id="0" name="Chart 1"/>
        <xdr:cNvGraphicFramePr/>
      </xdr:nvGraphicFramePr>
      <xdr:xfrm>
        <a:off x="6485760" y="1286640"/>
        <a:ext cx="7831800" cy="531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K6" activeCellId="0" sqref="K6"/>
    </sheetView>
  </sheetViews>
  <sheetFormatPr defaultRowHeight="15"/>
  <cols>
    <col collapsed="false" hidden="false" max="1025" min="1" style="1" width="8.83333333333333"/>
  </cols>
  <sheetData>
    <row r="1" customFormat="false" ht="20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1" t="n">
        <v>1.6242</v>
      </c>
      <c r="X1" s="0"/>
      <c r="Y1" s="3" t="n">
        <v>1.6242</v>
      </c>
      <c r="Z1" s="3" t="n">
        <v>515.1</v>
      </c>
      <c r="AC1" s="1" t="n">
        <v>1</v>
      </c>
      <c r="AD1" s="1" t="n">
        <v>292.35</v>
      </c>
      <c r="AH1" s="4" t="n">
        <v>543.167702312279</v>
      </c>
      <c r="AI1" s="5" t="n">
        <v>10.3933333333333</v>
      </c>
      <c r="AL1" s="0"/>
      <c r="AM1" s="1" t="s">
        <v>1</v>
      </c>
      <c r="AN1" s="0"/>
      <c r="AO1" s="0"/>
      <c r="AP1" s="1" t="s">
        <v>2</v>
      </c>
      <c r="AQ1" s="0"/>
    </row>
    <row r="2" customFormat="false" ht="15" hidden="false" customHeight="false" outlineLevel="0" collapsed="false">
      <c r="A2" s="6" t="s">
        <v>3</v>
      </c>
      <c r="B2" s="7" t="n">
        <f aca="false">PI()/3</f>
        <v>1.0471975511966</v>
      </c>
      <c r="C2" s="7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1" t="n">
        <v>1.5778</v>
      </c>
      <c r="X2" s="0"/>
      <c r="Y2" s="3" t="n">
        <v>1.6239</v>
      </c>
      <c r="Z2" s="3" t="n">
        <v>517.1</v>
      </c>
      <c r="AC2" s="1" t="n">
        <v>1.036625</v>
      </c>
      <c r="AD2" s="1" t="n">
        <v>300</v>
      </c>
      <c r="AH2" s="4"/>
      <c r="AI2" s="5"/>
      <c r="AL2" s="0"/>
      <c r="AM2" s="0"/>
      <c r="AN2" s="0"/>
      <c r="AO2" s="0"/>
      <c r="AP2" s="0"/>
      <c r="AQ2" s="0"/>
    </row>
    <row r="3" customFormat="false" ht="15" hidden="false" customHeight="false" outlineLevel="0" collapsed="false">
      <c r="A3" s="6" t="s">
        <v>4</v>
      </c>
      <c r="B3" s="7" t="n">
        <f aca="false">D3*PI()/180</f>
        <v>4.78220215046446</v>
      </c>
      <c r="C3" s="7" t="n">
        <f aca="false">E3*PI()/180</f>
        <v>0.000145444104332861</v>
      </c>
      <c r="D3" s="1" t="n">
        <v>274</v>
      </c>
      <c r="E3" s="1" t="n">
        <f aca="false">0.5/60</f>
        <v>0.00833333333333333</v>
      </c>
      <c r="F3" s="0"/>
      <c r="G3" s="0"/>
      <c r="H3" s="0"/>
      <c r="I3" s="0"/>
      <c r="J3" s="0"/>
      <c r="K3" s="0"/>
      <c r="L3" s="0"/>
      <c r="M3" s="0"/>
      <c r="N3" s="8" t="s">
        <v>5</v>
      </c>
      <c r="O3" s="8"/>
      <c r="P3" s="8"/>
      <c r="Q3" s="8" t="s">
        <v>6</v>
      </c>
      <c r="R3" s="8" t="s">
        <v>7</v>
      </c>
      <c r="S3" s="0"/>
      <c r="T3" s="0"/>
      <c r="U3" s="0"/>
      <c r="V3" s="0"/>
      <c r="W3" s="0"/>
      <c r="X3" s="0"/>
      <c r="Y3" s="3" t="n">
        <v>1.6237</v>
      </c>
      <c r="Z3" s="3" t="n">
        <v>519.2</v>
      </c>
      <c r="AC3" s="1" t="n">
        <v>1.522336</v>
      </c>
      <c r="AD3" s="1" t="n">
        <v>400</v>
      </c>
      <c r="AH3" s="4"/>
      <c r="AI3" s="5"/>
      <c r="AL3" s="9"/>
      <c r="AM3" s="10"/>
      <c r="AN3" s="10"/>
      <c r="AO3" s="1" t="n">
        <v>0</v>
      </c>
      <c r="AP3" s="1" t="n">
        <v>0</v>
      </c>
      <c r="AQ3" s="0"/>
    </row>
    <row r="4" customFormat="false" ht="20" hidden="false" customHeight="false" outlineLevel="0" collapsed="false">
      <c r="A4" s="2" t="s">
        <v>8</v>
      </c>
      <c r="B4" s="0"/>
      <c r="C4" s="1" t="s">
        <v>9</v>
      </c>
      <c r="D4" s="0"/>
      <c r="E4" s="0"/>
      <c r="F4" s="0"/>
      <c r="G4" s="0"/>
      <c r="H4" s="0"/>
      <c r="I4" s="0"/>
      <c r="J4" s="0"/>
      <c r="K4" s="0"/>
      <c r="L4" s="0"/>
      <c r="M4" s="0"/>
      <c r="N4" s="1" t="s">
        <v>10</v>
      </c>
      <c r="O4" s="1" t="n">
        <f aca="false">256</f>
        <v>256</v>
      </c>
      <c r="P4" s="1" t="n">
        <f aca="false">O4*PI()/180</f>
        <v>4.46804288510548</v>
      </c>
      <c r="Q4" s="1" t="n">
        <f aca="false">202+56/60</f>
        <v>202.933333333333</v>
      </c>
      <c r="R4" s="1" t="n">
        <f aca="false">201+58/60</f>
        <v>201.966666666667</v>
      </c>
      <c r="S4" s="0"/>
      <c r="T4" s="0"/>
      <c r="U4" s="0"/>
      <c r="V4" s="0"/>
      <c r="W4" s="0"/>
      <c r="X4" s="0"/>
      <c r="Y4" s="3" t="n">
        <v>1.6235</v>
      </c>
      <c r="Z4" s="3" t="n">
        <v>521.2</v>
      </c>
      <c r="AC4" s="1" t="n">
        <v>2.021194</v>
      </c>
      <c r="AD4" s="1" t="n">
        <v>500</v>
      </c>
      <c r="AH4" s="4" t="n">
        <v>551.426882839531</v>
      </c>
      <c r="AI4" s="5" t="n">
        <v>10.38</v>
      </c>
      <c r="AL4" s="9"/>
      <c r="AM4" s="10"/>
      <c r="AN4" s="10"/>
      <c r="AO4" s="0"/>
      <c r="AP4" s="0"/>
      <c r="AQ4" s="0"/>
    </row>
    <row r="5" customFormat="false" ht="15" hidden="false" customHeight="false" outlineLevel="0" collapsed="false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1"/>
      <c r="J5" s="11"/>
      <c r="K5" s="0"/>
      <c r="L5" s="0"/>
      <c r="M5" s="0"/>
      <c r="N5" s="1" t="s">
        <v>19</v>
      </c>
      <c r="O5" s="1" t="n">
        <f aca="false">256+15/60</f>
        <v>256.25</v>
      </c>
      <c r="P5" s="1" t="n">
        <f aca="false">O5*PI()/180</f>
        <v>4.47240620823547</v>
      </c>
      <c r="Q5" s="0"/>
      <c r="R5" s="0"/>
      <c r="S5" s="0"/>
      <c r="T5" s="0"/>
      <c r="U5" s="0"/>
      <c r="V5" s="0"/>
      <c r="W5" s="0"/>
      <c r="X5" s="0"/>
      <c r="Y5" s="3" t="n">
        <v>1.6232</v>
      </c>
      <c r="Z5" s="3" t="n">
        <v>523.3</v>
      </c>
      <c r="AC5" s="1" t="n">
        <v>2.533535</v>
      </c>
      <c r="AD5" s="1" t="n">
        <v>600</v>
      </c>
      <c r="AH5" s="4"/>
      <c r="AI5" s="5"/>
      <c r="AL5" s="9"/>
      <c r="AM5" s="12"/>
      <c r="AN5" s="12"/>
      <c r="AO5" s="0"/>
      <c r="AP5" s="0"/>
      <c r="AQ5" s="0"/>
    </row>
    <row r="6" customFormat="false" ht="15" hidden="false" customHeight="false" outlineLevel="0" collapsed="false">
      <c r="A6" s="13" t="n">
        <v>12.02</v>
      </c>
      <c r="B6" s="13"/>
      <c r="C6" s="13" t="n">
        <v>1.69</v>
      </c>
      <c r="D6" s="13"/>
      <c r="E6" s="13" t="n">
        <f aca="false">A6/C6</f>
        <v>7.11242603550296</v>
      </c>
      <c r="F6" s="13" t="n">
        <f aca="false">A6*D6+C6*B6</f>
        <v>0</v>
      </c>
      <c r="G6" s="13" t="n">
        <f aca="false">E6/0.4911</f>
        <v>14.4826431185155</v>
      </c>
      <c r="H6" s="14" t="n">
        <v>2404.311392</v>
      </c>
      <c r="I6" s="13"/>
      <c r="J6" s="13"/>
      <c r="K6" s="0" t="n">
        <f aca="false">1/H6</f>
        <v>0.0004159195033253</v>
      </c>
      <c r="L6" s="0" t="n">
        <v>1148.17073842387</v>
      </c>
      <c r="M6" s="0" t="n">
        <v>52.841866701046</v>
      </c>
      <c r="N6" s="1" t="s">
        <v>20</v>
      </c>
      <c r="O6" s="1" t="n">
        <f aca="false">255+50/60</f>
        <v>255.833333333333</v>
      </c>
      <c r="P6" s="1" t="n">
        <f aca="false">O6*PI()/180</f>
        <v>4.46513400301883</v>
      </c>
      <c r="Q6" s="0"/>
      <c r="R6" s="0"/>
      <c r="S6" s="0"/>
      <c r="T6" s="0"/>
      <c r="U6" s="0"/>
      <c r="V6" s="0"/>
      <c r="W6" s="0"/>
      <c r="X6" s="0"/>
      <c r="Y6" s="3" t="n">
        <v>1.623</v>
      </c>
      <c r="Z6" s="3" t="n">
        <v>525.3</v>
      </c>
      <c r="AC6" s="1" t="n">
        <v>3.059699</v>
      </c>
      <c r="AD6" s="1" t="n">
        <v>700</v>
      </c>
      <c r="AH6" s="4"/>
      <c r="AI6" s="5"/>
      <c r="AL6" s="15"/>
      <c r="AM6" s="10"/>
      <c r="AN6" s="10"/>
      <c r="AO6" s="0"/>
      <c r="AP6" s="0"/>
      <c r="AQ6" s="0"/>
    </row>
    <row r="7" customFormat="false" ht="15" hidden="false" customHeight="false" outlineLevel="0" collapsed="false">
      <c r="A7" s="13" t="n">
        <v>9</v>
      </c>
      <c r="B7" s="13"/>
      <c r="C7" s="13" t="n">
        <v>1.49</v>
      </c>
      <c r="D7" s="13"/>
      <c r="E7" s="13" t="n">
        <f aca="false">A7/C7</f>
        <v>6.04026845637584</v>
      </c>
      <c r="F7" s="13"/>
      <c r="G7" s="13" t="n">
        <f aca="false">E7/0.4911</f>
        <v>12.2994674330601</v>
      </c>
      <c r="H7" s="14" t="n">
        <v>2130.088553</v>
      </c>
      <c r="I7" s="13"/>
      <c r="J7" s="13"/>
      <c r="K7" s="0" t="n">
        <f aca="false">1/H7</f>
        <v>0.000469464050492928</v>
      </c>
      <c r="L7" s="0" t="n">
        <v>1318.74315636502</v>
      </c>
      <c r="M7" s="0" t="n">
        <v>69.3488854684149</v>
      </c>
      <c r="N7" s="0"/>
      <c r="O7" s="0" t="s">
        <v>21</v>
      </c>
      <c r="P7" s="16" t="n">
        <f aca="false">AVERAGE(P4:P6)</f>
        <v>4.46852769878659</v>
      </c>
      <c r="Q7" s="0" t="s">
        <v>21</v>
      </c>
      <c r="R7" s="16" t="n">
        <f aca="false">AVERAGE(Q4:R4)*PI()/180</f>
        <v>3.53341907066252</v>
      </c>
      <c r="S7" s="0"/>
      <c r="T7" s="0"/>
      <c r="U7" s="0"/>
      <c r="V7" s="0"/>
      <c r="W7" s="0"/>
      <c r="X7" s="0"/>
      <c r="Y7" s="3" t="n">
        <v>1.6228</v>
      </c>
      <c r="Z7" s="3" t="n">
        <v>527.4</v>
      </c>
      <c r="AC7" s="1" t="n">
        <v>3.600023</v>
      </c>
      <c r="AD7" s="1" t="n">
        <v>800</v>
      </c>
      <c r="AH7" s="4" t="n">
        <v>561.003593580914</v>
      </c>
      <c r="AI7" s="5" t="n">
        <v>9.84333333333333</v>
      </c>
      <c r="AL7" s="15"/>
      <c r="AM7" s="10"/>
      <c r="AN7" s="10"/>
      <c r="AO7" s="1" t="s">
        <v>22</v>
      </c>
      <c r="AP7" s="1" t="s">
        <v>23</v>
      </c>
      <c r="AQ7" s="1" t="s">
        <v>24</v>
      </c>
    </row>
    <row r="8" customFormat="false" ht="15" hidden="false" customHeight="false" outlineLevel="0" collapsed="false">
      <c r="A8" s="13" t="n">
        <v>5.97</v>
      </c>
      <c r="B8" s="13"/>
      <c r="C8" s="13" t="n">
        <v>1.16</v>
      </c>
      <c r="D8" s="13"/>
      <c r="E8" s="13" t="n">
        <f aca="false">A8/C8</f>
        <v>5.14655172413793</v>
      </c>
      <c r="F8" s="13"/>
      <c r="G8" s="13" t="n">
        <f aca="false">E8/0.4911</f>
        <v>10.4796410591283</v>
      </c>
      <c r="H8" s="14" t="n">
        <v>1886.753768</v>
      </c>
      <c r="I8" s="13"/>
      <c r="J8" s="13"/>
      <c r="K8" s="0" t="n">
        <f aca="false">1/H8</f>
        <v>0.000530010866791601</v>
      </c>
      <c r="L8" s="0" t="n">
        <v>1433.02000888531</v>
      </c>
      <c r="M8" s="0" t="n">
        <v>86.1543333140157</v>
      </c>
      <c r="N8" s="0"/>
      <c r="O8" s="0" t="s">
        <v>25</v>
      </c>
      <c r="P8" s="0" t="n">
        <f aca="false">MAX(ABS(P4-P7),ABS(P5-P7),ABS(P6-P7))</f>
        <v>0.00387850944887713</v>
      </c>
      <c r="Q8" s="0" t="s">
        <v>25</v>
      </c>
      <c r="R8" s="0" t="n">
        <f aca="false">Q4*PI()/180-R7</f>
        <v>0.00843575805130614</v>
      </c>
      <c r="S8" s="0"/>
      <c r="T8" s="0"/>
      <c r="U8" s="0"/>
      <c r="V8" s="0"/>
      <c r="W8" s="0"/>
      <c r="X8" s="0"/>
      <c r="Y8" s="3" t="n">
        <v>1.6225</v>
      </c>
      <c r="Z8" s="3" t="n">
        <v>529.5</v>
      </c>
      <c r="AC8" s="1" t="n">
        <v>4.154845</v>
      </c>
      <c r="AD8" s="1" t="n">
        <v>900</v>
      </c>
      <c r="AH8" s="4"/>
      <c r="AI8" s="5"/>
      <c r="AL8" s="15"/>
      <c r="AM8" s="12"/>
      <c r="AN8" s="12"/>
      <c r="AO8" s="1" t="n">
        <v>10.41155103</v>
      </c>
      <c r="AP8" s="1" t="n">
        <v>0.171148243</v>
      </c>
      <c r="AQ8" s="1" t="n">
        <v>1.643830423</v>
      </c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17"/>
      <c r="N9" s="0"/>
      <c r="O9" s="0"/>
      <c r="P9" s="0"/>
      <c r="Q9" s="0"/>
      <c r="R9" s="0"/>
      <c r="S9" s="0" t="n">
        <f aca="false">0.001</f>
        <v>0.001</v>
      </c>
      <c r="T9" s="0"/>
      <c r="U9" s="0"/>
      <c r="V9" s="0"/>
      <c r="W9" s="0"/>
      <c r="X9" s="0"/>
      <c r="Y9" s="3" t="n">
        <v>1.6223</v>
      </c>
      <c r="Z9" s="3" t="n">
        <v>531.6</v>
      </c>
      <c r="AC9" s="1" t="n">
        <v>4.724503</v>
      </c>
      <c r="AD9" s="1" t="n">
        <v>1000</v>
      </c>
      <c r="AH9" s="4"/>
      <c r="AI9" s="5"/>
      <c r="AL9" s="4" t="e">
        <f aca="false">{nan}</f>
        <v>#N/A</v>
      </c>
      <c r="AM9" s="0"/>
      <c r="AN9" s="0"/>
      <c r="AO9" s="0"/>
      <c r="AP9" s="0"/>
      <c r="AQ9" s="0"/>
    </row>
    <row r="10" customFormat="false" ht="19.7" hidden="false" customHeight="false" outlineLevel="0" collapsed="false">
      <c r="A10" s="2" t="s">
        <v>26</v>
      </c>
      <c r="B10" s="0"/>
      <c r="C10" s="0"/>
      <c r="D10" s="0"/>
      <c r="E10" s="0"/>
      <c r="F10" s="0"/>
      <c r="G10" s="0"/>
      <c r="H10" s="0"/>
      <c r="I10" s="0"/>
      <c r="J10" s="0"/>
      <c r="K10" s="1" t="s">
        <v>27</v>
      </c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1" t="s">
        <v>22</v>
      </c>
      <c r="X10" s="0" t="s">
        <v>23</v>
      </c>
      <c r="Y10" s="3" t="n">
        <v>1.6221</v>
      </c>
      <c r="Z10" s="3" t="n">
        <v>533.8</v>
      </c>
      <c r="AC10" s="1" t="n">
        <v>5.309336</v>
      </c>
      <c r="AD10" s="1" t="n">
        <v>1100</v>
      </c>
      <c r="AH10" s="4" t="n">
        <v>577.538520582304</v>
      </c>
      <c r="AI10" s="5" t="n">
        <v>8.72333333333333</v>
      </c>
      <c r="AL10" s="4" t="e">
        <f aca="false">{nan}</f>
        <v>#N/A</v>
      </c>
      <c r="AM10" s="0"/>
      <c r="AN10" s="0"/>
      <c r="AO10" s="1" t="s">
        <v>28</v>
      </c>
      <c r="AP10" s="1" t="s">
        <v>29</v>
      </c>
      <c r="AQ10" s="1" t="s">
        <v>30</v>
      </c>
    </row>
    <row r="11" customFormat="false" ht="15" hidden="false" customHeight="false" outlineLevel="0" collapsed="false">
      <c r="A11" s="18" t="s">
        <v>31</v>
      </c>
      <c r="B11" s="19" t="n">
        <v>6.62606957E-034</v>
      </c>
      <c r="C11" s="18" t="s">
        <v>32</v>
      </c>
      <c r="D11" s="20" t="n">
        <v>2998792458</v>
      </c>
      <c r="E11" s="18" t="s">
        <v>33</v>
      </c>
      <c r="F11" s="19" t="n">
        <v>1.3806488E-023</v>
      </c>
      <c r="G11" s="0"/>
      <c r="H11" s="0"/>
      <c r="I11" s="0"/>
      <c r="J11" s="0"/>
      <c r="K11" s="0" t="n">
        <f aca="false">0.5/60*PI()/180+C3</f>
        <v>0.000290888208665722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1" t="n">
        <f aca="false">SUM(V20:V67)</f>
        <v>17.1791058493577</v>
      </c>
      <c r="X11" s="0" t="n">
        <f aca="false">V20+V23+V26+V29+V32</f>
        <v>0.501806920508941</v>
      </c>
      <c r="Y11" s="3" t="n">
        <v>1.6218</v>
      </c>
      <c r="Z11" s="3" t="n">
        <v>535.9</v>
      </c>
      <c r="AC11" s="1" t="n">
        <v>5.909679</v>
      </c>
      <c r="AD11" s="1" t="n">
        <v>1200</v>
      </c>
      <c r="AH11" s="4"/>
      <c r="AI11" s="5"/>
      <c r="AL11" s="4" t="e">
        <f aca="false">{nan}</f>
        <v>#N/A</v>
      </c>
      <c r="AM11" s="1" t="s">
        <v>34</v>
      </c>
      <c r="AN11" s="1" t="s">
        <v>35</v>
      </c>
      <c r="AO11" s="1" t="n">
        <v>0.080758837</v>
      </c>
      <c r="AP11" s="1" t="n">
        <v>0.00405747</v>
      </c>
      <c r="AQ11" s="1" t="n">
        <v>0.03961147</v>
      </c>
    </row>
    <row r="12" customFormat="false" ht="15" hidden="false" customHeight="false" outlineLevel="0" collapsed="false">
      <c r="A12" s="8" t="s">
        <v>36</v>
      </c>
      <c r="B12" s="8" t="s">
        <v>18</v>
      </c>
      <c r="C12" s="8" t="s">
        <v>37</v>
      </c>
      <c r="D12" s="8" t="s">
        <v>38</v>
      </c>
      <c r="E12" s="8" t="s">
        <v>39</v>
      </c>
      <c r="F12" s="8" t="s">
        <v>5</v>
      </c>
      <c r="G12" s="8" t="s">
        <v>40</v>
      </c>
      <c r="H12" s="8" t="s">
        <v>41</v>
      </c>
      <c r="I12" s="8" t="s">
        <v>42</v>
      </c>
      <c r="J12" s="8" t="s">
        <v>43</v>
      </c>
      <c r="K12" s="8" t="s">
        <v>44</v>
      </c>
      <c r="L12" s="8" t="s">
        <v>45</v>
      </c>
      <c r="M12" s="8" t="s">
        <v>46</v>
      </c>
      <c r="N12" s="8" t="s">
        <v>47</v>
      </c>
      <c r="O12" s="8" t="s">
        <v>48</v>
      </c>
      <c r="P12" s="8" t="s">
        <v>49</v>
      </c>
      <c r="Q12" s="8" t="s">
        <v>36</v>
      </c>
      <c r="R12" s="8"/>
      <c r="S12" s="8" t="s">
        <v>50</v>
      </c>
      <c r="T12" s="8" t="s">
        <v>51</v>
      </c>
      <c r="U12" s="8" t="s">
        <v>52</v>
      </c>
      <c r="V12" s="0"/>
      <c r="W12" s="0"/>
      <c r="X12" s="0"/>
      <c r="Y12" s="3" t="n">
        <v>1.6216</v>
      </c>
      <c r="Z12" s="3" t="n">
        <v>538.1</v>
      </c>
      <c r="AC12" s="1" t="n">
        <v>6.525873</v>
      </c>
      <c r="AD12" s="1" t="n">
        <v>1300</v>
      </c>
      <c r="AH12" s="4"/>
      <c r="AI12" s="5"/>
      <c r="AL12" s="21" t="n">
        <v>6.66667E-006</v>
      </c>
      <c r="AM12" s="1" t="s">
        <v>53</v>
      </c>
      <c r="AN12" s="0"/>
      <c r="AO12" s="0"/>
      <c r="AP12" s="0"/>
      <c r="AQ12" s="0"/>
    </row>
    <row r="13" customFormat="false" ht="15" hidden="false" customHeight="false" outlineLevel="0" collapsed="false">
      <c r="A13" s="22" t="n">
        <v>12.02</v>
      </c>
      <c r="B13" s="23"/>
      <c r="C13" s="23"/>
      <c r="D13" s="23"/>
      <c r="E13" s="23"/>
      <c r="F13" s="23" t="n">
        <v>43.3</v>
      </c>
      <c r="G13" s="5" t="n">
        <f aca="false">F13*PI()/180</f>
        <v>0.755727566113545</v>
      </c>
      <c r="H13" s="5" t="n">
        <f aca="false">(P8+R8)/2</f>
        <v>0.00615713375009164</v>
      </c>
      <c r="I13" s="5" t="n">
        <v>221</v>
      </c>
      <c r="J13" s="5" t="n">
        <v>25</v>
      </c>
      <c r="K13" s="23" t="n">
        <f aca="false">$B$3-(I13+J13/60)*PI()/180</f>
        <v>0.917752298340352</v>
      </c>
      <c r="L13" s="24" t="n">
        <f aca="false">2/(SIN($B$2)*SIN($B$2))*(SIN(K13-$G$13+$B$2)+COS($B$2)*SIN($G$13))</f>
        <v>3.40866758947773</v>
      </c>
      <c r="M13" s="5" t="n">
        <f aca="false">1/(2*SQRT(N13))*(ABS((2*SIN($G$13)*COS($G$13)+L13)*(COS($B$2)*COS($G$13)-COS(K13-$G$13+$B$2)))*$H$13+ABS(L13*COS(K13-$G$13+$B$2))*$K$11)</f>
        <v>0.000245297091291374</v>
      </c>
      <c r="N13" s="25" t="n">
        <f aca="false">SQRT(SIN($G$13)*SIN($G$13) + (SIN(K13-$G$13+$B$2)  + COS($B$2)*SIN($G$13) )* (SIN(K13-$G$13+$B$2)  + COS($B$2)*SIN($G$13) )/(SIN($B$2)*SIN($B$2))   )</f>
        <v>1.62754787214655</v>
      </c>
      <c r="O13" s="4" t="e">
        <f aca="true">FORECAST(N13,OFFSET($Z$1:$Z$200,MATCH(N13,$Y$1:$Y$200,-1)-1,0,2),OFFSET($Y$1:$Y$200,MATCH(N13,$Y$1:$Y$200,-1)-1,0,2))</f>
        <v>#N/A</v>
      </c>
      <c r="P13" s="5"/>
      <c r="Q13" s="1" t="n">
        <f aca="false">0.05*(0.001)</f>
        <v>5E-005</v>
      </c>
      <c r="R13" s="5" t="n">
        <f aca="false">AVERAGE(Q13:Q15)</f>
        <v>5.23333333333333E-005</v>
      </c>
      <c r="S13" s="4" t="n">
        <f aca="false">MAX(ABS(Q13-R13),ABS(Q14-R13),ABS(Q15-R13))</f>
        <v>1.46666666666667E-005</v>
      </c>
      <c r="T13" s="13"/>
      <c r="U13" s="13"/>
      <c r="V13" s="0"/>
      <c r="W13" s="1" t="s">
        <v>54</v>
      </c>
      <c r="X13" s="26" t="s">
        <v>55</v>
      </c>
      <c r="Y13" s="3" t="n">
        <v>1.6213</v>
      </c>
      <c r="Z13" s="3" t="n">
        <v>540.3</v>
      </c>
      <c r="AC13" s="1" t="n">
        <v>7.158254</v>
      </c>
      <c r="AD13" s="1" t="n">
        <v>1400</v>
      </c>
      <c r="AH13" s="4" t="n">
        <v>616.723660952208</v>
      </c>
      <c r="AI13" s="5" t="n">
        <v>7.79333333333333</v>
      </c>
      <c r="AL13" s="4" t="n">
        <v>0</v>
      </c>
      <c r="AM13" s="0"/>
      <c r="AN13" s="0"/>
      <c r="AO13" s="0"/>
      <c r="AP13" s="0"/>
      <c r="AQ13" s="0"/>
    </row>
    <row r="14" customFormat="false" ht="15" hidden="false" customHeight="false" outlineLevel="0" collapsed="false">
      <c r="A14" s="22"/>
      <c r="B14" s="23"/>
      <c r="C14" s="23"/>
      <c r="D14" s="23"/>
      <c r="E14" s="23"/>
      <c r="F14" s="23"/>
      <c r="G14" s="23"/>
      <c r="H14" s="5"/>
      <c r="I14" s="5"/>
      <c r="J14" s="5"/>
      <c r="K14" s="5"/>
      <c r="L14" s="24"/>
      <c r="M14" s="24"/>
      <c r="N14" s="25"/>
      <c r="O14" s="4"/>
      <c r="P14" s="5"/>
      <c r="Q14" s="1" t="n">
        <f aca="false">0.04*(0.001)</f>
        <v>4E-005</v>
      </c>
      <c r="R14" s="5"/>
      <c r="S14" s="4" t="n">
        <f aca="false">MAX(ABS(Q14-R14),ABS(Q15-R14),ABS(Q16-R14))</f>
        <v>6.7E-005</v>
      </c>
      <c r="T14" s="13"/>
      <c r="U14" s="13"/>
      <c r="V14" s="0"/>
      <c r="W14" s="1" t="n">
        <f aca="false">SUM(W20:W67)</f>
        <v>0.125795521438504</v>
      </c>
      <c r="X14" s="26" t="n">
        <f aca="false">W20+W23+W26+W29+W32</f>
        <v>0.00497732550201746</v>
      </c>
      <c r="Y14" s="3" t="n">
        <v>1.6211</v>
      </c>
      <c r="Z14" s="3" t="n">
        <v>542.5</v>
      </c>
      <c r="AC14" s="1" t="n">
        <v>7.807161</v>
      </c>
      <c r="AD14" s="1" t="n">
        <v>1500</v>
      </c>
      <c r="AH14" s="4"/>
      <c r="AI14" s="5"/>
      <c r="AL14" s="4" t="n">
        <v>0</v>
      </c>
      <c r="AM14" s="0"/>
      <c r="AN14" s="0"/>
      <c r="AO14" s="0"/>
      <c r="AP14" s="0"/>
      <c r="AQ14" s="0"/>
    </row>
    <row r="15" customFormat="false" ht="15" hidden="false" customHeight="false" outlineLevel="0" collapsed="false">
      <c r="A15" s="22"/>
      <c r="B15" s="23"/>
      <c r="C15" s="23"/>
      <c r="D15" s="23"/>
      <c r="E15" s="23"/>
      <c r="F15" s="23"/>
      <c r="G15" s="23"/>
      <c r="H15" s="5"/>
      <c r="I15" s="5"/>
      <c r="J15" s="5"/>
      <c r="K15" s="23"/>
      <c r="L15" s="24"/>
      <c r="M15" s="24"/>
      <c r="N15" s="25"/>
      <c r="O15" s="4"/>
      <c r="P15" s="5"/>
      <c r="Q15" s="1" t="n">
        <f aca="false">0.067*(0.001)</f>
        <v>6.7E-005</v>
      </c>
      <c r="R15" s="5"/>
      <c r="S15" s="4" t="n">
        <f aca="false">MAX(ABS(Q15-R15),ABS(Q16-R15),ABS(Q17-R15))</f>
        <v>7E-005</v>
      </c>
      <c r="T15" s="0"/>
      <c r="U15" s="0"/>
      <c r="V15" s="0"/>
      <c r="W15" s="0"/>
      <c r="X15" s="26"/>
      <c r="Y15" s="3" t="n">
        <v>1.6209</v>
      </c>
      <c r="Z15" s="3" t="n">
        <v>544.7</v>
      </c>
      <c r="AC15" s="1" t="n">
        <v>8.472932</v>
      </c>
      <c r="AD15" s="1" t="n">
        <v>1600</v>
      </c>
      <c r="AH15" s="4"/>
      <c r="AI15" s="5"/>
      <c r="AL15" s="21" t="n">
        <v>2.33333E-005</v>
      </c>
      <c r="AM15" s="0"/>
      <c r="AN15" s="0"/>
      <c r="AO15" s="0"/>
      <c r="AP15" s="0"/>
      <c r="AQ15" s="0"/>
    </row>
    <row r="16" customFormat="false" ht="15" hidden="false" customHeight="false" outlineLevel="0" collapsed="false">
      <c r="A16" s="22"/>
      <c r="B16" s="23"/>
      <c r="C16" s="23"/>
      <c r="D16" s="23"/>
      <c r="E16" s="23"/>
      <c r="F16" s="23"/>
      <c r="G16" s="23"/>
      <c r="H16" s="5"/>
      <c r="I16" s="5" t="n">
        <v>221</v>
      </c>
      <c r="J16" s="5" t="n">
        <v>46</v>
      </c>
      <c r="K16" s="23" t="n">
        <f aca="false">$B$3-(I16+J16/60)*PI()/180</f>
        <v>0.911643645958371</v>
      </c>
      <c r="L16" s="24" t="n">
        <f aca="false">2/(SIN($B$2)*SIN($B$2))*(SIN(K16-$G$13+$B$2)+COS($B$2)*SIN($G$13))</f>
        <v>3.40285864278706</v>
      </c>
      <c r="M16" s="5" t="n">
        <f aca="false">1/(2*SQRT(N16))*(ABS((2*SIN($G$13)*COS($G$13)+L16)*(COS($B$2)*COS($G$13)-COS(K16-$G$13+$B$2)))*$H$13+ABS(L16*COS(K16-$G$13+$B$2))*$K$11)</f>
        <v>0.000186654252203623</v>
      </c>
      <c r="N16" s="25" t="n">
        <f aca="false">SQRT(SIN($G$13)*SIN($G$13) + (SIN(K16-$G$13+$B$2)  + COS($B$2)*SIN($G$13) )* (SIN(K16-$G$13+$B$2)  + COS($B$2)*SIN($G$13) )/(SIN($B$2)*SIN($B$2))   )</f>
        <v>1.62526709035323</v>
      </c>
      <c r="O16" s="4" t="e">
        <f aca="true">FORECAST(N16,OFFSET($Z$1:$Z$200,MATCH(N16,$Y$1:$Y$200,-1)-1,0,2),OFFSET($Y$1:$Y$200,MATCH(N16,$Y$1:$Y$200,-1)-1,0,2))</f>
        <v>#N/A</v>
      </c>
      <c r="P16" s="5"/>
      <c r="Q16" s="1" t="n">
        <f aca="false">0.05*(0.001)</f>
        <v>5E-005</v>
      </c>
      <c r="R16" s="5" t="n">
        <f aca="false">AVERAGE(Q16:Q18)</f>
        <v>6E-005</v>
      </c>
      <c r="S16" s="4" t="n">
        <f aca="false">MAX(ABS(Q16-R16),ABS(Q17-R16),ABS(Q18-R16))</f>
        <v>1E-005</v>
      </c>
      <c r="T16" s="27" t="e">
        <f aca="true">FORECAST((N16-M16),OFFSET($Z$1:$Z$200,MATCH((N16-M16),$Y$1:$Y$200,-1)-1,0,2),OFFSET($Y$1:$Y$200,MATCH((N16-M16),$Y$1:$Y$200,-1)-1,0,2))</f>
        <v>#N/A</v>
      </c>
      <c r="U16" s="27" t="e">
        <f aca="true">FORECAST((N16+M16),OFFSET($Z$1:$Z$200,MATCH((N16+M16),$Y$1:$Y$200,-1)-1,0,2),OFFSET($Y$1:$Y$200,MATCH((N16+M16),$Y$1:$Y$200,-1)-1,0,2))</f>
        <v>#N/A</v>
      </c>
      <c r="V16" s="0"/>
      <c r="W16" s="1" t="s">
        <v>56</v>
      </c>
      <c r="X16" s="26" t="s">
        <v>30</v>
      </c>
      <c r="Y16" s="3" t="n">
        <v>1.6206</v>
      </c>
      <c r="Z16" s="3" t="n">
        <v>546.9</v>
      </c>
      <c r="AC16" s="1" t="n">
        <v>9.155904</v>
      </c>
      <c r="AD16" s="1" t="n">
        <v>1700</v>
      </c>
      <c r="AH16" s="4" t="n">
        <v>669.487008426426</v>
      </c>
      <c r="AI16" s="5" t="n">
        <v>5.55666666666667</v>
      </c>
      <c r="AL16" s="4" t="n">
        <v>0</v>
      </c>
      <c r="AM16" s="0"/>
      <c r="AN16" s="0"/>
      <c r="AO16" s="0"/>
      <c r="AP16" s="0"/>
      <c r="AQ16" s="0"/>
    </row>
    <row r="17" customFormat="false" ht="15" hidden="false" customHeight="false" outlineLevel="0" collapsed="false">
      <c r="A17" s="22"/>
      <c r="B17" s="23"/>
      <c r="C17" s="23"/>
      <c r="D17" s="23"/>
      <c r="E17" s="23"/>
      <c r="F17" s="23"/>
      <c r="G17" s="23"/>
      <c r="H17" s="5"/>
      <c r="I17" s="5"/>
      <c r="J17" s="5"/>
      <c r="K17" s="5"/>
      <c r="L17" s="24"/>
      <c r="M17" s="24"/>
      <c r="N17" s="25"/>
      <c r="O17" s="4"/>
      <c r="P17" s="5"/>
      <c r="Q17" s="1" t="n">
        <f aca="false">0.07*(0.001)</f>
        <v>7E-005</v>
      </c>
      <c r="R17" s="5"/>
      <c r="S17" s="4" t="n">
        <f aca="false">MAX(ABS(Q17-R17),ABS(Q18-R17),ABS(Q19-R17))</f>
        <v>0.0001</v>
      </c>
      <c r="T17" s="27"/>
      <c r="U17" s="27"/>
      <c r="V17" s="0"/>
      <c r="W17" s="1" t="n">
        <f aca="false">X11/W11*100</f>
        <v>2.92103049430656</v>
      </c>
      <c r="X17" s="26" t="n">
        <f aca="false">(1/W11*X41+(X11/(W11*W11))*W14)*100</f>
        <v>0.0213895040516795</v>
      </c>
      <c r="Y17" s="3" t="n">
        <v>1.6204</v>
      </c>
      <c r="Z17" s="3" t="n">
        <v>549.2</v>
      </c>
      <c r="AC17" s="1" t="n">
        <v>9.856415</v>
      </c>
      <c r="AD17" s="1" t="n">
        <v>1800</v>
      </c>
      <c r="AH17" s="4"/>
      <c r="AI17" s="5"/>
      <c r="AL17" s="4" t="n">
        <v>0</v>
      </c>
      <c r="AM17" s="0"/>
      <c r="AN17" s="0"/>
      <c r="AO17" s="0"/>
      <c r="AP17" s="0"/>
      <c r="AQ17" s="0"/>
    </row>
    <row r="18" customFormat="false" ht="15" hidden="false" customHeight="false" outlineLevel="0" collapsed="false">
      <c r="A18" s="22"/>
      <c r="B18" s="23"/>
      <c r="C18" s="23"/>
      <c r="D18" s="23"/>
      <c r="E18" s="23"/>
      <c r="F18" s="23"/>
      <c r="G18" s="23"/>
      <c r="H18" s="5"/>
      <c r="I18" s="5"/>
      <c r="J18" s="5"/>
      <c r="K18" s="23"/>
      <c r="L18" s="24"/>
      <c r="M18" s="24"/>
      <c r="N18" s="25"/>
      <c r="O18" s="4"/>
      <c r="P18" s="5"/>
      <c r="Q18" s="1" t="n">
        <f aca="false">0.06*(0.001)</f>
        <v>6E-005</v>
      </c>
      <c r="R18" s="5"/>
      <c r="S18" s="4" t="n">
        <f aca="false">MAX(ABS(Q18-R18),ABS(Q19-R18),ABS(Q20-R18))</f>
        <v>0.0001</v>
      </c>
      <c r="T18" s="27"/>
      <c r="U18" s="27"/>
      <c r="V18" s="0"/>
      <c r="W18" s="0"/>
      <c r="X18" s="26"/>
      <c r="Y18" s="3" t="n">
        <v>1.6202</v>
      </c>
      <c r="Z18" s="3" t="n">
        <v>551.4</v>
      </c>
      <c r="AC18" s="1" t="n">
        <v>10.5748</v>
      </c>
      <c r="AD18" s="1" t="n">
        <v>1900</v>
      </c>
      <c r="AH18" s="4"/>
      <c r="AI18" s="5"/>
      <c r="AL18" s="21" t="n">
        <v>6.66667E-006</v>
      </c>
      <c r="AM18" s="1" t="n">
        <v>0.004507205</v>
      </c>
      <c r="AN18" s="1" t="n">
        <v>0.000336987</v>
      </c>
      <c r="AO18" s="0"/>
      <c r="AP18" s="0"/>
      <c r="AQ18" s="0"/>
    </row>
    <row r="19" customFormat="false" ht="15" hidden="false" customHeight="false" outlineLevel="0" collapsed="false">
      <c r="A19" s="22"/>
      <c r="B19" s="23"/>
      <c r="C19" s="23"/>
      <c r="D19" s="23"/>
      <c r="E19" s="23"/>
      <c r="F19" s="23"/>
      <c r="G19" s="23"/>
      <c r="H19" s="5"/>
      <c r="I19" s="5" t="n">
        <v>222</v>
      </c>
      <c r="J19" s="5" t="n">
        <v>10</v>
      </c>
      <c r="K19" s="23" t="n">
        <f aca="false">$B$3-(I19+J19/60)*PI()/180</f>
        <v>0.904662328950395</v>
      </c>
      <c r="L19" s="24" t="n">
        <f aca="false">2/(SIN($B$2)*SIN($B$2))*(SIN(K19-$G$13+$B$2)+COS($B$2)*SIN($G$13))</f>
        <v>3.3961061566613</v>
      </c>
      <c r="M19" s="5" t="n">
        <f aca="false">1/(2*SQRT(N19))*(ABS((2*SIN($G$13)*COS($G$13)+L19)*(COS($B$2)*COS($G$13)-COS(K19-$G$13+$B$2)))*$H$13+ABS(L19*COS(K19-$G$13+$B$2))*$K$11)</f>
        <v>0.000163927688200223</v>
      </c>
      <c r="N19" s="25" t="n">
        <f aca="false">SQRT(SIN($G$13)*SIN($G$13) + (SIN(K19-$G$13+$B$2)  + COS($B$2)*SIN($G$13) )* (SIN(K19-$G$13+$B$2)  + COS($B$2)*SIN($G$13) )/(SIN($B$2)*SIN($B$2))   )</f>
        <v>1.62261671562731</v>
      </c>
      <c r="O19" s="4" t="n">
        <f aca="true">FORECAST(N19,OFFSET($Z$1:$Z$200,MATCH(N19,$Y$1:$Y$200,-1)-1,0,2),OFFSET($Y$1:$Y$200,MATCH(N19,$Y$1:$Y$200,-1)-1,0,2))</f>
        <v>528.682990608812</v>
      </c>
      <c r="P19" s="5"/>
      <c r="Q19" s="1" t="n">
        <f aca="false">0.1*(0.001)</f>
        <v>0.0001</v>
      </c>
      <c r="R19" s="5" t="n">
        <f aca="false">AVERAGE(Q19:Q21)</f>
        <v>7.66666666666667E-005</v>
      </c>
      <c r="S19" s="28" t="n">
        <f aca="false">MAX(ABS(Q19-R19),ABS(Q20-R19),ABS(Q21-R19))</f>
        <v>2.33333333333333E-005</v>
      </c>
      <c r="T19" s="27" t="n">
        <f aca="true">FORECAST((N19-M19),OFFSET($Z$1:$Z$200,MATCH((N19-M19),$Y$1:$Y$200,-1)-1,0,2),OFFSET($Y$1:$Y$200,MATCH((N19-M19),$Y$1:$Y$200,-1)-1,0,2))</f>
        <v>529.995726639318</v>
      </c>
      <c r="U19" s="27" t="n">
        <f aca="true">FORECAST((N19+M19),OFFSET($Z$1:$Z$200,MATCH((N19+M19),$Y$1:$Y$200,-1)-1,0,2),OFFSET($Y$1:$Y$200,MATCH((N19+M19),$Y$1:$Y$200,-1)-1,0,2))</f>
        <v>527.53549679141</v>
      </c>
      <c r="V19" s="1" t="s">
        <v>34</v>
      </c>
      <c r="W19" s="1" t="s">
        <v>35</v>
      </c>
      <c r="X19" s="26"/>
      <c r="Y19" s="3" t="n">
        <v>1.6199</v>
      </c>
      <c r="Z19" s="3" t="n">
        <v>553.7</v>
      </c>
      <c r="AC19" s="1" t="n">
        <v>11.31141</v>
      </c>
      <c r="AD19" s="1" t="n">
        <v>2000</v>
      </c>
      <c r="AH19" s="4" t="n">
        <v>743.204792395729</v>
      </c>
      <c r="AI19" s="5" t="n">
        <v>3.67333333333333</v>
      </c>
      <c r="AL19" s="4" t="n">
        <v>0</v>
      </c>
      <c r="AM19" s="1" t="n">
        <v>0</v>
      </c>
      <c r="AN19" s="1" t="n">
        <v>0</v>
      </c>
      <c r="AO19" s="0"/>
      <c r="AP19" s="0"/>
      <c r="AQ19" s="0"/>
    </row>
    <row r="20" customFormat="false" ht="15" hidden="false" customHeight="false" outlineLevel="0" collapsed="false">
      <c r="A20" s="22"/>
      <c r="B20" s="23"/>
      <c r="C20" s="23"/>
      <c r="D20" s="23"/>
      <c r="E20" s="23"/>
      <c r="F20" s="23"/>
      <c r="G20" s="23"/>
      <c r="H20" s="5"/>
      <c r="I20" s="5"/>
      <c r="J20" s="5"/>
      <c r="K20" s="5"/>
      <c r="L20" s="24"/>
      <c r="M20" s="24"/>
      <c r="N20" s="25"/>
      <c r="O20" s="4"/>
      <c r="P20" s="5"/>
      <c r="Q20" s="1" t="n">
        <f aca="false">0.06*(0.001)</f>
        <v>6E-005</v>
      </c>
      <c r="R20" s="5"/>
      <c r="S20" s="28"/>
      <c r="T20" s="27"/>
      <c r="U20" s="27"/>
      <c r="V20" s="1" t="n">
        <f aca="false">(O22-O19)*(R22+R19)/2</f>
        <v>0.00251581656393308</v>
      </c>
      <c r="W20" s="1" t="n">
        <f aca="false">(O22-O19)*(S22+S19)/2</f>
        <v>0.000359402366276154</v>
      </c>
      <c r="X20" s="0"/>
      <c r="Y20" s="3" t="n">
        <v>1.6197</v>
      </c>
      <c r="Z20" s="3" t="n">
        <v>556.1</v>
      </c>
      <c r="AC20" s="1" t="n">
        <v>12.06657</v>
      </c>
      <c r="AD20" s="1" t="n">
        <v>2100</v>
      </c>
      <c r="AH20" s="4"/>
      <c r="AI20" s="5"/>
      <c r="AL20" s="4" t="n">
        <v>0</v>
      </c>
      <c r="AM20" s="1" t="n">
        <v>0</v>
      </c>
      <c r="AN20" s="1" t="n">
        <v>0</v>
      </c>
      <c r="AO20" s="0"/>
      <c r="AP20" s="0"/>
      <c r="AQ20" s="0"/>
    </row>
    <row r="21" customFormat="false" ht="15" hidden="false" customHeight="false" outlineLevel="0" collapsed="false">
      <c r="A21" s="22"/>
      <c r="B21" s="23"/>
      <c r="C21" s="23"/>
      <c r="D21" s="23"/>
      <c r="E21" s="23"/>
      <c r="F21" s="23"/>
      <c r="G21" s="23"/>
      <c r="H21" s="5"/>
      <c r="I21" s="5"/>
      <c r="J21" s="5"/>
      <c r="K21" s="23"/>
      <c r="L21" s="24"/>
      <c r="M21" s="24"/>
      <c r="N21" s="25"/>
      <c r="O21" s="4"/>
      <c r="P21" s="5"/>
      <c r="Q21" s="1" t="n">
        <f aca="false">0.07*(0.001)</f>
        <v>7E-005</v>
      </c>
      <c r="R21" s="5"/>
      <c r="S21" s="28"/>
      <c r="T21" s="27"/>
      <c r="U21" s="27"/>
      <c r="V21" s="1" t="n">
        <f aca="false">(O23-O20)*(R23+R20)/2</f>
        <v>0</v>
      </c>
      <c r="W21" s="1" t="n">
        <f aca="false">(O23-O20)*(S23+S20)/2</f>
        <v>0</v>
      </c>
      <c r="X21" s="0"/>
      <c r="Y21" s="3" t="n">
        <v>1.6195</v>
      </c>
      <c r="Z21" s="3" t="n">
        <v>558.4</v>
      </c>
      <c r="AC21" s="1" t="n">
        <v>12.84061</v>
      </c>
      <c r="AD21" s="1" t="n">
        <v>2200</v>
      </c>
      <c r="AH21" s="4"/>
      <c r="AI21" s="5"/>
      <c r="AL21" s="4" t="n">
        <v>2E-005</v>
      </c>
      <c r="AM21" s="1" t="n">
        <v>0.018010251</v>
      </c>
      <c r="AN21" s="1" t="n">
        <v>0.001216909</v>
      </c>
      <c r="AO21" s="0"/>
      <c r="AP21" s="0"/>
      <c r="AQ21" s="0"/>
    </row>
    <row r="22" customFormat="false" ht="15" hidden="false" customHeight="false" outlineLevel="0" collapsed="false">
      <c r="A22" s="22"/>
      <c r="B22" s="23"/>
      <c r="C22" s="23"/>
      <c r="D22" s="23"/>
      <c r="E22" s="23"/>
      <c r="F22" s="23"/>
      <c r="G22" s="23"/>
      <c r="H22" s="5"/>
      <c r="I22" s="5" t="n">
        <v>222</v>
      </c>
      <c r="J22" s="5" t="n">
        <v>24</v>
      </c>
      <c r="K22" s="23" t="n">
        <f aca="false">$B$3-(I22+J22/60)*PI()/180</f>
        <v>0.900589894029074</v>
      </c>
      <c r="L22" s="24" t="n">
        <f aca="false">2/(SIN($B$2)*SIN($B$2))*(SIN(K22-$G$13+$B$2)+COS($B$2)*SIN($G$13))</f>
        <v>3.39211132799399</v>
      </c>
      <c r="M22" s="5" t="n">
        <f aca="false">1/(2*SQRT(N22))*(ABS((2*SIN($G$13)*COS($G$13)+L22)*(COS($B$2)*COS($G$13)-COS(K22-$G$13+$B$2)))*$H$13+ABS(L22*COS(K22-$G$13+$B$2))*$K$11)</f>
        <v>0.000205487866201183</v>
      </c>
      <c r="N22" s="25" t="n">
        <f aca="false">SQRT(SIN($G$13)*SIN($G$13) + (SIN(K22-$G$13+$B$2)  + COS($B$2)*SIN($G$13) )* (SIN(K22-$G$13+$B$2)  + COS($B$2)*SIN($G$13) )/(SIN($B$2)*SIN($B$2))   )</f>
        <v>1.62104917406729</v>
      </c>
      <c r="O22" s="4" t="n">
        <f aca="true">FORECAST(N22,OFFSET($Z$1:$Z$200,MATCH(N22,$Y$1:$Y$200,-1)-1,0,2),OFFSET($Y$1:$Y$200,MATCH(N22,$Y$1:$Y$200,-1)-1,0,2))</f>
        <v>543.059085259858</v>
      </c>
      <c r="P22" s="5"/>
      <c r="Q22" s="1" t="n">
        <f aca="false">0.25*(0.001)</f>
        <v>0.00025</v>
      </c>
      <c r="R22" s="5" t="n">
        <f aca="false">AVERAGE(Q22:Q24)</f>
        <v>0.000273333333333333</v>
      </c>
      <c r="S22" s="28" t="n">
        <f aca="false">MAX(ABS(Q22-R22),ABS(Q23-R22),ABS(Q24-R22))</f>
        <v>2.66666666666666E-005</v>
      </c>
      <c r="T22" s="27" t="n">
        <f aca="true">FORECAST((N22-M22),OFFSET($Z$1:$Z$200,MATCH((N22-M22),$Y$1:$Y$200,-1)-1,0,2),OFFSET($Y$1:$Y$200,MATCH((N22-M22),$Y$1:$Y$200,-1)-1,0,2))</f>
        <v>545.112967858715</v>
      </c>
      <c r="U22" s="27" t="n">
        <f aca="true">FORECAST((N22+M22),OFFSET($Z$1:$Z$200,MATCH((N22+M22),$Y$1:$Y$200,-1)-1,0,2),OFFSET($Y$1:$Y$200,MATCH((N22+M22),$Y$1:$Y$200,-1)-1,0,2))</f>
        <v>540.798718731645</v>
      </c>
      <c r="V22" s="1" t="n">
        <f aca="false">(O24-O21)*(R24+R21)/2</f>
        <v>0</v>
      </c>
      <c r="W22" s="1" t="n">
        <f aca="false">(O24-O21)*(S24+S21)/2</f>
        <v>0</v>
      </c>
      <c r="X22" s="0"/>
      <c r="Y22" s="3" t="n">
        <v>1.6192</v>
      </c>
      <c r="Z22" s="3" t="n">
        <v>560.8</v>
      </c>
      <c r="AC22" s="1" t="n">
        <v>13.63389</v>
      </c>
      <c r="AD22" s="1" t="n">
        <v>2300</v>
      </c>
      <c r="AH22" s="4" t="n">
        <v>851.598600598038</v>
      </c>
      <c r="AI22" s="5" t="n">
        <v>2.23666666666667</v>
      </c>
      <c r="AL22" s="4" t="n">
        <v>0</v>
      </c>
      <c r="AM22" s="1" t="n">
        <v>0</v>
      </c>
      <c r="AN22" s="1" t="n">
        <v>0</v>
      </c>
      <c r="AO22" s="0"/>
      <c r="AP22" s="0"/>
      <c r="AQ22" s="0"/>
    </row>
    <row r="23" customFormat="false" ht="15" hidden="false" customHeight="false" outlineLevel="0" collapsed="false">
      <c r="A23" s="22"/>
      <c r="B23" s="23"/>
      <c r="C23" s="23"/>
      <c r="D23" s="23"/>
      <c r="E23" s="23"/>
      <c r="F23" s="23"/>
      <c r="G23" s="23"/>
      <c r="H23" s="5"/>
      <c r="I23" s="5"/>
      <c r="J23" s="5"/>
      <c r="K23" s="5"/>
      <c r="L23" s="24"/>
      <c r="M23" s="24"/>
      <c r="N23" s="25"/>
      <c r="O23" s="4"/>
      <c r="P23" s="5"/>
      <c r="Q23" s="1" t="n">
        <f aca="false">0.27*(0.001)</f>
        <v>0.00027</v>
      </c>
      <c r="R23" s="5"/>
      <c r="S23" s="28"/>
      <c r="T23" s="27"/>
      <c r="U23" s="27"/>
      <c r="V23" s="1" t="n">
        <f aca="false">(O25-O22)*(R25+R22)/2</f>
        <v>0.00883321494032199</v>
      </c>
      <c r="W23" s="1" t="n">
        <f aca="false">(O25-O22)*(S25+S22)/2</f>
        <v>0.000493962677583793</v>
      </c>
      <c r="X23" s="0"/>
      <c r="Y23" s="3" t="n">
        <v>1.619</v>
      </c>
      <c r="Z23" s="3" t="n">
        <v>563.2</v>
      </c>
      <c r="AC23" s="1" t="n">
        <v>14.44674</v>
      </c>
      <c r="AD23" s="1" t="n">
        <v>2400</v>
      </c>
      <c r="AH23" s="4"/>
      <c r="AI23" s="5"/>
      <c r="AL23" s="4" t="n">
        <v>0</v>
      </c>
      <c r="AM23" s="1" t="n">
        <v>0</v>
      </c>
      <c r="AN23" s="1" t="n">
        <v>0</v>
      </c>
      <c r="AO23" s="0"/>
      <c r="AP23" s="0"/>
      <c r="AQ23" s="0"/>
    </row>
    <row r="24" customFormat="false" ht="15" hidden="false" customHeight="false" outlineLevel="0" collapsed="false">
      <c r="A24" s="22"/>
      <c r="B24" s="23"/>
      <c r="C24" s="23"/>
      <c r="D24" s="23"/>
      <c r="E24" s="23"/>
      <c r="F24" s="23"/>
      <c r="G24" s="23"/>
      <c r="H24" s="5"/>
      <c r="I24" s="5"/>
      <c r="J24" s="5"/>
      <c r="K24" s="23"/>
      <c r="L24" s="24"/>
      <c r="M24" s="24"/>
      <c r="N24" s="25"/>
      <c r="O24" s="4"/>
      <c r="P24" s="5"/>
      <c r="Q24" s="1" t="n">
        <f aca="false">0.3*(0.001)</f>
        <v>0.0003</v>
      </c>
      <c r="R24" s="5"/>
      <c r="S24" s="28"/>
      <c r="T24" s="27"/>
      <c r="U24" s="27"/>
      <c r="V24" s="1" t="n">
        <f aca="false">(O26-O23)*(R26+R23)/2</f>
        <v>0</v>
      </c>
      <c r="W24" s="1" t="n">
        <f aca="false">(O26-O23)*(S26+S23)/2</f>
        <v>0</v>
      </c>
      <c r="X24" s="0"/>
      <c r="Y24" s="3" t="n">
        <v>1.6187</v>
      </c>
      <c r="Z24" s="3" t="n">
        <v>565.6</v>
      </c>
      <c r="AC24" s="1" t="n">
        <v>15.27949</v>
      </c>
      <c r="AD24" s="1" t="n">
        <v>2500</v>
      </c>
      <c r="AH24" s="4"/>
      <c r="AI24" s="5"/>
      <c r="AL24" s="4" t="n">
        <v>3E-005</v>
      </c>
      <c r="AM24" s="1" t="n">
        <v>0.024082534</v>
      </c>
      <c r="AN24" s="1" t="n">
        <v>0.00086009</v>
      </c>
      <c r="AO24" s="0"/>
      <c r="AP24" s="0"/>
      <c r="AQ24" s="0"/>
    </row>
    <row r="25" customFormat="false" ht="15" hidden="false" customHeight="false" outlineLevel="0" collapsed="false">
      <c r="A25" s="22"/>
      <c r="B25" s="23"/>
      <c r="C25" s="23"/>
      <c r="D25" s="23"/>
      <c r="E25" s="23"/>
      <c r="F25" s="23"/>
      <c r="G25" s="23"/>
      <c r="H25" s="5"/>
      <c r="I25" s="5" t="n">
        <v>222</v>
      </c>
      <c r="J25" s="5" t="n">
        <v>40</v>
      </c>
      <c r="K25" s="23" t="n">
        <f aca="false">$B$3-(I25+J25/60)*PI()/180</f>
        <v>0.895935682690423</v>
      </c>
      <c r="L25" s="24" t="n">
        <f aca="false">2/(SIN($B$2)*SIN($B$2))*(SIN(K25-$G$13+$B$2)+COS($B$2)*SIN($G$13))</f>
        <v>3.38749549704247</v>
      </c>
      <c r="M25" s="5" t="n">
        <f aca="false">1/(2*SQRT(N25))*(ABS((2*SIN($G$13)*COS($G$13)+L25)*(COS($B$2)*COS($G$13)-COS(K25-$G$13+$B$2)))*$H$13+ABS(L25*COS(K25-$G$13+$B$2))*$K$11)</f>
        <v>0.000252856144917105</v>
      </c>
      <c r="N25" s="25" t="n">
        <f aca="false">SQRT(SIN($G$13)*SIN($G$13) + (SIN(K25-$G$13+$B$2)  + COS($B$2)*SIN($G$13) )* (SIN(K25-$G$13+$B$2)  + COS($B$2)*SIN($G$13) )/(SIN($B$2)*SIN($B$2))   )</f>
        <v>1.61923836723553</v>
      </c>
      <c r="O25" s="4" t="n">
        <f aca="true">FORECAST(N25,OFFSET($Z$1:$Z$200,MATCH(N25,$Y$1:$Y$200,-1)-1,0,2),OFFSET($Y$1:$Y$200,MATCH(N25,$Y$1:$Y$200,-1)-1,0,2))</f>
        <v>560.493062115756</v>
      </c>
      <c r="P25" s="5"/>
      <c r="Q25" s="1" t="n">
        <f aca="false">0.71*(0.001)</f>
        <v>0.00071</v>
      </c>
      <c r="R25" s="5" t="n">
        <f aca="false">AVERAGE(Q25:Q27)</f>
        <v>0.00074</v>
      </c>
      <c r="S25" s="28" t="n">
        <f aca="false">MAX(ABS(Q25-R25),ABS(Q26-R25),ABS(Q27-R25))</f>
        <v>2.99999999999998E-005</v>
      </c>
      <c r="T25" s="27" t="n">
        <f aca="true">FORECAST((N25-M25),OFFSET($Z$1:$Z$200,MATCH((N25-M25),$Y$1:$Y$200,-1)-1,0,2),OFFSET($Y$1:$Y$200,MATCH((N25-M25),$Y$1:$Y$200,-1)-1,0,2))</f>
        <v>563.315911275093</v>
      </c>
      <c r="U25" s="27" t="n">
        <f aca="true">FORECAST((N25+M25),OFFSET($Z$1:$Z$200,MATCH((N25+M25),$Y$1:$Y$200,-1)-1,0,2),OFFSET($Y$1:$Y$200,MATCH((N25+M25),$Y$1:$Y$200,-1)-1,0,2))</f>
        <v>558.470212956418</v>
      </c>
      <c r="V25" s="1" t="n">
        <f aca="false">(O27-O24)*(R27+R24)/2</f>
        <v>0</v>
      </c>
      <c r="W25" s="1" t="n">
        <f aca="false">(O27-O24)*(S27+S24)/2</f>
        <v>0</v>
      </c>
      <c r="X25" s="0"/>
      <c r="Y25" s="3" t="n">
        <v>1.6185</v>
      </c>
      <c r="Z25" s="3" t="n">
        <v>568.1</v>
      </c>
      <c r="AC25" s="1" t="n">
        <v>16.13248</v>
      </c>
      <c r="AD25" s="1" t="n">
        <v>2600</v>
      </c>
      <c r="AH25" s="4" t="n">
        <v>999.504989700821</v>
      </c>
      <c r="AI25" s="5" t="n">
        <v>1.21333333333333</v>
      </c>
      <c r="AL25" s="4" t="n">
        <v>0</v>
      </c>
      <c r="AM25" s="1" t="n">
        <v>0</v>
      </c>
      <c r="AN25" s="1" t="n">
        <v>0</v>
      </c>
      <c r="AO25" s="0"/>
      <c r="AP25" s="0"/>
      <c r="AQ25" s="0"/>
    </row>
    <row r="26" customFormat="false" ht="15" hidden="false" customHeight="false" outlineLevel="0" collapsed="false">
      <c r="A26" s="22"/>
      <c r="B26" s="23"/>
      <c r="C26" s="23"/>
      <c r="D26" s="23"/>
      <c r="E26" s="23"/>
      <c r="F26" s="23"/>
      <c r="G26" s="23"/>
      <c r="H26" s="5"/>
      <c r="I26" s="5"/>
      <c r="J26" s="5"/>
      <c r="K26" s="5"/>
      <c r="L26" s="24"/>
      <c r="M26" s="24"/>
      <c r="N26" s="25"/>
      <c r="O26" s="4"/>
      <c r="P26" s="5"/>
      <c r="Q26" s="1" t="n">
        <f aca="false">0.75*(0.001)</f>
        <v>0.00075</v>
      </c>
      <c r="R26" s="5"/>
      <c r="S26" s="28"/>
      <c r="T26" s="27"/>
      <c r="U26" s="27"/>
      <c r="V26" s="1" t="n">
        <f aca="false">(O28-O25)*(R28+R25)/2</f>
        <v>0.0671322942095055</v>
      </c>
      <c r="W26" s="1" t="n">
        <f aca="false">(O28-O25)*(S28+S25)/2</f>
        <v>0.00152573395930694</v>
      </c>
      <c r="X26" s="0"/>
      <c r="Y26" s="3" t="n">
        <v>1.6183</v>
      </c>
      <c r="Z26" s="3" t="n">
        <v>570.6</v>
      </c>
      <c r="AC26" s="1" t="n">
        <v>17.00605</v>
      </c>
      <c r="AD26" s="1" t="n">
        <v>2700</v>
      </c>
      <c r="AH26" s="4"/>
      <c r="AI26" s="5"/>
      <c r="AL26" s="4" t="n">
        <v>0</v>
      </c>
      <c r="AM26" s="1" t="n">
        <v>0</v>
      </c>
      <c r="AN26" s="1" t="n">
        <v>0</v>
      </c>
      <c r="AO26" s="0"/>
      <c r="AP26" s="0"/>
      <c r="AQ26" s="0"/>
    </row>
    <row r="27" customFormat="false" ht="15" hidden="false" customHeight="false" outlineLevel="0" collapsed="false">
      <c r="A27" s="22"/>
      <c r="B27" s="23"/>
      <c r="C27" s="23"/>
      <c r="D27" s="23"/>
      <c r="E27" s="23"/>
      <c r="F27" s="23"/>
      <c r="G27" s="23"/>
      <c r="H27" s="5"/>
      <c r="I27" s="5"/>
      <c r="J27" s="5"/>
      <c r="K27" s="23"/>
      <c r="L27" s="24"/>
      <c r="M27" s="24"/>
      <c r="N27" s="25"/>
      <c r="O27" s="4"/>
      <c r="P27" s="5"/>
      <c r="Q27" s="1" t="n">
        <f aca="false">0.76*(0.001)</f>
        <v>0.00076</v>
      </c>
      <c r="R27" s="5"/>
      <c r="S27" s="28"/>
      <c r="T27" s="27"/>
      <c r="U27" s="27"/>
      <c r="V27" s="1" t="n">
        <f aca="false">(O29-O26)*(R29+R26)/2</f>
        <v>0</v>
      </c>
      <c r="W27" s="1" t="n">
        <f aca="false">(O29-O26)*(S29+S26)/2</f>
        <v>0</v>
      </c>
      <c r="X27" s="0"/>
      <c r="Y27" s="3" t="n">
        <v>1.618</v>
      </c>
      <c r="Z27" s="3" t="n">
        <v>573.1</v>
      </c>
      <c r="AC27" s="1" t="n">
        <v>17.90054</v>
      </c>
      <c r="AD27" s="1" t="n">
        <v>2800</v>
      </c>
      <c r="AH27" s="4"/>
      <c r="AI27" s="5"/>
      <c r="AL27" s="21" t="n">
        <v>1.66667E-005</v>
      </c>
      <c r="AM27" s="1" t="n">
        <v>0.034468227</v>
      </c>
      <c r="AN27" s="1" t="n">
        <v>0.000451831</v>
      </c>
      <c r="AO27" s="0"/>
      <c r="AP27" s="0"/>
      <c r="AQ27" s="0"/>
    </row>
    <row r="28" customFormat="false" ht="15" hidden="false" customHeight="false" outlineLevel="0" collapsed="false">
      <c r="A28" s="22"/>
      <c r="B28" s="23"/>
      <c r="C28" s="23"/>
      <c r="D28" s="23"/>
      <c r="E28" s="23"/>
      <c r="F28" s="23"/>
      <c r="G28" s="23"/>
      <c r="H28" s="5"/>
      <c r="I28" s="5" t="n">
        <v>223</v>
      </c>
      <c r="J28" s="5" t="n">
        <v>25</v>
      </c>
      <c r="K28" s="23" t="n">
        <f aca="false">$B$3-(I28+J28/60)*PI()/180</f>
        <v>0.882845713300465</v>
      </c>
      <c r="L28" s="24" t="n">
        <f aca="false">2/(SIN($B$2)*SIN($B$2))*(SIN(K28-$G$13+$B$2)+COS($B$2)*SIN($G$13))</f>
        <v>3.37422659032916</v>
      </c>
      <c r="M28" s="5" t="n">
        <f aca="false">1/(2*SQRT(N28))*(ABS((2*SIN($G$13)*COS($G$13)+L28)*(COS($B$2)*COS($G$13)-COS(K28-$G$13+$B$2)))*$H$13+ABS(L28*COS(K28-$G$13+$B$2))*$K$11)</f>
        <v>0.000385326379684097</v>
      </c>
      <c r="N28" s="25" t="n">
        <f aca="false">SQRT(SIN($G$13)*SIN($G$13) + (SIN(K28-$G$13+$B$2)  + COS($B$2)*SIN($G$13) )* (SIN(K28-$G$13+$B$2)  + COS($B$2)*SIN($G$13) )/(SIN($B$2)*SIN($B$2))   )</f>
        <v>1.61403539807925</v>
      </c>
      <c r="O28" s="4" t="n">
        <f aca="true">FORECAST(N28,OFFSET($Z$1:$Z$200,MATCH(N28,$Y$1:$Y$200,-1)-1,0,2),OFFSET($Y$1:$Y$200,MATCH(N28,$Y$1:$Y$200,-1)-1,0,2))</f>
        <v>621.522420488034</v>
      </c>
      <c r="P28" s="5"/>
      <c r="Q28" s="1" t="n">
        <f aca="false">1.45*(0.001)</f>
        <v>0.00145</v>
      </c>
      <c r="R28" s="5" t="n">
        <f aca="false">AVERAGE(Q28:Q30)</f>
        <v>0.00146</v>
      </c>
      <c r="S28" s="28" t="n">
        <f aca="false">MAX(ABS(Q28-R28),ABS(Q29-R28),ABS(Q30-R28))</f>
        <v>2E-005</v>
      </c>
      <c r="T28" s="27" t="n">
        <f aca="true">FORECAST((N28-M28),OFFSET($Z$1:$Z$200,MATCH((N28-M28),$Y$1:$Y$200,-1)-1,0,2),OFFSET($Y$1:$Y$200,MATCH((N28-M28),$Y$1:$Y$200,-1)-1,0,2))</f>
        <v>627.673816957213</v>
      </c>
      <c r="U28" s="27" t="n">
        <f aca="true">FORECAST((N28+M28),OFFSET($Z$1:$Z$200,MATCH((N28+M28),$Y$1:$Y$200,-1)-1,0,2),OFFSET($Y$1:$Y$200,MATCH((N28+M28),$Y$1:$Y$200,-1)-1,0,2))</f>
        <v>616.768408657108</v>
      </c>
      <c r="V28" s="1" t="n">
        <f aca="false">(O30-O27)*(R30+R27)/2</f>
        <v>0</v>
      </c>
      <c r="W28" s="1" t="n">
        <f aca="false">(O30-O27)*(S30+S27)/2</f>
        <v>0</v>
      </c>
      <c r="X28" s="0"/>
      <c r="Y28" s="3" t="n">
        <v>1.6178</v>
      </c>
      <c r="Z28" s="3" t="n">
        <v>575.7</v>
      </c>
      <c r="AC28" s="1" t="n">
        <v>18.81629</v>
      </c>
      <c r="AD28" s="1" t="n">
        <v>2900</v>
      </c>
      <c r="AH28" s="4" t="n">
        <v>1444.51455441643</v>
      </c>
      <c r="AI28" s="5" t="n">
        <v>0.313333333333333</v>
      </c>
      <c r="AL28" s="4" t="n">
        <v>0</v>
      </c>
      <c r="AM28" s="1" t="n">
        <v>0</v>
      </c>
      <c r="AN28" s="1" t="n">
        <v>0</v>
      </c>
      <c r="AO28" s="0"/>
      <c r="AP28" s="0"/>
      <c r="AQ28" s="0"/>
    </row>
    <row r="29" customFormat="false" ht="15" hidden="false" customHeight="false" outlineLevel="0" collapsed="false">
      <c r="A29" s="22"/>
      <c r="B29" s="23"/>
      <c r="C29" s="23"/>
      <c r="D29" s="23"/>
      <c r="E29" s="23"/>
      <c r="F29" s="23"/>
      <c r="G29" s="23"/>
      <c r="H29" s="5"/>
      <c r="I29" s="5"/>
      <c r="J29" s="5"/>
      <c r="K29" s="5"/>
      <c r="L29" s="24"/>
      <c r="M29" s="24"/>
      <c r="N29" s="25"/>
      <c r="O29" s="4"/>
      <c r="P29" s="5"/>
      <c r="Q29" s="1" t="n">
        <f aca="false">1.48*(0.001)</f>
        <v>0.00148</v>
      </c>
      <c r="R29" s="5"/>
      <c r="S29" s="28"/>
      <c r="T29" s="27"/>
      <c r="U29" s="27"/>
      <c r="V29" s="1" t="n">
        <f aca="false">(O31-O28)*(R31+R28)/2</f>
        <v>0.0701802987920973</v>
      </c>
      <c r="W29" s="1" t="n">
        <f aca="false">(O31-O28)*(S31+S28)/2</f>
        <v>0.000821191615029038</v>
      </c>
      <c r="X29" s="0"/>
      <c r="Y29" s="3" t="n">
        <v>1.6176</v>
      </c>
      <c r="Z29" s="3" t="n">
        <v>578.3</v>
      </c>
      <c r="AC29" s="1" t="n">
        <v>19.75363</v>
      </c>
      <c r="AD29" s="1" t="n">
        <v>3000</v>
      </c>
      <c r="AH29" s="4"/>
      <c r="AI29" s="5"/>
      <c r="AL29" s="4" t="n">
        <v>0</v>
      </c>
      <c r="AM29" s="1" t="n">
        <v>0</v>
      </c>
      <c r="AN29" s="1" t="n">
        <v>0</v>
      </c>
      <c r="AO29" s="0"/>
      <c r="AP29" s="0"/>
      <c r="AQ29" s="0"/>
    </row>
    <row r="30" customFormat="false" ht="15" hidden="false" customHeight="false" outlineLevel="0" collapsed="false">
      <c r="A30" s="22"/>
      <c r="B30" s="23"/>
      <c r="C30" s="23"/>
      <c r="D30" s="23"/>
      <c r="E30" s="23"/>
      <c r="F30" s="23"/>
      <c r="G30" s="23"/>
      <c r="H30" s="5"/>
      <c r="I30" s="5"/>
      <c r="J30" s="5"/>
      <c r="K30" s="23"/>
      <c r="L30" s="24"/>
      <c r="M30" s="24"/>
      <c r="N30" s="25"/>
      <c r="O30" s="4"/>
      <c r="P30" s="5"/>
      <c r="Q30" s="1" t="n">
        <f aca="false">1.45*(0.001)</f>
        <v>0.00145</v>
      </c>
      <c r="R30" s="5"/>
      <c r="S30" s="28"/>
      <c r="T30" s="27"/>
      <c r="U30" s="27"/>
      <c r="V30" s="1" t="n">
        <f aca="false">(O32-O29)*(R32+R29)/2</f>
        <v>0</v>
      </c>
      <c r="W30" s="1" t="n">
        <f aca="false">(O32-O29)*(S32+S29)/2</f>
        <v>0</v>
      </c>
      <c r="X30" s="0"/>
      <c r="Y30" s="3" t="n">
        <v>1.6173</v>
      </c>
      <c r="Z30" s="3" t="n">
        <v>580.9</v>
      </c>
      <c r="AC30" s="1" t="n">
        <v>20.71291</v>
      </c>
      <c r="AD30" s="1" t="n">
        <v>3100</v>
      </c>
      <c r="AH30" s="4"/>
      <c r="AI30" s="5"/>
      <c r="AL30" s="21" t="n">
        <v>6.66667E-006</v>
      </c>
      <c r="AM30" s="1" t="n">
        <v>0.090080027</v>
      </c>
      <c r="AN30" s="1" t="n">
        <v>0.000501559</v>
      </c>
      <c r="AO30" s="0"/>
      <c r="AP30" s="0"/>
      <c r="AQ30" s="0"/>
    </row>
    <row r="31" customFormat="false" ht="15" hidden="false" customHeight="false" outlineLevel="0" collapsed="false">
      <c r="A31" s="22"/>
      <c r="B31" s="23"/>
      <c r="C31" s="23"/>
      <c r="D31" s="23"/>
      <c r="E31" s="23"/>
      <c r="F31" s="23"/>
      <c r="G31" s="23"/>
      <c r="H31" s="5"/>
      <c r="I31" s="5" t="n">
        <v>223</v>
      </c>
      <c r="J31" s="5" t="n">
        <v>46</v>
      </c>
      <c r="K31" s="23" t="n">
        <f aca="false">$B$3-(I31+J31/60)*PI()/180</f>
        <v>0.876737060918485</v>
      </c>
      <c r="L31" s="24" t="n">
        <f aca="false">2/(SIN($B$2)*SIN($B$2))*(SIN(K31-$G$13+$B$2)+COS($B$2)*SIN($G$13))</f>
        <v>3.36789005491066</v>
      </c>
      <c r="M31" s="5" t="n">
        <f aca="false">1/(2*SQRT(N31))*(ABS((2*SIN($G$13)*COS($G$13)+L31)*(COS($B$2)*COS($G$13)-COS(K31-$G$13+$B$2)))*$H$13+ABS(L31*COS(K31-$G$13+$B$2))*$K$11)</f>
        <v>0.000446757391089238</v>
      </c>
      <c r="N31" s="25" t="n">
        <f aca="false">SQRT(SIN($G$13)*SIN($G$13) + (SIN(K31-$G$13+$B$2)  + COS($B$2)*SIN($G$13) )* (SIN(K31-$G$13+$B$2)  + COS($B$2)*SIN($G$13) )/(SIN($B$2)*SIN($B$2))   )</f>
        <v>1.61155203292685</v>
      </c>
      <c r="O31" s="4" t="n">
        <f aca="true">FORECAST(N31,OFFSET($Z$1:$Z$200,MATCH(N31,$Y$1:$Y$200,-1)-1,0,2),OFFSET($Y$1:$Y$200,MATCH(N31,$Y$1:$Y$200,-1)-1,0,2))</f>
        <v>659.423571950913</v>
      </c>
      <c r="P31" s="5"/>
      <c r="Q31" s="1" t="n">
        <f aca="false">2.22*(0.001)</f>
        <v>0.00222</v>
      </c>
      <c r="R31" s="5" t="n">
        <f aca="false">AVERAGE(Q31:Q33)</f>
        <v>0.00224333333333333</v>
      </c>
      <c r="S31" s="28" t="n">
        <f aca="false">MAX(ABS(Q31-R31),ABS(Q32-R31),ABS(Q33-R31))</f>
        <v>2.33333333333331E-005</v>
      </c>
      <c r="T31" s="27" t="n">
        <f aca="true">FORECAST((N31-M31),OFFSET($Z$1:$Z$200,MATCH((N31-M31),$Y$1:$Y$200,-1)-1,0,2),OFFSET($Y$1:$Y$200,MATCH((N31-M31),$Y$1:$Y$200,-1)-1,0,2))</f>
        <v>667.294489284733</v>
      </c>
      <c r="U31" s="27" t="n">
        <f aca="true">FORECAST((N31+M31),OFFSET($Z$1:$Z$200,MATCH((N31+M31),$Y$1:$Y$200,-1)-1,0,2),OFFSET($Y$1:$Y$200,MATCH((N31+M31),$Y$1:$Y$200,-1)-1,0,2))</f>
        <v>652.348655972734</v>
      </c>
      <c r="V31" s="1" t="n">
        <f aca="false">(O33-O30)*(R33+R30)/2</f>
        <v>0</v>
      </c>
      <c r="W31" s="1" t="n">
        <f aca="false">(O33-O30)*(S33+S30)/2</f>
        <v>0</v>
      </c>
      <c r="X31" s="0"/>
      <c r="Y31" s="3" t="n">
        <v>1.6171</v>
      </c>
      <c r="Z31" s="3" t="n">
        <v>583.5</v>
      </c>
      <c r="AC31" s="1" t="n">
        <v>21.69445</v>
      </c>
      <c r="AD31" s="1" t="n">
        <v>3200</v>
      </c>
      <c r="AH31" s="4" t="n">
        <v>1990.63787818042</v>
      </c>
      <c r="AI31" s="5" t="n">
        <v>0.0266666666666667</v>
      </c>
      <c r="AL31" s="4" t="n">
        <v>0</v>
      </c>
      <c r="AM31" s="1" t="n">
        <v>0</v>
      </c>
      <c r="AN31" s="1" t="n">
        <v>0</v>
      </c>
      <c r="AO31" s="0"/>
      <c r="AP31" s="0"/>
      <c r="AQ31" s="0"/>
    </row>
    <row r="32" customFormat="false" ht="15" hidden="false" customHeight="false" outlineLevel="0" collapsed="false">
      <c r="A32" s="22"/>
      <c r="B32" s="23"/>
      <c r="C32" s="23"/>
      <c r="D32" s="23"/>
      <c r="E32" s="23"/>
      <c r="F32" s="23"/>
      <c r="G32" s="23"/>
      <c r="H32" s="5"/>
      <c r="I32" s="5"/>
      <c r="J32" s="5"/>
      <c r="K32" s="5"/>
      <c r="L32" s="24"/>
      <c r="M32" s="24"/>
      <c r="N32" s="25"/>
      <c r="O32" s="4"/>
      <c r="P32" s="5"/>
      <c r="Q32" s="1" t="n">
        <f aca="false">2.26*(0.001)</f>
        <v>0.00226</v>
      </c>
      <c r="R32" s="5"/>
      <c r="S32" s="28"/>
      <c r="T32" s="27"/>
      <c r="U32" s="27"/>
      <c r="V32" s="1" t="n">
        <f aca="false">(O34-O31)*(R34+R31)/2</f>
        <v>0.353145296003083</v>
      </c>
      <c r="W32" s="1" t="n">
        <f aca="false">(O34-O31)*(S34+S31)/2</f>
        <v>0.00177703488382153</v>
      </c>
      <c r="X32" s="0"/>
      <c r="Y32" s="3" t="n">
        <v>1.6169</v>
      </c>
      <c r="Z32" s="3" t="n">
        <v>586.2</v>
      </c>
      <c r="AC32" s="1" t="n">
        <v>22.69861</v>
      </c>
      <c r="AD32" s="1" t="n">
        <v>3300</v>
      </c>
      <c r="AH32" s="4"/>
      <c r="AI32" s="5"/>
      <c r="AL32" s="4" t="n">
        <v>0</v>
      </c>
      <c r="AM32" s="1" t="n">
        <v>0</v>
      </c>
      <c r="AN32" s="1" t="n">
        <v>0</v>
      </c>
      <c r="AO32" s="0"/>
      <c r="AP32" s="0"/>
      <c r="AQ32" s="0"/>
    </row>
    <row r="33" customFormat="false" ht="15" hidden="false" customHeight="false" outlineLevel="0" collapsed="false">
      <c r="A33" s="22"/>
      <c r="B33" s="23"/>
      <c r="C33" s="23"/>
      <c r="D33" s="23"/>
      <c r="E33" s="23"/>
      <c r="F33" s="23"/>
      <c r="G33" s="23"/>
      <c r="H33" s="5"/>
      <c r="I33" s="5"/>
      <c r="J33" s="5"/>
      <c r="K33" s="23"/>
      <c r="L33" s="24"/>
      <c r="M33" s="24"/>
      <c r="N33" s="25"/>
      <c r="O33" s="4"/>
      <c r="P33" s="5"/>
      <c r="Q33" s="1" t="n">
        <f aca="false">2.25*(0.001)</f>
        <v>0.00225</v>
      </c>
      <c r="R33" s="5"/>
      <c r="S33" s="28"/>
      <c r="T33" s="27"/>
      <c r="U33" s="27"/>
      <c r="V33" s="1" t="n">
        <f aca="false">(O35-O32)*(R35+R32)/2</f>
        <v>0</v>
      </c>
      <c r="W33" s="1" t="n">
        <f aca="false">(O35-O32)*(S35+S32)/2</f>
        <v>0</v>
      </c>
      <c r="X33" s="0"/>
      <c r="Y33" s="3" t="n">
        <v>1.6166</v>
      </c>
      <c r="Z33" s="3" t="n">
        <v>589</v>
      </c>
      <c r="AC33" s="1" t="n">
        <v>23.72571</v>
      </c>
      <c r="AD33" s="1" t="n">
        <v>3400</v>
      </c>
      <c r="AH33" s="4"/>
      <c r="AI33" s="5"/>
      <c r="AL33" s="4" t="n">
        <v>1E-005</v>
      </c>
      <c r="AM33" s="1" t="n">
        <v>0.129737662</v>
      </c>
      <c r="AN33" s="1" t="n">
        <v>0.000690094</v>
      </c>
      <c r="AO33" s="0"/>
      <c r="AP33" s="0"/>
      <c r="AQ33" s="0"/>
    </row>
    <row r="34" customFormat="false" ht="15" hidden="false" customHeight="false" outlineLevel="0" collapsed="false">
      <c r="A34" s="22"/>
      <c r="B34" s="23"/>
      <c r="C34" s="23"/>
      <c r="D34" s="23"/>
      <c r="E34" s="23"/>
      <c r="F34" s="23"/>
      <c r="G34" s="23"/>
      <c r="H34" s="5"/>
      <c r="I34" s="5" t="n">
        <f aca="false">I28+1</f>
        <v>224</v>
      </c>
      <c r="J34" s="5" t="n">
        <v>25</v>
      </c>
      <c r="K34" s="23" t="n">
        <f aca="false">$B$3-(I34+J34/60)*PI()/180</f>
        <v>0.865392420780522</v>
      </c>
      <c r="L34" s="24" t="n">
        <f aca="false">2/(SIN($B$2)*SIN($B$2))*(SIN(K34-$G$13+$B$2)+COS($B$2)*SIN($G$13))</f>
        <v>3.35587949119024</v>
      </c>
      <c r="M34" s="5" t="n">
        <f aca="false">1/(2*SQRT(N34))*(ABS((2*SIN($G$13)*COS($G$13)+L34)*(COS($B$2)*COS($G$13)-COS(K34-$G$13+$B$2)))*$H$13+ABS(L34*COS(K34-$G$13+$B$2))*$K$11)</f>
        <v>0.000560170155345007</v>
      </c>
      <c r="N34" s="25" t="n">
        <f aca="false">SQRT(SIN($G$13)*SIN($G$13) + (SIN(K34-$G$13+$B$2)  + COS($B$2)*SIN($G$13) )* (SIN(K34-$G$13+$B$2)  + COS($B$2)*SIN($G$13) )/(SIN($B$2)*SIN($B$2))   )</f>
        <v>1.60684727201993</v>
      </c>
      <c r="O34" s="4" t="n">
        <f aca="true">FORECAST(N34,OFFSET($Z$1:$Z$200,MATCH(N34,$Y$1:$Y$200,-1)-1,0,2),OFFSET($Y$1:$Y$200,MATCH(N34,$Y$1:$Y$200,-1)-1,0,2))</f>
        <v>756.352747432089</v>
      </c>
      <c r="P34" s="5"/>
      <c r="Q34" s="1" t="n">
        <f aca="false">5.05*(0.001)</f>
        <v>0.00505</v>
      </c>
      <c r="R34" s="5" t="n">
        <f aca="false">AVERAGE(Q34:Q36)</f>
        <v>0.00504333333333333</v>
      </c>
      <c r="S34" s="28" t="n">
        <f aca="false">MAX(ABS(Q34-R34),ABS(Q35-R34),ABS(Q36-R34))</f>
        <v>1.33333333333331E-005</v>
      </c>
      <c r="T34" s="27" t="n">
        <f aca="true">FORECAST((N34-M34),OFFSET($Z$1:$Z$200,MATCH((N34-M34),$Y$1:$Y$200,-1)-1,0,2),OFFSET($Y$1:$Y$200,MATCH((N34-M34),$Y$1:$Y$200,-1)-1,0,2))</f>
        <v>770.093393130261</v>
      </c>
      <c r="U34" s="27" t="n">
        <f aca="true">FORECAST((N34+M34),OFFSET($Z$1:$Z$200,MATCH((N34+M34),$Y$1:$Y$200,-1)-1,0,2),OFFSET($Y$1:$Y$200,MATCH((N34+M34),$Y$1:$Y$200,-1)-1,0,2))</f>
        <v>742.427746061594</v>
      </c>
      <c r="V34" s="1" t="n">
        <f aca="false">(O36-O33)*(R36+R33)/2</f>
        <v>0</v>
      </c>
      <c r="W34" s="1" t="n">
        <f aca="false">(O36-O33)*(S36+S33)/2</f>
        <v>0</v>
      </c>
      <c r="X34" s="0"/>
      <c r="Y34" s="3" t="n">
        <v>1.6164</v>
      </c>
      <c r="Z34" s="3" t="n">
        <v>591.7</v>
      </c>
      <c r="AC34" s="1" t="n">
        <v>24.77609</v>
      </c>
      <c r="AD34" s="1" t="n">
        <v>3500</v>
      </c>
      <c r="AL34" s="4" t="n">
        <v>0</v>
      </c>
      <c r="AM34" s="1" t="n">
        <v>0</v>
      </c>
      <c r="AN34" s="1" t="n">
        <v>0</v>
      </c>
      <c r="AO34" s="0"/>
      <c r="AP34" s="0"/>
      <c r="AQ34" s="0"/>
    </row>
    <row r="35" customFormat="false" ht="15" hidden="false" customHeight="false" outlineLevel="0" collapsed="false">
      <c r="A35" s="22"/>
      <c r="B35" s="23"/>
      <c r="C35" s="23"/>
      <c r="D35" s="23"/>
      <c r="E35" s="23"/>
      <c r="F35" s="23"/>
      <c r="G35" s="23"/>
      <c r="H35" s="5"/>
      <c r="I35" s="5"/>
      <c r="J35" s="5"/>
      <c r="K35" s="5"/>
      <c r="L35" s="24"/>
      <c r="M35" s="24"/>
      <c r="N35" s="25"/>
      <c r="O35" s="4"/>
      <c r="P35" s="5"/>
      <c r="Q35" s="1" t="n">
        <f aca="false">5.03*(0.001)</f>
        <v>0.00503</v>
      </c>
      <c r="R35" s="5"/>
      <c r="S35" s="28"/>
      <c r="T35" s="27"/>
      <c r="U35" s="27"/>
      <c r="V35" s="1" t="n">
        <f aca="false">(O37-O34)*(R37+R34)/2</f>
        <v>0.577568237184579</v>
      </c>
      <c r="W35" s="1" t="n">
        <f aca="false">(O37-O34)*(S37+S34)/2</f>
        <v>0.00303424343149238</v>
      </c>
      <c r="X35" s="0"/>
      <c r="Y35" s="3" t="n">
        <v>1.6162</v>
      </c>
      <c r="Z35" s="3" t="n">
        <v>594.6</v>
      </c>
      <c r="AC35" s="1" t="n">
        <v>25.8501</v>
      </c>
      <c r="AD35" s="1" t="n">
        <v>3600</v>
      </c>
      <c r="AL35" s="4" t="n">
        <v>0</v>
      </c>
      <c r="AM35" s="1" t="n">
        <v>0</v>
      </c>
      <c r="AN35" s="1" t="n">
        <v>0</v>
      </c>
      <c r="AO35" s="0"/>
      <c r="AP35" s="0"/>
      <c r="AQ35" s="0"/>
    </row>
    <row r="36" customFormat="false" ht="15" hidden="false" customHeight="false" outlineLevel="0" collapsed="false">
      <c r="A36" s="22"/>
      <c r="B36" s="23"/>
      <c r="C36" s="23"/>
      <c r="D36" s="23"/>
      <c r="E36" s="23"/>
      <c r="F36" s="23"/>
      <c r="G36" s="23"/>
      <c r="H36" s="5"/>
      <c r="I36" s="5"/>
      <c r="J36" s="5"/>
      <c r="K36" s="23"/>
      <c r="L36" s="24"/>
      <c r="M36" s="24"/>
      <c r="N36" s="25"/>
      <c r="O36" s="4"/>
      <c r="P36" s="5"/>
      <c r="Q36" s="1" t="n">
        <f aca="false">5.05*(0.001)</f>
        <v>0.00505</v>
      </c>
      <c r="R36" s="5"/>
      <c r="S36" s="28"/>
      <c r="T36" s="27"/>
      <c r="U36" s="27"/>
      <c r="V36" s="1" t="n">
        <f aca="false">(O38-O35)*(R38+R35)/2</f>
        <v>0</v>
      </c>
      <c r="W36" s="1" t="n">
        <f aca="false">(O38-O35)*(S38+S35)/2</f>
        <v>0</v>
      </c>
      <c r="X36" s="0"/>
      <c r="Y36" s="3" t="n">
        <v>1.6159</v>
      </c>
      <c r="Z36" s="3" t="n">
        <v>597.4</v>
      </c>
      <c r="AL36" s="21" t="n">
        <v>1.66667E-005</v>
      </c>
      <c r="AM36" s="1" t="n">
        <v>0.293042438</v>
      </c>
      <c r="AN36" s="1" t="n">
        <v>0.002830608</v>
      </c>
      <c r="AO36" s="0"/>
      <c r="AP36" s="0"/>
      <c r="AQ36" s="0"/>
    </row>
    <row r="37" customFormat="false" ht="15" hidden="false" customHeight="false" outlineLevel="0" collapsed="false">
      <c r="A37" s="22"/>
      <c r="B37" s="23"/>
      <c r="C37" s="23"/>
      <c r="D37" s="23"/>
      <c r="E37" s="23"/>
      <c r="F37" s="23"/>
      <c r="G37" s="23"/>
      <c r="H37" s="5"/>
      <c r="I37" s="5" t="n">
        <f aca="false">I31+1</f>
        <v>224</v>
      </c>
      <c r="J37" s="5" t="n">
        <v>51</v>
      </c>
      <c r="K37" s="23" t="n">
        <f aca="false">$B$3-(I37+J37/60)*PI()/180</f>
        <v>0.857829327355213</v>
      </c>
      <c r="L37" s="24" t="n">
        <f aca="false">2/(SIN($B$2)*SIN($B$2))*(SIN(K37-$G$13+$B$2)+COS($B$2)*SIN($G$13))</f>
        <v>3.34769778829866</v>
      </c>
      <c r="M37" s="5" t="n">
        <f aca="false">1/(2*SQRT(N37))*(ABS((2*SIN($G$13)*COS($G$13)+L37)*(COS($B$2)*COS($G$13)-COS(K37-$G$13+$B$2)))*$H$13+ABS(L37*COS(K37-$G$13+$B$2))*$K$11)</f>
        <v>0.00063528198937358</v>
      </c>
      <c r="N37" s="25" t="n">
        <f aca="false">SQRT(SIN($G$13)*SIN($G$13) + (SIN(K37-$G$13+$B$2)  + COS($B$2)*SIN($G$13) )* (SIN(K37-$G$13+$B$2)  + COS($B$2)*SIN($G$13) )/(SIN($B$2)*SIN($B$2))   )</f>
        <v>1.60364410127239</v>
      </c>
      <c r="O37" s="4" t="n">
        <f aca="true">FORECAST(N37,OFFSET($Z$1:$Z$200,MATCH(N37,$Y$1:$Y$200,-1)-1,0,2),OFFSET($Y$1:$Y$200,MATCH(N37,$Y$1:$Y$200,-1)-1,0,2))</f>
        <v>847.380050376861</v>
      </c>
      <c r="P37" s="5"/>
      <c r="Q37" s="1" t="n">
        <f aca="false">7.7*(0.001)</f>
        <v>0.0077</v>
      </c>
      <c r="R37" s="5" t="n">
        <f aca="false">AVERAGE(Q37:Q39)</f>
        <v>0.00764666666666667</v>
      </c>
      <c r="S37" s="28" t="n">
        <f aca="false">MAX(ABS(Q37-R37),ABS(Q38-R37),ABS(Q39-R37))</f>
        <v>5.33333333333332E-005</v>
      </c>
      <c r="T37" s="27" t="n">
        <f aca="true">FORECAST((N37-M37),OFFSET($Z$1:$Z$200,MATCH((N37-M37),$Y$1:$Y$200,-1)-1,0,2),OFFSET($Y$1:$Y$200,MATCH((N37-M37),$Y$1:$Y$200,-1)-1,0,2))</f>
        <v>868.958939597599</v>
      </c>
      <c r="U37" s="27" t="n">
        <f aca="true">FORECAST((N37+M37),OFFSET($Z$1:$Z$200,MATCH((N37+M37),$Y$1:$Y$200,-1)-1,0,2),OFFSET($Y$1:$Y$200,MATCH((N37+M37),$Y$1:$Y$200,-1)-1,0,2))</f>
        <v>827.202510945701</v>
      </c>
      <c r="V37" s="1" t="n">
        <f aca="false">(O39-O36)*(R39+R36)/2</f>
        <v>0</v>
      </c>
      <c r="W37" s="1" t="n">
        <f aca="false">(O39-O36)*(S39+S36)/2</f>
        <v>0</v>
      </c>
      <c r="X37" s="0"/>
      <c r="Y37" s="3" t="n">
        <v>1.6157</v>
      </c>
      <c r="Z37" s="3" t="n">
        <v>600.3</v>
      </c>
      <c r="AL37" s="4" t="n">
        <v>0</v>
      </c>
      <c r="AM37" s="1" t="n">
        <v>0</v>
      </c>
      <c r="AN37" s="1" t="n">
        <v>0</v>
      </c>
      <c r="AO37" s="0"/>
      <c r="AP37" s="0"/>
      <c r="AQ37" s="0"/>
    </row>
    <row r="38" customFormat="false" ht="15" hidden="false" customHeight="false" outlineLevel="0" collapsed="false">
      <c r="A38" s="22"/>
      <c r="B38" s="23"/>
      <c r="C38" s="23"/>
      <c r="D38" s="23"/>
      <c r="E38" s="23"/>
      <c r="F38" s="23"/>
      <c r="G38" s="23"/>
      <c r="H38" s="5"/>
      <c r="I38" s="5"/>
      <c r="J38" s="5"/>
      <c r="K38" s="5"/>
      <c r="L38" s="24"/>
      <c r="M38" s="24"/>
      <c r="N38" s="25"/>
      <c r="O38" s="4"/>
      <c r="P38" s="5"/>
      <c r="Q38" s="1" t="n">
        <f aca="false">7.64*(0.001)</f>
        <v>0.00764</v>
      </c>
      <c r="R38" s="5"/>
      <c r="S38" s="28"/>
      <c r="T38" s="27"/>
      <c r="U38" s="27"/>
      <c r="V38" s="1" t="n">
        <f aca="false">(O40-O37)*(R40+R37)/2</f>
        <v>1.28210254878156</v>
      </c>
      <c r="W38" s="1" t="n">
        <f aca="false">(O40-O37)*(S40+S37)/2</f>
        <v>0.00901173903968807</v>
      </c>
      <c r="X38" s="0"/>
      <c r="Y38" s="3" t="n">
        <v>1.6154</v>
      </c>
      <c r="Z38" s="3" t="n">
        <v>603.3</v>
      </c>
      <c r="AL38" s="4" t="n">
        <v>0</v>
      </c>
      <c r="AM38" s="1" t="n">
        <v>0</v>
      </c>
      <c r="AN38" s="1" t="n">
        <v>0</v>
      </c>
      <c r="AO38" s="0"/>
      <c r="AP38" s="0"/>
      <c r="AQ38" s="0"/>
    </row>
    <row r="39" customFormat="false" ht="15" hidden="false" customHeight="false" outlineLevel="0" collapsed="false">
      <c r="A39" s="22"/>
      <c r="B39" s="23"/>
      <c r="C39" s="23"/>
      <c r="D39" s="23"/>
      <c r="E39" s="23"/>
      <c r="F39" s="23"/>
      <c r="G39" s="23"/>
      <c r="H39" s="5"/>
      <c r="I39" s="5"/>
      <c r="J39" s="5"/>
      <c r="K39" s="23"/>
      <c r="L39" s="24"/>
      <c r="M39" s="24"/>
      <c r="N39" s="25"/>
      <c r="O39" s="4"/>
      <c r="P39" s="5"/>
      <c r="Q39" s="1" t="n">
        <f aca="false">7.6*(0.001)</f>
        <v>0.0076</v>
      </c>
      <c r="R39" s="5"/>
      <c r="S39" s="28"/>
      <c r="T39" s="27"/>
      <c r="U39" s="27"/>
      <c r="V39" s="1" t="n">
        <f aca="false">(O41-O38)*(R41+R38)/2</f>
        <v>0</v>
      </c>
      <c r="W39" s="1" t="n">
        <f aca="false">(O41-O38)*(S41+S38)/2</f>
        <v>0</v>
      </c>
      <c r="X39" s="0"/>
      <c r="Y39" s="3" t="n">
        <v>1.6152</v>
      </c>
      <c r="Z39" s="3" t="n">
        <v>606.2</v>
      </c>
      <c r="AL39" s="21" t="n">
        <v>4.66667E-005</v>
      </c>
      <c r="AM39" s="1" t="n">
        <v>0.506628502</v>
      </c>
      <c r="AN39" s="1" t="n">
        <v>0.01013257</v>
      </c>
      <c r="AO39" s="0"/>
      <c r="AP39" s="0"/>
      <c r="AQ39" s="0"/>
    </row>
    <row r="40" customFormat="false" ht="15" hidden="false" customHeight="false" outlineLevel="0" collapsed="false">
      <c r="A40" s="22"/>
      <c r="B40" s="23"/>
      <c r="C40" s="23"/>
      <c r="D40" s="23"/>
      <c r="E40" s="23"/>
      <c r="F40" s="23"/>
      <c r="G40" s="23"/>
      <c r="H40" s="5"/>
      <c r="I40" s="5" t="n">
        <f aca="false">I34+1</f>
        <v>225</v>
      </c>
      <c r="J40" s="5" t="n">
        <v>20</v>
      </c>
      <c r="K40" s="23" t="n">
        <f aca="false">$B$3-(I40+J40/60)*PI()/180</f>
        <v>0.849393569303907</v>
      </c>
      <c r="L40" s="24" t="n">
        <f aca="false">2/(SIN($B$2)*SIN($B$2))*(SIN(K40-$G$13+$B$2)+COS($B$2)*SIN($G$13))</f>
        <v>3.33840786481265</v>
      </c>
      <c r="M40" s="5" t="n">
        <f aca="false">1/(2*SQRT(N40))*(ABS((2*SIN($G$13)*COS($G$13)+L40)*(COS($B$2)*COS($G$13)-COS(K40-$G$13+$B$2)))*$H$13+ABS(L40*COS(K40-$G$13+$B$2))*$K$11)</f>
        <v>0.000718581237260282</v>
      </c>
      <c r="N40" s="29" t="n">
        <f aca="false">SQRT(SIN($G$13)*SIN($G$13) + (SIN(K40-$G$13+$B$2)  + COS($B$2)*SIN($G$13) )* (SIN(K40-$G$13+$B$2)  + COS($B$2)*SIN($G$13) )/(SIN($B$2)*SIN($B$2))   )</f>
        <v>1.60000879347039</v>
      </c>
      <c r="O40" s="4" t="n">
        <f aca="true">FORECAST(N40,OFFSET($Z$1:$Z$200,MATCH(N40,$Y$1:$Y$200,-1)-1,0,2),OFFSET($Y$1:$Y$200,MATCH(N40,$Y$1:$Y$200,-1)-1,0,2))</f>
        <v>993.516359128559</v>
      </c>
      <c r="P40" s="5"/>
      <c r="Q40" s="1" t="n">
        <f aca="false">9.96*(0.001)</f>
        <v>0.00996</v>
      </c>
      <c r="R40" s="5" t="n">
        <f aca="false">AVERAGE(Q40:Q42)</f>
        <v>0.0099</v>
      </c>
      <c r="S40" s="28" t="n">
        <f aca="false">MAX(ABS(Q40-R40),ABS(Q41-R40),ABS(Q42-R40))</f>
        <v>7.00000000000006E-005</v>
      </c>
      <c r="T40" s="27" t="n">
        <f aca="true">FORECAST((N40-M40),OFFSET($Z$1:$Z$200,MATCH((N40-M40),$Y$1:$Y$200,-1)-1,0,2),OFFSET($Y$1:$Y$200,MATCH((N40-M40),$Y$1:$Y$200,-1)-1,0,2))</f>
        <v>1029.18726601222</v>
      </c>
      <c r="U40" s="27" t="n">
        <f aca="true">FORECAST((N40+M40),OFFSET($Z$1:$Z$200,MATCH((N40+M40),$Y$1:$Y$200,-1)-1,0,2),OFFSET($Y$1:$Y$200,MATCH((N40+M40),$Y$1:$Y$200,-1)-1,0,2))</f>
        <v>960.390202556012</v>
      </c>
      <c r="V40" s="1" t="n">
        <f aca="false">(O42-O39)*(R42+R39)/2</f>
        <v>0</v>
      </c>
      <c r="W40" s="1" t="n">
        <f aca="false">(O42-O39)*(S42+S39)/2</f>
        <v>0</v>
      </c>
      <c r="X40" s="0"/>
      <c r="Y40" s="3" t="n">
        <v>1.615</v>
      </c>
      <c r="Z40" s="3" t="n">
        <v>609.3</v>
      </c>
      <c r="AL40" s="4" t="n">
        <v>0</v>
      </c>
      <c r="AM40" s="1" t="n">
        <v>0</v>
      </c>
      <c r="AN40" s="1" t="n">
        <v>0</v>
      </c>
      <c r="AO40" s="0"/>
      <c r="AP40" s="0"/>
      <c r="AQ40" s="0"/>
    </row>
    <row r="41" customFormat="false" ht="15" hidden="false" customHeight="false" outlineLevel="0" collapsed="false">
      <c r="A41" s="22"/>
      <c r="B41" s="23"/>
      <c r="C41" s="23"/>
      <c r="D41" s="23"/>
      <c r="E41" s="23"/>
      <c r="F41" s="23"/>
      <c r="G41" s="23"/>
      <c r="H41" s="5"/>
      <c r="I41" s="5"/>
      <c r="J41" s="5"/>
      <c r="K41" s="5"/>
      <c r="L41" s="24"/>
      <c r="M41" s="24"/>
      <c r="N41" s="29"/>
      <c r="O41" s="4"/>
      <c r="P41" s="5"/>
      <c r="Q41" s="1" t="n">
        <f aca="false">9.83*(0.001)</f>
        <v>0.00983</v>
      </c>
      <c r="R41" s="5"/>
      <c r="S41" s="28"/>
      <c r="T41" s="27"/>
      <c r="U41" s="27"/>
      <c r="V41" s="1" t="n">
        <f aca="false">(O43-O40)*(R43+R40)/2</f>
        <v>1.56922643524974</v>
      </c>
      <c r="W41" s="1" t="n">
        <f aca="false">(O43-O40)*(S43+S40)/2</f>
        <v>0.00799047626359114</v>
      </c>
      <c r="X41" s="0"/>
      <c r="Y41" s="3" t="n">
        <v>1.6147</v>
      </c>
      <c r="Z41" s="3" t="n">
        <v>612.4</v>
      </c>
      <c r="AL41" s="4" t="n">
        <v>0</v>
      </c>
      <c r="AM41" s="1" t="n">
        <v>0</v>
      </c>
      <c r="AN41" s="1" t="n">
        <v>0</v>
      </c>
      <c r="AO41" s="0"/>
      <c r="AP41" s="0"/>
      <c r="AQ41" s="0"/>
    </row>
    <row r="42" customFormat="false" ht="15" hidden="false" customHeight="false" outlineLevel="0" collapsed="false">
      <c r="A42" s="22"/>
      <c r="B42" s="23"/>
      <c r="C42" s="23"/>
      <c r="D42" s="23"/>
      <c r="E42" s="23"/>
      <c r="F42" s="23"/>
      <c r="G42" s="23"/>
      <c r="H42" s="5"/>
      <c r="I42" s="5"/>
      <c r="J42" s="5"/>
      <c r="K42" s="23"/>
      <c r="L42" s="24"/>
      <c r="M42" s="24"/>
      <c r="N42" s="29"/>
      <c r="O42" s="4"/>
      <c r="P42" s="5"/>
      <c r="Q42" s="1" t="n">
        <f aca="false">9.91*(0.001)</f>
        <v>0.00991</v>
      </c>
      <c r="R42" s="5"/>
      <c r="S42" s="28"/>
      <c r="T42" s="27"/>
      <c r="U42" s="27"/>
      <c r="V42" s="1" t="n">
        <f aca="false">(O44-O41)*(R44+R41)/2</f>
        <v>0</v>
      </c>
      <c r="W42" s="1" t="n">
        <f aca="false">(O44-O41)*(S44+S41)/2</f>
        <v>0</v>
      </c>
      <c r="X42" s="0"/>
      <c r="Y42" s="3" t="n">
        <v>1.6145</v>
      </c>
      <c r="Z42" s="3" t="n">
        <v>615.5</v>
      </c>
      <c r="AL42" s="4" t="n">
        <v>0.000133333</v>
      </c>
      <c r="AM42" s="1" t="n">
        <v>0.827019524</v>
      </c>
      <c r="AN42" s="1" t="n">
        <v>0.011362151</v>
      </c>
      <c r="AO42" s="0"/>
      <c r="AP42" s="0"/>
      <c r="AQ42" s="0"/>
    </row>
    <row r="43" customFormat="false" ht="15" hidden="false" customHeight="false" outlineLevel="0" collapsed="false">
      <c r="A43" s="22"/>
      <c r="B43" s="23"/>
      <c r="C43" s="23"/>
      <c r="D43" s="23"/>
      <c r="E43" s="23"/>
      <c r="F43" s="23"/>
      <c r="G43" s="23"/>
      <c r="H43" s="5"/>
      <c r="I43" s="5" t="n">
        <f aca="false">I37+1</f>
        <v>225</v>
      </c>
      <c r="J43" s="5" t="n">
        <v>42</v>
      </c>
      <c r="K43" s="23" t="n">
        <f aca="false">$B$3-(I43+J43/60)*PI()/180</f>
        <v>0.842994028713261</v>
      </c>
      <c r="L43" s="24" t="n">
        <f aca="false">2/(SIN($B$2)*SIN($B$2))*(SIN(K43-$G$13+$B$2)+COS($B$2)*SIN($G$13))</f>
        <v>3.3312452360009</v>
      </c>
      <c r="M43" s="5" t="n">
        <f aca="false">1/(2*SQRT(N43))*(ABS((2*SIN($G$13)*COS($G$13)+L43)*(COS($B$2)*COS($G$13)-COS(K43-$G$13+$B$2)))*$H$13+ABS(L43*COS(K43-$G$13+$B$2))*$K$11)</f>
        <v>0.000781430530670616</v>
      </c>
      <c r="N43" s="30" t="n">
        <f aca="false">SQRT(SIN($G$13)*SIN($G$13) + (SIN(K43-$G$13+$B$2)  + COS($B$2)*SIN($G$13) )* (SIN(K43-$G$13+$B$2)  + COS($B$2)*SIN($G$13) )/(SIN($B$2)*SIN($B$2))   )</f>
        <v>1.59720720083777</v>
      </c>
      <c r="O43" s="31" t="n">
        <f aca="true">FORECAST(N43,OFFSET($Z$1:$Z$200,MATCH(N43,$Y$1:$Y$200,-1)-1,0,2),OFFSET($Y$1:$Y$200,MATCH(N43,$Y$1:$Y$200,-1)-1,0,2))</f>
        <v>1148.17073842387</v>
      </c>
      <c r="P43" s="5"/>
      <c r="Q43" s="32" t="n">
        <f aca="false">10.42*(0.001)</f>
        <v>0.01042</v>
      </c>
      <c r="R43" s="5" t="n">
        <f aca="false">AVERAGE(Q43:Q45)</f>
        <v>0.0103933333333333</v>
      </c>
      <c r="S43" s="28" t="n">
        <f aca="false">MAX(ABS(Q43-R43),ABS(Q44-R43),ABS(Q45-R43))</f>
        <v>3.33333333333349E-005</v>
      </c>
      <c r="T43" s="27" t="n">
        <f aca="true">FORECAST((N43-M43),OFFSET($Z$1:$Z$200,MATCH((N43-M43),$Y$1:$Y$200,-1)-1,0,2),OFFSET($Y$1:$Y$200,MATCH((N43-M43),$Y$1:$Y$200,-1)-1,0,2))</f>
        <v>1201.01260512491</v>
      </c>
      <c r="U43" s="27" t="n">
        <f aca="true">FORECAST((N43+M43),OFFSET($Z$1:$Z$200,MATCH((N43+M43),$Y$1:$Y$200,-1)-1,0,2),OFFSET($Y$1:$Y$200,MATCH((N43+M43),$Y$1:$Y$200,-1)-1,0,2))</f>
        <v>1099.62875126179</v>
      </c>
      <c r="V43" s="1" t="n">
        <f aca="false">(O45-O42)*(R45+R42)/2</f>
        <v>0</v>
      </c>
      <c r="W43" s="1" t="n">
        <f aca="false">(O45-O42)*(S45+S42)/2</f>
        <v>0</v>
      </c>
      <c r="X43" s="0" t="n">
        <f aca="false">MAX(T43-O43,O43-U43)</f>
        <v>52.841866701046</v>
      </c>
      <c r="Y43" s="3" t="n">
        <v>1.6143</v>
      </c>
      <c r="Z43" s="3" t="n">
        <v>618.7</v>
      </c>
      <c r="AL43" s="4" t="n">
        <v>0</v>
      </c>
      <c r="AM43" s="1" t="n">
        <v>0</v>
      </c>
      <c r="AN43" s="1" t="n">
        <v>0</v>
      </c>
      <c r="AO43" s="0"/>
      <c r="AP43" s="0"/>
      <c r="AQ43" s="0"/>
    </row>
    <row r="44" customFormat="false" ht="15" hidden="false" customHeight="false" outlineLevel="0" collapsed="false">
      <c r="A44" s="22"/>
      <c r="B44" s="23"/>
      <c r="C44" s="23"/>
      <c r="D44" s="23"/>
      <c r="E44" s="23"/>
      <c r="F44" s="23"/>
      <c r="G44" s="23"/>
      <c r="H44" s="5"/>
      <c r="I44" s="5"/>
      <c r="J44" s="5"/>
      <c r="K44" s="5"/>
      <c r="L44" s="24"/>
      <c r="M44" s="24"/>
      <c r="N44" s="30"/>
      <c r="O44" s="31"/>
      <c r="P44" s="5"/>
      <c r="Q44" s="32" t="n">
        <f aca="false">10.36*(0.001)</f>
        <v>0.01036</v>
      </c>
      <c r="R44" s="5"/>
      <c r="S44" s="28"/>
      <c r="T44" s="27"/>
      <c r="U44" s="27"/>
      <c r="V44" s="1" t="n">
        <f aca="false">(O46-O43)*(R46+R43)/2</f>
        <v>0.432877256047292</v>
      </c>
      <c r="W44" s="1" t="n">
        <f aca="false">(O46-O43)*(S46+S43)/2</f>
        <v>0.00173651017348884</v>
      </c>
      <c r="X44" s="0"/>
      <c r="Y44" s="3" t="n">
        <v>1.614</v>
      </c>
      <c r="Z44" s="3" t="n">
        <v>621.9</v>
      </c>
      <c r="AL44" s="4" t="n">
        <v>0</v>
      </c>
      <c r="AM44" s="1" t="n">
        <v>0</v>
      </c>
      <c r="AN44" s="1" t="n">
        <v>0</v>
      </c>
      <c r="AO44" s="0"/>
      <c r="AP44" s="0"/>
      <c r="AQ44" s="0"/>
    </row>
    <row r="45" customFormat="false" ht="15" hidden="false" customHeight="false" outlineLevel="0" collapsed="false">
      <c r="A45" s="22"/>
      <c r="B45" s="23"/>
      <c r="C45" s="23"/>
      <c r="D45" s="23"/>
      <c r="E45" s="23"/>
      <c r="F45" s="23"/>
      <c r="G45" s="23"/>
      <c r="H45" s="5"/>
      <c r="I45" s="5"/>
      <c r="J45" s="5"/>
      <c r="K45" s="23"/>
      <c r="L45" s="24"/>
      <c r="M45" s="24"/>
      <c r="N45" s="30"/>
      <c r="O45" s="31"/>
      <c r="P45" s="5"/>
      <c r="Q45" s="32" t="n">
        <f aca="false">10.4*(0.001)</f>
        <v>0.0104</v>
      </c>
      <c r="R45" s="5"/>
      <c r="S45" s="28"/>
      <c r="T45" s="27"/>
      <c r="U45" s="27"/>
      <c r="V45" s="1" t="n">
        <f aca="false">(O47-O44)*(R47+R44)/2</f>
        <v>0</v>
      </c>
      <c r="W45" s="1" t="n">
        <f aca="false">(O47-O44)*(S47+S44)/2</f>
        <v>0</v>
      </c>
      <c r="X45" s="0"/>
      <c r="Y45" s="3" t="n">
        <v>1.6138</v>
      </c>
      <c r="Z45" s="3" t="n">
        <v>625.2</v>
      </c>
      <c r="AL45" s="21" t="n">
        <v>2.33333E-005</v>
      </c>
      <c r="AM45" s="1" t="n">
        <v>2.378187046</v>
      </c>
      <c r="AN45" s="1" t="n">
        <v>0.00724836</v>
      </c>
      <c r="AO45" s="0"/>
      <c r="AP45" s="0"/>
      <c r="AQ45" s="0"/>
    </row>
    <row r="46" customFormat="false" ht="15" hidden="false" customHeight="false" outlineLevel="0" collapsed="false">
      <c r="A46" s="22"/>
      <c r="B46" s="23"/>
      <c r="C46" s="23"/>
      <c r="D46" s="23"/>
      <c r="E46" s="23"/>
      <c r="F46" s="23"/>
      <c r="G46" s="23"/>
      <c r="H46" s="5"/>
      <c r="I46" s="5" t="n">
        <v>225</v>
      </c>
      <c r="J46" s="5" t="n">
        <v>47</v>
      </c>
      <c r="K46" s="23" t="n">
        <f aca="false">$B$3-(I46+J46/60)*PI()/180</f>
        <v>0.841539587669933</v>
      </c>
      <c r="L46" s="24" t="n">
        <f aca="false">2/(SIN($B$2)*SIN($B$2))*(SIN(K46-$G$13+$B$2)+COS($B$2)*SIN($G$13))</f>
        <v>3.32960355138801</v>
      </c>
      <c r="M46" s="5" t="n">
        <f aca="false">1/(2*SQRT(N46))*(ABS((2*SIN($G$13)*COS($G$13)+L46)*(COS($B$2)*COS($G$13)-COS(K46-$G$13+$B$2)))*$H$13+ABS(L46*COS(K46-$G$13+$B$2))*$K$11)</f>
        <v>0.000795672635455656</v>
      </c>
      <c r="N46" s="30" t="n">
        <f aca="false">SQRT(SIN($G$13)*SIN($G$13) + (SIN(K46-$G$13+$B$2)  + COS($B$2)*SIN($G$13) )* (SIN(K46-$G$13+$B$2)  + COS($B$2)*SIN($G$13) )/(SIN($B$2)*SIN($B$2))   )</f>
        <v>1.59656522806851</v>
      </c>
      <c r="O46" s="4" t="n">
        <f aca="true">FORECAST(N46,OFFSET($Z$1:$Z$200,MATCH(N46,$Y$1:$Y$200,-1)-1,0,2),OFFSET($Y$1:$Y$200,MATCH(N46,$Y$1:$Y$200,-1)-1,0,2))</f>
        <v>1189.8469825876</v>
      </c>
      <c r="P46" s="5"/>
      <c r="Q46" s="1" t="n">
        <f aca="false">10.36*(0.001)</f>
        <v>0.01036</v>
      </c>
      <c r="R46" s="5" t="n">
        <f aca="false">AVERAGE(Q46:Q48)</f>
        <v>0.01038</v>
      </c>
      <c r="S46" s="28" t="n">
        <f aca="false">MAX(ABS(Q46-R46),ABS(Q47-R46),ABS(Q48-R46))</f>
        <v>4.99999999999997E-005</v>
      </c>
      <c r="T46" s="27" t="n">
        <f aca="true">FORECAST((N46-M46),OFFSET($Z$1:$Z$200,MATCH((N46-M46),$Y$1:$Y$200,-1)-1,0,2),OFFSET($Y$1:$Y$200,MATCH((N46-M46),$Y$1:$Y$200,-1)-1,0,2))</f>
        <v>1247.66389960762</v>
      </c>
      <c r="U46" s="27" t="n">
        <f aca="true">FORECAST((N46+M46),OFFSET($Z$1:$Z$200,MATCH((N46+M46),$Y$1:$Y$200,-1)-1,0,2),OFFSET($Y$1:$Y$200,MATCH((N46+M46),$Y$1:$Y$200,-1)-1,0,2))</f>
        <v>1136.87379825841</v>
      </c>
      <c r="V46" s="1" t="n">
        <f aca="false">(O48-O45)*(R48+R45)/2</f>
        <v>0</v>
      </c>
      <c r="W46" s="1" t="n">
        <f aca="false">(O48-O45)*(S48+S45)/2</f>
        <v>0</v>
      </c>
      <c r="X46" s="0"/>
      <c r="Y46" s="3" t="n">
        <v>1.6136</v>
      </c>
      <c r="Z46" s="3" t="n">
        <v>628.5</v>
      </c>
      <c r="AL46" s="4" t="n">
        <v>0</v>
      </c>
      <c r="AM46" s="1" t="n">
        <v>0</v>
      </c>
      <c r="AN46" s="1" t="n">
        <v>0</v>
      </c>
      <c r="AO46" s="0"/>
      <c r="AP46" s="0"/>
      <c r="AQ46" s="0"/>
    </row>
    <row r="47" customFormat="false" ht="15" hidden="false" customHeight="false" outlineLevel="0" collapsed="false">
      <c r="A47" s="22"/>
      <c r="B47" s="23"/>
      <c r="C47" s="23"/>
      <c r="D47" s="23"/>
      <c r="E47" s="23"/>
      <c r="F47" s="23"/>
      <c r="G47" s="23"/>
      <c r="H47" s="5"/>
      <c r="I47" s="5"/>
      <c r="J47" s="5"/>
      <c r="K47" s="5"/>
      <c r="L47" s="24"/>
      <c r="M47" s="24"/>
      <c r="N47" s="30"/>
      <c r="O47" s="4"/>
      <c r="P47" s="5"/>
      <c r="Q47" s="1" t="n">
        <f aca="false">10.43*(0.001)</f>
        <v>0.01043</v>
      </c>
      <c r="R47" s="5"/>
      <c r="S47" s="28"/>
      <c r="T47" s="27"/>
      <c r="U47" s="27"/>
      <c r="V47" s="1" t="n">
        <f aca="false">(O49-O46)*(R49+R46)/2</f>
        <v>0.564500621677336</v>
      </c>
      <c r="W47" s="1" t="n">
        <f aca="false">(O49-O46)*(S49+S46)/2</f>
        <v>0.00269828878006309</v>
      </c>
      <c r="X47" s="0"/>
      <c r="Y47" s="3" t="n">
        <v>1.6133</v>
      </c>
      <c r="Z47" s="3" t="n">
        <v>631.9</v>
      </c>
      <c r="AL47" s="4" t="n">
        <v>0</v>
      </c>
      <c r="AM47" s="1" t="n">
        <v>0</v>
      </c>
      <c r="AN47" s="1" t="n">
        <v>0</v>
      </c>
      <c r="AO47" s="0"/>
      <c r="AP47" s="0"/>
      <c r="AQ47" s="0"/>
    </row>
    <row r="48" customFormat="false" ht="15" hidden="false" customHeight="false" outlineLevel="0" collapsed="false">
      <c r="A48" s="22"/>
      <c r="B48" s="23"/>
      <c r="C48" s="23"/>
      <c r="D48" s="23"/>
      <c r="E48" s="23"/>
      <c r="F48" s="23"/>
      <c r="G48" s="23"/>
      <c r="H48" s="5"/>
      <c r="I48" s="5"/>
      <c r="J48" s="5"/>
      <c r="K48" s="23"/>
      <c r="L48" s="24"/>
      <c r="M48" s="24"/>
      <c r="N48" s="30"/>
      <c r="O48" s="4"/>
      <c r="P48" s="5"/>
      <c r="Q48" s="1" t="n">
        <f aca="false">10.35*(0.001)</f>
        <v>0.01035</v>
      </c>
      <c r="R48" s="5"/>
      <c r="S48" s="28"/>
      <c r="T48" s="27"/>
      <c r="U48" s="27"/>
      <c r="V48" s="1" t="n">
        <f aca="false">(O50-O47)*(R50+R47)/2</f>
        <v>0</v>
      </c>
      <c r="W48" s="1" t="n">
        <f aca="false">(O50-O47)*(S50+S47)/2</f>
        <v>0</v>
      </c>
      <c r="X48" s="0"/>
      <c r="Y48" s="3" t="n">
        <v>1.6131</v>
      </c>
      <c r="Z48" s="3" t="n">
        <v>635.4</v>
      </c>
      <c r="AL48" s="21" t="n">
        <v>1E-005</v>
      </c>
      <c r="AM48" s="1" t="n">
        <v>1.448292469</v>
      </c>
      <c r="AN48" s="1" t="n">
        <v>0.005525725</v>
      </c>
      <c r="AO48" s="0"/>
      <c r="AP48" s="0"/>
      <c r="AQ48" s="0"/>
    </row>
    <row r="49" customFormat="false" ht="15" hidden="false" customHeight="false" outlineLevel="0" collapsed="false">
      <c r="A49" s="22"/>
      <c r="B49" s="23"/>
      <c r="C49" s="23"/>
      <c r="D49" s="23"/>
      <c r="E49" s="23"/>
      <c r="F49" s="23"/>
      <c r="G49" s="23"/>
      <c r="H49" s="5"/>
      <c r="I49" s="5" t="n">
        <v>225</v>
      </c>
      <c r="J49" s="5" t="n">
        <v>53</v>
      </c>
      <c r="K49" s="23" t="n">
        <f aca="false">$B$3-(I49+J49/60)*PI()/180</f>
        <v>0.839794258417939</v>
      </c>
      <c r="L49" s="24" t="n">
        <f aca="false">2/(SIN($B$2)*SIN($B$2))*(SIN(K49-$G$13+$B$2)+COS($B$2)*SIN($G$13))</f>
        <v>3.32762678619192</v>
      </c>
      <c r="M49" s="5" t="n">
        <f aca="false">1/(2*SQRT(N49))*(ABS((2*SIN($G$13)*COS($G$13)+L49)*(COS($B$2)*COS($G$13)-COS(K49-$G$13+$B$2)))*$H$13+ABS(L49*COS(K49-$G$13+$B$2))*$K$11)</f>
        <v>0.000812742562054037</v>
      </c>
      <c r="N49" s="30" t="n">
        <f aca="false">SQRT(SIN($G$13)*SIN($G$13) + (SIN(K49-$G$13+$B$2)  + COS($B$2)*SIN($G$13) )* (SIN(K49-$G$13+$B$2)  + COS($B$2)*SIN($G$13) )/(SIN($B$2)*SIN($B$2))   )</f>
        <v>1.59579230117711</v>
      </c>
      <c r="O49" s="4" t="n">
        <f aca="true">FORECAST(N49,OFFSET($Z$1:$Z$200,MATCH(N49,$Y$1:$Y$200,-1)-1,0,2),OFFSET($Y$1:$Y$200,MATCH(N49,$Y$1:$Y$200,-1)-1,0,2))</f>
        <v>1245.6736470027</v>
      </c>
      <c r="P49" s="5"/>
      <c r="Q49" s="1" t="n">
        <f aca="false">9.82*(0.001)</f>
        <v>0.00982</v>
      </c>
      <c r="R49" s="5" t="n">
        <f aca="false">AVERAGE(Q49:Q51)</f>
        <v>0.00984333333333333</v>
      </c>
      <c r="S49" s="28" t="n">
        <f aca="false">MAX(ABS(Q49-R49),ABS(Q50-R49),ABS(Q51-R49))</f>
        <v>4.66666666666671E-005</v>
      </c>
      <c r="T49" s="27" t="n">
        <f aca="true">FORECAST((N49-M49),OFFSET($Z$1:$Z$200,MATCH((N49-M49),$Y$1:$Y$200,-1)-1,0,2),OFFSET($Y$1:$Y$200,MATCH((N49-M49),$Y$1:$Y$200,-1)-1,0,2))</f>
        <v>1310.38171087703</v>
      </c>
      <c r="U49" s="27" t="n">
        <f aca="true">FORECAST((N49+M49),OFFSET($Z$1:$Z$200,MATCH((N49+M49),$Y$1:$Y$200,-1)-1,0,2),OFFSET($Y$1:$Y$200,MATCH((N49+M49),$Y$1:$Y$200,-1)-1,0,2))</f>
        <v>1186.70154460588</v>
      </c>
      <c r="V49" s="1" t="n">
        <f aca="false">(O51-O48)*(R51+R48)/2</f>
        <v>0</v>
      </c>
      <c r="W49" s="1" t="n">
        <f aca="false">(O51-O48)*(S51+S48)/2</f>
        <v>0</v>
      </c>
      <c r="X49" s="0"/>
      <c r="Y49" s="3" t="n">
        <v>1.6129</v>
      </c>
      <c r="Z49" s="3" t="n">
        <v>638.9</v>
      </c>
      <c r="AL49" s="4" t="n">
        <v>0</v>
      </c>
      <c r="AM49" s="1" t="n">
        <v>0</v>
      </c>
      <c r="AN49" s="1" t="n">
        <v>0</v>
      </c>
      <c r="AO49" s="0"/>
      <c r="AP49" s="0"/>
      <c r="AQ49" s="0"/>
    </row>
    <row r="50" customFormat="false" ht="15" hidden="false" customHeight="false" outlineLevel="0" collapsed="false">
      <c r="A50" s="22"/>
      <c r="B50" s="23"/>
      <c r="C50" s="23"/>
      <c r="D50" s="23"/>
      <c r="E50" s="23"/>
      <c r="F50" s="23"/>
      <c r="G50" s="23"/>
      <c r="H50" s="5"/>
      <c r="I50" s="5"/>
      <c r="J50" s="5"/>
      <c r="K50" s="5"/>
      <c r="L50" s="24"/>
      <c r="M50" s="24"/>
      <c r="N50" s="30"/>
      <c r="O50" s="4"/>
      <c r="P50" s="5"/>
      <c r="Q50" s="1" t="n">
        <f aca="false">9.89*(0.001)</f>
        <v>0.00989</v>
      </c>
      <c r="R50" s="5"/>
      <c r="S50" s="28"/>
      <c r="T50" s="27"/>
      <c r="U50" s="27"/>
      <c r="V50" s="1" t="n">
        <f aca="false">(O52-O49)*(R52+R49)/2</f>
        <v>0.834822230690083</v>
      </c>
      <c r="W50" s="1" t="n">
        <f aca="false">(O52-O49)*(S52+S49)/2</f>
        <v>0.003746957947442</v>
      </c>
      <c r="X50" s="0"/>
      <c r="Y50" s="3" t="n">
        <v>1.6126</v>
      </c>
      <c r="Z50" s="3" t="n">
        <v>642.5</v>
      </c>
      <c r="AL50" s="4" t="n">
        <v>0</v>
      </c>
      <c r="AM50" s="1" t="n">
        <v>0</v>
      </c>
      <c r="AN50" s="1" t="n">
        <v>0</v>
      </c>
      <c r="AO50" s="0"/>
      <c r="AP50" s="0"/>
      <c r="AQ50" s="0"/>
    </row>
    <row r="51" customFormat="false" ht="15" hidden="false" customHeight="false" outlineLevel="0" collapsed="false">
      <c r="A51" s="22"/>
      <c r="B51" s="23"/>
      <c r="C51" s="23"/>
      <c r="D51" s="23"/>
      <c r="E51" s="23"/>
      <c r="F51" s="23"/>
      <c r="G51" s="23"/>
      <c r="H51" s="5"/>
      <c r="I51" s="5"/>
      <c r="J51" s="5"/>
      <c r="K51" s="23"/>
      <c r="L51" s="24"/>
      <c r="M51" s="24"/>
      <c r="N51" s="30"/>
      <c r="O51" s="4"/>
      <c r="P51" s="5"/>
      <c r="Q51" s="1" t="n">
        <f aca="false">9.82*(0.001)</f>
        <v>0.00982</v>
      </c>
      <c r="R51" s="5"/>
      <c r="S51" s="28"/>
      <c r="T51" s="27"/>
      <c r="U51" s="27"/>
      <c r="V51" s="1" t="n">
        <f aca="false">(O53-O50)*(R53+R50)/2</f>
        <v>0</v>
      </c>
      <c r="W51" s="1" t="n">
        <f aca="false">(O53-O50)*(S53+S50)/2</f>
        <v>0</v>
      </c>
      <c r="X51" s="0"/>
      <c r="Y51" s="3" t="n">
        <v>1.6124</v>
      </c>
      <c r="Z51" s="3" t="n">
        <v>646.1</v>
      </c>
      <c r="AL51" s="21" t="n">
        <v>2.33333E-005</v>
      </c>
      <c r="AM51" s="1" t="n">
        <v>3.572098057</v>
      </c>
      <c r="AN51" s="1" t="n">
        <v>0.025236402</v>
      </c>
      <c r="AO51" s="0"/>
      <c r="AP51" s="0"/>
      <c r="AQ51" s="0"/>
    </row>
    <row r="52" customFormat="false" ht="15" hidden="false" customHeight="false" outlineLevel="0" collapsed="false">
      <c r="A52" s="22"/>
      <c r="B52" s="23"/>
      <c r="C52" s="23"/>
      <c r="D52" s="23"/>
      <c r="E52" s="23"/>
      <c r="F52" s="23"/>
      <c r="G52" s="23"/>
      <c r="H52" s="5"/>
      <c r="I52" s="5" t="n">
        <f aca="false">I40+1</f>
        <v>226</v>
      </c>
      <c r="J52" s="5" t="n">
        <v>2</v>
      </c>
      <c r="K52" s="23" t="n">
        <f aca="false">$B$3-(I52+J52/60)*PI()/180</f>
        <v>0.837176264539947</v>
      </c>
      <c r="L52" s="24" t="n">
        <f aca="false">2/(SIN($B$2)*SIN($B$2))*(SIN(K52-$G$13+$B$2)+COS($B$2)*SIN($G$13))</f>
        <v>3.32464785709922</v>
      </c>
      <c r="M52" s="5" t="n">
        <f aca="false">1/(2*SQRT(N52))*(ABS((2*SIN($G$13)*COS($G$13)+L52)*(COS($B$2)*COS($G$13)-COS(K52-$G$13+$B$2)))*$H$13+ABS(L52*COS(K52-$G$13+$B$2))*$K$11)</f>
        <v>0.000838305130550582</v>
      </c>
      <c r="N52" s="30" t="n">
        <f aca="false">SQRT(SIN($G$13)*SIN($G$13) + (SIN(K52-$G$13+$B$2)  + COS($B$2)*SIN($G$13) )* (SIN(K52-$G$13+$B$2)  + COS($B$2)*SIN($G$13) )/(SIN($B$2)*SIN($B$2))   )</f>
        <v>1.59462768249629</v>
      </c>
      <c r="O52" s="4" t="n">
        <f aca="true">FORECAST(N52,OFFSET($Z$1:$Z$200,MATCH(N52,$Y$1:$Y$200,-1)-1,0,2),OFFSET($Y$1:$Y$200,MATCH(N52,$Y$1:$Y$200,-1)-1,0,2))</f>
        <v>1335.60063774131</v>
      </c>
      <c r="P52" s="5"/>
      <c r="Q52" s="1" t="n">
        <f aca="false">8.7*(0.001)</f>
        <v>0.0087</v>
      </c>
      <c r="R52" s="5" t="n">
        <f aca="false">AVERAGE(Q52:Q54)</f>
        <v>0.00872333333333333</v>
      </c>
      <c r="S52" s="28" t="n">
        <f aca="false">MAX(ABS(Q52-R52),ABS(Q53-R52),ABS(Q54-R52))</f>
        <v>3.66666666666657E-005</v>
      </c>
      <c r="T52" s="27" t="n">
        <f aca="true">FORECAST((N52-M52),OFFSET($Z$1:$Z$200,MATCH((N52-M52),$Y$1:$Y$200,-1)-1,0,2),OFFSET($Y$1:$Y$200,MATCH((N52-M52),$Y$1:$Y$200,-1)-1,0,2))</f>
        <v>1410.84724450039</v>
      </c>
      <c r="U52" s="27" t="n">
        <f aca="true">FORECAST((N52+M52),OFFSET($Z$1:$Z$200,MATCH((N52+M52),$Y$1:$Y$200,-1)-1,0,2),OFFSET($Y$1:$Y$200,MATCH((N52+M52),$Y$1:$Y$200,-1)-1,0,2))</f>
        <v>1270.54074238972</v>
      </c>
      <c r="V52" s="1" t="n">
        <f aca="false">(O54-O51)*(R54+R51)/2</f>
        <v>0</v>
      </c>
      <c r="W52" s="1" t="n">
        <f aca="false">(O54-O51)*(S54+S51)/2</f>
        <v>0</v>
      </c>
      <c r="X52" s="0"/>
      <c r="Y52" s="3" t="n">
        <v>1.6122</v>
      </c>
      <c r="Z52" s="3" t="n">
        <v>649.8</v>
      </c>
      <c r="AL52" s="4" t="n">
        <v>0</v>
      </c>
      <c r="AM52" s="1" t="n">
        <v>0</v>
      </c>
      <c r="AN52" s="1" t="n">
        <v>0</v>
      </c>
      <c r="AO52" s="0"/>
      <c r="AP52" s="0"/>
      <c r="AQ52" s="0"/>
    </row>
    <row r="53" customFormat="false" ht="15" hidden="false" customHeight="false" outlineLevel="0" collapsed="false">
      <c r="A53" s="22"/>
      <c r="B53" s="23"/>
      <c r="C53" s="23"/>
      <c r="D53" s="23"/>
      <c r="E53" s="23"/>
      <c r="F53" s="23"/>
      <c r="G53" s="23"/>
      <c r="H53" s="5"/>
      <c r="I53" s="5"/>
      <c r="J53" s="5"/>
      <c r="K53" s="5"/>
      <c r="L53" s="24"/>
      <c r="M53" s="24"/>
      <c r="N53" s="30"/>
      <c r="O53" s="4"/>
      <c r="P53" s="5"/>
      <c r="Q53" s="1" t="n">
        <f aca="false">8.71*(0.001)</f>
        <v>0.00871</v>
      </c>
      <c r="R53" s="5"/>
      <c r="S53" s="28"/>
      <c r="T53" s="27"/>
      <c r="U53" s="27"/>
      <c r="V53" s="1" t="n">
        <f aca="false">(O55-O52)*(R55+R52)/2</f>
        <v>2.04370399083001</v>
      </c>
      <c r="W53" s="1" t="n">
        <f aca="false">(O55-O52)*(S55+S52)/2</f>
        <v>0.00866151035467812</v>
      </c>
      <c r="X53" s="0"/>
      <c r="Y53" s="3" t="n">
        <v>1.6119</v>
      </c>
      <c r="Z53" s="3" t="n">
        <v>653.6</v>
      </c>
      <c r="AL53" s="4" t="n">
        <v>0</v>
      </c>
      <c r="AM53" s="1" t="n">
        <v>0</v>
      </c>
      <c r="AN53" s="1" t="n">
        <v>0</v>
      </c>
      <c r="AO53" s="0"/>
      <c r="AP53" s="0"/>
      <c r="AQ53" s="0"/>
    </row>
    <row r="54" customFormat="false" ht="15" hidden="false" customHeight="false" outlineLevel="0" collapsed="false">
      <c r="A54" s="22"/>
      <c r="B54" s="23"/>
      <c r="C54" s="23"/>
      <c r="D54" s="23"/>
      <c r="E54" s="23"/>
      <c r="F54" s="23"/>
      <c r="G54" s="23"/>
      <c r="H54" s="5"/>
      <c r="I54" s="5"/>
      <c r="J54" s="5"/>
      <c r="K54" s="23"/>
      <c r="L54" s="24"/>
      <c r="M54" s="24"/>
      <c r="N54" s="30"/>
      <c r="O54" s="4"/>
      <c r="P54" s="5"/>
      <c r="Q54" s="1" t="n">
        <f aca="false">8.76*(0.001)</f>
        <v>0.00876</v>
      </c>
      <c r="R54" s="5"/>
      <c r="S54" s="28"/>
      <c r="T54" s="27"/>
      <c r="U54" s="27"/>
      <c r="V54" s="1" t="n">
        <f aca="false">(O56-O53)*(R56+R53)/2</f>
        <v>0</v>
      </c>
      <c r="W54" s="1" t="n">
        <f aca="false">(O56-O53)*(S56+S53)/2</f>
        <v>0</v>
      </c>
      <c r="X54" s="0"/>
      <c r="Y54" s="3" t="n">
        <v>1.6117</v>
      </c>
      <c r="Z54" s="3" t="n">
        <v>657.5</v>
      </c>
      <c r="AL54" s="21" t="n">
        <v>1.33333E-005</v>
      </c>
      <c r="AM54" s="1" t="n">
        <v>1.08539709</v>
      </c>
      <c r="AN54" s="1" t="n">
        <v>0.01436555</v>
      </c>
      <c r="AO54" s="0"/>
      <c r="AP54" s="0"/>
      <c r="AQ54" s="0"/>
    </row>
    <row r="55" customFormat="false" ht="15" hidden="false" customHeight="false" outlineLevel="0" collapsed="false">
      <c r="A55" s="22"/>
      <c r="B55" s="23"/>
      <c r="C55" s="23"/>
      <c r="D55" s="23"/>
      <c r="E55" s="23"/>
      <c r="F55" s="23"/>
      <c r="G55" s="23"/>
      <c r="H55" s="5"/>
      <c r="I55" s="5" t="n">
        <f aca="false">I40+1</f>
        <v>226</v>
      </c>
      <c r="J55" s="5" t="n">
        <v>21</v>
      </c>
      <c r="K55" s="23" t="n">
        <f aca="false">$B$3-(I55+J55/60)*PI()/180</f>
        <v>0.831649388575299</v>
      </c>
      <c r="L55" s="24" t="n">
        <f aca="false">2/(SIN($B$2)*SIN($B$2))*(SIN(K55-$G$13+$B$2)+COS($B$2)*SIN($G$13))</f>
        <v>3.31830478286916</v>
      </c>
      <c r="M55" s="5" t="n">
        <f aca="false">1/(2*SQRT(N55))*(ABS((2*SIN($G$13)*COS($G$13)+L55)*(COS($B$2)*COS($G$13)-COS(K55-$G$13+$B$2)))*$H$13+ABS(L55*COS(K55-$G$13+$B$2))*$K$11)</f>
        <v>0.000892102527233561</v>
      </c>
      <c r="N55" s="30" t="n">
        <f aca="false">SQRT(SIN($G$13)*SIN($G$13) + (SIN(K55-$G$13+$B$2)  + COS($B$2)*SIN($G$13) )* (SIN(K55-$G$13+$B$2)  + COS($B$2)*SIN($G$13) )/(SIN($B$2)*SIN($B$2))   )</f>
        <v>1.59214848764628</v>
      </c>
      <c r="O55" s="4" t="n">
        <f aca="true">FORECAST(N55,OFFSET($Z$1:$Z$200,MATCH(N55,$Y$1:$Y$200,-1)-1,0,2),OFFSET($Y$1:$Y$200,MATCH(N55,$Y$1:$Y$200,-1)-1,0,2))</f>
        <v>1583.07236216068</v>
      </c>
      <c r="P55" s="5"/>
      <c r="Q55" s="1" t="n">
        <f aca="false">7.82*(0.001)</f>
        <v>0.00782</v>
      </c>
      <c r="R55" s="5" t="n">
        <f aca="false">AVERAGE(Q55:Q57)</f>
        <v>0.00779333333333333</v>
      </c>
      <c r="S55" s="28" t="n">
        <f aca="false">MAX(ABS(Q55-R55),ABS(Q56-R55),ABS(Q57-R55))</f>
        <v>3.3333333333334E-005</v>
      </c>
      <c r="T55" s="27" t="n">
        <f aca="true">FORECAST((N55-M55),OFFSET($Z$1:$Z$200,MATCH((N55-M55),$Y$1:$Y$200,-1)-1,0,2),OFFSET($Y$1:$Y$200,MATCH((N55-M55),$Y$1:$Y$200,-1)-1,0,2))</f>
        <v>1686.37851507964</v>
      </c>
      <c r="U55" s="27" t="n">
        <f aca="true">FORECAST((N55+M55),OFFSET($Z$1:$Z$200,MATCH((N55+M55),$Y$1:$Y$200,-1)-1,0,2),OFFSET($Y$1:$Y$200,MATCH((N55+M55),$Y$1:$Y$200,-1)-1,0,2))</f>
        <v>1484.23065461235</v>
      </c>
      <c r="V55" s="1" t="n">
        <f aca="false">(O57-O54)*(R57+R54)/2</f>
        <v>0</v>
      </c>
      <c r="W55" s="1" t="n">
        <f aca="false">(O57-O54)*(S57+S54)/2</f>
        <v>0</v>
      </c>
      <c r="X55" s="0"/>
      <c r="Y55" s="3" t="n">
        <v>1.6114</v>
      </c>
      <c r="Z55" s="3" t="n">
        <v>661.4</v>
      </c>
      <c r="AL55" s="4" t="n">
        <v>0</v>
      </c>
      <c r="AM55" s="1" t="n">
        <v>0</v>
      </c>
      <c r="AN55" s="1" t="n">
        <v>0</v>
      </c>
      <c r="AO55" s="0"/>
      <c r="AP55" s="0"/>
      <c r="AQ55" s="0"/>
    </row>
    <row r="56" customFormat="false" ht="15" hidden="false" customHeight="false" outlineLevel="0" collapsed="false">
      <c r="A56" s="22"/>
      <c r="B56" s="23"/>
      <c r="C56" s="23"/>
      <c r="D56" s="23"/>
      <c r="E56" s="23"/>
      <c r="F56" s="23"/>
      <c r="G56" s="23"/>
      <c r="H56" s="5"/>
      <c r="I56" s="5"/>
      <c r="J56" s="5"/>
      <c r="K56" s="5"/>
      <c r="L56" s="24"/>
      <c r="M56" s="5"/>
      <c r="N56" s="30"/>
      <c r="O56" s="4"/>
      <c r="P56" s="5"/>
      <c r="Q56" s="1" t="n">
        <f aca="false">7.8*(0.001)</f>
        <v>0.0078</v>
      </c>
      <c r="R56" s="5"/>
      <c r="S56" s="28"/>
      <c r="T56" s="27"/>
      <c r="U56" s="27"/>
      <c r="V56" s="1" t="n">
        <f aca="false">(O58-O55)*(R58+R55)/2</f>
        <v>2.31876732110886</v>
      </c>
      <c r="W56" s="1" t="n">
        <f aca="false">(O58-O55)*(S58+S55)/2</f>
        <v>0.00694761744152484</v>
      </c>
      <c r="X56" s="0"/>
      <c r="Y56" s="3" t="n">
        <v>1.6112</v>
      </c>
      <c r="Z56" s="3" t="n">
        <v>665.4</v>
      </c>
      <c r="AL56" s="4" t="n">
        <v>0</v>
      </c>
      <c r="AM56" s="1" t="n">
        <v>0</v>
      </c>
      <c r="AN56" s="1" t="n">
        <v>0</v>
      </c>
      <c r="AO56" s="0"/>
      <c r="AP56" s="0"/>
      <c r="AQ56" s="0"/>
    </row>
    <row r="57" customFormat="false" ht="15" hidden="false" customHeight="false" outlineLevel="0" collapsed="false">
      <c r="A57" s="22"/>
      <c r="B57" s="23"/>
      <c r="C57" s="23"/>
      <c r="D57" s="23"/>
      <c r="E57" s="23"/>
      <c r="F57" s="23"/>
      <c r="G57" s="23"/>
      <c r="H57" s="5"/>
      <c r="I57" s="5"/>
      <c r="J57" s="5"/>
      <c r="K57" s="23"/>
      <c r="L57" s="24"/>
      <c r="M57" s="5"/>
      <c r="N57" s="30"/>
      <c r="O57" s="4"/>
      <c r="P57" s="5"/>
      <c r="Q57" s="1" t="n">
        <f aca="false">7.76*(0.001)</f>
        <v>0.00776</v>
      </c>
      <c r="R57" s="5"/>
      <c r="S57" s="28"/>
      <c r="T57" s="27"/>
      <c r="U57" s="27"/>
      <c r="V57" s="1" t="n">
        <f aca="false">(O59-O56)*(R59+R56)/2</f>
        <v>0</v>
      </c>
      <c r="W57" s="1" t="n">
        <f aca="false">(O59-O56)*(S59+S56)/2</f>
        <v>0</v>
      </c>
      <c r="X57" s="0"/>
      <c r="Y57" s="3" t="n">
        <v>1.611</v>
      </c>
      <c r="Z57" s="3" t="n">
        <v>669.4</v>
      </c>
      <c r="AL57" s="21" t="n">
        <v>1.66667E-005</v>
      </c>
      <c r="AM57" s="1" t="e">
        <f aca="false">{nan}</f>
        <v>#N/A</v>
      </c>
      <c r="AN57" s="1" t="e">
        <f aca="false">{nan}</f>
        <v>#N/A</v>
      </c>
      <c r="AO57" s="0"/>
      <c r="AP57" s="0"/>
      <c r="AQ57" s="0"/>
    </row>
    <row r="58" customFormat="false" ht="15" hidden="false" customHeight="false" outlineLevel="0" collapsed="false">
      <c r="A58" s="22"/>
      <c r="B58" s="23"/>
      <c r="C58" s="23"/>
      <c r="D58" s="23"/>
      <c r="E58" s="23"/>
      <c r="F58" s="23"/>
      <c r="G58" s="23"/>
      <c r="H58" s="5"/>
      <c r="I58" s="5" t="n">
        <f aca="false">I43+1</f>
        <v>226</v>
      </c>
      <c r="J58" s="5" t="n">
        <v>41</v>
      </c>
      <c r="K58" s="23" t="n">
        <f aca="false">$B$3-(I58+J58/60)*PI()/180</f>
        <v>0.825831624401984</v>
      </c>
      <c r="L58" s="24" t="n">
        <f aca="false">2/(SIN($B$2)*SIN($B$2))*(SIN(K58-$G$13+$B$2)+COS($B$2)*SIN($G$13))</f>
        <v>3.31154853795339</v>
      </c>
      <c r="M58" s="5" t="n">
        <f aca="false">1/(2*SQRT(N58))*(ABS((2*SIN($G$13)*COS($G$13)+L58)*(COS($B$2)*COS($G$13)-COS(K58-$G$13+$B$2)))*$H$13+ABS(L58*COS(K58-$G$13+$B$2))*$K$11)</f>
        <v>0.000948482438674582</v>
      </c>
      <c r="N58" s="30" t="n">
        <f aca="false">SQRT(SIN($G$13)*SIN($G$13) + (SIN(K58-$G$13+$B$2)  + COS($B$2)*SIN($G$13) )* (SIN(K58-$G$13+$B$2)  + COS($B$2)*SIN($G$13) )/(SIN($B$2)*SIN($B$2))   )</f>
        <v>1.58950877178014</v>
      </c>
      <c r="O58" s="4" t="n">
        <f aca="true">FORECAST(N58,OFFSET($Z$1:$Z$200,MATCH(N58,$Y$1:$Y$200,-1)-1,0,2),OFFSET($Y$1:$Y$200,MATCH(N58,$Y$1:$Y$200,-1)-1,0,2))</f>
        <v>1930.45323423692</v>
      </c>
      <c r="P58" s="5"/>
      <c r="Q58" s="1" t="n">
        <f aca="false">5.55*(0.001)</f>
        <v>0.00555</v>
      </c>
      <c r="R58" s="5" t="n">
        <f aca="false">AVERAGE(Q58:Q60)</f>
        <v>0.00555666666666667</v>
      </c>
      <c r="S58" s="28" t="n">
        <f aca="false">MAX(ABS(Q58-R58),ABS(Q59-R58),ABS(Q60-R58))</f>
        <v>6.66666666666697E-006</v>
      </c>
      <c r="T58" s="27" t="n">
        <f aca="true">FORECAST((N58-M58),OFFSET($Z$1:$Z$200,MATCH((N58-M58),$Y$1:$Y$200,-1)-1,0,2),OFFSET($Y$1:$Y$200,MATCH((N58-M58),$Y$1:$Y$200,-1)-1,0,2))</f>
        <v>2093.83996164643</v>
      </c>
      <c r="U58" s="27" t="n">
        <f aca="true">FORECAST((N58+M58),OFFSET($Z$1:$Z$200,MATCH((N58+M58),$Y$1:$Y$200,-1)-1,0,2),OFFSET($Y$1:$Y$200,MATCH((N58+M58),$Y$1:$Y$200,-1)-1,0,2))</f>
        <v>1799.15929014948</v>
      </c>
      <c r="V58" s="1" t="n">
        <f aca="false">(O60-O57)*(R60+R57)/2</f>
        <v>0</v>
      </c>
      <c r="W58" s="1" t="n">
        <f aca="false">(O60-O57)*(S60+S57)/2</f>
        <v>0</v>
      </c>
      <c r="X58" s="0"/>
      <c r="Y58" s="3" t="n">
        <v>1.6107</v>
      </c>
      <c r="Z58" s="3" t="n">
        <v>673.6</v>
      </c>
      <c r="AL58" s="4" t="n">
        <v>0</v>
      </c>
      <c r="AM58" s="1" t="n">
        <v>0</v>
      </c>
      <c r="AN58" s="1" t="n">
        <v>0</v>
      </c>
      <c r="AO58" s="0"/>
      <c r="AP58" s="0"/>
      <c r="AQ58" s="0"/>
    </row>
    <row r="59" customFormat="false" ht="15" hidden="false" customHeight="false" outlineLevel="0" collapsed="false">
      <c r="A59" s="22"/>
      <c r="B59" s="23"/>
      <c r="C59" s="23"/>
      <c r="D59" s="23"/>
      <c r="E59" s="23"/>
      <c r="F59" s="23"/>
      <c r="G59" s="23"/>
      <c r="H59" s="5"/>
      <c r="I59" s="5"/>
      <c r="J59" s="5"/>
      <c r="K59" s="5"/>
      <c r="L59" s="24"/>
      <c r="M59" s="5"/>
      <c r="N59" s="30"/>
      <c r="O59" s="4"/>
      <c r="P59" s="5"/>
      <c r="Q59" s="1" t="n">
        <f aca="false">5.56*(0.001)</f>
        <v>0.00556</v>
      </c>
      <c r="R59" s="5"/>
      <c r="S59" s="28"/>
      <c r="T59" s="27"/>
      <c r="U59" s="27"/>
      <c r="V59" s="1" t="n">
        <f aca="false">(O61-O58)*(R61+R58)/2</f>
        <v>2.42126342102776</v>
      </c>
      <c r="W59" s="1" t="n">
        <f aca="false">(O61-O58)*(S61+S58)/2</f>
        <v>0.00874417992426055</v>
      </c>
      <c r="X59" s="0"/>
      <c r="Y59" s="3" t="n">
        <v>1.6105</v>
      </c>
      <c r="Z59" s="3" t="n">
        <v>677.8</v>
      </c>
      <c r="AL59" s="4" t="n">
        <v>0</v>
      </c>
      <c r="AM59" s="1" t="n">
        <v>0</v>
      </c>
      <c r="AN59" s="1" t="n">
        <v>0</v>
      </c>
      <c r="AO59" s="0"/>
      <c r="AP59" s="0"/>
      <c r="AQ59" s="0"/>
    </row>
    <row r="60" customFormat="false" ht="15" hidden="false" customHeight="false" outlineLevel="0" collapsed="false">
      <c r="A60" s="22"/>
      <c r="B60" s="23"/>
      <c r="C60" s="23"/>
      <c r="D60" s="23"/>
      <c r="E60" s="23"/>
      <c r="F60" s="23"/>
      <c r="G60" s="23"/>
      <c r="H60" s="5"/>
      <c r="I60" s="5"/>
      <c r="J60" s="5"/>
      <c r="K60" s="23"/>
      <c r="L60" s="24"/>
      <c r="M60" s="5"/>
      <c r="N60" s="30"/>
      <c r="O60" s="4"/>
      <c r="P60" s="5"/>
      <c r="Q60" s="1" t="n">
        <f aca="false">5.56*(0.001)</f>
        <v>0.00556</v>
      </c>
      <c r="R60" s="5"/>
      <c r="S60" s="28"/>
      <c r="T60" s="27"/>
      <c r="U60" s="27"/>
      <c r="V60" s="1" t="n">
        <f aca="false">(O62-O59)*(R62+R59)/2</f>
        <v>0</v>
      </c>
      <c r="W60" s="1" t="n">
        <f aca="false">(O62-O59)*(S62+S59)/2</f>
        <v>0</v>
      </c>
      <c r="X60" s="0"/>
      <c r="Y60" s="3" t="n">
        <v>1.6103</v>
      </c>
      <c r="Z60" s="3" t="n">
        <v>682.1</v>
      </c>
      <c r="AL60" s="21" t="n">
        <v>1.33333E-005</v>
      </c>
      <c r="AM60" s="1" t="e">
        <f aca="false">{nan}</f>
        <v>#N/A</v>
      </c>
      <c r="AN60" s="1" t="e">
        <f aca="false">{nan}</f>
        <v>#N/A</v>
      </c>
      <c r="AO60" s="0"/>
      <c r="AP60" s="0"/>
      <c r="AQ60" s="0"/>
    </row>
    <row r="61" customFormat="false" ht="15" hidden="false" customHeight="false" outlineLevel="0" collapsed="false">
      <c r="A61" s="22"/>
      <c r="B61" s="23"/>
      <c r="C61" s="23"/>
      <c r="D61" s="23"/>
      <c r="E61" s="23"/>
      <c r="F61" s="23"/>
      <c r="G61" s="23"/>
      <c r="H61" s="5"/>
      <c r="I61" s="5" t="n">
        <f aca="false">I52+1</f>
        <v>227</v>
      </c>
      <c r="J61" s="5" t="n">
        <v>2</v>
      </c>
      <c r="K61" s="23" t="n">
        <f aca="false">$B$3-(I61+J61/60)*PI()/180</f>
        <v>0.819722972020003</v>
      </c>
      <c r="L61" s="24" t="n">
        <f aca="false">2/(SIN($B$2)*SIN($B$2))*(SIN(K61-$G$13+$B$2)+COS($B$2)*SIN($G$13))</f>
        <v>3.30436716474014</v>
      </c>
      <c r="M61" s="5" t="n">
        <f aca="false">1/(2*SQRT(N61))*(ABS((2*SIN($G$13)*COS($G$13)+L61)*(COS($B$2)*COS($G$13)-COS(K61-$G$13+$B$2)))*$H$13+ABS(L61*COS(K61-$G$13+$B$2))*$K$11)</f>
        <v>0.00100740303416058</v>
      </c>
      <c r="N61" s="30" t="n">
        <f aca="false">SQRT(SIN($G$13)*SIN($G$13) + (SIN(K61-$G$13+$B$2)  + COS($B$2)*SIN($G$13) )* (SIN(K61-$G$13+$B$2)  + COS($B$2)*SIN($G$13) )/(SIN($B$2)*SIN($B$2))   )</f>
        <v>1.58670405419597</v>
      </c>
      <c r="O61" s="4" t="n">
        <f aca="true">FORECAST(N61,OFFSET($Z$1:$Z$200,MATCH(N61,$Y$1:$Y$200,-1)-1,0,2),OFFSET($Y$1:$Y$200,MATCH(N61,$Y$1:$Y$200,-1)-1,0,2))</f>
        <v>2455.10402969255</v>
      </c>
      <c r="P61" s="5"/>
      <c r="Q61" s="1" t="n">
        <f aca="false">3.67*(0.001)</f>
        <v>0.00367</v>
      </c>
      <c r="R61" s="5" t="n">
        <f aca="false">AVERAGE(Q61:Q63)</f>
        <v>0.00367333333333333</v>
      </c>
      <c r="S61" s="28" t="n">
        <f aca="false">MAX(ABS(Q61-R61),ABS(Q62-R61),ABS(Q63-R61))</f>
        <v>2.66666666666662E-005</v>
      </c>
      <c r="T61" s="27" t="n">
        <f aca="true">FORECAST((N61-M61),OFFSET($Z$1:$Z$200,MATCH((N61-M61),$Y$1:$Y$200,-1)-1,0,2),OFFSET($Y$1:$Y$200,MATCH((N61-M61),$Y$1:$Y$200,-1)-1,0,2))</f>
        <v>2709.65967471572</v>
      </c>
      <c r="U61" s="27" t="n">
        <f aca="true">FORECAST((N61+M61),OFFSET($Z$1:$Z$200,MATCH((N61+M61),$Y$1:$Y$200,-1)-1,0,2),OFFSET($Y$1:$Y$200,MATCH((N61+M61),$Y$1:$Y$200,-1)-1,0,2))</f>
        <v>2256.69920876133</v>
      </c>
      <c r="V61" s="1" t="n">
        <f aca="false">(O63-O60)*(R63+R60)/2</f>
        <v>0</v>
      </c>
      <c r="W61" s="1" t="n">
        <f aca="false">(O63-O60)*(S63+S60)/2</f>
        <v>0</v>
      </c>
      <c r="X61" s="0"/>
      <c r="Y61" s="3" t="n">
        <v>1.61</v>
      </c>
      <c r="Z61" s="3" t="n">
        <v>686.5</v>
      </c>
      <c r="AL61" s="4" t="n">
        <v>0</v>
      </c>
      <c r="AM61" s="1" t="n">
        <v>0</v>
      </c>
      <c r="AN61" s="1" t="n">
        <v>0</v>
      </c>
      <c r="AO61" s="0"/>
      <c r="AP61" s="0"/>
      <c r="AQ61" s="0"/>
    </row>
    <row r="62" customFormat="false" ht="15" hidden="false" customHeight="false" outlineLevel="0" collapsed="false">
      <c r="A62" s="22"/>
      <c r="B62" s="23"/>
      <c r="C62" s="23"/>
      <c r="D62" s="23"/>
      <c r="E62" s="23"/>
      <c r="F62" s="23"/>
      <c r="G62" s="23"/>
      <c r="H62" s="5"/>
      <c r="I62" s="5"/>
      <c r="J62" s="5"/>
      <c r="K62" s="5"/>
      <c r="L62" s="24"/>
      <c r="M62" s="5"/>
      <c r="N62" s="30"/>
      <c r="O62" s="4"/>
      <c r="P62" s="5"/>
      <c r="Q62" s="1" t="n">
        <f aca="false">3.65*(0.001)</f>
        <v>0.00365</v>
      </c>
      <c r="R62" s="5"/>
      <c r="S62" s="28"/>
      <c r="T62" s="27"/>
      <c r="U62" s="27"/>
      <c r="V62" s="1" t="n">
        <f aca="false">(O64-O61)*(R64+R61)/2</f>
        <v>2.4705066618885</v>
      </c>
      <c r="W62" s="1" t="n">
        <f aca="false">(O64-O61)*(S64+S61)/2</f>
        <v>0.0181142620443034</v>
      </c>
      <c r="X62" s="0"/>
      <c r="Y62" s="3" t="n">
        <v>1.6098</v>
      </c>
      <c r="Z62" s="3" t="n">
        <v>690.9</v>
      </c>
      <c r="AL62" s="4" t="n">
        <v>0</v>
      </c>
      <c r="AM62" s="1" t="n">
        <v>0</v>
      </c>
      <c r="AN62" s="1" t="n">
        <v>0</v>
      </c>
      <c r="AO62" s="0"/>
      <c r="AP62" s="0"/>
      <c r="AQ62" s="0"/>
    </row>
    <row r="63" customFormat="false" ht="15" hidden="false" customHeight="false" outlineLevel="0" collapsed="false">
      <c r="A63" s="22"/>
      <c r="B63" s="23"/>
      <c r="C63" s="23"/>
      <c r="D63" s="23"/>
      <c r="E63" s="23"/>
      <c r="F63" s="23"/>
      <c r="G63" s="23"/>
      <c r="H63" s="5"/>
      <c r="I63" s="5"/>
      <c r="J63" s="5"/>
      <c r="K63" s="23"/>
      <c r="L63" s="24"/>
      <c r="M63" s="5"/>
      <c r="N63" s="30"/>
      <c r="O63" s="4"/>
      <c r="P63" s="5"/>
      <c r="Q63" s="1" t="n">
        <f aca="false">3.7*(0.001)</f>
        <v>0.0037</v>
      </c>
      <c r="R63" s="5"/>
      <c r="S63" s="28"/>
      <c r="T63" s="27"/>
      <c r="U63" s="27"/>
      <c r="V63" s="1" t="n">
        <f aca="false">(O65-O62)*(R65+R62)/2</f>
        <v>0</v>
      </c>
      <c r="W63" s="1" t="n">
        <f aca="false">(O65-O62)*(S65+S62)/2</f>
        <v>0</v>
      </c>
      <c r="X63" s="0"/>
      <c r="Y63" s="3" t="n">
        <v>1.6096</v>
      </c>
      <c r="Z63" s="3" t="n">
        <v>695.5</v>
      </c>
      <c r="AL63" s="21" t="n">
        <v>6.66667E-006</v>
      </c>
      <c r="AM63" s="1" t="e">
        <f aca="false">{nan}</f>
        <v>#N/A</v>
      </c>
      <c r="AN63" s="1" t="e">
        <f aca="false">{nan}</f>
        <v>#N/A</v>
      </c>
      <c r="AO63" s="0"/>
      <c r="AP63" s="0"/>
      <c r="AQ63" s="0"/>
    </row>
    <row r="64" customFormat="false" ht="15" hidden="false" customHeight="false" outlineLevel="0" collapsed="false">
      <c r="A64" s="22"/>
      <c r="B64" s="23"/>
      <c r="C64" s="23"/>
      <c r="D64" s="23"/>
      <c r="E64" s="23"/>
      <c r="F64" s="23"/>
      <c r="G64" s="23"/>
      <c r="H64" s="5"/>
      <c r="I64" s="5" t="n">
        <f aca="false">I55+1</f>
        <v>227</v>
      </c>
      <c r="J64" s="5" t="n">
        <v>24</v>
      </c>
      <c r="K64" s="23" t="n">
        <f aca="false">$B$3-(I64+J64/60)*PI()/180</f>
        <v>0.813323431429358</v>
      </c>
      <c r="L64" s="24" t="n">
        <f aca="false">2/(SIN($B$2)*SIN($B$2))*(SIN(K64-$G$13+$B$2)+COS($B$2)*SIN($G$13))</f>
        <v>3.2967481727774</v>
      </c>
      <c r="M64" s="5" t="n">
        <f aca="false">1/(2*SQRT(N64))*(ABS((2*SIN($G$13)*COS($G$13)+L64)*(COS($B$2)*COS($G$13)-COS(K64-$G$13+$B$2)))*$H$13+ABS(L64*COS(K64-$G$13+$B$2))*$K$11)</f>
        <v>0.00106881953139015</v>
      </c>
      <c r="N64" s="30" t="n">
        <f aca="false">SQRT(SIN($G$13)*SIN($G$13) + (SIN(K64-$G$13+$B$2)  + COS($B$2)*SIN($G$13) )* (SIN(K64-$G$13+$B$2)  + COS($B$2)*SIN($G$13) )/(SIN($B$2)*SIN($B$2))   )</f>
        <v>1.58372966750022</v>
      </c>
      <c r="O64" s="4" t="n">
        <f aca="true">FORECAST(N64,OFFSET($Z$1:$Z$200,MATCH(N64,$Y$1:$Y$200,-1)-1,0,2),OFFSET($Y$1:$Y$200,MATCH(N64,$Y$1:$Y$200,-1)-1,0,2))</f>
        <v>3291.1468932758</v>
      </c>
      <c r="P64" s="5"/>
      <c r="Q64" s="1" t="n">
        <f aca="false">2.22*(0.001)</f>
        <v>0.00222</v>
      </c>
      <c r="R64" s="5" t="n">
        <f aca="false">AVERAGE(Q64:Q66)</f>
        <v>0.00223666666666667</v>
      </c>
      <c r="S64" s="28" t="n">
        <f aca="false">MAX(ABS(Q64-R64),ABS(Q65-R64),ABS(Q66-R64))</f>
        <v>1.66666666666666E-005</v>
      </c>
      <c r="T64" s="27" t="n">
        <f aca="true">FORECAST((N64-M64),OFFSET($Z$1:$Z$200,MATCH((N64-M64),$Y$1:$Y$200,-1)-1,0,2),OFFSET($Y$1:$Y$200,MATCH((N64-M64),$Y$1:$Y$200,-1)-1,0,2))</f>
        <v>3705.40569449405</v>
      </c>
      <c r="U64" s="27" t="n">
        <f aca="true">FORECAST((N64+M64),OFFSET($Z$1:$Z$200,MATCH((N64+M64),$Y$1:$Y$200,-1)-1,0,2),OFFSET($Y$1:$Y$200,MATCH((N64+M64),$Y$1:$Y$200,-1)-1,0,2))</f>
        <v>2966.56970464186</v>
      </c>
      <c r="V64" s="1" t="n">
        <f aca="false">(O66-O63)*(R66+R63)/2</f>
        <v>0</v>
      </c>
      <c r="W64" s="1" t="n">
        <f aca="false">(O66-O63)*(S66+S63)/2</f>
        <v>0</v>
      </c>
      <c r="X64" s="0"/>
      <c r="Y64" s="3" t="n">
        <v>1.6093</v>
      </c>
      <c r="Z64" s="3" t="n">
        <v>700.1</v>
      </c>
      <c r="AL64" s="4" t="n">
        <v>0</v>
      </c>
      <c r="AM64" s="1" t="n">
        <v>0</v>
      </c>
      <c r="AN64" s="1" t="n">
        <v>0</v>
      </c>
      <c r="AO64" s="0"/>
      <c r="AP64" s="0"/>
      <c r="AQ64" s="0"/>
    </row>
    <row r="65" customFormat="false" ht="15" hidden="false" customHeight="false" outlineLevel="0" collapsed="false">
      <c r="A65" s="22"/>
      <c r="B65" s="23"/>
      <c r="C65" s="23"/>
      <c r="D65" s="23"/>
      <c r="E65" s="23"/>
      <c r="F65" s="23"/>
      <c r="G65" s="23"/>
      <c r="H65" s="5"/>
      <c r="I65" s="5"/>
      <c r="J65" s="5"/>
      <c r="K65" s="5"/>
      <c r="L65" s="24"/>
      <c r="M65" s="5"/>
      <c r="N65" s="30"/>
      <c r="O65" s="4"/>
      <c r="P65" s="5"/>
      <c r="Q65" s="1" t="n">
        <f aca="false">2.24*(0.001)</f>
        <v>0.00224</v>
      </c>
      <c r="R65" s="5"/>
      <c r="S65" s="28"/>
      <c r="T65" s="27"/>
      <c r="U65" s="27"/>
      <c r="V65" s="1" t="n">
        <f aca="false">(O67-O64)*(R67+R64)/2</f>
        <v>2.16196020436304</v>
      </c>
      <c r="W65" s="1" t="n">
        <f aca="false">(O67-O64)*(S67+S64)/2</f>
        <v>0.0501324105359546</v>
      </c>
      <c r="X65" s="0"/>
      <c r="Y65" s="3" t="n">
        <v>1.6091</v>
      </c>
      <c r="Z65" s="3" t="n">
        <v>704.8</v>
      </c>
      <c r="AL65" s="4" t="n">
        <v>0</v>
      </c>
      <c r="AM65" s="1" t="n">
        <v>0</v>
      </c>
      <c r="AN65" s="1" t="n">
        <v>0</v>
      </c>
      <c r="AO65" s="0"/>
      <c r="AP65" s="0"/>
      <c r="AQ65" s="0"/>
    </row>
    <row r="66" customFormat="false" ht="15" hidden="false" customHeight="false" outlineLevel="0" collapsed="false">
      <c r="A66" s="22"/>
      <c r="B66" s="23"/>
      <c r="C66" s="23"/>
      <c r="D66" s="23"/>
      <c r="E66" s="23"/>
      <c r="F66" s="23"/>
      <c r="G66" s="23"/>
      <c r="H66" s="5"/>
      <c r="I66" s="5"/>
      <c r="J66" s="5"/>
      <c r="K66" s="23"/>
      <c r="L66" s="24"/>
      <c r="M66" s="5"/>
      <c r="N66" s="30"/>
      <c r="O66" s="4"/>
      <c r="P66" s="5"/>
      <c r="Q66" s="1" t="n">
        <f aca="false">2.25*(0.001)</f>
        <v>0.00225</v>
      </c>
      <c r="R66" s="5"/>
      <c r="S66" s="28"/>
      <c r="T66" s="27"/>
      <c r="U66" s="27"/>
      <c r="V66" s="1" t="n">
        <f aca="false">(O68-O65)/2*(R68+R65)</f>
        <v>0</v>
      </c>
      <c r="W66" s="1" t="n">
        <f aca="false">(O68-O65)*(S68+S65)/2</f>
        <v>0</v>
      </c>
      <c r="X66" s="0"/>
      <c r="Y66" s="3" t="n">
        <v>1.6089</v>
      </c>
      <c r="Z66" s="3" t="n">
        <v>709.7</v>
      </c>
      <c r="AL66" s="4" t="n">
        <v>0.003553333</v>
      </c>
      <c r="AM66" s="1" t="n">
        <v>0.06488199</v>
      </c>
      <c r="AN66" s="1" t="n">
        <v>0.12976398</v>
      </c>
      <c r="AO66" s="0"/>
      <c r="AP66" s="0"/>
      <c r="AQ66" s="0"/>
    </row>
    <row r="67" customFormat="false" ht="15" hidden="false" customHeight="false" outlineLevel="0" collapsed="false">
      <c r="A67" s="22"/>
      <c r="B67" s="23"/>
      <c r="C67" s="23"/>
      <c r="D67" s="23"/>
      <c r="E67" s="23"/>
      <c r="F67" s="23"/>
      <c r="G67" s="23"/>
      <c r="H67" s="5"/>
      <c r="I67" s="5" t="n">
        <f aca="false">I58+1</f>
        <v>227</v>
      </c>
      <c r="J67" s="5" t="n">
        <v>45</v>
      </c>
      <c r="K67" s="23" t="n">
        <f aca="false">$B$3-(I67+J67/60)*PI()/180</f>
        <v>0.807214779047377</v>
      </c>
      <c r="L67" s="24" t="n">
        <f aca="false">2/(SIN($B$2)*SIN($B$2))*(SIN(K67-$G$13+$B$2)+COS($B$2)*SIN($G$13))</f>
        <v>3.28938447995351</v>
      </c>
      <c r="M67" s="5" t="n">
        <f aca="false">1/(2*SQRT(N67))*(ABS((2*SIN($G$13)*COS($G$13)+L67)*(COS($B$2)*COS($G$13)-COS(K67-$G$13+$B$2)))*$H$13+ABS(L67*COS(K67-$G$13+$B$2))*$K$11)</f>
        <v>0.00112714470506656</v>
      </c>
      <c r="N67" s="30" t="n">
        <f aca="false">SQRT(SIN($G$13)*SIN($G$13) + (SIN(K67-$G$13+$B$2)  + COS($B$2)*SIN($G$13) )* (SIN(K67-$G$13+$B$2)  + COS($B$2)*SIN($G$13) )/(SIN($B$2)*SIN($B$2))   )</f>
        <v>1.58085617194982</v>
      </c>
      <c r="O67" s="4" t="n">
        <f aca="true">FORECAST(N67,OFFSET($Z$1:$Z$200,MATCH(N67,$Y$1:$Y$200,-1)-1,0,2),OFFSET($Y$1:$Y$200,MATCH(N67,$Y$1:$Y$200,-1)-1,0,2))</f>
        <v>4544.45715667466</v>
      </c>
      <c r="P67" s="5"/>
      <c r="Q67" s="1" t="n">
        <f aca="false">1.15*(0.001)</f>
        <v>0.00115</v>
      </c>
      <c r="R67" s="5" t="n">
        <f aca="false">AVERAGE(Q67:Q69)</f>
        <v>0.00121333333333333</v>
      </c>
      <c r="S67" s="28" t="n">
        <f aca="false">MAX(ABS(Q67-R67),ABS(Q68-R67),ABS(Q69-R67))</f>
        <v>6.33333333333334E-005</v>
      </c>
      <c r="T67" s="27" t="n">
        <f aca="true">FORECAST((N67-M67),OFFSET($Z$1:$Z$200,MATCH((N67-M67),$Y$1:$Y$200,-1)-1,0,2),OFFSET($Y$1:$Y$200,MATCH((N67-M67),$Y$1:$Y$200,-1)-1,0,2))</f>
        <v>5203.83275714907</v>
      </c>
      <c r="U67" s="27" t="n">
        <f aca="true">FORECAST((N67+M67),OFFSET($Z$1:$Z$200,MATCH((N67+M67),$Y$1:$Y$200,-1)-1,0,2),OFFSET($Y$1:$Y$200,MATCH((N67+M67),$Y$1:$Y$200,-1)-1,0,2))</f>
        <v>3990.06694775187</v>
      </c>
      <c r="V67" s="1" t="n">
        <f aca="false">(O69-O66)/2*(R69+R66)</f>
        <v>0</v>
      </c>
      <c r="W67" s="1" t="n">
        <f aca="false">(O69-O66)*(S69+S66)/2</f>
        <v>0</v>
      </c>
      <c r="X67" s="0"/>
      <c r="Y67" s="3" t="n">
        <v>1.6086</v>
      </c>
      <c r="Z67" s="3" t="n">
        <v>714.6</v>
      </c>
      <c r="AL67" s="4" t="n">
        <v>0.00542</v>
      </c>
      <c r="AM67" s="1" t="n">
        <v>0</v>
      </c>
      <c r="AN67" s="1" t="n">
        <v>0</v>
      </c>
      <c r="AO67" s="0"/>
      <c r="AP67" s="0"/>
      <c r="AQ67" s="0"/>
    </row>
    <row r="68" customFormat="false" ht="15" hidden="false" customHeight="false" outlineLevel="0" collapsed="false">
      <c r="A68" s="22"/>
      <c r="B68" s="23"/>
      <c r="C68" s="23"/>
      <c r="D68" s="23"/>
      <c r="E68" s="23"/>
      <c r="F68" s="23"/>
      <c r="G68" s="23"/>
      <c r="H68" s="5"/>
      <c r="I68" s="5"/>
      <c r="J68" s="5"/>
      <c r="K68" s="5"/>
      <c r="L68" s="24"/>
      <c r="M68" s="5"/>
      <c r="N68" s="30"/>
      <c r="O68" s="4"/>
      <c r="P68" s="5"/>
      <c r="Q68" s="1" t="n">
        <f aca="false">1.22*(0.001)</f>
        <v>0.00122</v>
      </c>
      <c r="R68" s="5"/>
      <c r="S68" s="28"/>
      <c r="T68" s="27"/>
      <c r="U68" s="27"/>
      <c r="V68" s="1" t="n">
        <f aca="false">(O70-O67)/2*(R70+R67)</f>
        <v>-2.7569706750493</v>
      </c>
      <c r="W68" s="1" t="n">
        <f aca="false">(O70-O67)*(S70+S67)/2</f>
        <v>-0.143907809961365</v>
      </c>
      <c r="X68" s="0"/>
      <c r="Y68" s="3" t="n">
        <v>1.6084</v>
      </c>
      <c r="Z68" s="3" t="n">
        <v>719.6</v>
      </c>
      <c r="AL68" s="4" t="n">
        <v>0.00542</v>
      </c>
      <c r="AM68" s="1" t="n">
        <v>0</v>
      </c>
      <c r="AN68" s="1" t="n">
        <v>0</v>
      </c>
      <c r="AO68" s="0"/>
      <c r="AP68" s="0"/>
      <c r="AQ68" s="0"/>
    </row>
    <row r="69" customFormat="false" ht="15" hidden="false" customHeight="false" outlineLevel="0" collapsed="false">
      <c r="A69" s="22"/>
      <c r="B69" s="23"/>
      <c r="C69" s="23"/>
      <c r="D69" s="23"/>
      <c r="E69" s="23"/>
      <c r="F69" s="23"/>
      <c r="G69" s="23"/>
      <c r="H69" s="5"/>
      <c r="I69" s="5"/>
      <c r="J69" s="5"/>
      <c r="K69" s="23"/>
      <c r="L69" s="24"/>
      <c r="M69" s="5"/>
      <c r="N69" s="30"/>
      <c r="O69" s="4"/>
      <c r="P69" s="5"/>
      <c r="Q69" s="1" t="n">
        <f aca="false">1.27*(0.001)</f>
        <v>0.00127</v>
      </c>
      <c r="R69" s="5"/>
      <c r="S69" s="28"/>
      <c r="T69" s="27"/>
      <c r="U69" s="27"/>
      <c r="V69" s="1" t="n">
        <f aca="false">(O71-O68)/2*(R71+R68)</f>
        <v>0</v>
      </c>
      <c r="W69" s="1" t="n">
        <f aca="false">(O71-O68)*(S71+S68)/2</f>
        <v>0</v>
      </c>
      <c r="X69" s="0"/>
      <c r="Y69" s="3" t="n">
        <v>1.6082</v>
      </c>
      <c r="Z69" s="3" t="n">
        <v>724.7</v>
      </c>
      <c r="AL69" s="4" t="n">
        <v>0.003613333</v>
      </c>
      <c r="AM69" s="1" t="n">
        <v>0.071010209</v>
      </c>
      <c r="AN69" s="1" t="n">
        <v>0.142020417</v>
      </c>
      <c r="AO69" s="0"/>
      <c r="AP69" s="0"/>
      <c r="AQ69" s="0"/>
    </row>
    <row r="70" customFormat="false" ht="15" hidden="false" customHeight="false" outlineLevel="0" collapsed="false">
      <c r="A70" s="22"/>
      <c r="B70" s="23"/>
      <c r="C70" s="23"/>
      <c r="D70" s="23"/>
      <c r="E70" s="23"/>
      <c r="F70" s="23"/>
      <c r="G70" s="23"/>
      <c r="H70" s="5"/>
      <c r="I70" s="5" t="n">
        <f aca="false">I64+1</f>
        <v>228</v>
      </c>
      <c r="J70" s="5" t="n">
        <v>21</v>
      </c>
      <c r="K70" s="23" t="n">
        <f aca="false">$B$3-(I70+J70/60)*PI()/180</f>
        <v>0.796742803535411</v>
      </c>
      <c r="L70" s="24" t="n">
        <f aca="false">2/(SIN($B$2)*SIN($B$2))*(SIN(K70-$G$13+$B$2)+COS($B$2)*SIN($G$13))</f>
        <v>3.27655497664991</v>
      </c>
      <c r="M70" s="5" t="n">
        <f aca="false">1/(2*SQRT(N70))*(ABS((2*SIN($G$13)*COS($G$13)+L70)*(COS($B$2)*COS($G$13)-COS(K70-$G$13+$B$2)))*$H$13+ABS(L70*COS(K70-$G$13+$B$2))*$K$11)</f>
        <v>0.00122643887105337</v>
      </c>
      <c r="N70" s="30" t="n">
        <f aca="false">SQRT(SIN($G$13)*SIN($G$13) + (SIN(K70-$G$13+$B$2)  + COS($B$2)*SIN($G$13) )* (SIN(K70-$G$13+$B$2)  + COS($B$2)*SIN($G$13) )/(SIN($B$2)*SIN($B$2))   )</f>
        <v>1.57585267705337</v>
      </c>
      <c r="O70" s="9"/>
      <c r="P70" s="33"/>
      <c r="Q70" s="10"/>
      <c r="R70" s="33"/>
      <c r="S70" s="9"/>
      <c r="T70" s="10"/>
      <c r="U70" s="10"/>
      <c r="V70" s="1" t="n">
        <f aca="false">(O72-O69)/2*(R72+R69)</f>
        <v>0</v>
      </c>
      <c r="W70" s="1" t="n">
        <f aca="false">(O72-O69)*(S72+S69)/2</f>
        <v>0</v>
      </c>
      <c r="X70" s="0"/>
      <c r="Y70" s="3" t="n">
        <v>1.6079</v>
      </c>
      <c r="Z70" s="3" t="n">
        <v>730</v>
      </c>
      <c r="AL70" s="4" t="n">
        <v>0.00556</v>
      </c>
      <c r="AM70" s="1" t="n">
        <v>0</v>
      </c>
      <c r="AN70" s="1" t="n">
        <v>0</v>
      </c>
      <c r="AO70" s="0"/>
      <c r="AP70" s="0"/>
      <c r="AQ70" s="0"/>
    </row>
    <row r="71" customFormat="false" ht="15" hidden="false" customHeight="false" outlineLevel="0" collapsed="false">
      <c r="A71" s="22"/>
      <c r="B71" s="23"/>
      <c r="C71" s="23"/>
      <c r="D71" s="23"/>
      <c r="E71" s="23"/>
      <c r="F71" s="23"/>
      <c r="G71" s="23"/>
      <c r="H71" s="5"/>
      <c r="I71" s="5"/>
      <c r="J71" s="5"/>
      <c r="K71" s="5"/>
      <c r="L71" s="24"/>
      <c r="M71" s="5"/>
      <c r="N71" s="30"/>
      <c r="O71" s="9"/>
      <c r="P71" s="33"/>
      <c r="Q71" s="10"/>
      <c r="R71" s="33"/>
      <c r="S71" s="9"/>
      <c r="T71" s="10"/>
      <c r="U71" s="10"/>
      <c r="V71" s="0"/>
      <c r="W71" s="0"/>
      <c r="X71" s="0"/>
      <c r="Y71" s="3" t="n">
        <v>1.6077</v>
      </c>
      <c r="Z71" s="3" t="n">
        <v>735.3</v>
      </c>
      <c r="AL71" s="4" t="n">
        <v>0.00556</v>
      </c>
      <c r="AM71" s="1" t="n">
        <v>0</v>
      </c>
      <c r="AN71" s="1" t="n">
        <v>0</v>
      </c>
      <c r="AO71" s="0"/>
      <c r="AP71" s="0"/>
      <c r="AQ71" s="0"/>
    </row>
    <row r="72" customFormat="false" ht="15" hidden="false" customHeight="false" outlineLevel="0" collapsed="false">
      <c r="A72" s="22"/>
      <c r="B72" s="23"/>
      <c r="C72" s="23"/>
      <c r="D72" s="23"/>
      <c r="E72" s="23"/>
      <c r="F72" s="23"/>
      <c r="G72" s="5"/>
      <c r="H72" s="5"/>
      <c r="I72" s="5"/>
      <c r="J72" s="5"/>
      <c r="K72" s="23"/>
      <c r="L72" s="24"/>
      <c r="M72" s="5"/>
      <c r="N72" s="30"/>
      <c r="O72" s="9"/>
      <c r="P72" s="33"/>
      <c r="Q72" s="10"/>
      <c r="R72" s="33"/>
      <c r="S72" s="9"/>
      <c r="T72" s="12"/>
      <c r="U72" s="12"/>
      <c r="V72" s="0"/>
      <c r="W72" s="0"/>
      <c r="X72" s="0"/>
      <c r="Y72" s="3" t="n">
        <v>1.6075</v>
      </c>
      <c r="Z72" s="3" t="n">
        <v>740.7</v>
      </c>
      <c r="AL72" s="4" t="n">
        <v>0.003706667</v>
      </c>
      <c r="AM72" s="1" t="n">
        <v>0.331479066</v>
      </c>
      <c r="AN72" s="1" t="n">
        <v>0.662958131</v>
      </c>
      <c r="AO72" s="0"/>
      <c r="AP72" s="0"/>
      <c r="AQ72" s="0"/>
    </row>
    <row r="73" customFormat="false" ht="15" hidden="false" customHeight="false" outlineLevel="0" collapsed="false">
      <c r="A73" s="0"/>
      <c r="B73" s="0"/>
      <c r="C73" s="0"/>
      <c r="D73" s="0"/>
      <c r="E73" s="0"/>
      <c r="F73" s="0"/>
      <c r="G73" s="0"/>
      <c r="H73" s="5"/>
      <c r="I73" s="5" t="n">
        <f aca="false">I67+1</f>
        <v>228</v>
      </c>
      <c r="J73" s="5" t="n">
        <v>45</v>
      </c>
      <c r="K73" s="23" t="n">
        <f aca="false">$B$3-(I73+J73/60)*PI()/180</f>
        <v>0.789761486527434</v>
      </c>
      <c r="L73" s="24" t="n">
        <f aca="false">2/(SIN($B$2)*SIN($B$2))*(SIN(K73-$G$13+$B$2)+COS($B$2)*SIN($G$13))</f>
        <v>3.26785797852629</v>
      </c>
      <c r="M73" s="5" t="n">
        <f aca="false">1/(2*SQRT(N73))*(ABS((2*SIN($G$13)*COS($G$13)+L73)*(COS($B$2)*COS($G$13)-COS(K73-$G$13+$B$2)))*$H$13+ABS(L73*COS(K73-$G$13+$B$2))*$K$11)</f>
        <v>0.00129214170653374</v>
      </c>
      <c r="N73" s="30" t="n">
        <f aca="false">SQRT(SIN($G$13)*SIN($G$13) + (SIN(K73-$G$13+$B$2)  + COS($B$2)*SIN($G$13) )* (SIN(K73-$G$13+$B$2)  + COS($B$2)*SIN($G$13) )/(SIN($B$2)*SIN($B$2))   )</f>
        <v>1.57246296289543</v>
      </c>
      <c r="O73" s="9"/>
      <c r="P73" s="33"/>
      <c r="Q73" s="10"/>
      <c r="R73" s="33"/>
      <c r="S73" s="17"/>
      <c r="T73" s="17"/>
      <c r="U73" s="17"/>
      <c r="V73" s="17"/>
      <c r="W73" s="17"/>
      <c r="X73" s="17"/>
      <c r="Y73" s="3" t="n">
        <v>1.6072</v>
      </c>
      <c r="Z73" s="3" t="n">
        <v>746.3</v>
      </c>
      <c r="AL73" s="4" t="n">
        <v>0.0061</v>
      </c>
      <c r="AM73" s="1" t="n">
        <v>0</v>
      </c>
      <c r="AN73" s="1" t="n">
        <v>0</v>
      </c>
      <c r="AO73" s="0"/>
      <c r="AP73" s="0"/>
      <c r="AQ73" s="0"/>
    </row>
    <row r="74" customFormat="false" ht="15" hidden="false" customHeight="false" outlineLevel="0" collapsed="false">
      <c r="A74" s="0"/>
      <c r="B74" s="0"/>
      <c r="C74" s="0"/>
      <c r="D74" s="0"/>
      <c r="E74" s="0"/>
      <c r="F74" s="0"/>
      <c r="G74" s="0"/>
      <c r="H74" s="5"/>
      <c r="I74" s="5"/>
      <c r="J74" s="5"/>
      <c r="K74" s="5"/>
      <c r="L74" s="24"/>
      <c r="M74" s="5"/>
      <c r="N74" s="30"/>
      <c r="O74" s="9"/>
      <c r="P74" s="33"/>
      <c r="Q74" s="10"/>
      <c r="R74" s="33"/>
      <c r="S74" s="17"/>
      <c r="T74" s="17"/>
      <c r="U74" s="17"/>
      <c r="V74" s="17"/>
      <c r="W74" s="17"/>
      <c r="X74" s="17"/>
      <c r="Y74" s="3" t="n">
        <v>1.607</v>
      </c>
      <c r="Z74" s="3" t="n">
        <v>752</v>
      </c>
      <c r="AL74" s="4" t="n">
        <v>0.0061</v>
      </c>
      <c r="AM74" s="1" t="n">
        <v>0</v>
      </c>
      <c r="AN74" s="1" t="n">
        <v>0</v>
      </c>
      <c r="AO74" s="0"/>
      <c r="AP74" s="0"/>
      <c r="AQ74" s="0"/>
    </row>
    <row r="75" customFormat="false" ht="15" hidden="false" customHeight="false" outlineLevel="0" collapsed="false">
      <c r="A75" s="0"/>
      <c r="B75" s="0"/>
      <c r="C75" s="0"/>
      <c r="D75" s="0"/>
      <c r="E75" s="0"/>
      <c r="F75" s="0"/>
      <c r="G75" s="0"/>
      <c r="H75" s="5"/>
      <c r="I75" s="5"/>
      <c r="J75" s="5"/>
      <c r="K75" s="23"/>
      <c r="L75" s="24"/>
      <c r="M75" s="5"/>
      <c r="N75" s="30"/>
      <c r="O75" s="9"/>
      <c r="P75" s="33"/>
      <c r="Q75" s="10"/>
      <c r="R75" s="33"/>
      <c r="S75" s="17"/>
      <c r="T75" s="17"/>
      <c r="U75" s="17"/>
      <c r="V75" s="17"/>
      <c r="W75" s="17"/>
      <c r="X75" s="17"/>
      <c r="Y75" s="3" t="n">
        <v>1.6068</v>
      </c>
      <c r="Z75" s="3" t="n">
        <v>757.7</v>
      </c>
      <c r="AL75" s="4" t="n">
        <v>0.004066667</v>
      </c>
      <c r="AM75" s="1" t="n">
        <v>0.229696474</v>
      </c>
      <c r="AN75" s="1" t="n">
        <v>0.459392947</v>
      </c>
      <c r="AO75" s="0"/>
      <c r="AP75" s="0"/>
      <c r="AQ75" s="0"/>
    </row>
    <row r="76" customFormat="false" ht="15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1" t="n">
        <f aca="false">(0.001)*0</f>
        <v>0</v>
      </c>
      <c r="R76" s="0"/>
      <c r="S76" s="34"/>
      <c r="T76" s="34"/>
      <c r="U76" s="34"/>
      <c r="V76" s="34"/>
      <c r="W76" s="34"/>
      <c r="X76" s="34"/>
      <c r="Y76" s="3" t="n">
        <v>1.6065</v>
      </c>
      <c r="Z76" s="3" t="n">
        <v>763.7</v>
      </c>
      <c r="AL76" s="4" t="n">
        <v>0.00596</v>
      </c>
      <c r="AM76" s="1" t="n">
        <v>0</v>
      </c>
      <c r="AN76" s="1" t="n">
        <v>0</v>
      </c>
      <c r="AO76" s="0"/>
      <c r="AP76" s="0"/>
      <c r="AQ76" s="0"/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1" t="n">
        <f aca="false">(0.001)*0</f>
        <v>0</v>
      </c>
      <c r="R77" s="0"/>
      <c r="S77" s="34"/>
      <c r="T77" s="34"/>
      <c r="U77" s="34"/>
      <c r="V77" s="34"/>
      <c r="W77" s="34"/>
      <c r="X77" s="34"/>
      <c r="Y77" s="3" t="n">
        <v>1.6063</v>
      </c>
      <c r="Z77" s="3" t="n">
        <v>769.7</v>
      </c>
      <c r="AL77" s="4" t="n">
        <v>0.00596</v>
      </c>
      <c r="AM77" s="1" t="n">
        <v>0</v>
      </c>
      <c r="AN77" s="1" t="n">
        <v>0</v>
      </c>
      <c r="AO77" s="0"/>
      <c r="AP77" s="0"/>
      <c r="AQ77" s="0"/>
    </row>
    <row r="78" customFormat="false" ht="15" hidden="false" customHeight="false" outlineLevel="0" collapsed="false">
      <c r="A78" s="11" t="s">
        <v>36</v>
      </c>
      <c r="B78" s="11" t="s">
        <v>18</v>
      </c>
      <c r="C78" s="11" t="s">
        <v>37</v>
      </c>
      <c r="D78" s="11" t="s">
        <v>38</v>
      </c>
      <c r="E78" s="11" t="s">
        <v>39</v>
      </c>
      <c r="F78" s="11" t="s">
        <v>5</v>
      </c>
      <c r="G78" s="11" t="s">
        <v>40</v>
      </c>
      <c r="H78" s="11" t="s">
        <v>41</v>
      </c>
      <c r="I78" s="11" t="s">
        <v>42</v>
      </c>
      <c r="J78" s="11" t="s">
        <v>43</v>
      </c>
      <c r="K78" s="11" t="s">
        <v>44</v>
      </c>
      <c r="L78" s="11" t="s">
        <v>57</v>
      </c>
      <c r="M78" s="11" t="s">
        <v>58</v>
      </c>
      <c r="N78" s="11" t="s">
        <v>47</v>
      </c>
      <c r="O78" s="11" t="s">
        <v>48</v>
      </c>
      <c r="P78" s="11" t="s">
        <v>49</v>
      </c>
      <c r="Q78" s="1" t="s">
        <v>36</v>
      </c>
      <c r="R78" s="11"/>
      <c r="S78" s="11" t="s">
        <v>50</v>
      </c>
      <c r="T78" s="11" t="s">
        <v>51</v>
      </c>
      <c r="U78" s="11" t="s">
        <v>52</v>
      </c>
      <c r="V78" s="35"/>
      <c r="W78" s="35"/>
      <c r="X78" s="35"/>
      <c r="Y78" s="3" t="n">
        <v>1.6061</v>
      </c>
      <c r="Z78" s="3" t="n">
        <v>775.8</v>
      </c>
      <c r="AL78" s="4" t="n">
        <v>0.003973333</v>
      </c>
      <c r="AM78" s="1" t="n">
        <v>-1.423466542</v>
      </c>
      <c r="AN78" s="1" t="e">
        <f aca="false">{nan}</f>
        <v>#N/A</v>
      </c>
      <c r="AO78" s="0"/>
      <c r="AP78" s="0"/>
      <c r="AQ78" s="0"/>
    </row>
    <row r="79" customFormat="false" ht="15" hidden="false" customHeight="false" outlineLevel="0" collapsed="false">
      <c r="A79" s="36" t="n">
        <v>9</v>
      </c>
      <c r="B79" s="37"/>
      <c r="C79" s="37"/>
      <c r="D79" s="37"/>
      <c r="E79" s="37"/>
      <c r="F79" s="37" t="n">
        <f aca="false">F13</f>
        <v>43.3</v>
      </c>
      <c r="G79" s="38" t="n">
        <f aca="false">F79*PI()/180</f>
        <v>0.755727566113545</v>
      </c>
      <c r="H79" s="38"/>
      <c r="I79" s="38" t="n">
        <v>221</v>
      </c>
      <c r="J79" s="38" t="n">
        <v>20</v>
      </c>
      <c r="K79" s="37" t="n">
        <f aca="false">$B$3-(I79+J79/60)*PI()/180</f>
        <v>0.91920673938368</v>
      </c>
      <c r="L79" s="24" t="n">
        <f aca="false">2/(SIN($B$2)*SIN($B$2))*(SIN(K79-$G$13+$B$2)+COS($B$2)*SIN($G$13))</f>
        <v>3.41003696167841</v>
      </c>
      <c r="M79" s="5" t="n">
        <f aca="false">1/(2*SQRT(N79))*(ABS((2*SIN($G$13)*COS($G$13)+L79)*(COS($B$2)*COS($G$13)-COS(K79-$G$13+$B$2)))*$H$13+ABS(L79*COS(K79-$G$13+$B$2))*$K$11)</f>
        <v>0.000259289549429732</v>
      </c>
      <c r="N79" s="25" t="n">
        <f aca="false">SQRT(SIN($G$13)*SIN($G$13) + (SIN(K79-$G$13+$B$2)  + COS($B$2)*SIN($G$13) )* (SIN(K79-$G$13+$B$2)  + COS($B$2)*SIN($G$13) )/(SIN($B$2)*SIN($B$2))   )</f>
        <v>1.62808563294884</v>
      </c>
      <c r="O79" s="39" t="e">
        <f aca="true">FORECAST(N79,OFFSET($Z$1:$Z$200,MATCH(N79,$Y$1:$Y$200,-1)-1,0,2),OFFSET($Y$1:$Y$200,MATCH(N79,$Y$1:$Y$200,-1)-1,0,2))</f>
        <v>#N/A</v>
      </c>
      <c r="P79" s="38"/>
      <c r="Q79" s="1" t="n">
        <f aca="false">0.05*(0.001)</f>
        <v>5E-005</v>
      </c>
      <c r="R79" s="38" t="n">
        <f aca="false">AVERAGE(Q79:Q81)</f>
        <v>5.33333333333333E-005</v>
      </c>
      <c r="S79" s="40" t="n">
        <f aca="false">MAX(ABS(Q79-R79),ABS(Q80-R79),ABS(Q81-R79))</f>
        <v>6.66666666666666E-006</v>
      </c>
      <c r="T79" s="13"/>
      <c r="U79" s="13"/>
      <c r="V79" s="17"/>
      <c r="W79" s="17"/>
      <c r="X79" s="17"/>
      <c r="Y79" s="3" t="n">
        <v>1.6058</v>
      </c>
      <c r="Z79" s="3" t="n">
        <v>782.1</v>
      </c>
      <c r="AL79" s="4" t="n">
        <v>0</v>
      </c>
      <c r="AM79" s="1" t="n">
        <v>0</v>
      </c>
      <c r="AN79" s="1" t="e">
        <f aca="false">{nan}</f>
        <v>#N/A</v>
      </c>
      <c r="AO79" s="0"/>
      <c r="AP79" s="0"/>
      <c r="AQ79" s="0"/>
    </row>
    <row r="80" customFormat="false" ht="15" hidden="false" customHeight="false" outlineLevel="0" collapsed="false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24"/>
      <c r="M80" s="24"/>
      <c r="N80" s="25"/>
      <c r="O80" s="39"/>
      <c r="P80" s="38"/>
      <c r="Q80" s="1" t="n">
        <f aca="false">0.06*(0.001)</f>
        <v>6E-005</v>
      </c>
      <c r="R80" s="38"/>
      <c r="S80" s="40" t="n">
        <f aca="false">MAX(ABS(Q80-R80),ABS(Q81-R80),ABS(Q82-R80))</f>
        <v>6E-005</v>
      </c>
      <c r="T80" s="13"/>
      <c r="U80" s="13"/>
      <c r="V80" s="17"/>
      <c r="W80" s="17"/>
      <c r="X80" s="17"/>
      <c r="Y80" s="3" t="n">
        <v>1.6056</v>
      </c>
      <c r="Z80" s="3" t="n">
        <v>788.6</v>
      </c>
      <c r="AL80" s="4" t="n">
        <v>0</v>
      </c>
      <c r="AM80" s="1" t="e">
        <f aca="false">{nan}</f>
        <v>#N/A</v>
      </c>
      <c r="AN80" s="1" t="e">
        <f aca="false">{nan}</f>
        <v>#N/A</v>
      </c>
      <c r="AO80" s="0"/>
      <c r="AP80" s="0"/>
      <c r="AQ80" s="0"/>
    </row>
    <row r="81" customFormat="false" ht="15" hidden="false" customHeight="false" outlineLevel="0" collapsed="false">
      <c r="A81" s="36"/>
      <c r="B81" s="37"/>
      <c r="C81" s="37"/>
      <c r="D81" s="37"/>
      <c r="E81" s="37"/>
      <c r="F81" s="37"/>
      <c r="G81" s="37"/>
      <c r="H81" s="38"/>
      <c r="I81" s="38"/>
      <c r="J81" s="38"/>
      <c r="K81" s="37"/>
      <c r="L81" s="24"/>
      <c r="M81" s="24"/>
      <c r="N81" s="25"/>
      <c r="O81" s="39"/>
      <c r="P81" s="38"/>
      <c r="Q81" s="1" t="n">
        <f aca="false">0.05*(0.001)</f>
        <v>5E-005</v>
      </c>
      <c r="R81" s="38"/>
      <c r="S81" s="40" t="n">
        <f aca="false">MAX(ABS(Q81-R81),ABS(Q82-R81),ABS(Q83-R81))</f>
        <v>5E-005</v>
      </c>
      <c r="T81" s="0"/>
      <c r="U81" s="0"/>
      <c r="V81" s="17"/>
      <c r="W81" s="17"/>
      <c r="X81" s="17"/>
      <c r="Y81" s="3" t="n">
        <v>1.6054</v>
      </c>
      <c r="Z81" s="3" t="n">
        <v>795.1</v>
      </c>
      <c r="AL81" s="4" t="e">
        <f aca="false">{nan}</f>
        <v>#N/A</v>
      </c>
      <c r="AM81" s="1" t="n">
        <v>0.003524553</v>
      </c>
      <c r="AN81" s="1" t="e">
        <f aca="false">{nan}</f>
        <v>#N/A</v>
      </c>
      <c r="AO81" s="1" t="s">
        <v>22</v>
      </c>
      <c r="AP81" s="1" t="s">
        <v>23</v>
      </c>
      <c r="AQ81" s="1" t="s">
        <v>56</v>
      </c>
    </row>
    <row r="82" customFormat="false" ht="15" hidden="false" customHeight="false" outlineLevel="0" collapsed="false">
      <c r="A82" s="36"/>
      <c r="B82" s="37"/>
      <c r="C82" s="37"/>
      <c r="D82" s="37"/>
      <c r="E82" s="37"/>
      <c r="F82" s="37"/>
      <c r="G82" s="37"/>
      <c r="H82" s="38"/>
      <c r="I82" s="38" t="n">
        <v>221</v>
      </c>
      <c r="J82" s="38" t="n">
        <v>42</v>
      </c>
      <c r="K82" s="37" t="n">
        <f aca="false">$B$3-(I82+J82/60)*PI()/180</f>
        <v>0.912807198793035</v>
      </c>
      <c r="L82" s="24" t="n">
        <f aca="false">2/(SIN($B$2)*SIN($B$2))*(SIN(K82-$G$13+$B$2)+COS($B$2)*SIN($G$13))</f>
        <v>3.40397227456237</v>
      </c>
      <c r="M82" s="5" t="n">
        <f aca="false">1/(2*SQRT(N82))*(ABS((2*SIN($G$13)*COS($G$13)+L82)*(COS($B$2)*COS($G$13)-COS(K82-$G$13+$B$2)))*$H$13+ABS(L82*COS(K82-$G$13+$B$2))*$K$11)</f>
        <v>0.000197808588311672</v>
      </c>
      <c r="N82" s="25" t="n">
        <f aca="false">SQRT(SIN($G$13)*SIN($G$13) + (SIN(K82-$G$13+$B$2)  + COS($B$2)*SIN($G$13) )* (SIN(K82-$G$13+$B$2)  + COS($B$2)*SIN($G$13) )/(SIN($B$2)*SIN($B$2))   )</f>
        <v>1.62570428486703</v>
      </c>
      <c r="O82" s="39" t="e">
        <f aca="true">FORECAST(N82,OFFSET($Z$1:$Z$200,MATCH(N82,$Y$1:$Y$200,-1)-1,0,2),OFFSET($Y$1:$Y$200,MATCH(N82,$Y$1:$Y$200,-1)-1,0,2))</f>
        <v>#N/A</v>
      </c>
      <c r="P82" s="38"/>
      <c r="Q82" s="1" t="n">
        <f aca="false">0.02*(0.001)</f>
        <v>2E-005</v>
      </c>
      <c r="R82" s="38" t="n">
        <f aca="false">AVERAGE(Q82:Q84)</f>
        <v>4.33333333333333E-005</v>
      </c>
      <c r="S82" s="40" t="n">
        <f aca="false">MAX(ABS(Q82-R82),ABS(Q83-R82),ABS(Q84-R82))</f>
        <v>2.33333333333333E-005</v>
      </c>
      <c r="T82" s="27" t="e">
        <f aca="true">FORECAST((N82-M82),OFFSET($Z$1:$Z$200,MATCH((N82-M82),$Y$1:$Y$200,-1)-1,0,2),OFFSET($Y$1:$Y$200,MATCH((N82-M82),$Y$1:$Y$200,-1)-1,0,2))</f>
        <v>#N/A</v>
      </c>
      <c r="U82" s="27" t="e">
        <f aca="true">FORECAST((N82+M82),OFFSET($Z$1:$Z$200,MATCH((N82+M82),$Y$1:$Y$200,-1)-1,0,2),OFFSET($Y$1:$Y$200,MATCH((N82+M82),$Y$1:$Y$200,-1)-1,0,2))</f>
        <v>#N/A</v>
      </c>
      <c r="V82" s="17"/>
      <c r="W82" s="17"/>
      <c r="X82" s="17"/>
      <c r="Y82" s="3" t="n">
        <v>1.6051</v>
      </c>
      <c r="Z82" s="3" t="n">
        <v>801.8</v>
      </c>
      <c r="AL82" s="4" t="e">
        <f aca="false">{nan}</f>
        <v>#N/A</v>
      </c>
      <c r="AM82" s="1" t="n">
        <v>0</v>
      </c>
      <c r="AN82" s="1" t="e">
        <f aca="false">{nan}</f>
        <v>#N/A</v>
      </c>
      <c r="AO82" s="1" t="n">
        <v>6.201197026</v>
      </c>
      <c r="AP82" s="1" t="n">
        <v>0.048480359</v>
      </c>
      <c r="AQ82" s="1" t="n">
        <v>0.781790342</v>
      </c>
    </row>
    <row r="83" customFormat="false" ht="15" hidden="false" customHeight="false" outlineLevel="0" collapsed="false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24"/>
      <c r="M83" s="24"/>
      <c r="N83" s="25"/>
      <c r="O83" s="39"/>
      <c r="P83" s="38"/>
      <c r="Q83" s="1" t="n">
        <f aca="false">0.05*(0.001)</f>
        <v>5E-005</v>
      </c>
      <c r="R83" s="38"/>
      <c r="S83" s="40" t="n">
        <f aca="false">MAX(ABS(Q83-R83),ABS(Q84-R83),ABS(Q85-R83))</f>
        <v>0.00011</v>
      </c>
      <c r="T83" s="27"/>
      <c r="U83" s="27"/>
      <c r="V83" s="17"/>
      <c r="W83" s="17"/>
      <c r="X83" s="17"/>
      <c r="Y83" s="3" t="n">
        <v>1.6049</v>
      </c>
      <c r="Z83" s="3" t="n">
        <v>808.7</v>
      </c>
      <c r="AL83" s="4" t="e">
        <f aca="false">{nan}</f>
        <v>#N/A</v>
      </c>
      <c r="AM83" s="1" t="e">
        <f aca="false">{nan}</f>
        <v>#N/A</v>
      </c>
      <c r="AN83" s="1" t="e">
        <f aca="false">{nan}</f>
        <v>#N/A</v>
      </c>
      <c r="AO83" s="1" t="s">
        <v>28</v>
      </c>
      <c r="AP83" s="1" t="s">
        <v>29</v>
      </c>
      <c r="AQ83" s="1" t="s">
        <v>59</v>
      </c>
    </row>
    <row r="84" customFormat="false" ht="15" hidden="false" customHeight="false" outlineLevel="0" collapsed="false">
      <c r="A84" s="36"/>
      <c r="B84" s="37"/>
      <c r="C84" s="37"/>
      <c r="D84" s="37"/>
      <c r="E84" s="37"/>
      <c r="F84" s="37"/>
      <c r="G84" s="37"/>
      <c r="H84" s="38"/>
      <c r="I84" s="38"/>
      <c r="J84" s="38"/>
      <c r="K84" s="37"/>
      <c r="L84" s="24"/>
      <c r="M84" s="24"/>
      <c r="N84" s="25"/>
      <c r="O84" s="39"/>
      <c r="P84" s="38"/>
      <c r="Q84" s="1" t="n">
        <f aca="false">0.06*(0.001)</f>
        <v>6E-005</v>
      </c>
      <c r="R84" s="38"/>
      <c r="S84" s="40" t="n">
        <f aca="false">MAX(ABS(Q84-R84),ABS(Q85-R84),ABS(Q86-R84))</f>
        <v>0.00011</v>
      </c>
      <c r="T84" s="27"/>
      <c r="U84" s="27"/>
      <c r="V84" s="17"/>
      <c r="W84" s="17"/>
      <c r="X84" s="17"/>
      <c r="Y84" s="3" t="n">
        <v>1.6047</v>
      </c>
      <c r="Z84" s="3" t="n">
        <v>815.7</v>
      </c>
      <c r="AL84" s="21" t="n">
        <v>6.66667E-006</v>
      </c>
      <c r="AM84" s="1" t="n">
        <v>0.000990687</v>
      </c>
      <c r="AN84" s="1" t="n">
        <v>0.000495344</v>
      </c>
      <c r="AO84" s="1" t="n">
        <v>0.095529885</v>
      </c>
      <c r="AP84" s="1" t="n">
        <v>0.00380255</v>
      </c>
      <c r="AQ84" s="1" t="n">
        <v>0.061339566</v>
      </c>
    </row>
    <row r="85" customFormat="false" ht="15" hidden="false" customHeight="false" outlineLevel="0" collapsed="false">
      <c r="A85" s="36"/>
      <c r="B85" s="37"/>
      <c r="C85" s="37"/>
      <c r="D85" s="37"/>
      <c r="E85" s="37"/>
      <c r="F85" s="37"/>
      <c r="G85" s="37"/>
      <c r="H85" s="38"/>
      <c r="I85" s="38" t="n">
        <v>222</v>
      </c>
      <c r="J85" s="38" t="n">
        <v>21</v>
      </c>
      <c r="K85" s="37" t="n">
        <f aca="false">$B$3-(I85+J85/60)*PI()/180</f>
        <v>0.901462558655072</v>
      </c>
      <c r="L85" s="24" t="n">
        <f aca="false">2/(SIN($B$2)*SIN($B$2))*(SIN(K85-$G$13+$B$2)+COS($B$2)*SIN($G$13))</f>
        <v>3.39297082422668</v>
      </c>
      <c r="M85" s="5" t="n">
        <f aca="false">1/(2*SQRT(N85))*(ABS((2*SIN($G$13)*COS($G$13)+L85)*(COS($B$2)*COS($G$13)-COS(K85-$G$13+$B$2)))*$H$13+ABS(L85*COS(K85-$G$13+$B$2))*$K$11)</f>
        <v>0.000196590941487016</v>
      </c>
      <c r="N85" s="25" t="n">
        <f aca="false">SQRT(SIN($G$13)*SIN($G$13) + (SIN(K85-$G$13+$B$2)  + COS($B$2)*SIN($G$13) )* (SIN(K85-$G$13+$B$2)  + COS($B$2)*SIN($G$13) )/(SIN($B$2)*SIN($B$2))   )</f>
        <v>1.62138640624222</v>
      </c>
      <c r="O85" s="39" t="n">
        <f aca="true">FORECAST(N85,OFFSET($Z$1:$Z$200,MATCH(N85,$Y$1:$Y$200,-1)-1,0,2),OFFSET($Y$1:$Y$200,MATCH(N85,$Y$1:$Y$200,-1)-1,0,2))</f>
        <v>539.666354223756</v>
      </c>
      <c r="P85" s="38"/>
      <c r="Q85" s="1" t="n">
        <f aca="false">0.11*(0.001)</f>
        <v>0.00011</v>
      </c>
      <c r="R85" s="41" t="n">
        <f aca="false">AVERAGE(Q85:Q87)</f>
        <v>0.000106666666666667</v>
      </c>
      <c r="S85" s="40" t="n">
        <f aca="false">MAX(ABS(Q85-R85),ABS(Q86-R85),ABS(Q87-R85))</f>
        <v>6.66666666666669E-006</v>
      </c>
      <c r="T85" s="27" t="n">
        <f aca="true">FORECAST((N85-M85),OFFSET($Z$1:$Z$200,MATCH((N85-M85),$Y$1:$Y$200,-1)-1,0,2),OFFSET($Y$1:$Y$200,MATCH((N85-M85),$Y$1:$Y$200,-1)-1,0,2))</f>
        <v>541.512031691989</v>
      </c>
      <c r="U85" s="27" t="n">
        <f aca="true">FORECAST((N85+M85),OFFSET($Z$1:$Z$200,MATCH((N85+M85),$Y$1:$Y$200,-1)-1,0,2),OFFSET($Y$1:$Y$200,MATCH((N85+M85),$Y$1:$Y$200,-1)-1,0,2))</f>
        <v>538.224687319517</v>
      </c>
      <c r="V85" s="17"/>
      <c r="W85" s="17"/>
      <c r="X85" s="17"/>
      <c r="Y85" s="3" t="n">
        <v>1.6044</v>
      </c>
      <c r="Z85" s="3" t="n">
        <v>822.8</v>
      </c>
      <c r="AL85" s="4" t="n">
        <v>7E-005</v>
      </c>
      <c r="AM85" s="1" t="n">
        <v>0</v>
      </c>
      <c r="AN85" s="1" t="n">
        <v>0</v>
      </c>
    </row>
    <row r="86" customFormat="false" ht="15" hidden="false" customHeight="false" outlineLevel="0" collapsed="false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24"/>
      <c r="M86" s="24"/>
      <c r="N86" s="25"/>
      <c r="O86" s="39"/>
      <c r="P86" s="38"/>
      <c r="Q86" s="1" t="n">
        <f aca="false">0.1*(0.001)</f>
        <v>0.0001</v>
      </c>
      <c r="R86" s="41"/>
      <c r="S86" s="40" t="n">
        <f aca="false">MAX(ABS(Q86-R86),ABS(Q87-R86),ABS(Q88-R86))</f>
        <v>0.00026</v>
      </c>
      <c r="T86" s="27"/>
      <c r="U86" s="27"/>
      <c r="V86" s="17"/>
      <c r="W86" s="17"/>
      <c r="X86" s="17"/>
      <c r="Y86" s="3" t="n">
        <v>1.6042</v>
      </c>
      <c r="Z86" s="3" t="n">
        <v>830.1</v>
      </c>
      <c r="AL86" s="4" t="n">
        <v>7E-005</v>
      </c>
      <c r="AM86" s="1" t="n">
        <v>0</v>
      </c>
      <c r="AN86" s="1" t="n">
        <v>0</v>
      </c>
    </row>
    <row r="87" customFormat="false" ht="15" hidden="false" customHeight="false" outlineLevel="0" collapsed="false">
      <c r="A87" s="36"/>
      <c r="B87" s="37"/>
      <c r="C87" s="37"/>
      <c r="D87" s="37"/>
      <c r="E87" s="37"/>
      <c r="F87" s="37"/>
      <c r="G87" s="37"/>
      <c r="H87" s="38"/>
      <c r="I87" s="38"/>
      <c r="J87" s="38"/>
      <c r="K87" s="37"/>
      <c r="L87" s="24"/>
      <c r="M87" s="24"/>
      <c r="N87" s="25"/>
      <c r="O87" s="39"/>
      <c r="P87" s="38"/>
      <c r="Q87" s="1" t="n">
        <f aca="false">0.11*(0.001)</f>
        <v>0.00011</v>
      </c>
      <c r="R87" s="41"/>
      <c r="S87" s="40" t="n">
        <f aca="false">MAX(ABS(Q87-R87),ABS(Q88-R87),ABS(Q89-R87))</f>
        <v>0.00026</v>
      </c>
      <c r="T87" s="27"/>
      <c r="U87" s="27"/>
      <c r="V87" s="17"/>
      <c r="W87" s="17"/>
      <c r="X87" s="17"/>
      <c r="Y87" s="3" t="n">
        <v>1.604</v>
      </c>
      <c r="Z87" s="3" t="n">
        <v>837.6</v>
      </c>
      <c r="AL87" s="21" t="n">
        <v>2.33333E-005</v>
      </c>
      <c r="AM87" s="1" t="n">
        <v>0.003101615</v>
      </c>
      <c r="AN87" s="1" t="n">
        <v>0.001173584</v>
      </c>
    </row>
    <row r="88" customFormat="false" ht="15" hidden="false" customHeight="false" outlineLevel="0" collapsed="false">
      <c r="A88" s="36"/>
      <c r="B88" s="37"/>
      <c r="C88" s="37"/>
      <c r="D88" s="37"/>
      <c r="E88" s="37"/>
      <c r="F88" s="37"/>
      <c r="G88" s="37"/>
      <c r="H88" s="38"/>
      <c r="I88" s="38" t="n">
        <v>222</v>
      </c>
      <c r="J88" s="38" t="n">
        <v>44</v>
      </c>
      <c r="K88" s="37" t="n">
        <f aca="false">$B$3-(I88+J88/60)*PI()/180</f>
        <v>0.89477212985576</v>
      </c>
      <c r="L88" s="24" t="n">
        <f aca="false">2/(SIN($B$2)*SIN($B$2))*(SIN(K88-$G$13+$B$2)+COS($B$2)*SIN($G$13))</f>
        <v>3.3863331649383</v>
      </c>
      <c r="M88" s="5" t="n">
        <f aca="false">1/(2*SQRT(N88))*(ABS((2*SIN($G$13)*COS($G$13)+L88)*(COS($B$2)*COS($G$13)-COS(K88-$G$13+$B$2)))*$H$13+ABS(L88*COS(K88-$G$13+$B$2))*$K$11)</f>
        <v>0.00026467650542657</v>
      </c>
      <c r="N88" s="25" t="n">
        <f aca="false">SQRT(SIN($G$13)*SIN($G$13) + (SIN(K88-$G$13+$B$2)  + COS($B$2)*SIN($G$13) )* (SIN(K88-$G$13+$B$2)  + COS($B$2)*SIN($G$13) )/(SIN($B$2)*SIN($B$2))   )</f>
        <v>1.61878244993103</v>
      </c>
      <c r="O88" s="39" t="n">
        <f aca="true">FORECAST(N88,OFFSET($Z$1:$Z$200,MATCH(N88,$Y$1:$Y$200,-1)-1,0,2),OFFSET($Y$1:$Y$200,MATCH(N88,$Y$1:$Y$200,-1)-1,0,2))</f>
        <v>564.940400551742</v>
      </c>
      <c r="P88" s="38"/>
      <c r="Q88" s="1" t="n">
        <f aca="false">0.26*(0.001)</f>
        <v>0.00026</v>
      </c>
      <c r="R88" s="41" t="n">
        <f aca="false">AVERAGE(Q88:Q90)</f>
        <v>0.00025</v>
      </c>
      <c r="S88" s="40" t="n">
        <f aca="false">MAX(ABS(Q88-R88),ABS(Q89-R88),ABS(Q90-R88))</f>
        <v>2E-005</v>
      </c>
      <c r="T88" s="27" t="n">
        <f aca="true">FORECAST((N88-M88),OFFSET($Z$1:$Z$200,MATCH((N88-M88),$Y$1:$Y$200,-1)-1,0,2),OFFSET($Y$1:$Y$200,MATCH((N88-M88),$Y$1:$Y$200,-1)-1,0,2))</f>
        <v>567.877832179929</v>
      </c>
      <c r="U88" s="27" t="n">
        <f aca="true">FORECAST((N88+M88),OFFSET($Z$1:$Z$200,MATCH((N88+M88),$Y$1:$Y$200,-1)-1,0,2),OFFSET($Y$1:$Y$200,MATCH((N88+M88),$Y$1:$Y$200,-1)-1,0,2))</f>
        <v>562.634482762491</v>
      </c>
      <c r="V88" s="17"/>
      <c r="W88" s="17"/>
      <c r="X88" s="17"/>
      <c r="Y88" s="3" t="n">
        <v>1.6037</v>
      </c>
      <c r="Z88" s="3" t="n">
        <v>845.2</v>
      </c>
      <c r="AL88" s="4" t="n">
        <v>6E-005</v>
      </c>
      <c r="AM88" s="1" t="n">
        <v>0</v>
      </c>
      <c r="AN88" s="1" t="n">
        <v>0</v>
      </c>
    </row>
    <row r="89" customFormat="false" ht="15" hidden="false" customHeight="false" outlineLevel="0" collapsed="false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24"/>
      <c r="M89" s="24"/>
      <c r="N89" s="25"/>
      <c r="O89" s="39"/>
      <c r="P89" s="38"/>
      <c r="Q89" s="1" t="n">
        <f aca="false">0.26*(0.001)</f>
        <v>0.00026</v>
      </c>
      <c r="R89" s="41"/>
      <c r="S89" s="40" t="n">
        <f aca="false">MAX(ABS(Q89-R89),ABS(Q90-R89),ABS(Q91-R89))</f>
        <v>0.0005</v>
      </c>
      <c r="T89" s="27"/>
      <c r="U89" s="27"/>
      <c r="V89" s="17"/>
      <c r="W89" s="17"/>
      <c r="X89" s="17"/>
      <c r="Y89" s="3" t="n">
        <v>1.6035</v>
      </c>
      <c r="Z89" s="3" t="n">
        <v>853</v>
      </c>
      <c r="AL89" s="4" t="n">
        <v>0.0001</v>
      </c>
      <c r="AM89" s="1" t="n">
        <v>0</v>
      </c>
      <c r="AN89" s="1" t="n">
        <v>0</v>
      </c>
    </row>
    <row r="90" customFormat="false" ht="15" hidden="false" customHeight="false" outlineLevel="0" collapsed="false">
      <c r="A90" s="36"/>
      <c r="B90" s="37"/>
      <c r="C90" s="37"/>
      <c r="D90" s="37"/>
      <c r="E90" s="37"/>
      <c r="F90" s="37"/>
      <c r="G90" s="37"/>
      <c r="H90" s="38"/>
      <c r="I90" s="38"/>
      <c r="J90" s="38"/>
      <c r="K90" s="37"/>
      <c r="L90" s="24"/>
      <c r="M90" s="24"/>
      <c r="N90" s="25"/>
      <c r="O90" s="39"/>
      <c r="P90" s="38"/>
      <c r="Q90" s="1" t="n">
        <f aca="false">0.23*(0.001)</f>
        <v>0.00023</v>
      </c>
      <c r="R90" s="41"/>
      <c r="S90" s="40" t="n">
        <f aca="false">MAX(ABS(Q90-R90),ABS(Q91-R90),ABS(Q92-R90))</f>
        <v>0.00051</v>
      </c>
      <c r="T90" s="27"/>
      <c r="U90" s="27"/>
      <c r="V90" s="17"/>
      <c r="W90" s="17"/>
      <c r="X90" s="17"/>
      <c r="Y90" s="3" t="n">
        <v>1.6033</v>
      </c>
      <c r="Z90" s="3" t="n">
        <v>861</v>
      </c>
      <c r="AL90" s="21" t="n">
        <v>2.33333E-005</v>
      </c>
      <c r="AM90" s="1" t="n">
        <v>0.005514809</v>
      </c>
      <c r="AN90" s="1" t="n">
        <v>0.000641257</v>
      </c>
    </row>
    <row r="91" customFormat="false" ht="15" hidden="false" customHeight="false" outlineLevel="0" collapsed="false">
      <c r="A91" s="36"/>
      <c r="B91" s="37"/>
      <c r="C91" s="37"/>
      <c r="D91" s="37"/>
      <c r="E91" s="37"/>
      <c r="F91" s="37"/>
      <c r="G91" s="37"/>
      <c r="H91" s="38"/>
      <c r="I91" s="38" t="n">
        <v>223</v>
      </c>
      <c r="J91" s="38" t="n">
        <v>20</v>
      </c>
      <c r="K91" s="37" t="n">
        <f aca="false">$B$3-(I91+J91/60)*PI()/180</f>
        <v>0.884300154343793</v>
      </c>
      <c r="L91" s="24" t="n">
        <f aca="false">2/(SIN($B$2)*SIN($B$2))*(SIN(K91-$G$13+$B$2)+COS($B$2)*SIN($G$13))</f>
        <v>3.37572176905774</v>
      </c>
      <c r="M91" s="5" t="n">
        <f aca="false">1/(2*SQRT(N91))*(ABS((2*SIN($G$13)*COS($G$13)+L91)*(COS($B$2)*COS($G$13)-COS(K91-$G$13+$B$2)))*$H$13+ABS(L91*COS(K91-$G$13+$B$2))*$K$11)</f>
        <v>0.00037066314133993</v>
      </c>
      <c r="N91" s="25" t="n">
        <f aca="false">SQRT(SIN($G$13)*SIN($G$13) + (SIN(K91-$G$13+$B$2)  + COS($B$2)*SIN($G$13) )* (SIN(K91-$G$13+$B$2)  + COS($B$2)*SIN($G$13) )/(SIN($B$2)*SIN($B$2))   )</f>
        <v>1.61462149971873</v>
      </c>
      <c r="O91" s="39" t="n">
        <f aca="true">FORECAST(N91,OFFSET($Z$1:$Z$200,MATCH(N91,$Y$1:$Y$200,-1)-1,0,2),OFFSET($Y$1:$Y$200,MATCH(N91,$Y$1:$Y$200,-1)-1,0,2))</f>
        <v>613.616754359726</v>
      </c>
      <c r="P91" s="38"/>
      <c r="Q91" s="1" t="n">
        <f aca="false">0.5*(0.001)</f>
        <v>0.0005</v>
      </c>
      <c r="R91" s="41" t="n">
        <f aca="false">AVERAGE(Q91:Q93)</f>
        <v>0.00049</v>
      </c>
      <c r="S91" s="40" t="n">
        <f aca="false">MAX(ABS(Q91-R91),ABS(Q92-R91),ABS(Q93-R91))</f>
        <v>3E-005</v>
      </c>
      <c r="T91" s="27" t="n">
        <f aca="true">FORECAST((N91-M91),OFFSET($Z$1:$Z$200,MATCH((N91-M91),$Y$1:$Y$200,-1)-1,0,2),OFFSET($Y$1:$Y$200,MATCH((N91-M91),$Y$1:$Y$200,-1)-1,0,2))</f>
        <v>619.224409841199</v>
      </c>
      <c r="U91" s="27" t="n">
        <f aca="true">FORECAST((N91+M91),OFFSET($Z$1:$Z$200,MATCH((N91+M91),$Y$1:$Y$200,-1)-1,0,2),OFFSET($Y$1:$Y$200,MATCH((N91+M91),$Y$1:$Y$200,-1)-1,0,2))</f>
        <v>609.380983779307</v>
      </c>
      <c r="V91" s="17"/>
      <c r="W91" s="17"/>
      <c r="X91" s="17"/>
      <c r="Y91" s="3" t="n">
        <v>1.603</v>
      </c>
      <c r="Z91" s="3" t="n">
        <v>869.2</v>
      </c>
      <c r="AL91" s="4" t="n">
        <v>0.00022</v>
      </c>
      <c r="AM91" s="1" t="n">
        <v>0</v>
      </c>
      <c r="AN91" s="1" t="n">
        <v>0</v>
      </c>
    </row>
    <row r="92" customFormat="false" ht="15" hidden="false" customHeight="false" outlineLevel="0" collapsed="false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24"/>
      <c r="M92" s="24"/>
      <c r="N92" s="25"/>
      <c r="O92" s="39"/>
      <c r="P92" s="38"/>
      <c r="Q92" s="1" t="n">
        <f aca="false">0.51*(0.001)</f>
        <v>0.00051</v>
      </c>
      <c r="R92" s="41"/>
      <c r="S92" s="40" t="n">
        <f aca="false">MAX(ABS(Q92-R92),ABS(Q93-R92),ABS(Q94-R92))</f>
        <v>0.00083</v>
      </c>
      <c r="T92" s="27"/>
      <c r="U92" s="27"/>
      <c r="V92" s="17"/>
      <c r="W92" s="17"/>
      <c r="X92" s="17"/>
      <c r="Y92" s="3" t="n">
        <v>1.6028</v>
      </c>
      <c r="Z92" s="3" t="n">
        <v>877.5</v>
      </c>
      <c r="AL92" s="4" t="n">
        <v>0.00022</v>
      </c>
      <c r="AM92" s="1" t="n">
        <v>0</v>
      </c>
      <c r="AN92" s="1" t="n">
        <v>0</v>
      </c>
    </row>
    <row r="93" customFormat="false" ht="15" hidden="false" customHeight="false" outlineLevel="0" collapsed="false">
      <c r="A93" s="36"/>
      <c r="B93" s="37"/>
      <c r="C93" s="37"/>
      <c r="D93" s="37"/>
      <c r="E93" s="37"/>
      <c r="F93" s="37"/>
      <c r="G93" s="37"/>
      <c r="H93" s="38"/>
      <c r="I93" s="38"/>
      <c r="J93" s="38"/>
      <c r="K93" s="37"/>
      <c r="L93" s="24"/>
      <c r="M93" s="24"/>
      <c r="N93" s="25"/>
      <c r="O93" s="39"/>
      <c r="P93" s="38"/>
      <c r="Q93" s="1" t="n">
        <f aca="false">0.46*(0.001)</f>
        <v>0.00046</v>
      </c>
      <c r="R93" s="41"/>
      <c r="S93" s="40" t="n">
        <f aca="false">MAX(ABS(Q93-R93),ABS(Q94-R93),ABS(Q95-R93))</f>
        <v>0.00083</v>
      </c>
      <c r="T93" s="27"/>
      <c r="U93" s="27"/>
      <c r="V93" s="17"/>
      <c r="W93" s="17"/>
      <c r="X93" s="17"/>
      <c r="Y93" s="3" t="n">
        <v>1.6025</v>
      </c>
      <c r="Z93" s="3" t="n">
        <v>886.1</v>
      </c>
      <c r="AL93" s="4" t="n">
        <v>1E-005</v>
      </c>
      <c r="AM93" s="1" t="n">
        <v>0.038873248</v>
      </c>
      <c r="AN93" s="1" t="n">
        <v>0.000777465</v>
      </c>
    </row>
    <row r="94" customFormat="false" ht="15" hidden="false" customHeight="false" outlineLevel="0" collapsed="false">
      <c r="A94" s="36"/>
      <c r="B94" s="37"/>
      <c r="C94" s="37"/>
      <c r="D94" s="37"/>
      <c r="E94" s="37"/>
      <c r="F94" s="37"/>
      <c r="G94" s="37"/>
      <c r="H94" s="38"/>
      <c r="I94" s="38" t="n">
        <v>223</v>
      </c>
      <c r="J94" s="38" t="n">
        <v>41</v>
      </c>
      <c r="K94" s="37" t="n">
        <f aca="false">$B$3-(I94+J94/60)*PI()/180</f>
        <v>0.878191501961814</v>
      </c>
      <c r="L94" s="24" t="n">
        <f aca="false">2/(SIN($B$2)*SIN($B$2))*(SIN(K94-$G$13+$B$2)+COS($B$2)*SIN($G$13))</f>
        <v>3.36940706679431</v>
      </c>
      <c r="M94" s="5" t="n">
        <f aca="false">1/(2*SQRT(N94))*(ABS((2*SIN($G$13)*COS($G$13)+L94)*(COS($B$2)*COS($G$13)-COS(K94-$G$13+$B$2)))*$H$13+ABS(L94*COS(K94-$G$13+$B$2))*$K$11)</f>
        <v>0.000432153730715955</v>
      </c>
      <c r="N94" s="25" t="n">
        <f aca="false">SQRT(SIN($G$13)*SIN($G$13) + (SIN(K94-$G$13+$B$2)  + COS($B$2)*SIN($G$13) )* (SIN(K94-$G$13+$B$2)  + COS($B$2)*SIN($G$13) )/(SIN($B$2)*SIN($B$2))   )</f>
        <v>1.6121464914184</v>
      </c>
      <c r="O94" s="39" t="n">
        <f aca="true">FORECAST(N94,OFFSET($Z$1:$Z$200,MATCH(N94,$Y$1:$Y$200,-1)-1,0,2),OFFSET($Y$1:$Y$200,MATCH(N94,$Y$1:$Y$200,-1)-1,0,2))</f>
        <v>650.477775366913</v>
      </c>
      <c r="P94" s="38"/>
      <c r="Q94" s="1" t="n">
        <f aca="false">0.83*(0.001)</f>
        <v>0.00083</v>
      </c>
      <c r="R94" s="41" t="n">
        <f aca="false">AVERAGE(Q94:Q96)</f>
        <v>0.000816666666666667</v>
      </c>
      <c r="S94" s="40" t="n">
        <f aca="false">MAX(ABS(Q94-R94),ABS(Q95-R94),ABS(Q96-R94))</f>
        <v>1.66666666666666E-005</v>
      </c>
      <c r="T94" s="27" t="n">
        <f aca="true">FORECAST((N94-M94),OFFSET($Z$1:$Z$200,MATCH((N94-M94),$Y$1:$Y$200,-1)-1,0,2),OFFSET($Y$1:$Y$200,MATCH((N94-M94),$Y$1:$Y$200,-1)-1,0,2))</f>
        <v>657.22041509013</v>
      </c>
      <c r="U94" s="27" t="n">
        <f aca="true">FORECAST((N94+M94),OFFSET($Z$1:$Z$200,MATCH((N94+M94),$Y$1:$Y$200,-1)-1,0,2),OFFSET($Y$1:$Y$200,MATCH((N94+M94),$Y$1:$Y$200,-1)-1,0,2))</f>
        <v>642.884387315885</v>
      </c>
      <c r="V94" s="17"/>
      <c r="W94" s="17"/>
      <c r="X94" s="17"/>
      <c r="Y94" s="3" t="n">
        <v>1.6023</v>
      </c>
      <c r="Z94" s="3" t="n">
        <v>894.8</v>
      </c>
      <c r="AL94" s="4" t="n">
        <v>0.00063</v>
      </c>
      <c r="AM94" s="1" t="n">
        <v>0</v>
      </c>
      <c r="AN94" s="1" t="n">
        <v>0</v>
      </c>
    </row>
    <row r="95" customFormat="false" ht="15" hidden="false" customHeight="false" outlineLevel="0" collapsed="false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24"/>
      <c r="M95" s="24"/>
      <c r="N95" s="25"/>
      <c r="O95" s="39"/>
      <c r="P95" s="38"/>
      <c r="Q95" s="1" t="n">
        <f aca="false">0.8*(0.001)</f>
        <v>0.0008</v>
      </c>
      <c r="R95" s="41"/>
      <c r="S95" s="40" t="n">
        <f aca="false">MAX(ABS(Q95-R95),ABS(Q96-R95),ABS(Q97-R95))</f>
        <v>0.00096</v>
      </c>
      <c r="T95" s="27"/>
      <c r="U95" s="27"/>
      <c r="V95" s="17"/>
      <c r="W95" s="17"/>
      <c r="X95" s="17"/>
      <c r="Y95" s="3" t="n">
        <v>1.6021</v>
      </c>
      <c r="Z95" s="3" t="n">
        <v>903.7</v>
      </c>
      <c r="AL95" s="4" t="n">
        <v>0.00063</v>
      </c>
      <c r="AM95" s="1" t="n">
        <v>0</v>
      </c>
      <c r="AN95" s="1" t="n">
        <v>0</v>
      </c>
    </row>
    <row r="96" customFormat="false" ht="15" hidden="false" customHeight="false" outlineLevel="0" collapsed="false">
      <c r="A96" s="36"/>
      <c r="B96" s="37"/>
      <c r="C96" s="37"/>
      <c r="D96" s="37"/>
      <c r="E96" s="37"/>
      <c r="F96" s="37"/>
      <c r="G96" s="37"/>
      <c r="H96" s="38"/>
      <c r="I96" s="38"/>
      <c r="J96" s="38"/>
      <c r="K96" s="37"/>
      <c r="L96" s="24"/>
      <c r="M96" s="24"/>
      <c r="N96" s="25"/>
      <c r="O96" s="39"/>
      <c r="P96" s="38"/>
      <c r="Q96" s="1" t="n">
        <f aca="false">0.82*(0.001)</f>
        <v>0.00082</v>
      </c>
      <c r="R96" s="41"/>
      <c r="S96" s="40" t="n">
        <f aca="false">MAX(ABS(Q96-R96),ABS(Q97-R96),ABS(Q98-R96))</f>
        <v>0.00096</v>
      </c>
      <c r="T96" s="27"/>
      <c r="U96" s="27"/>
      <c r="V96" s="17"/>
      <c r="W96" s="17"/>
      <c r="X96" s="17"/>
      <c r="Y96" s="3" t="n">
        <v>1.6018</v>
      </c>
      <c r="Z96" s="3" t="n">
        <v>912.8</v>
      </c>
      <c r="AL96" s="21" t="n">
        <v>6.66667E-006</v>
      </c>
      <c r="AM96" s="1" t="n">
        <v>0.050757932</v>
      </c>
      <c r="AN96" s="1" t="n">
        <v>0.0007149</v>
      </c>
    </row>
    <row r="97" customFormat="false" ht="15" hidden="false" customHeight="false" outlineLevel="0" collapsed="false">
      <c r="A97" s="36"/>
      <c r="B97" s="37"/>
      <c r="C97" s="37"/>
      <c r="D97" s="37"/>
      <c r="E97" s="37"/>
      <c r="F97" s="37"/>
      <c r="G97" s="37"/>
      <c r="H97" s="38"/>
      <c r="I97" s="38" t="n">
        <v>224</v>
      </c>
      <c r="J97" s="38" t="n">
        <v>0</v>
      </c>
      <c r="K97" s="37" t="n">
        <f aca="false">$B$3-(I97+J97/60)*PI()/180</f>
        <v>0.872664625997165</v>
      </c>
      <c r="L97" s="24" t="n">
        <f aca="false">2/(SIN($B$2)*SIN($B$2))*(SIN(K97-$G$13+$B$2)+COS($B$2)*SIN($G$13))</f>
        <v>3.36361482081807</v>
      </c>
      <c r="M97" s="5" t="n">
        <f aca="false">1/(2*SQRT(N97))*(ABS((2*SIN($G$13)*COS($G$13)+L97)*(COS($B$2)*COS($G$13)-COS(K97-$G$13+$B$2)))*$H$13+ABS(L97*COS(K97-$G$13+$B$2))*$K$11)</f>
        <v>0.000487571261160623</v>
      </c>
      <c r="N97" s="25" t="n">
        <f aca="false">SQRT(SIN($G$13)*SIN($G$13) + (SIN(K97-$G$13+$B$2)  + COS($B$2)*SIN($G$13) )* (SIN(K97-$G$13+$B$2)  + COS($B$2)*SIN($G$13) )/(SIN($B$2)*SIN($B$2))   )</f>
        <v>1.60987699452228</v>
      </c>
      <c r="O97" s="39" t="n">
        <f aca="true">FORECAST(N97,OFFSET($Z$1:$Z$200,MATCH(N97,$Y$1:$Y$200,-1)-1,0,2),OFFSET($Y$1:$Y$200,MATCH(N97,$Y$1:$Y$200,-1)-1,0,2))</f>
        <v>689.206120509941</v>
      </c>
      <c r="P97" s="38"/>
      <c r="Q97" s="1" t="n">
        <f aca="false">0.96*(0.001)</f>
        <v>0.00096</v>
      </c>
      <c r="R97" s="41" t="n">
        <f aca="false">AVERAGE(Q97:Q99)</f>
        <v>0.000963333333333333</v>
      </c>
      <c r="S97" s="40" t="n">
        <f aca="false">MAX(ABS(Q97-R97),ABS(Q98-R97),ABS(Q99-R97))</f>
        <v>6.66666666666665E-006</v>
      </c>
      <c r="T97" s="27" t="n">
        <f aca="true">FORECAST((N97-M97),OFFSET($Z$1:$Z$200,MATCH((N97-M97),$Y$1:$Y$200,-1)-1,0,2),OFFSET($Y$1:$Y$200,MATCH((N97-M97),$Y$1:$Y$200,-1)-1,0,2))</f>
        <v>698.728843329578</v>
      </c>
      <c r="U97" s="27" t="n">
        <f aca="true">FORECAST((N97+M97),OFFSET($Z$1:$Z$200,MATCH((N97+M97),$Y$1:$Y$200,-1)-1,0,2),OFFSET($Y$1:$Y$200,MATCH((N97+M97),$Y$1:$Y$200,-1)-1,0,2))</f>
        <v>680.711835656127</v>
      </c>
      <c r="V97" s="17"/>
      <c r="W97" s="17"/>
      <c r="X97" s="17"/>
      <c r="Y97" s="3" t="n">
        <v>1.6016</v>
      </c>
      <c r="Z97" s="3" t="n">
        <v>922.2</v>
      </c>
      <c r="AL97" s="4" t="n">
        <v>0.00105</v>
      </c>
      <c r="AM97" s="1" t="n">
        <v>0</v>
      </c>
      <c r="AN97" s="1" t="n">
        <v>0</v>
      </c>
    </row>
    <row r="98" customFormat="false" ht="15" hidden="false" customHeight="false" outlineLevel="0" collapsed="false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24"/>
      <c r="M98" s="24"/>
      <c r="N98" s="25"/>
      <c r="O98" s="39"/>
      <c r="P98" s="38"/>
      <c r="Q98" s="1" t="n">
        <f aca="false">0.96*(0.001)</f>
        <v>0.00096</v>
      </c>
      <c r="R98" s="41"/>
      <c r="S98" s="40" t="n">
        <f aca="false">MAX(ABS(Q98-R98),ABS(Q99-R98),ABS(Q100-R98))</f>
        <v>0.00203</v>
      </c>
      <c r="T98" s="27"/>
      <c r="U98" s="27"/>
      <c r="V98" s="17"/>
      <c r="W98" s="17"/>
      <c r="X98" s="17"/>
      <c r="Y98" s="3" t="n">
        <v>1.6014</v>
      </c>
      <c r="Z98" s="3" t="n">
        <v>931.7</v>
      </c>
      <c r="AL98" s="4" t="n">
        <v>0.00105</v>
      </c>
      <c r="AM98" s="1" t="n">
        <v>0</v>
      </c>
      <c r="AN98" s="1" t="n">
        <v>0</v>
      </c>
    </row>
    <row r="99" customFormat="false" ht="15" hidden="false" customHeight="false" outlineLevel="0" collapsed="false">
      <c r="A99" s="36"/>
      <c r="B99" s="37"/>
      <c r="C99" s="37"/>
      <c r="D99" s="37"/>
      <c r="E99" s="37"/>
      <c r="F99" s="37"/>
      <c r="G99" s="37"/>
      <c r="H99" s="38"/>
      <c r="I99" s="38"/>
      <c r="J99" s="38"/>
      <c r="K99" s="37"/>
      <c r="L99" s="24"/>
      <c r="M99" s="24"/>
      <c r="N99" s="25"/>
      <c r="O99" s="39"/>
      <c r="P99" s="38"/>
      <c r="Q99" s="1" t="n">
        <f aca="false">0.97*(0.001)</f>
        <v>0.00097</v>
      </c>
      <c r="R99" s="41"/>
      <c r="S99" s="40" t="n">
        <f aca="false">MAX(ABS(Q99-R99),ABS(Q100-R99),ABS(Q101-R99))</f>
        <v>0.00203</v>
      </c>
      <c r="T99" s="27"/>
      <c r="U99" s="27"/>
      <c r="V99" s="17"/>
      <c r="W99" s="17"/>
      <c r="X99" s="17"/>
      <c r="Y99" s="3" t="n">
        <v>1.6011</v>
      </c>
      <c r="Z99" s="3" t="n">
        <v>941.5</v>
      </c>
      <c r="AL99" s="21" t="n">
        <v>1.66667E-005</v>
      </c>
      <c r="AM99" s="1" t="n">
        <v>0.114691895</v>
      </c>
      <c r="AN99" s="1" t="n">
        <v>0.001875802</v>
      </c>
    </row>
    <row r="100" customFormat="false" ht="15" hidden="false" customHeight="false" outlineLevel="0" collapsed="false">
      <c r="A100" s="36"/>
      <c r="B100" s="37"/>
      <c r="C100" s="37"/>
      <c r="D100" s="37"/>
      <c r="E100" s="37"/>
      <c r="F100" s="37"/>
      <c r="G100" s="37"/>
      <c r="H100" s="38"/>
      <c r="I100" s="38" t="n">
        <f aca="false">I91+1</f>
        <v>224</v>
      </c>
      <c r="J100" s="38" t="n">
        <v>23</v>
      </c>
      <c r="K100" s="37" t="n">
        <f aca="false">$B$3-(I100+J100/60)*PI()/180</f>
        <v>0.865974197197853</v>
      </c>
      <c r="L100" s="24" t="n">
        <f aca="false">2/(SIN($B$2)*SIN($B$2))*(SIN(K100-$G$13+$B$2)+COS($B$2)*SIN($G$13))</f>
        <v>3.35650307448133</v>
      </c>
      <c r="M100" s="5" t="n">
        <f aca="false">1/(2*SQRT(N100))*(ABS((2*SIN($G$13)*COS($G$13)+L100)*(COS($B$2)*COS($G$13)-COS(K100-$G$13+$B$2)))*$H$13+ABS(L100*COS(K100-$G$13+$B$2))*$K$11)</f>
        <v>0.000554375717322711</v>
      </c>
      <c r="N100" s="25" t="n">
        <f aca="false">SQRT(SIN($G$13)*SIN($G$13) + (SIN(K100-$G$13+$B$2)  + COS($B$2)*SIN($G$13) )* (SIN(K100-$G$13+$B$2)  + COS($B$2)*SIN($G$13) )/(SIN($B$2)*SIN($B$2))   )</f>
        <v>1.60709146594088</v>
      </c>
      <c r="O100" s="39" t="n">
        <f aca="true">FORECAST(N100,OFFSET($Z$1:$Z$200,MATCH(N100,$Y$1:$Y$200,-1)-1,0,2),OFFSET($Y$1:$Y$200,MATCH(N100,$Y$1:$Y$200,-1)-1,0,2))</f>
        <v>749.39322068487</v>
      </c>
      <c r="P100" s="38"/>
      <c r="Q100" s="1" t="n">
        <f aca="false">2.03*(0.001)</f>
        <v>0.00203</v>
      </c>
      <c r="R100" s="41" t="n">
        <f aca="false">AVERAGE(Q100:Q102)</f>
        <v>0.00203</v>
      </c>
      <c r="S100" s="40" t="n">
        <f aca="false">MAX(ABS(Q100-R100),ABS(Q101-R100),ABS(Q102-R100))</f>
        <v>1E-005</v>
      </c>
      <c r="T100" s="27" t="n">
        <f aca="true">FORECAST((N100-M100),OFFSET($Z$1:$Z$200,MATCH((N100-M100),$Y$1:$Y$200,-1)-1,0,2),OFFSET($Y$1:$Y$200,MATCH((N100-M100),$Y$1:$Y$200,-1)-1,0,2))</f>
        <v>762.958195528824</v>
      </c>
      <c r="U100" s="27" t="n">
        <f aca="true">FORECAST((N100+M100),OFFSET($Z$1:$Z$200,MATCH((N100+M100),$Y$1:$Y$200,-1)-1,0,2),OFFSET($Y$1:$Y$200,MATCH((N100+M100),$Y$1:$Y$200,-1)-1,0,2))</f>
        <v>736.762275228477</v>
      </c>
      <c r="V100" s="17"/>
      <c r="W100" s="17"/>
      <c r="X100" s="17"/>
      <c r="Y100" s="3" t="n">
        <v>1.6009</v>
      </c>
      <c r="Z100" s="3" t="n">
        <v>951.5</v>
      </c>
      <c r="AL100" s="4" t="n">
        <v>0.0018</v>
      </c>
      <c r="AM100" s="1" t="n">
        <v>0</v>
      </c>
      <c r="AN100" s="1" t="n">
        <v>0</v>
      </c>
    </row>
    <row r="101" customFormat="false" ht="15" hidden="false" customHeight="false" outlineLevel="0" collapsed="false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24"/>
      <c r="M101" s="24"/>
      <c r="N101" s="25"/>
      <c r="O101" s="39"/>
      <c r="P101" s="38"/>
      <c r="Q101" s="1" t="n">
        <f aca="false">2.02*(0.001)</f>
        <v>0.00202</v>
      </c>
      <c r="R101" s="41"/>
      <c r="S101" s="40" t="n">
        <f aca="false">MAX(ABS(Q101-R101),ABS(Q102-R101),ABS(Q103-R101))</f>
        <v>0.00297</v>
      </c>
      <c r="T101" s="27"/>
      <c r="U101" s="27"/>
      <c r="V101" s="17"/>
      <c r="W101" s="17"/>
      <c r="X101" s="17"/>
      <c r="Y101" s="3" t="n">
        <v>1.6007</v>
      </c>
      <c r="Z101" s="3" t="n">
        <v>961.8</v>
      </c>
      <c r="AL101" s="4" t="n">
        <v>0.00181</v>
      </c>
      <c r="AM101" s="1" t="n">
        <v>0</v>
      </c>
      <c r="AN101" s="1" t="n">
        <v>0</v>
      </c>
    </row>
    <row r="102" customFormat="false" ht="15" hidden="false" customHeight="false" outlineLevel="0" collapsed="false">
      <c r="A102" s="36"/>
      <c r="B102" s="37"/>
      <c r="C102" s="37"/>
      <c r="D102" s="37"/>
      <c r="E102" s="37"/>
      <c r="F102" s="37"/>
      <c r="G102" s="37"/>
      <c r="H102" s="38"/>
      <c r="I102" s="38"/>
      <c r="J102" s="38"/>
      <c r="K102" s="37"/>
      <c r="L102" s="24"/>
      <c r="M102" s="24"/>
      <c r="N102" s="25"/>
      <c r="O102" s="39"/>
      <c r="P102" s="38"/>
      <c r="Q102" s="1" t="n">
        <f aca="false">2.04*(0.001)</f>
        <v>0.00204</v>
      </c>
      <c r="R102" s="41"/>
      <c r="S102" s="40" t="n">
        <f aca="false">MAX(ABS(Q102-R102),ABS(Q103-R102),ABS(Q104-R102))</f>
        <v>0.003</v>
      </c>
      <c r="T102" s="27"/>
      <c r="U102" s="27"/>
      <c r="V102" s="17"/>
      <c r="W102" s="17"/>
      <c r="X102" s="17"/>
      <c r="Y102" s="3" t="n">
        <v>1.6004</v>
      </c>
      <c r="Z102" s="3" t="n">
        <v>972.3</v>
      </c>
      <c r="AL102" s="21" t="n">
        <v>3E-005</v>
      </c>
      <c r="AM102" s="1" t="n">
        <v>0.192136074</v>
      </c>
      <c r="AN102" s="1" t="n">
        <v>0.002042329</v>
      </c>
    </row>
    <row r="103" customFormat="false" ht="15" hidden="false" customHeight="false" outlineLevel="0" collapsed="false">
      <c r="A103" s="36"/>
      <c r="B103" s="37"/>
      <c r="C103" s="37"/>
      <c r="D103" s="37"/>
      <c r="E103" s="37"/>
      <c r="F103" s="37"/>
      <c r="G103" s="37"/>
      <c r="H103" s="38"/>
      <c r="I103" s="38" t="n">
        <f aca="false">I94+1</f>
        <v>224</v>
      </c>
      <c r="J103" s="38" t="n">
        <v>39</v>
      </c>
      <c r="K103" s="37" t="n">
        <f aca="false">$B$3-(I103+J103/60)*PI()/180</f>
        <v>0.861319985859201</v>
      </c>
      <c r="L103" s="24" t="n">
        <f aca="false">2/(SIN($B$2)*SIN($B$2))*(SIN(K103-$G$13+$B$2)+COS($B$2)*SIN($G$13))</f>
        <v>3.35149128237185</v>
      </c>
      <c r="M103" s="5" t="n">
        <f aca="false">1/(2*SQRT(N103))*(ABS((2*SIN($G$13)*COS($G$13)+L103)*(COS($B$2)*COS($G$13)-COS(K103-$G$13+$B$2)))*$H$13+ABS(L103*COS(K103-$G$13+$B$2))*$K$11)</f>
        <v>0.000600664992699269</v>
      </c>
      <c r="N103" s="25" t="n">
        <f aca="false">SQRT(SIN($G$13)*SIN($G$13) + (SIN(K103-$G$13+$B$2)  + COS($B$2)*SIN($G$13) )* (SIN(K103-$G$13+$B$2)  + COS($B$2)*SIN($G$13) )/(SIN($B$2)*SIN($B$2))   )</f>
        <v>1.60512909252721</v>
      </c>
      <c r="O103" s="39" t="n">
        <f aca="true">FORECAST(N103,OFFSET($Z$1:$Z$200,MATCH(N103,$Y$1:$Y$200,-1)-1,0,2),OFFSET($Y$1:$Y$200,MATCH(N103,$Y$1:$Y$200,-1)-1,0,2))</f>
        <v>801.150266892206</v>
      </c>
      <c r="P103" s="38"/>
      <c r="Q103" s="1" t="n">
        <f aca="false">2.97*(0.001)</f>
        <v>0.00297</v>
      </c>
      <c r="R103" s="41" t="n">
        <f aca="false">AVERAGE(Q103:Q105)</f>
        <v>0.00298333333333333</v>
      </c>
      <c r="S103" s="40" t="n">
        <f aca="false">MAX(ABS(Q103-R103),ABS(Q104-R103),ABS(Q105-R103))</f>
        <v>1.66666666666661E-005</v>
      </c>
      <c r="T103" s="27" t="n">
        <f aca="true">FORECAST((N103-M103),OFFSET($Z$1:$Z$200,MATCH((N103-M103),$Y$1:$Y$200,-1)-1,0,2),OFFSET($Y$1:$Y$200,MATCH((N103-M103),$Y$1:$Y$200,-1)-1,0,2))</f>
        <v>819.760548349803</v>
      </c>
      <c r="U103" s="27" t="n">
        <f aca="true">FORECAST((N103+M103),OFFSET($Z$1:$Z$200,MATCH((N103+M103),$Y$1:$Y$200,-1)-1,0,2),OFFSET($Y$1:$Y$200,MATCH((N103+M103),$Y$1:$Y$200,-1)-1,0,2))</f>
        <v>784.382880602789</v>
      </c>
      <c r="V103" s="17"/>
      <c r="W103" s="17"/>
      <c r="X103" s="17"/>
      <c r="Y103" s="3" t="n">
        <v>1.6002</v>
      </c>
      <c r="Z103" s="3" t="n">
        <v>983</v>
      </c>
      <c r="AL103" s="4" t="n">
        <v>0.00225</v>
      </c>
      <c r="AM103" s="1" t="n">
        <v>0</v>
      </c>
      <c r="AN103" s="1" t="n">
        <v>0</v>
      </c>
    </row>
    <row r="104" customFormat="false" ht="15" hidden="false" customHeight="false" outlineLevel="0" collapsed="false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24"/>
      <c r="M104" s="24"/>
      <c r="N104" s="25"/>
      <c r="O104" s="39"/>
      <c r="P104" s="38"/>
      <c r="Q104" s="1" t="n">
        <f aca="false">3*(0.001)</f>
        <v>0.003</v>
      </c>
      <c r="R104" s="41"/>
      <c r="S104" s="40" t="n">
        <f aca="false">MAX(ABS(Q104-R104),ABS(Q105-R104),ABS(Q106-R104))</f>
        <v>0.00355</v>
      </c>
      <c r="T104" s="27"/>
      <c r="U104" s="27"/>
      <c r="V104" s="17"/>
      <c r="W104" s="17"/>
      <c r="X104" s="17"/>
      <c r="Y104" s="3" t="n">
        <v>1.6</v>
      </c>
      <c r="Z104" s="3" t="n">
        <v>994</v>
      </c>
      <c r="AL104" s="4" t="n">
        <v>0.00225</v>
      </c>
      <c r="AM104" s="1" t="n">
        <v>0</v>
      </c>
      <c r="AN104" s="1" t="n">
        <v>0</v>
      </c>
    </row>
    <row r="105" customFormat="false" ht="15" hidden="false" customHeight="false" outlineLevel="0" collapsed="false">
      <c r="A105" s="36"/>
      <c r="B105" s="37"/>
      <c r="C105" s="37"/>
      <c r="D105" s="37"/>
      <c r="E105" s="37"/>
      <c r="F105" s="37"/>
      <c r="G105" s="37"/>
      <c r="H105" s="38"/>
      <c r="I105" s="38"/>
      <c r="J105" s="38"/>
      <c r="K105" s="37"/>
      <c r="L105" s="24"/>
      <c r="M105" s="24"/>
      <c r="N105" s="25"/>
      <c r="O105" s="39"/>
      <c r="P105" s="38"/>
      <c r="Q105" s="1" t="n">
        <f aca="false">2.98*(0.001)</f>
        <v>0.00298</v>
      </c>
      <c r="R105" s="41"/>
      <c r="S105" s="40" t="n">
        <f aca="false">MAX(ABS(Q105-R105),ABS(Q106-R105),ABS(Q107-R105))</f>
        <v>0.00362</v>
      </c>
      <c r="T105" s="27"/>
      <c r="U105" s="27"/>
      <c r="V105" s="17"/>
      <c r="W105" s="17"/>
      <c r="X105" s="17"/>
      <c r="Y105" s="3" t="n">
        <v>1.5997</v>
      </c>
      <c r="Z105" s="3" t="n">
        <v>1005.2</v>
      </c>
      <c r="AL105" s="21" t="n">
        <v>1.33333E-005</v>
      </c>
      <c r="AM105" s="1" t="n">
        <v>0.197904437</v>
      </c>
      <c r="AN105" s="1" t="n">
        <v>0.001413603</v>
      </c>
    </row>
    <row r="106" customFormat="false" ht="15" hidden="false" customHeight="false" outlineLevel="0" collapsed="false">
      <c r="A106" s="36"/>
      <c r="B106" s="37"/>
      <c r="C106" s="37"/>
      <c r="D106" s="37"/>
      <c r="E106" s="37"/>
      <c r="F106" s="37"/>
      <c r="G106" s="37"/>
      <c r="H106" s="38"/>
      <c r="I106" s="38" t="n">
        <f aca="false">I97+1</f>
        <v>225</v>
      </c>
      <c r="J106" s="38" t="n">
        <v>1</v>
      </c>
      <c r="K106" s="37" t="n">
        <f aca="false">$B$3-(I106+J106/60)*PI()/180</f>
        <v>0.854920445268556</v>
      </c>
      <c r="L106" s="24" t="n">
        <f aca="false">2/(SIN($B$2)*SIN($B$2))*(SIN(K106-$G$13+$B$2)+COS($B$2)*SIN($G$13))</f>
        <v>3.34451389297755</v>
      </c>
      <c r="M106" s="5" t="n">
        <f aca="false">1/(2*SQRT(N106))*(ABS((2*SIN($G$13)*COS($G$13)+L106)*(COS($B$2)*COS($G$13)-COS(K106-$G$13+$B$2)))*$H$13+ABS(L106*COS(K106-$G$13+$B$2))*$K$11)</f>
        <v>0.00066406344794011</v>
      </c>
      <c r="N106" s="25" t="n">
        <f aca="false">SQRT(SIN($G$13)*SIN($G$13) + (SIN(K106-$G$13+$B$2)  + COS($B$2)*SIN($G$13) )* (SIN(K106-$G$13+$B$2)  + COS($B$2)*SIN($G$13) )/(SIN($B$2)*SIN($B$2))   )</f>
        <v>1.60239797944268</v>
      </c>
      <c r="O106" s="39" t="n">
        <f aca="true">FORECAST(N106,OFFSET($Z$1:$Z$200,MATCH(N106,$Y$1:$Y$200,-1)-1,0,2),OFFSET($Y$1:$Y$200,MATCH(N106,$Y$1:$Y$200,-1)-1,0,2))</f>
        <v>890.537894243387</v>
      </c>
      <c r="P106" s="38"/>
      <c r="Q106" s="1" t="n">
        <f aca="false">3.55*(0.001)</f>
        <v>0.00355</v>
      </c>
      <c r="R106" s="41" t="n">
        <f aca="false">AVERAGE(Q106:Q108)</f>
        <v>0.00357333333333333</v>
      </c>
      <c r="S106" s="40" t="n">
        <f aca="false">MAX(ABS(Q106-R106),ABS(Q107-R106),ABS(Q108-R106))</f>
        <v>4.66666666666675E-005</v>
      </c>
      <c r="T106" s="27" t="n">
        <f aca="true">FORECAST((N106-M106),OFFSET($Z$1:$Z$200,MATCH((N106-M106),$Y$1:$Y$200,-1)-1,0,2),OFFSET($Y$1:$Y$200,MATCH((N106-M106),$Y$1:$Y$200,-1)-1,0,2))</f>
        <v>915.905948247178</v>
      </c>
      <c r="U106" s="27" t="n">
        <f aca="true">FORECAST((N106+M106),OFFSET($Z$1:$Z$200,MATCH((N106+M106),$Y$1:$Y$200,-1)-1,0,2),OFFSET($Y$1:$Y$200,MATCH((N106+M106),$Y$1:$Y$200,-1)-1,0,2))</f>
        <v>867.504160989694</v>
      </c>
      <c r="V106" s="17"/>
      <c r="W106" s="17"/>
      <c r="X106" s="17"/>
      <c r="Y106" s="3" t="n">
        <v>1.5995</v>
      </c>
      <c r="Z106" s="3" t="n">
        <v>1016.8</v>
      </c>
      <c r="AL106" s="4" t="n">
        <v>0.00287</v>
      </c>
      <c r="AM106" s="1" t="n">
        <v>0</v>
      </c>
      <c r="AN106" s="1" t="n">
        <v>0</v>
      </c>
    </row>
    <row r="107" customFormat="false" ht="15" hidden="false" customHeight="false" outlineLevel="0" collapsed="false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24"/>
      <c r="M107" s="24"/>
      <c r="N107" s="25"/>
      <c r="O107" s="39"/>
      <c r="P107" s="38"/>
      <c r="Q107" s="1" t="n">
        <f aca="false">3.62*(0.001)</f>
        <v>0.00362</v>
      </c>
      <c r="R107" s="41"/>
      <c r="S107" s="40" t="n">
        <f aca="false">MAX(ABS(Q107-R107),ABS(Q108-R107),ABS(Q109-R107))</f>
        <v>0.00556</v>
      </c>
      <c r="T107" s="27"/>
      <c r="U107" s="27"/>
      <c r="V107" s="17"/>
      <c r="W107" s="17"/>
      <c r="X107" s="17"/>
      <c r="Y107" s="3" t="n">
        <v>1.5993</v>
      </c>
      <c r="Z107" s="3" t="n">
        <v>1028.6</v>
      </c>
      <c r="AL107" s="4" t="n">
        <v>0.0029</v>
      </c>
      <c r="AM107" s="1" t="n">
        <v>0</v>
      </c>
      <c r="AN107" s="1" t="n">
        <v>0</v>
      </c>
    </row>
    <row r="108" customFormat="false" ht="15" hidden="false" customHeight="false" outlineLevel="0" collapsed="false">
      <c r="A108" s="36"/>
      <c r="B108" s="37"/>
      <c r="C108" s="37"/>
      <c r="D108" s="37"/>
      <c r="E108" s="37"/>
      <c r="F108" s="37"/>
      <c r="G108" s="37"/>
      <c r="H108" s="38"/>
      <c r="I108" s="38"/>
      <c r="J108" s="38"/>
      <c r="K108" s="37"/>
      <c r="L108" s="24"/>
      <c r="M108" s="24"/>
      <c r="N108" s="25"/>
      <c r="O108" s="39"/>
      <c r="P108" s="38"/>
      <c r="Q108" s="1" t="n">
        <f aca="false">3.55*(0.001)</f>
        <v>0.00355</v>
      </c>
      <c r="R108" s="41"/>
      <c r="S108" s="40" t="n">
        <f aca="false">MAX(ABS(Q108-R108),ABS(Q109-R108),ABS(Q110-R108))</f>
        <v>0.00556</v>
      </c>
      <c r="T108" s="27"/>
      <c r="U108" s="27"/>
      <c r="V108" s="17"/>
      <c r="W108" s="17"/>
      <c r="X108" s="17"/>
      <c r="Y108" s="3" t="n">
        <v>1.5991</v>
      </c>
      <c r="Z108" s="3" t="n">
        <v>1040.6</v>
      </c>
      <c r="AL108" s="21" t="n">
        <v>2.33333E-005</v>
      </c>
      <c r="AM108" s="1" t="n">
        <v>0.242683711</v>
      </c>
      <c r="AN108" s="1" t="n">
        <v>0.001911971</v>
      </c>
    </row>
    <row r="109" customFormat="false" ht="15" hidden="false" customHeight="false" outlineLevel="0" collapsed="false">
      <c r="A109" s="36"/>
      <c r="B109" s="37"/>
      <c r="C109" s="37"/>
      <c r="D109" s="37"/>
      <c r="E109" s="37"/>
      <c r="F109" s="37"/>
      <c r="G109" s="37"/>
      <c r="H109" s="38"/>
      <c r="I109" s="38" t="n">
        <f aca="false">I100+1</f>
        <v>225</v>
      </c>
      <c r="J109" s="38" t="n">
        <v>22</v>
      </c>
      <c r="K109" s="37" t="n">
        <f aca="false">$B$3-(I109+J109/60)*PI()/180</f>
        <v>0.848811792886576</v>
      </c>
      <c r="L109" s="24" t="n">
        <f aca="false">2/(SIN($B$2)*SIN($B$2))*(SIN(K109-$G$13+$B$2)+COS($B$2)*SIN($G$13))</f>
        <v>3.33776081449934</v>
      </c>
      <c r="M109" s="5" t="n">
        <f aca="false">1/(2*SQRT(N109))*(ABS((2*SIN($G$13)*COS($G$13)+L109)*(COS($B$2)*COS($G$13)-COS(K109-$G$13+$B$2)))*$H$13+ABS(L109*COS(K109-$G$13+$B$2))*$K$11)</f>
        <v>0.000724307132617958</v>
      </c>
      <c r="N109" s="42" t="n">
        <f aca="false">SQRT(SIN($G$13)*SIN($G$13) + (SIN(K109-$G$13+$B$2)  + COS($B$2)*SIN($G$13) )* (SIN(K109-$G$13+$B$2)  + COS($B$2)*SIN($G$13) )/(SIN($B$2)*SIN($B$2))   )</f>
        <v>1.59975566055832</v>
      </c>
      <c r="O109" s="39" t="n">
        <f aca="true">FORECAST(N109,OFFSET($Z$1:$Z$200,MATCH(N109,$Y$1:$Y$200,-1)-1,0,2),OFFSET($Y$1:$Y$200,MATCH(N109,$Y$1:$Y$200,-1)-1,0,2))</f>
        <v>1003.1220058227</v>
      </c>
      <c r="P109" s="38"/>
      <c r="Q109" s="1" t="n">
        <f aca="false">5.56*(0.001)</f>
        <v>0.00556</v>
      </c>
      <c r="R109" s="41" t="n">
        <f aca="false">AVERAGE(Q109:Q111)</f>
        <v>0.00542666666666667</v>
      </c>
      <c r="S109" s="40" t="n">
        <f aca="false">MAX(ABS(Q109-R109),ABS(Q110-R109),ABS(Q111-R109))</f>
        <v>0.000133333333333333</v>
      </c>
      <c r="T109" s="27" t="n">
        <f aca="true">FORECAST((N109-M109),OFFSET($Z$1:$Z$200,MATCH((N109-M109),$Y$1:$Y$200,-1)-1,0,2),OFFSET($Y$1:$Y$200,MATCH((N109-M109),$Y$1:$Y$200,-1)-1,0,2))</f>
        <v>1043.43739173762</v>
      </c>
      <c r="U109" s="27" t="n">
        <f aca="true">FORECAST((N109+M109),OFFSET($Z$1:$Z$200,MATCH((N109+M109),$Y$1:$Y$200,-1)-1,0,2),OFFSET($Y$1:$Y$200,MATCH((N109+M109),$Y$1:$Y$200,-1)-1,0,2))</f>
        <v>969.501130817159</v>
      </c>
      <c r="V109" s="17"/>
      <c r="W109" s="17"/>
      <c r="X109" s="17"/>
      <c r="Y109" s="3" t="n">
        <v>1.5988</v>
      </c>
      <c r="Z109" s="3" t="n">
        <v>1053</v>
      </c>
      <c r="AL109" s="4" t="n">
        <v>0.00307</v>
      </c>
      <c r="AM109" s="1" t="n">
        <v>0</v>
      </c>
      <c r="AN109" s="1" t="n">
        <v>0</v>
      </c>
    </row>
    <row r="110" customFormat="false" ht="15" hidden="false" customHeight="false" outlineLevel="0" collapsed="false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24"/>
      <c r="M110" s="24"/>
      <c r="N110" s="42"/>
      <c r="O110" s="39"/>
      <c r="P110" s="38"/>
      <c r="Q110" s="1" t="n">
        <f aca="false">5.36*(0.001)</f>
        <v>0.00536</v>
      </c>
      <c r="R110" s="41"/>
      <c r="S110" s="40" t="n">
        <f aca="false">MAX(ABS(Q110-R110),ABS(Q111-R110),ABS(Q112-R110))</f>
        <v>0.006</v>
      </c>
      <c r="T110" s="27"/>
      <c r="U110" s="27"/>
      <c r="V110" s="17"/>
      <c r="W110" s="17"/>
      <c r="X110" s="17"/>
      <c r="Y110" s="3" t="n">
        <v>1.5986</v>
      </c>
      <c r="Z110" s="3" t="n">
        <v>1065.7</v>
      </c>
      <c r="AL110" s="4" t="n">
        <v>0.00307</v>
      </c>
      <c r="AM110" s="1" t="n">
        <v>0</v>
      </c>
      <c r="AN110" s="1" t="n">
        <v>0</v>
      </c>
    </row>
    <row r="111" customFormat="false" ht="15" hidden="false" customHeight="false" outlineLevel="0" collapsed="false">
      <c r="A111" s="36"/>
      <c r="B111" s="37"/>
      <c r="C111" s="37"/>
      <c r="D111" s="37"/>
      <c r="E111" s="37"/>
      <c r="F111" s="37"/>
      <c r="G111" s="37"/>
      <c r="H111" s="38"/>
      <c r="I111" s="38"/>
      <c r="J111" s="38"/>
      <c r="K111" s="37"/>
      <c r="L111" s="24"/>
      <c r="M111" s="24"/>
      <c r="N111" s="42"/>
      <c r="O111" s="39"/>
      <c r="P111" s="38"/>
      <c r="Q111" s="1" t="n">
        <f aca="false">5.36*(0.001)</f>
        <v>0.00536</v>
      </c>
      <c r="R111" s="41"/>
      <c r="S111" s="40" t="n">
        <f aca="false">MAX(ABS(Q111-R111),ABS(Q112-R111),ABS(Q113-R111))</f>
        <v>0.006</v>
      </c>
      <c r="T111" s="27"/>
      <c r="U111" s="27"/>
      <c r="V111" s="17"/>
      <c r="W111" s="17"/>
      <c r="X111" s="17"/>
      <c r="Y111" s="3" t="n">
        <v>1.5984</v>
      </c>
      <c r="Z111" s="3" t="n">
        <v>1078.7</v>
      </c>
      <c r="AL111" s="21" t="n">
        <v>2.33333E-005</v>
      </c>
      <c r="AM111" s="1" t="n">
        <v>0.589474786</v>
      </c>
      <c r="AN111" s="1" t="n">
        <v>0.006299731</v>
      </c>
    </row>
    <row r="112" customFormat="false" ht="15" hidden="false" customHeight="false" outlineLevel="0" collapsed="false">
      <c r="A112" s="36"/>
      <c r="B112" s="37"/>
      <c r="C112" s="37"/>
      <c r="D112" s="37"/>
      <c r="E112" s="37"/>
      <c r="F112" s="37"/>
      <c r="G112" s="37"/>
      <c r="H112" s="38"/>
      <c r="I112" s="38" t="n">
        <f aca="false">I103+1</f>
        <v>225</v>
      </c>
      <c r="J112" s="38" t="n">
        <v>42</v>
      </c>
      <c r="K112" s="37" t="n">
        <f aca="false">$B$3-(I112+J112/60)*PI()/180</f>
        <v>0.842994028713261</v>
      </c>
      <c r="L112" s="24" t="n">
        <f aca="false">2/(SIN($B$2)*SIN($B$2))*(SIN(K112-$G$13+$B$2)+COS($B$2)*SIN($G$13))</f>
        <v>3.3312452360009</v>
      </c>
      <c r="M112" s="5" t="n">
        <f aca="false">1/(2*SQRT(N112))*(ABS((2*SIN($G$13)*COS($G$13)+L112)*(COS($B$2)*COS($G$13)-COS(K112-$G$13+$B$2)))*$H$13+ABS(L112*COS(K112-$G$13+$B$2))*$K$11)</f>
        <v>0.000781430530670616</v>
      </c>
      <c r="N112" s="42" t="n">
        <f aca="false">SQRT(SIN($G$13)*SIN($G$13) + (SIN(K112-$G$13+$B$2)  + COS($B$2)*SIN($G$13) )* (SIN(K112-$G$13+$B$2)  + COS($B$2)*SIN($G$13) )/(SIN($B$2)*SIN($B$2))   )</f>
        <v>1.59720720083777</v>
      </c>
      <c r="O112" s="39" t="n">
        <f aca="true">FORECAST(N112,OFFSET($Z$1:$Z$200,MATCH(N112,$Y$1:$Y$200,-1)-1,0,2),OFFSET($Y$1:$Y$200,MATCH(N112,$Y$1:$Y$200,-1)-1,0,2))</f>
        <v>1148.17073842387</v>
      </c>
      <c r="P112" s="38"/>
      <c r="Q112" s="1" t="n">
        <f aca="false">6*(0.001)</f>
        <v>0.006</v>
      </c>
      <c r="R112" s="41" t="n">
        <f aca="false">AVERAGE(Q112:Q114)</f>
        <v>0.00597666666666667</v>
      </c>
      <c r="S112" s="40" t="n">
        <f aca="false">MAX(ABS(Q112-R112),ABS(Q113-R112),ABS(Q114-R112))</f>
        <v>2.33333333333327E-005</v>
      </c>
      <c r="T112" s="27" t="n">
        <f aca="true">FORECAST((N112-M112),OFFSET($Z$1:$Z$200,MATCH((N112-M112),$Y$1:$Y$200,-1)-1,0,2),OFFSET($Y$1:$Y$200,MATCH((N112-M112),$Y$1:$Y$200,-1)-1,0,2))</f>
        <v>1201.01260512491</v>
      </c>
      <c r="U112" s="27" t="n">
        <f aca="true">FORECAST((N112+M112),OFFSET($Z$1:$Z$200,MATCH((N112+M112),$Y$1:$Y$200,-1)-1,0,2),OFFSET($Y$1:$Y$200,MATCH((N112+M112),$Y$1:$Y$200,-1)-1,0,2))</f>
        <v>1099.62875126179</v>
      </c>
      <c r="V112" s="17"/>
      <c r="W112" s="17"/>
      <c r="X112" s="17"/>
      <c r="Y112" s="3" t="n">
        <v>1.5981</v>
      </c>
      <c r="Z112" s="3" t="n">
        <v>1092</v>
      </c>
      <c r="AL112" s="4" t="n">
        <v>0.00346</v>
      </c>
      <c r="AM112" s="1" t="n">
        <v>0</v>
      </c>
      <c r="AN112" s="1" t="n">
        <v>0</v>
      </c>
    </row>
    <row r="113" customFormat="false" ht="15" hidden="false" customHeight="false" outlineLevel="0" collapsed="false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24"/>
      <c r="M113" s="24"/>
      <c r="N113" s="42"/>
      <c r="O113" s="39"/>
      <c r="P113" s="38"/>
      <c r="Q113" s="1" t="n">
        <f aca="false">5.96*(0.001)</f>
        <v>0.00596</v>
      </c>
      <c r="R113" s="41"/>
      <c r="S113" s="40" t="n">
        <f aca="false">MAX(ABS(Q113-R113),ABS(Q114-R113),ABS(Q115-R113))</f>
        <v>0.00597</v>
      </c>
      <c r="T113" s="27"/>
      <c r="U113" s="27"/>
      <c r="V113" s="17"/>
      <c r="W113" s="17"/>
      <c r="X113" s="17"/>
      <c r="Y113" s="3" t="n">
        <v>1.5979</v>
      </c>
      <c r="Z113" s="3" t="n">
        <v>1105.7</v>
      </c>
      <c r="AL113" s="4" t="n">
        <v>0.0035</v>
      </c>
      <c r="AM113" s="1" t="n">
        <v>0</v>
      </c>
      <c r="AN113" s="1" t="n">
        <v>0</v>
      </c>
    </row>
    <row r="114" customFormat="false" ht="15" hidden="false" customHeight="false" outlineLevel="0" collapsed="false">
      <c r="A114" s="36"/>
      <c r="B114" s="37"/>
      <c r="C114" s="37"/>
      <c r="D114" s="37"/>
      <c r="E114" s="37"/>
      <c r="F114" s="37"/>
      <c r="G114" s="37"/>
      <c r="H114" s="38"/>
      <c r="I114" s="38"/>
      <c r="J114" s="38"/>
      <c r="K114" s="37"/>
      <c r="L114" s="24"/>
      <c r="M114" s="24"/>
      <c r="N114" s="42"/>
      <c r="O114" s="39"/>
      <c r="P114" s="38"/>
      <c r="Q114" s="1" t="n">
        <f aca="false">5.97*(0.001)</f>
        <v>0.00597</v>
      </c>
      <c r="R114" s="41"/>
      <c r="S114" s="40" t="n">
        <f aca="false">MAX(ABS(Q114-R114),ABS(Q115-R114),ABS(Q116-R114))</f>
        <v>0.00597</v>
      </c>
      <c r="T114" s="27"/>
      <c r="U114" s="27"/>
      <c r="V114" s="17"/>
      <c r="W114" s="17"/>
      <c r="X114" s="17"/>
      <c r="Y114" s="3" t="n">
        <v>1.5977</v>
      </c>
      <c r="Z114" s="3" t="n">
        <v>1119.6</v>
      </c>
      <c r="AL114" s="21" t="n">
        <v>4.66667E-005</v>
      </c>
      <c r="AM114" s="1" t="n">
        <v>0.40073083</v>
      </c>
      <c r="AN114" s="1" t="n">
        <v>0.004380613</v>
      </c>
    </row>
    <row r="115" customFormat="false" ht="15" hidden="false" customHeight="false" outlineLevel="0" collapsed="false">
      <c r="A115" s="36"/>
      <c r="B115" s="37"/>
      <c r="C115" s="37"/>
      <c r="D115" s="37"/>
      <c r="E115" s="37"/>
      <c r="F115" s="37"/>
      <c r="G115" s="37"/>
      <c r="H115" s="38"/>
      <c r="I115" s="38" t="n">
        <f aca="false">I109+1</f>
        <v>226</v>
      </c>
      <c r="J115" s="38" t="n">
        <v>21</v>
      </c>
      <c r="K115" s="37" t="n">
        <f aca="false">$B$3-(I115+J115/60)*PI()/180</f>
        <v>0.831649388575299</v>
      </c>
      <c r="L115" s="24" t="n">
        <f aca="false">2/(SIN($B$2)*SIN($B$2))*(SIN(K115-$G$13+$B$2)+COS($B$2)*SIN($G$13))</f>
        <v>3.31830478286916</v>
      </c>
      <c r="M115" s="5" t="n">
        <f aca="false">1/(2*SQRT(N115))*(ABS((2*SIN($G$13)*COS($G$13)+L115)*(COS($B$2)*COS($G$13)-COS(K115-$G$13+$B$2)))*$H$13+ABS(L115*COS(K115-$G$13+$B$2))*$K$11)</f>
        <v>0.000892102527233561</v>
      </c>
      <c r="N115" s="42" t="n">
        <f aca="false">SQRT(SIN($G$13)*SIN($G$13) + (SIN(K115-$G$13+$B$2)  + COS($B$2)*SIN($G$13) )* (SIN(K115-$G$13+$B$2)  + COS($B$2)*SIN($G$13) )/(SIN($B$2)*SIN($B$2))   )</f>
        <v>1.59214848764628</v>
      </c>
      <c r="O115" s="39" t="n">
        <f aca="true">FORECAST(N115,OFFSET($Z$1:$Z$200,MATCH(N115,$Y$1:$Y$200,-1)-1,0,2),OFFSET($Y$1:$Y$200,MATCH(N115,$Y$1:$Y$200,-1)-1,0,2))</f>
        <v>1583.07236216068</v>
      </c>
      <c r="P115" s="38"/>
      <c r="Q115" s="1" t="n">
        <f aca="false">4.96*(0.001)</f>
        <v>0.00496</v>
      </c>
      <c r="R115" s="41" t="n">
        <f aca="false">AVERAGE(Q115:Q117)</f>
        <v>0.00496</v>
      </c>
      <c r="S115" s="40" t="n">
        <f aca="false">MAX(ABS(Q115-R115),ABS(Q116-R115),ABS(Q117-R115))</f>
        <v>9.99999999999959E-006</v>
      </c>
      <c r="T115" s="27" t="n">
        <f aca="true">FORECAST((N115-M115),OFFSET($Z$1:$Z$200,MATCH((N115-M115),$Y$1:$Y$200,-1)-1,0,2),OFFSET($Y$1:$Y$200,MATCH((N115-M115),$Y$1:$Y$200,-1)-1,0,2))</f>
        <v>1686.37851507964</v>
      </c>
      <c r="U115" s="27" t="n">
        <f aca="true">FORECAST((N115+M115),OFFSET($Z$1:$Z$200,MATCH((N115+M115),$Y$1:$Y$200,-1)-1,0,2),OFFSET($Y$1:$Y$200,MATCH((N115+M115),$Y$1:$Y$200,-1)-1,0,2))</f>
        <v>1484.23065461235</v>
      </c>
      <c r="V115" s="17"/>
      <c r="W115" s="17"/>
      <c r="X115" s="17"/>
      <c r="Y115" s="3" t="n">
        <v>1.5974</v>
      </c>
      <c r="Z115" s="3" t="n">
        <v>1134</v>
      </c>
      <c r="AL115" s="4" t="n">
        <v>0.00355</v>
      </c>
      <c r="AM115" s="1" t="n">
        <v>0</v>
      </c>
      <c r="AN115" s="1" t="n">
        <v>0</v>
      </c>
    </row>
    <row r="116" customFormat="false" ht="15" hidden="false" customHeight="false" outlineLevel="0" collapsed="false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24"/>
      <c r="M116" s="24"/>
      <c r="N116" s="42"/>
      <c r="O116" s="39"/>
      <c r="P116" s="38"/>
      <c r="Q116" s="1" t="n">
        <f aca="false">4.95*(0.001)</f>
        <v>0.00495</v>
      </c>
      <c r="R116" s="41"/>
      <c r="S116" s="40" t="n">
        <f aca="false">MAX(ABS(Q116-R116),ABS(Q117-R116),ABS(Q118-R116))</f>
        <v>0.00497</v>
      </c>
      <c r="T116" s="27"/>
      <c r="U116" s="27"/>
      <c r="V116" s="17"/>
      <c r="W116" s="17"/>
      <c r="X116" s="17"/>
      <c r="Y116" s="3" t="n">
        <v>1.5972</v>
      </c>
      <c r="Z116" s="3" t="n">
        <v>1148.7</v>
      </c>
      <c r="AL116" s="4" t="n">
        <v>0.00355</v>
      </c>
      <c r="AM116" s="1" t="n">
        <v>0</v>
      </c>
      <c r="AN116" s="1" t="n">
        <v>0</v>
      </c>
    </row>
    <row r="117" customFormat="false" ht="15" hidden="false" customHeight="false" outlineLevel="0" collapsed="false">
      <c r="A117" s="36"/>
      <c r="B117" s="37"/>
      <c r="C117" s="37"/>
      <c r="D117" s="37"/>
      <c r="E117" s="37"/>
      <c r="F117" s="37"/>
      <c r="G117" s="37"/>
      <c r="H117" s="38"/>
      <c r="I117" s="38"/>
      <c r="J117" s="38"/>
      <c r="K117" s="37"/>
      <c r="L117" s="24"/>
      <c r="M117" s="24"/>
      <c r="N117" s="42"/>
      <c r="O117" s="39"/>
      <c r="P117" s="38"/>
      <c r="Q117" s="1" t="n">
        <f aca="false">4.97*(0.001)</f>
        <v>0.00497</v>
      </c>
      <c r="R117" s="41"/>
      <c r="S117" s="40" t="n">
        <f aca="false">MAX(ABS(Q117-R117),ABS(Q118-R117),ABS(Q119-R117))</f>
        <v>0.00497</v>
      </c>
      <c r="T117" s="27"/>
      <c r="U117" s="27"/>
      <c r="V117" s="17"/>
      <c r="W117" s="17"/>
      <c r="X117" s="17"/>
      <c r="Y117" s="3" t="n">
        <v>1.597</v>
      </c>
      <c r="Z117" s="3" t="n">
        <v>1163.7</v>
      </c>
      <c r="AL117" s="21" t="n">
        <v>3E-005</v>
      </c>
      <c r="AM117" s="1" t="n">
        <v>0.379834101</v>
      </c>
      <c r="AN117" s="1" t="n">
        <v>0.00290393</v>
      </c>
    </row>
    <row r="118" customFormat="false" ht="15" hidden="false" customHeight="false" outlineLevel="0" collapsed="false">
      <c r="A118" s="36"/>
      <c r="B118" s="37"/>
      <c r="C118" s="37"/>
      <c r="D118" s="37"/>
      <c r="E118" s="37"/>
      <c r="F118" s="37"/>
      <c r="G118" s="37"/>
      <c r="H118" s="38"/>
      <c r="I118" s="38" t="n">
        <f aca="false">I112+1</f>
        <v>226</v>
      </c>
      <c r="J118" s="38" t="n">
        <v>40</v>
      </c>
      <c r="K118" s="37" t="n">
        <f aca="false">$B$3-(I118+J118/60)*PI()/180</f>
        <v>0.82612251261065</v>
      </c>
      <c r="L118" s="24" t="n">
        <f aca="false">2/(SIN($B$2)*SIN($B$2))*(SIN(K118-$G$13+$B$2)+COS($B$2)*SIN($G$13))</f>
        <v>3.31188827903757</v>
      </c>
      <c r="M118" s="5" t="n">
        <f aca="false">1/(2*SQRT(N118))*(ABS((2*SIN($G$13)*COS($G$13)+L118)*(COS($B$2)*COS($G$13)-COS(K118-$G$13+$B$2)))*$H$13+ABS(L118*COS(K118-$G$13+$B$2))*$K$11)</f>
        <v>0.000945669556183531</v>
      </c>
      <c r="N118" s="42" t="n">
        <f aca="false">SQRT(SIN($G$13)*SIN($G$13) + (SIN(K118-$G$13+$B$2)  + COS($B$2)*SIN($G$13) )* (SIN(K118-$G$13+$B$2)  + COS($B$2)*SIN($G$13) )/(SIN($B$2)*SIN($B$2))   )</f>
        <v>1.58964148729107</v>
      </c>
      <c r="O118" s="39" t="n">
        <f aca="true">FORECAST(N118,OFFSET($Z$1:$Z$200,MATCH(N118,$Y$1:$Y$200,-1)-1,0,2),OFFSET($Y$1:$Y$200,MATCH(N118,$Y$1:$Y$200,-1)-1,0,2))</f>
        <v>1914.61584993181</v>
      </c>
      <c r="P118" s="38"/>
      <c r="Q118" s="1" t="n">
        <f aca="false">3.76*(0.001)</f>
        <v>0.00376</v>
      </c>
      <c r="R118" s="41" t="n">
        <f aca="false">AVERAGE(Q118:Q120)</f>
        <v>0.00377666666666667</v>
      </c>
      <c r="S118" s="40" t="n">
        <f aca="false">MAX(ABS(Q118-R118),ABS(Q119-R118),ABS(Q120-R118))</f>
        <v>2.33333333333335E-005</v>
      </c>
      <c r="T118" s="27" t="n">
        <f aca="true">FORECAST((N118-M118),OFFSET($Z$1:$Z$200,MATCH((N118-M118),$Y$1:$Y$200,-1)-1,0,2),OFFSET($Y$1:$Y$200,MATCH((N118-M118),$Y$1:$Y$200,-1)-1,0,2))</f>
        <v>2066.29272641953</v>
      </c>
      <c r="U118" s="27" t="n">
        <f aca="true">FORECAST((N118+M118),OFFSET($Z$1:$Z$200,MATCH((N118+M118),$Y$1:$Y$200,-1)-1,0,2),OFFSET($Y$1:$Y$200,MATCH((N118+M118),$Y$1:$Y$200,-1)-1,0,2))</f>
        <v>1780.59848286238</v>
      </c>
      <c r="V118" s="17"/>
      <c r="W118" s="17"/>
      <c r="X118" s="17"/>
      <c r="Y118" s="3" t="n">
        <v>1.5967</v>
      </c>
      <c r="Z118" s="3" t="n">
        <v>1179.2</v>
      </c>
      <c r="AL118" s="4" t="n">
        <v>0.00354</v>
      </c>
      <c r="AM118" s="1" t="n">
        <v>0</v>
      </c>
      <c r="AN118" s="1" t="n">
        <v>0</v>
      </c>
    </row>
    <row r="119" customFormat="false" ht="15" hidden="false" customHeight="false" outlineLevel="0" collapsed="false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24"/>
      <c r="M119" s="24"/>
      <c r="N119" s="42"/>
      <c r="O119" s="39"/>
      <c r="P119" s="38"/>
      <c r="Q119" s="1" t="n">
        <f aca="false">3.8*(0.001)</f>
        <v>0.0038</v>
      </c>
      <c r="R119" s="41"/>
      <c r="S119" s="40" t="n">
        <f aca="false">MAX(ABS(Q119-R119),ABS(Q120-R119),ABS(Q121-R119))</f>
        <v>0.0038</v>
      </c>
      <c r="T119" s="27"/>
      <c r="U119" s="27"/>
      <c r="V119" s="17"/>
      <c r="W119" s="17"/>
      <c r="X119" s="17"/>
      <c r="Y119" s="3" t="n">
        <v>1.5965</v>
      </c>
      <c r="Z119" s="3" t="n">
        <v>1195</v>
      </c>
      <c r="AL119" s="4" t="n">
        <v>0.00354</v>
      </c>
      <c r="AM119" s="1" t="n">
        <v>0</v>
      </c>
      <c r="AN119" s="1" t="n">
        <v>0</v>
      </c>
    </row>
    <row r="120" customFormat="false" ht="15" hidden="false" customHeight="false" outlineLevel="0" collapsed="false">
      <c r="A120" s="36"/>
      <c r="B120" s="37"/>
      <c r="C120" s="37"/>
      <c r="D120" s="37"/>
      <c r="E120" s="37"/>
      <c r="F120" s="37"/>
      <c r="G120" s="37"/>
      <c r="H120" s="38"/>
      <c r="I120" s="38"/>
      <c r="J120" s="38"/>
      <c r="K120" s="37"/>
      <c r="L120" s="24"/>
      <c r="M120" s="24"/>
      <c r="N120" s="42"/>
      <c r="O120" s="39"/>
      <c r="P120" s="38"/>
      <c r="Q120" s="1" t="n">
        <f aca="false">3.77*(0.001)</f>
        <v>0.00377</v>
      </c>
      <c r="R120" s="41"/>
      <c r="S120" s="40" t="n">
        <f aca="false">MAX(ABS(Q120-R120),ABS(Q121-R120),ABS(Q122-R120))</f>
        <v>0.00377</v>
      </c>
      <c r="T120" s="27"/>
      <c r="U120" s="27"/>
      <c r="V120" s="17"/>
      <c r="W120" s="17"/>
      <c r="X120" s="17"/>
      <c r="Y120" s="3" t="n">
        <v>1.5963</v>
      </c>
      <c r="Z120" s="3" t="n">
        <v>1211.2</v>
      </c>
      <c r="AL120" s="21" t="n">
        <v>2E-005</v>
      </c>
      <c r="AM120" s="1" t="n">
        <v>1.143542777</v>
      </c>
      <c r="AN120" s="1" t="n">
        <v>0.010747582</v>
      </c>
    </row>
    <row r="121" customFormat="false" ht="15" hidden="false" customHeight="false" outlineLevel="0" collapsed="false">
      <c r="A121" s="36"/>
      <c r="B121" s="37"/>
      <c r="C121" s="37"/>
      <c r="D121" s="37"/>
      <c r="E121" s="37"/>
      <c r="F121" s="37"/>
      <c r="G121" s="37"/>
      <c r="H121" s="38"/>
      <c r="I121" s="38" t="n">
        <f aca="false">I115+1</f>
        <v>227</v>
      </c>
      <c r="J121" s="38" t="n">
        <v>24</v>
      </c>
      <c r="K121" s="37" t="n">
        <f aca="false">$B$3-(I121+J121/60)*PI()/180</f>
        <v>0.813323431429358</v>
      </c>
      <c r="L121" s="24" t="n">
        <f aca="false">2/(SIN($B$2)*SIN($B$2))*(SIN(K121-$G$13+$B$2)+COS($B$2)*SIN($G$13))</f>
        <v>3.2967481727774</v>
      </c>
      <c r="M121" s="5" t="n">
        <f aca="false">1/(2*SQRT(N121))*(ABS((2*SIN($G$13)*COS($G$13)+L121)*(COS($B$2)*COS($G$13)-COS(K121-$G$13+$B$2)))*$H$13+ABS(L121*COS(K121-$G$13+$B$2))*$K$11)</f>
        <v>0.00106881953139015</v>
      </c>
      <c r="N121" s="42" t="n">
        <f aca="false">SQRT(SIN($G$13)*SIN($G$13) + (SIN(K121-$G$13+$B$2)  + COS($B$2)*SIN($G$13) )* (SIN(K121-$G$13+$B$2)  + COS($B$2)*SIN($G$13) )/(SIN($B$2)*SIN($B$2))   )</f>
        <v>1.58372966750022</v>
      </c>
      <c r="O121" s="39" t="n">
        <f aca="true">FORECAST(N121,OFFSET($Z$1:$Z$200,MATCH(N121,$Y$1:$Y$200,-1)-1,0,2),OFFSET($Y$1:$Y$200,MATCH(N121,$Y$1:$Y$200,-1)-1,0,2))</f>
        <v>3291.1468932758</v>
      </c>
      <c r="P121" s="38"/>
      <c r="Q121" s="1" t="n">
        <f aca="false">1.42*(0.001)</f>
        <v>0.00142</v>
      </c>
      <c r="R121" s="41" t="n">
        <f aca="false">AVERAGE(Q121:Q123)</f>
        <v>0.00141333333333333</v>
      </c>
      <c r="S121" s="40" t="n">
        <f aca="false">MAX(ABS(Q121-R121),ABS(Q122-R121),ABS(Q123-R121))</f>
        <v>1.33333333333333E-005</v>
      </c>
      <c r="T121" s="27" t="n">
        <f aca="true">FORECAST((N121-M121),OFFSET($Z$1:$Z$200,MATCH((N121-M121),$Y$1:$Y$200,-1)-1,0,2),OFFSET($Y$1:$Y$200,MATCH((N121-M121),$Y$1:$Y$200,-1)-1,0,2))</f>
        <v>3705.40569449405</v>
      </c>
      <c r="U121" s="27" t="n">
        <f aca="true">FORECAST((N121+M121),OFFSET($Z$1:$Z$200,MATCH((N121+M121),$Y$1:$Y$200,-1)-1,0,2),OFFSET($Y$1:$Y$200,MATCH((N121+M121),$Y$1:$Y$200,-1)-1,0,2))</f>
        <v>2966.56970464186</v>
      </c>
      <c r="V121" s="17"/>
      <c r="W121" s="17"/>
      <c r="X121" s="17"/>
      <c r="Y121" s="3" t="n">
        <v>1.596</v>
      </c>
      <c r="Z121" s="3" t="n">
        <v>1227.9</v>
      </c>
      <c r="AL121" s="4" t="n">
        <v>0.00303</v>
      </c>
      <c r="AM121" s="1" t="n">
        <v>0</v>
      </c>
      <c r="AN121" s="1" t="n">
        <v>0</v>
      </c>
    </row>
    <row r="122" customFormat="false" ht="15" hidden="false" customHeight="false" outlineLevel="0" collapsed="false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24"/>
      <c r="M122" s="5"/>
      <c r="N122" s="42"/>
      <c r="O122" s="39"/>
      <c r="P122" s="38"/>
      <c r="Q122" s="1" t="n">
        <f aca="false">1.42*(0.001)</f>
        <v>0.00142</v>
      </c>
      <c r="R122" s="41"/>
      <c r="S122" s="40" t="n">
        <f aca="false">MAX(ABS(Q122-R122),ABS(Q123-R122),ABS(Q124-R122))</f>
        <v>0.00142</v>
      </c>
      <c r="T122" s="27"/>
      <c r="U122" s="27"/>
      <c r="V122" s="17"/>
      <c r="W122" s="17"/>
      <c r="X122" s="17"/>
      <c r="Y122" s="3" t="n">
        <v>1.5958</v>
      </c>
      <c r="Z122" s="3" t="n">
        <v>1245</v>
      </c>
      <c r="AL122" s="4" t="n">
        <v>0.00301</v>
      </c>
      <c r="AM122" s="1" t="n">
        <v>0</v>
      </c>
      <c r="AN122" s="1" t="n">
        <v>0</v>
      </c>
    </row>
    <row r="123" customFormat="false" ht="15" hidden="false" customHeight="false" outlineLevel="0" collapsed="false">
      <c r="A123" s="36"/>
      <c r="B123" s="37"/>
      <c r="C123" s="37"/>
      <c r="D123" s="37"/>
      <c r="E123" s="37"/>
      <c r="F123" s="37"/>
      <c r="G123" s="37"/>
      <c r="H123" s="38"/>
      <c r="I123" s="38"/>
      <c r="J123" s="38"/>
      <c r="K123" s="37"/>
      <c r="L123" s="24"/>
      <c r="M123" s="5"/>
      <c r="N123" s="42"/>
      <c r="O123" s="39"/>
      <c r="P123" s="38"/>
      <c r="Q123" s="1" t="n">
        <f aca="false">1.4*(0.001)</f>
        <v>0.0014</v>
      </c>
      <c r="R123" s="41"/>
      <c r="S123" s="40" t="n">
        <f aca="false">MAX(ABS(Q123-R123),ABS(Q124-R123),ABS(Q125-R123))</f>
        <v>0.0014</v>
      </c>
      <c r="T123" s="27"/>
      <c r="U123" s="27"/>
      <c r="V123" s="17"/>
      <c r="W123" s="17"/>
      <c r="X123" s="17"/>
      <c r="Y123" s="3" t="n">
        <v>1.5956</v>
      </c>
      <c r="Z123" s="3" t="n">
        <v>1262.5</v>
      </c>
      <c r="AL123" s="21" t="n">
        <v>3E-005</v>
      </c>
      <c r="AM123" s="1" t="n">
        <v>2.004023652</v>
      </c>
      <c r="AN123" s="1" t="n">
        <v>0.035679946</v>
      </c>
    </row>
    <row r="124" customFormat="false" ht="15" hidden="false" customHeight="false" outlineLevel="0" collapsed="false">
      <c r="A124" s="36"/>
      <c r="B124" s="37"/>
      <c r="C124" s="37"/>
      <c r="D124" s="37"/>
      <c r="E124" s="37"/>
      <c r="F124" s="37"/>
      <c r="G124" s="37"/>
      <c r="H124" s="38"/>
      <c r="I124" s="38" t="n">
        <f aca="false">I118+1</f>
        <v>227</v>
      </c>
      <c r="J124" s="38" t="n">
        <v>41</v>
      </c>
      <c r="K124" s="37" t="n">
        <f aca="false">$B$3-(I124+J124/60)*PI()/180</f>
        <v>0.808378331882041</v>
      </c>
      <c r="L124" s="24" t="n">
        <f aca="false">2/(SIN($B$2)*SIN($B$2))*(SIN(K124-$G$13+$B$2)+COS($B$2)*SIN($G$13))</f>
        <v>3.29079392916462</v>
      </c>
      <c r="M124" s="5" t="n">
        <f aca="false">1/(2*SQRT(N124))*(ABS((2*SIN($G$13)*COS($G$13)+L124)*(COS($B$2)*COS($G$13)-COS(K124-$G$13+$B$2)))*$H$13+ABS(L124*COS(K124-$G$13+$B$2))*$K$11)</f>
        <v>0.00111605789280535</v>
      </c>
      <c r="N124" s="42" t="n">
        <f aca="false">SQRT(SIN($G$13)*SIN($G$13) + (SIN(K124-$G$13+$B$2)  + COS($B$2)*SIN($G$13) )* (SIN(K124-$G$13+$B$2)  + COS($B$2)*SIN($G$13) )/(SIN($B$2)*SIN($B$2))   )</f>
        <v>1.58140608051965</v>
      </c>
      <c r="O124" s="39" t="n">
        <f aca="true">FORECAST(N124,OFFSET($Z$1:$Z$200,MATCH(N124,$Y$1:$Y$200,-1)-1,0,2),OFFSET($Y$1:$Y$200,MATCH(N124,$Y$1:$Y$200,-1)-1,0,2))</f>
        <v>4248.85020772843</v>
      </c>
      <c r="P124" s="38"/>
      <c r="Q124" s="1" t="n">
        <f aca="false">0.87*(0.001)</f>
        <v>0.00087</v>
      </c>
      <c r="R124" s="41" t="n">
        <f aca="false">AVERAGE(Q124:Q126)</f>
        <v>0.000853333333333333</v>
      </c>
      <c r="S124" s="40" t="n">
        <f aca="false">MAX(ABS(Q124-R124),ABS(Q125-R124),ABS(Q126-R124))</f>
        <v>1.66666666666666E-005</v>
      </c>
      <c r="T124" s="27" t="n">
        <f aca="true">FORECAST((N124-M124),OFFSET($Z$1:$Z$200,MATCH((N124-M124),$Y$1:$Y$200,-1)-1,0,2),OFFSET($Y$1:$Y$200,MATCH((N124-M124),$Y$1:$Y$200,-1)-1,0,2))</f>
        <v>4876.78438747527</v>
      </c>
      <c r="U124" s="27" t="n">
        <f aca="true">FORECAST((N124+M124),OFFSET($Z$1:$Z$200,MATCH((N124+M124),$Y$1:$Y$200,-1)-1,0,2),OFFSET($Y$1:$Y$200,MATCH((N124+M124),$Y$1:$Y$200,-1)-1,0,2))</f>
        <v>3771.19035440141</v>
      </c>
      <c r="V124" s="17"/>
      <c r="W124" s="17"/>
      <c r="X124" s="17"/>
      <c r="Y124" s="3" t="n">
        <v>1.5953</v>
      </c>
      <c r="Z124" s="3" t="n">
        <v>1280.5</v>
      </c>
      <c r="AL124" s="4" t="n">
        <v>0.00231</v>
      </c>
      <c r="AM124" s="1" t="n">
        <v>0</v>
      </c>
      <c r="AN124" s="1" t="n">
        <v>0</v>
      </c>
    </row>
    <row r="125" customFormat="false" ht="15" hidden="false" customHeight="false" outlineLevel="0" collapsed="false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24"/>
      <c r="M125" s="5"/>
      <c r="N125" s="42"/>
      <c r="O125" s="39"/>
      <c r="P125" s="38"/>
      <c r="Q125" s="1" t="n">
        <f aca="false">0.84*(0.001)</f>
        <v>0.00084</v>
      </c>
      <c r="R125" s="41"/>
      <c r="S125" s="40" t="n">
        <f aca="false">MAX(ABS(Q125-R125),ABS(Q126-R125),ABS(Q127-R125))</f>
        <v>0.00085</v>
      </c>
      <c r="T125" s="27"/>
      <c r="U125" s="27"/>
      <c r="V125" s="17"/>
      <c r="W125" s="17"/>
      <c r="X125" s="17"/>
      <c r="Y125" s="3" t="n">
        <v>1.5951</v>
      </c>
      <c r="Z125" s="3" t="n">
        <v>1299</v>
      </c>
      <c r="AL125" s="4" t="n">
        <v>0.0023</v>
      </c>
      <c r="AM125" s="1" t="n">
        <v>0</v>
      </c>
      <c r="AN125" s="1" t="n">
        <v>0</v>
      </c>
    </row>
    <row r="126" customFormat="false" ht="15" hidden="false" customHeight="false" outlineLevel="0" collapsed="false">
      <c r="A126" s="36"/>
      <c r="B126" s="37"/>
      <c r="C126" s="37"/>
      <c r="D126" s="37"/>
      <c r="E126" s="37"/>
      <c r="F126" s="37"/>
      <c r="G126" s="37"/>
      <c r="H126" s="38"/>
      <c r="I126" s="38"/>
      <c r="J126" s="38"/>
      <c r="K126" s="37"/>
      <c r="L126" s="24"/>
      <c r="M126" s="5"/>
      <c r="N126" s="42"/>
      <c r="O126" s="39"/>
      <c r="P126" s="38"/>
      <c r="Q126" s="1" t="n">
        <f aca="false">0.85*(0.001)</f>
        <v>0.00085</v>
      </c>
      <c r="R126" s="41"/>
      <c r="S126" s="40" t="n">
        <f aca="false">MAX(ABS(Q126-R126),ABS(Q127-R126),ABS(Q128-R126))</f>
        <v>0.00085</v>
      </c>
      <c r="T126" s="27"/>
      <c r="U126" s="27"/>
      <c r="V126" s="17"/>
      <c r="W126" s="17"/>
      <c r="X126" s="17"/>
      <c r="Y126" s="3" t="n">
        <v>1.5949</v>
      </c>
      <c r="Z126" s="3" t="n">
        <v>1317.9</v>
      </c>
      <c r="AL126" s="21" t="n">
        <v>3E-005</v>
      </c>
      <c r="AM126" s="1" t="n">
        <v>0.836936471</v>
      </c>
      <c r="AN126" s="1" t="n">
        <v>0.024471827</v>
      </c>
    </row>
    <row r="127" customFormat="false" ht="15" hidden="false" customHeight="false" outlineLevel="0" collapsed="false">
      <c r="A127" s="36"/>
      <c r="B127" s="37"/>
      <c r="C127" s="37"/>
      <c r="D127" s="37"/>
      <c r="E127" s="37"/>
      <c r="F127" s="37"/>
      <c r="G127" s="37"/>
      <c r="H127" s="38"/>
      <c r="I127" s="38" t="n">
        <f aca="false">I121+1</f>
        <v>228</v>
      </c>
      <c r="J127" s="38" t="n">
        <v>22</v>
      </c>
      <c r="K127" s="37" t="n">
        <f aca="false">$B$3-(I127+J127/60)*PI()/180</f>
        <v>0.796451915326745</v>
      </c>
      <c r="L127" s="24" t="n">
        <f aca="false">2/(SIN($B$2)*SIN($B$2))*(SIN(K127-$G$13+$B$2)+COS($B$2)*SIN($G$13))</f>
        <v>3.27619489734932</v>
      </c>
      <c r="M127" s="5" t="n">
        <f aca="false">1/(2*SQRT(N127))*(ABS((2*SIN($G$13)*COS($G$13)+L127)*(COS($B$2)*COS($G$13)-COS(K127-$G$13+$B$2)))*$H$13+ABS(L127*COS(K127-$G$13+$B$2))*$K$11)</f>
        <v>0.00122918442433596</v>
      </c>
      <c r="N127" s="42" t="n">
        <f aca="false">SQRT(SIN($G$13)*SIN($G$13) + (SIN(K127-$G$13+$B$2)  + COS($B$2)*SIN($G$13) )* (SIN(K127-$G$13+$B$2)  + COS($B$2)*SIN($G$13) )/(SIN($B$2)*SIN($B$2))   )</f>
        <v>1.57571229979582</v>
      </c>
      <c r="O127" s="39" t="e">
        <f aca="true">FORECAST(N127,OFFSET($Z$1:$Z$200,MATCH(N127,$Y$1:$Y$200,-1)-1,0,2),OFFSET($Y$1:$Y$200,MATCH(N127,$Y$1:$Y$200,-1)-1,0,2))</f>
        <v>#DIV/0!</v>
      </c>
      <c r="P127" s="38"/>
      <c r="Q127" s="1" t="n">
        <f aca="false">0.12*(0.001)</f>
        <v>0.00012</v>
      </c>
      <c r="R127" s="41" t="n">
        <f aca="false">AVERAGE(Q127:Q129)</f>
        <v>0.000133333333333333</v>
      </c>
      <c r="S127" s="40" t="n">
        <f aca="false">MAX(ABS(Q127-R127),ABS(Q128-R127),ABS(Q129-R127))</f>
        <v>1.33333333333333E-005</v>
      </c>
      <c r="T127" s="27" t="e">
        <f aca="true">FORECAST((N127-M127),OFFSET($Z$1:$Z$200,MATCH((N127-M127),$Y$1:$Y$200,-1)-1,0,2),OFFSET($Y$1:$Y$200,MATCH((N127-M127),$Y$1:$Y$200,-1)-1,0,2))</f>
        <v>#DIV/0!</v>
      </c>
      <c r="U127" s="27" t="e">
        <f aca="true">FORECAST((N127+M127),OFFSET($Z$1:$Z$200,MATCH((N127+M127),$Y$1:$Y$200,-1)-1,0,2),OFFSET($Y$1:$Y$200,MATCH((N127+M127),$Y$1:$Y$200,-1)-1,0,2))</f>
        <v>#DIV/0!</v>
      </c>
      <c r="V127" s="17"/>
      <c r="W127" s="17"/>
      <c r="X127" s="17"/>
      <c r="Y127" s="3" t="n">
        <v>1.5946</v>
      </c>
      <c r="Z127" s="3" t="n">
        <v>1337.4</v>
      </c>
      <c r="AL127" s="4" t="n">
        <v>0.00107</v>
      </c>
      <c r="AM127" s="1" t="n">
        <v>0</v>
      </c>
      <c r="AN127" s="1" t="n">
        <v>0</v>
      </c>
    </row>
    <row r="128" customFormat="false" ht="15" hidden="false" customHeight="false" outlineLevel="0" collapsed="false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24"/>
      <c r="M128" s="5"/>
      <c r="N128" s="42"/>
      <c r="O128" s="39"/>
      <c r="P128" s="38"/>
      <c r="Q128" s="1" t="n">
        <f aca="false">0.14*(0.001)</f>
        <v>0.00014</v>
      </c>
      <c r="R128" s="41"/>
      <c r="S128" s="40" t="n">
        <f aca="false">MAX(ABS(Q128-R128),ABS(Q129-R128),ABS(Q130-R128))</f>
        <v>0.00014</v>
      </c>
      <c r="T128" s="27"/>
      <c r="U128" s="27"/>
      <c r="V128" s="17"/>
      <c r="W128" s="17"/>
      <c r="X128" s="17"/>
      <c r="Y128" s="3" t="n">
        <v>1.5944</v>
      </c>
      <c r="Z128" s="3" t="n">
        <v>1357.4</v>
      </c>
      <c r="AL128" s="4" t="n">
        <v>0.00106</v>
      </c>
      <c r="AM128" s="1" t="n">
        <v>0</v>
      </c>
      <c r="AN128" s="1" t="n">
        <v>0</v>
      </c>
    </row>
    <row r="129" customFormat="false" ht="15" hidden="false" customHeight="false" outlineLevel="0" collapsed="false">
      <c r="A129" s="36"/>
      <c r="B129" s="37"/>
      <c r="C129" s="37"/>
      <c r="D129" s="37"/>
      <c r="E129" s="37"/>
      <c r="F129" s="37"/>
      <c r="G129" s="37"/>
      <c r="H129" s="38"/>
      <c r="I129" s="38"/>
      <c r="J129" s="38"/>
      <c r="K129" s="37"/>
      <c r="L129" s="24"/>
      <c r="M129" s="5"/>
      <c r="N129" s="42"/>
      <c r="O129" s="39"/>
      <c r="P129" s="38"/>
      <c r="Q129" s="1" t="n">
        <f aca="false">0.14*(0.001)</f>
        <v>0.00014</v>
      </c>
      <c r="R129" s="41"/>
      <c r="S129" s="40" t="n">
        <f aca="false">MAX(ABS(Q129-R129),ABS(Q130-R129),ABS(Q131-R129))</f>
        <v>0.00014</v>
      </c>
      <c r="T129" s="27"/>
      <c r="U129" s="27"/>
      <c r="V129" s="17"/>
      <c r="W129" s="17"/>
      <c r="X129" s="17"/>
      <c r="Y129" s="3" t="n">
        <v>1.5942</v>
      </c>
      <c r="Z129" s="3" t="n">
        <v>1377.9</v>
      </c>
      <c r="AL129" s="21" t="n">
        <v>2E-005</v>
      </c>
      <c r="AM129" s="1" t="e">
        <f aca="false">{nan}</f>
        <v>#N/A</v>
      </c>
      <c r="AN129" s="1" t="e">
        <f aca="false">{nan}</f>
        <v>#N/A</v>
      </c>
    </row>
    <row r="130" customFormat="false" ht="15" hidden="false" customHeight="false" outlineLevel="0" collapsed="false">
      <c r="A130" s="36"/>
      <c r="B130" s="37"/>
      <c r="C130" s="37"/>
      <c r="D130" s="37"/>
      <c r="E130" s="37"/>
      <c r="F130" s="37"/>
      <c r="G130" s="37"/>
      <c r="H130" s="38"/>
      <c r="I130" s="38" t="n">
        <f aca="false">I124+1</f>
        <v>228</v>
      </c>
      <c r="J130" s="38" t="n">
        <v>39</v>
      </c>
      <c r="K130" s="37" t="n">
        <f aca="false">$B$3-(I130+J130/60)*PI()/180</f>
        <v>0.791506815779429</v>
      </c>
      <c r="L130" s="24" t="n">
        <f aca="false">2/(SIN($B$2)*SIN($B$2))*(SIN(K130-$G$13+$B$2)+COS($B$2)*SIN($G$13))</f>
        <v>3.27004299811965</v>
      </c>
      <c r="M130" s="5" t="n">
        <f aca="false">1/(2*SQRT(N130))*(ABS((2*SIN($G$13)*COS($G$13)+L130)*(COS($B$2)*COS($G$13)-COS(K130-$G$13+$B$2)))*$H$13+ABS(L130*COS(K130-$G$13+$B$2))*$K$11)</f>
        <v>0.00127575337957087</v>
      </c>
      <c r="N130" s="42" t="n">
        <f aca="false">SQRT(SIN($G$13)*SIN($G$13) + (SIN(K130-$G$13+$B$2)  + COS($B$2)*SIN($G$13) )* (SIN(K130-$G$13+$B$2)  + COS($B$2)*SIN($G$13) )/(SIN($B$2)*SIN($B$2))   )</f>
        <v>1.57331442820655</v>
      </c>
      <c r="O130" s="39" t="e">
        <f aca="true">FORECAST(N130,OFFSET($Z$1:$Z$200,MATCH(N130,$Y$1:$Y$200,-1)-1,0,2),OFFSET($Y$1:$Y$200,MATCH(N130,$Y$1:$Y$200,-1)-1,0,2))</f>
        <v>#DIV/0!</v>
      </c>
      <c r="P130" s="38"/>
      <c r="Q130" s="1" t="n">
        <f aca="false">0.01*(0.001)</f>
        <v>1E-005</v>
      </c>
      <c r="R130" s="41" t="n">
        <f aca="false">AVERAGE(Q130:Q132)</f>
        <v>1.66666666666667E-005</v>
      </c>
      <c r="S130" s="40" t="n">
        <f aca="false">MAX(ABS(Q130-R130),ABS(Q131-R130),ABS(Q132-R130))</f>
        <v>6.66666666666667E-006</v>
      </c>
      <c r="T130" s="27" t="e">
        <f aca="true">FORECAST((N130-M130),OFFSET($Z$1:$Z$200,MATCH((N130-M130),$Y$1:$Y$200,-1)-1,0,2),OFFSET($Y$1:$Y$200,MATCH((N130-M130),$Y$1:$Y$200,-1)-1,0,2))</f>
        <v>#DIV/0!</v>
      </c>
      <c r="U130" s="27" t="e">
        <f aca="true">FORECAST((N130+M130),OFFSET($Z$1:$Z$200,MATCH((N130+M130),$Y$1:$Y$200,-1)-1,0,2),OFFSET($Y$1:$Y$200,MATCH((N130+M130),$Y$1:$Y$200,-1)-1,0,2))</f>
        <v>#DIV/0!</v>
      </c>
      <c r="V130" s="17"/>
      <c r="W130" s="17"/>
      <c r="X130" s="17"/>
      <c r="Y130" s="3" t="n">
        <v>1.5939</v>
      </c>
      <c r="Z130" s="3" t="n">
        <v>1398.9</v>
      </c>
      <c r="AL130" s="4" t="n">
        <v>0.00065</v>
      </c>
      <c r="AM130" s="1" t="n">
        <v>0</v>
      </c>
      <c r="AN130" s="1" t="n">
        <v>0</v>
      </c>
    </row>
    <row r="131" customFormat="false" ht="15" hidden="false" customHeight="false" outlineLevel="0" collapsed="false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24"/>
      <c r="M131" s="5"/>
      <c r="N131" s="42"/>
      <c r="O131" s="39"/>
      <c r="P131" s="38"/>
      <c r="Q131" s="1" t="n">
        <f aca="false">0.02*(0.001)</f>
        <v>2E-005</v>
      </c>
      <c r="R131" s="41"/>
      <c r="S131" s="40" t="n">
        <f aca="false">MAX(ABS(Q131-R131),ABS(Q132-R131),ABS(Q133-R131))</f>
        <v>0.00533</v>
      </c>
      <c r="T131" s="27"/>
      <c r="U131" s="27"/>
      <c r="V131" s="17"/>
      <c r="W131" s="17"/>
      <c r="X131" s="17"/>
      <c r="Y131" s="3" t="n">
        <v>1.5937</v>
      </c>
      <c r="Z131" s="3" t="n">
        <v>1420.5</v>
      </c>
      <c r="AL131" s="4" t="n">
        <v>0.00063</v>
      </c>
      <c r="AM131" s="1" t="n">
        <v>0</v>
      </c>
      <c r="AN131" s="1" t="n">
        <v>0</v>
      </c>
    </row>
    <row r="132" customFormat="false" ht="15" hidden="false" customHeight="false" outlineLevel="0" collapsed="false">
      <c r="A132" s="36"/>
      <c r="B132" s="37"/>
      <c r="C132" s="37"/>
      <c r="D132" s="37"/>
      <c r="E132" s="37"/>
      <c r="F132" s="37"/>
      <c r="G132" s="37"/>
      <c r="H132" s="38"/>
      <c r="I132" s="38"/>
      <c r="J132" s="38"/>
      <c r="K132" s="37"/>
      <c r="L132" s="24"/>
      <c r="M132" s="5"/>
      <c r="N132" s="42"/>
      <c r="O132" s="39"/>
      <c r="P132" s="38"/>
      <c r="Q132" s="1" t="n">
        <f aca="false">0.02*(0.001)</f>
        <v>2E-005</v>
      </c>
      <c r="R132" s="41"/>
      <c r="S132" s="40" t="n">
        <f aca="false">MAX(ABS(Q132-R132),ABS(Q133-R132),ABS(Q134-R132))</f>
        <v>0.00533</v>
      </c>
      <c r="T132" s="27"/>
      <c r="U132" s="27"/>
      <c r="V132" s="17"/>
      <c r="W132" s="17"/>
      <c r="X132" s="17"/>
      <c r="Y132" s="3" t="n">
        <v>1.5935</v>
      </c>
      <c r="Z132" s="3" t="n">
        <v>1442.7</v>
      </c>
      <c r="AL132" s="4" t="n">
        <v>1E-005</v>
      </c>
      <c r="AM132" s="1" t="e">
        <f aca="false">{nan}</f>
        <v>#N/A</v>
      </c>
      <c r="AN132" s="1" t="e">
        <f aca="false">{nan}</f>
        <v>#N/A</v>
      </c>
    </row>
    <row r="133" customFormat="false" ht="15" hidden="false" customHeight="false" outlineLevel="0" collapsed="false">
      <c r="A133" s="36"/>
      <c r="B133" s="37"/>
      <c r="C133" s="37"/>
      <c r="D133" s="37"/>
      <c r="E133" s="37"/>
      <c r="F133" s="37"/>
      <c r="G133" s="37"/>
      <c r="H133" s="43"/>
      <c r="I133" s="43" t="n">
        <v>225</v>
      </c>
      <c r="J133" s="43" t="n">
        <v>32</v>
      </c>
      <c r="K133" s="44" t="n">
        <f aca="false">$B$3-(I133+J133/60)*PI()/180</f>
        <v>0.845902910799918</v>
      </c>
      <c r="L133" s="24" t="n">
        <f aca="false">2/(SIN($B$2)*SIN($B$2))*(SIN(K133-$G$13+$B$2)+COS($B$2)*SIN($G$13))</f>
        <v>3.33451326414851</v>
      </c>
      <c r="M133" s="5" t="n">
        <f aca="false">1/(2*SQRT(N133))*(ABS((2*SIN($G$13)*COS($G$13)+L133)*(COS($B$2)*COS($G$13)-COS(K133-$G$13+$B$2)))*$H$13+ABS(L133*COS(K133-$G$13+$B$2))*$K$11)</f>
        <v>0.000752899723227727</v>
      </c>
      <c r="N133" s="42" t="n">
        <f aca="false">SQRT(SIN($G$13)*SIN($G$13) + (SIN(K133-$G$13+$B$2)  + COS($B$2)*SIN($G$13) )* (SIN(K133-$G$13+$B$2)  + COS($B$2)*SIN($G$13) )/(SIN($B$2)*SIN($B$2))   )</f>
        <v>1.59848532089247</v>
      </c>
      <c r="O133" s="39" t="n">
        <f aca="true">FORECAST(N133,OFFSET($Z$1:$Z$200,MATCH(N133,$Y$1:$Y$200,-1)-1,0,2),OFFSET($Y$1:$Y$200,MATCH(N133,$Y$1:$Y$200,-1)-1,0,2))</f>
        <v>1073.15414198927</v>
      </c>
      <c r="P133" s="43"/>
      <c r="Q133" s="1" t="n">
        <f aca="false">5.33*(0.001)</f>
        <v>0.00533</v>
      </c>
      <c r="R133" s="45" t="n">
        <f aca="false">AVERAGE(Q133:Q135)</f>
        <v>0.00177666666666667</v>
      </c>
      <c r="S133" s="46" t="n">
        <f aca="false">MAX(ABS(Q133-R133),ABS(Q134-R133),ABS(Q135-R133))</f>
        <v>0.00355333333333333</v>
      </c>
      <c r="T133" s="47" t="n">
        <f aca="true">FORECAST((N133-M133),OFFSET($Z$1:$Z$200,MATCH((N133-M133),$Y$1:$Y$200,-1)-1,0,2),OFFSET($Y$1:$Y$200,MATCH((N133-M133),$Y$1:$Y$200,-1)-1,0,2))</f>
        <v>1117.34672873746</v>
      </c>
      <c r="U133" s="47" t="n">
        <f aca="true">FORECAST((N133+M133),OFFSET($Z$1:$Z$200,MATCH((N133+M133),$Y$1:$Y$200,-1)-1,0,2),OFFSET($Y$1:$Y$200,MATCH((N133+M133),$Y$1:$Y$200,-1)-1,0,2))</f>
        <v>1032.30676305797</v>
      </c>
      <c r="V133" s="17"/>
      <c r="W133" s="17"/>
      <c r="X133" s="17"/>
      <c r="Y133" s="3" t="n">
        <v>1.5932</v>
      </c>
      <c r="Z133" s="3" t="n">
        <v>1465.5</v>
      </c>
      <c r="AL133" s="4" t="n">
        <v>0.00016</v>
      </c>
      <c r="AM133" s="1" t="n">
        <v>0</v>
      </c>
      <c r="AN133" s="1" t="n">
        <v>0</v>
      </c>
    </row>
    <row r="134" customFormat="false" ht="15" hidden="false" customHeight="false" outlineLevel="0" collapsed="false">
      <c r="A134" s="36"/>
      <c r="B134" s="37"/>
      <c r="C134" s="37"/>
      <c r="D134" s="37"/>
      <c r="E134" s="37"/>
      <c r="F134" s="37"/>
      <c r="G134" s="37"/>
      <c r="H134" s="43"/>
      <c r="I134" s="43"/>
      <c r="J134" s="43"/>
      <c r="K134" s="43"/>
      <c r="L134" s="24"/>
      <c r="M134" s="5"/>
      <c r="N134" s="42"/>
      <c r="O134" s="39"/>
      <c r="P134" s="43"/>
      <c r="Q134" s="1" t="n">
        <f aca="false">(0.001)*0</f>
        <v>0</v>
      </c>
      <c r="R134" s="45"/>
      <c r="S134" s="46" t="n">
        <f aca="false">MAX(ABS(Q134-R134),ABS(Q135-R134),ABS(Q136-R134))</f>
        <v>0.00542</v>
      </c>
      <c r="T134" s="47"/>
      <c r="U134" s="47"/>
      <c r="V134" s="17"/>
      <c r="W134" s="17"/>
      <c r="X134" s="17"/>
      <c r="Y134" s="3" t="n">
        <v>1.593</v>
      </c>
      <c r="Z134" s="3" t="n">
        <v>1489</v>
      </c>
      <c r="AL134" s="4" t="n">
        <v>0.00015</v>
      </c>
      <c r="AM134" s="1" t="n">
        <v>0</v>
      </c>
      <c r="AN134" s="1" t="n">
        <v>0</v>
      </c>
    </row>
    <row r="135" customFormat="false" ht="15" hidden="false" customHeight="false" outlineLevel="0" collapsed="false">
      <c r="A135" s="36"/>
      <c r="B135" s="37"/>
      <c r="C135" s="37"/>
      <c r="D135" s="37"/>
      <c r="E135" s="37"/>
      <c r="F135" s="37"/>
      <c r="G135" s="37"/>
      <c r="H135" s="43"/>
      <c r="I135" s="43"/>
      <c r="J135" s="43"/>
      <c r="K135" s="44"/>
      <c r="L135" s="24"/>
      <c r="M135" s="5"/>
      <c r="N135" s="42"/>
      <c r="O135" s="39"/>
      <c r="P135" s="43"/>
      <c r="Q135" s="1" t="n">
        <f aca="false">(0.001)*0</f>
        <v>0</v>
      </c>
      <c r="R135" s="45"/>
      <c r="S135" s="46" t="n">
        <f aca="false">MAX(ABS(Q135-R135),ABS(Q136-R135),ABS(Q137-R135))</f>
        <v>0.00542</v>
      </c>
      <c r="T135" s="47"/>
      <c r="U135" s="47"/>
      <c r="V135" s="17"/>
      <c r="W135" s="17"/>
      <c r="X135" s="17"/>
      <c r="Y135" s="3" t="n">
        <v>1.5928</v>
      </c>
      <c r="Z135" s="3" t="n">
        <v>1513.1</v>
      </c>
      <c r="AL135" s="4" t="n">
        <v>1E-005</v>
      </c>
      <c r="AM135" s="1" t="e">
        <f aca="false">{nan}</f>
        <v>#N/A</v>
      </c>
      <c r="AN135" s="1" t="e">
        <f aca="false">{nan}</f>
        <v>#N/A</v>
      </c>
    </row>
    <row r="136" customFormat="false" ht="15" hidden="false" customHeight="false" outlineLevel="0" collapsed="false">
      <c r="A136" s="36"/>
      <c r="B136" s="37"/>
      <c r="C136" s="37"/>
      <c r="D136" s="37"/>
      <c r="E136" s="37"/>
      <c r="F136" s="37"/>
      <c r="G136" s="37"/>
      <c r="H136" s="43"/>
      <c r="I136" s="43" t="n">
        <v>225</v>
      </c>
      <c r="J136" s="43" t="n">
        <v>37</v>
      </c>
      <c r="K136" s="44" t="n">
        <f aca="false">$B$3-(I136+J136/60)*PI()/180</f>
        <v>0.84444846975659</v>
      </c>
      <c r="L136" s="24" t="n">
        <f aca="false">2/(SIN($B$2)*SIN($B$2))*(SIN(K136-$G$13+$B$2)+COS($B$2)*SIN($G$13))</f>
        <v>3.33288180807507</v>
      </c>
      <c r="M136" s="5" t="n">
        <f aca="false">1/(2*SQRT(N136))*(ABS((2*SIN($G$13)*COS($G$13)+L136)*(COS($B$2)*COS($G$13)-COS(K136-$G$13+$B$2)))*$H$13+ABS(L136*COS(K136-$G$13+$B$2))*$K$11)</f>
        <v>0.00076717287591225</v>
      </c>
      <c r="N136" s="42" t="n">
        <f aca="false">SQRT(SIN($G$13)*SIN($G$13) + (SIN(K136-$G$13+$B$2)  + COS($B$2)*SIN($G$13) )* (SIN(K136-$G$13+$B$2)  + COS($B$2)*SIN($G$13) )/(SIN($B$2)*SIN($B$2))   )</f>
        <v>1.59784723243466</v>
      </c>
      <c r="O136" s="39" t="n">
        <f aca="true">FORECAST(N136,OFFSET($Z$1:$Z$200,MATCH(N136,$Y$1:$Y$200,-1)-1,0,2),OFFSET($Y$1:$Y$200,MATCH(N136,$Y$1:$Y$200,-1)-1,0,2))</f>
        <v>1109.36734579131</v>
      </c>
      <c r="P136" s="43"/>
      <c r="Q136" s="1" t="n">
        <f aca="false">5.42*(0.001)</f>
        <v>0.00542</v>
      </c>
      <c r="R136" s="45" t="n">
        <f aca="false">AVERAGE(Q136:Q138)</f>
        <v>0.00180666666666667</v>
      </c>
      <c r="S136" s="46" t="n">
        <f aca="false">MAX(ABS(Q136-R136),ABS(Q137-R136),ABS(Q138-R136))</f>
        <v>0.00361333333333333</v>
      </c>
      <c r="T136" s="47" t="n">
        <f aca="true">FORECAST((N136-M136),OFFSET($Z$1:$Z$200,MATCH((N136-M136),$Y$1:$Y$200,-1)-1,0,2),OFFSET($Y$1:$Y$200,MATCH((N136-M136),$Y$1:$Y$200,-1)-1,0,2))</f>
        <v>1157.69553309411</v>
      </c>
      <c r="U136" s="47" t="n">
        <f aca="true">FORECAST((N136+M136),OFFSET($Z$1:$Z$200,MATCH((N136+M136),$Y$1:$Y$200,-1)-1,0,2),OFFSET($Y$1:$Y$200,MATCH((N136+M136),$Y$1:$Y$200,-1)-1,0,2))</f>
        <v>1064.78526277884</v>
      </c>
      <c r="V136" s="17"/>
      <c r="W136" s="17"/>
      <c r="X136" s="17"/>
      <c r="Y136" s="3" t="n">
        <v>1.5925</v>
      </c>
      <c r="Z136" s="3" t="n">
        <v>1537.8</v>
      </c>
      <c r="AL136" s="4" t="n">
        <v>7E-005</v>
      </c>
      <c r="AM136" s="1" t="n">
        <v>0</v>
      </c>
      <c r="AN136" s="1" t="n">
        <v>0</v>
      </c>
    </row>
    <row r="137" customFormat="false" ht="15" hidden="false" customHeight="false" outlineLevel="0" collapsed="false">
      <c r="A137" s="36"/>
      <c r="B137" s="37"/>
      <c r="C137" s="37"/>
      <c r="D137" s="37"/>
      <c r="E137" s="37"/>
      <c r="F137" s="37"/>
      <c r="G137" s="37"/>
      <c r="H137" s="43"/>
      <c r="I137" s="43"/>
      <c r="J137" s="43"/>
      <c r="K137" s="43"/>
      <c r="L137" s="24"/>
      <c r="M137" s="5"/>
      <c r="N137" s="42"/>
      <c r="O137" s="39"/>
      <c r="P137" s="43"/>
      <c r="Q137" s="1" t="n">
        <f aca="false">(0.001)*0</f>
        <v>0</v>
      </c>
      <c r="R137" s="45"/>
      <c r="S137" s="46" t="n">
        <f aca="false">MAX(ABS(Q137-R137),ABS(Q138-R137),ABS(Q139-R137))</f>
        <v>0.00556</v>
      </c>
      <c r="T137" s="47"/>
      <c r="U137" s="47"/>
      <c r="V137" s="17"/>
      <c r="W137" s="17"/>
      <c r="X137" s="17"/>
      <c r="Y137" s="3" t="n">
        <v>1.5923</v>
      </c>
      <c r="Z137" s="3" t="n">
        <v>1563.3</v>
      </c>
      <c r="AL137" s="4" t="n">
        <v>7E-005</v>
      </c>
      <c r="AM137" s="1" t="n">
        <v>0</v>
      </c>
      <c r="AN137" s="1" t="n">
        <v>0</v>
      </c>
    </row>
    <row r="138" customFormat="false" ht="15" hidden="false" customHeight="false" outlineLevel="0" collapsed="false">
      <c r="A138" s="36"/>
      <c r="B138" s="37"/>
      <c r="C138" s="37"/>
      <c r="D138" s="37"/>
      <c r="E138" s="37"/>
      <c r="F138" s="37"/>
      <c r="G138" s="38"/>
      <c r="H138" s="43"/>
      <c r="I138" s="43"/>
      <c r="J138" s="43"/>
      <c r="K138" s="44"/>
      <c r="L138" s="24"/>
      <c r="M138" s="5"/>
      <c r="N138" s="42"/>
      <c r="O138" s="39"/>
      <c r="P138" s="43"/>
      <c r="Q138" s="1" t="n">
        <f aca="false">(0.001)*0</f>
        <v>0</v>
      </c>
      <c r="R138" s="45"/>
      <c r="S138" s="46" t="n">
        <f aca="false">MAX(ABS(Q138-R138),ABS(Q139-R138),ABS(Q140-R138))</f>
        <v>0.00556</v>
      </c>
      <c r="T138" s="47"/>
      <c r="U138" s="47"/>
      <c r="V138" s="17"/>
      <c r="W138" s="17"/>
      <c r="X138" s="17"/>
      <c r="Y138" s="3" t="n">
        <v>1.5921</v>
      </c>
      <c r="Z138" s="3" t="n">
        <v>1589.4</v>
      </c>
      <c r="AM138" s="1" t="n">
        <v>0</v>
      </c>
    </row>
    <row r="139" customFormat="false" ht="15" hidden="false" customHeight="false" outlineLevel="0" collapsed="false">
      <c r="A139" s="0"/>
      <c r="B139" s="0"/>
      <c r="C139" s="0"/>
      <c r="D139" s="0"/>
      <c r="E139" s="0"/>
      <c r="F139" s="0"/>
      <c r="G139" s="0"/>
      <c r="H139" s="43"/>
      <c r="I139" s="43" t="n">
        <v>225</v>
      </c>
      <c r="J139" s="43" t="n">
        <v>42</v>
      </c>
      <c r="K139" s="44" t="n">
        <f aca="false">$B$3-(I139+J139/60)*PI()/180</f>
        <v>0.842994028713261</v>
      </c>
      <c r="L139" s="24" t="n">
        <f aca="false">2/(SIN($B$2)*SIN($B$2))*(SIN(K139-$G$13+$B$2)+COS($B$2)*SIN($G$13))</f>
        <v>3.3312452360009</v>
      </c>
      <c r="M139" s="5" t="n">
        <f aca="false">1/(2*SQRT(N139))*(ABS((2*SIN($G$13)*COS($G$13)+L139)*(COS($B$2)*COS($G$13)-COS(K139-$G$13+$B$2)))*$H$13+ABS(L139*COS(K139-$G$13+$B$2))*$K$11)</f>
        <v>0.000781430530670616</v>
      </c>
      <c r="N139" s="42" t="n">
        <f aca="false">SQRT(SIN($G$13)*SIN($G$13) + (SIN(K139-$G$13+$B$2)  + COS($B$2)*SIN($G$13) )* (SIN(K139-$G$13+$B$2)  + COS($B$2)*SIN($G$13) )/(SIN($B$2)*SIN($B$2))   )</f>
        <v>1.59720720083777</v>
      </c>
      <c r="O139" s="39" t="n">
        <f aca="true">FORECAST(N139,OFFSET($Z$1:$Z$200,MATCH(N139,$Y$1:$Y$200,-1)-1,0,2),OFFSET($Y$1:$Y$200,MATCH(N139,$Y$1:$Y$200,-1)-1,0,2))</f>
        <v>1148.17073842387</v>
      </c>
      <c r="P139" s="43"/>
      <c r="Q139" s="1" t="n">
        <f aca="false">5.56*(0.001)</f>
        <v>0.00556</v>
      </c>
      <c r="R139" s="45" t="n">
        <f aca="false">AVERAGE(Q139:Q141)</f>
        <v>0.00185333333333333</v>
      </c>
      <c r="S139" s="46" t="n">
        <f aca="false">MAX(ABS(Q139-R139),ABS(Q140-R139),ABS(Q141-R139))</f>
        <v>0.00370666666666667</v>
      </c>
      <c r="T139" s="47" t="n">
        <f aca="true">FORECAST((N139-M139),OFFSET($Z$1:$Z$200,MATCH((N139-M139),$Y$1:$Y$200,-1)-1,0,2),OFFSET($Y$1:$Y$200,MATCH((N139-M139),$Y$1:$Y$200,-1)-1,0,2))</f>
        <v>1201.01260512491</v>
      </c>
      <c r="U139" s="47" t="n">
        <f aca="true">FORECAST((N139+M139),OFFSET($Z$1:$Z$200,MATCH((N139+M139),$Y$1:$Y$200,-1)-1,0,2),OFFSET($Y$1:$Y$200,MATCH((N139+M139),$Y$1:$Y$200,-1)-1,0,2))</f>
        <v>1099.62875126179</v>
      </c>
      <c r="V139" s="17"/>
      <c r="W139" s="17"/>
      <c r="X139" s="17"/>
      <c r="Y139" s="3" t="n">
        <v>1.5918</v>
      </c>
      <c r="Z139" s="3" t="n">
        <v>1616.3</v>
      </c>
    </row>
    <row r="140" customFormat="false" ht="15" hidden="false" customHeight="false" outlineLevel="0" collapsed="false">
      <c r="A140" s="0"/>
      <c r="B140" s="0"/>
      <c r="C140" s="0"/>
      <c r="D140" s="0"/>
      <c r="E140" s="0"/>
      <c r="F140" s="0"/>
      <c r="G140" s="0"/>
      <c r="H140" s="43"/>
      <c r="I140" s="43"/>
      <c r="J140" s="43"/>
      <c r="K140" s="43"/>
      <c r="L140" s="24"/>
      <c r="M140" s="5"/>
      <c r="N140" s="42"/>
      <c r="O140" s="39"/>
      <c r="P140" s="43"/>
      <c r="Q140" s="1" t="n">
        <f aca="false">(0.001)*0</f>
        <v>0</v>
      </c>
      <c r="R140" s="45"/>
      <c r="S140" s="46" t="n">
        <f aca="false">MAX(ABS(Q140-R140),ABS(Q141-R140),ABS(Q142-R140))</f>
        <v>0.0061</v>
      </c>
      <c r="T140" s="47"/>
      <c r="U140" s="47"/>
      <c r="V140" s="17"/>
      <c r="W140" s="17"/>
      <c r="X140" s="17"/>
      <c r="Y140" s="3" t="n">
        <v>1.5916</v>
      </c>
      <c r="Z140" s="3" t="n">
        <v>1643.9</v>
      </c>
    </row>
    <row r="141" customFormat="false" ht="15" hidden="false" customHeight="false" outlineLevel="0" collapsed="false">
      <c r="A141" s="0"/>
      <c r="B141" s="0"/>
      <c r="C141" s="0"/>
      <c r="D141" s="0"/>
      <c r="E141" s="0"/>
      <c r="F141" s="0"/>
      <c r="G141" s="0"/>
      <c r="H141" s="43"/>
      <c r="I141" s="43"/>
      <c r="J141" s="43"/>
      <c r="K141" s="44"/>
      <c r="L141" s="24"/>
      <c r="M141" s="5"/>
      <c r="N141" s="42"/>
      <c r="O141" s="39"/>
      <c r="P141" s="43"/>
      <c r="Q141" s="1" t="n">
        <f aca="false">(0.001)*0</f>
        <v>0</v>
      </c>
      <c r="R141" s="45"/>
      <c r="S141" s="46" t="n">
        <f aca="false">MAX(ABS(Q141-R141),ABS(Q142-R141),ABS(Q143-R141))</f>
        <v>0.0061</v>
      </c>
      <c r="T141" s="47"/>
      <c r="U141" s="47"/>
      <c r="V141" s="17"/>
      <c r="W141" s="17"/>
      <c r="X141" s="17"/>
      <c r="Y141" s="3" t="n">
        <v>1.5914</v>
      </c>
      <c r="Z141" s="3" t="n">
        <v>1672.4</v>
      </c>
    </row>
    <row r="142" customFormat="false" ht="15" hidden="false" customHeight="false" outlineLevel="0" collapsed="false">
      <c r="A142" s="0"/>
      <c r="B142" s="0"/>
      <c r="C142" s="0"/>
      <c r="D142" s="0"/>
      <c r="E142" s="0"/>
      <c r="F142" s="0"/>
      <c r="G142" s="0"/>
      <c r="H142" s="43"/>
      <c r="I142" s="43" t="n">
        <f aca="false">I136+1</f>
        <v>226</v>
      </c>
      <c r="J142" s="43" t="n">
        <v>0</v>
      </c>
      <c r="K142" s="44" t="n">
        <f aca="false">$B$3-(I142+J142/60)*PI()/180</f>
        <v>0.837758040957278</v>
      </c>
      <c r="L142" s="24" t="n">
        <f aca="false">2/(SIN($B$2)*SIN($B$2))*(SIN(K142-$G$13+$B$2)+COS($B$2)*SIN($G$13))</f>
        <v>3.32531126966524</v>
      </c>
      <c r="M142" s="5" t="n">
        <f aca="false">1/(2*SQRT(N142))*(ABS((2*SIN($G$13)*COS($G$13)+L142)*(COS($B$2)*COS($G$13)-COS(K142-$G$13+$B$2)))*$H$13+ABS(L142*COS(K142-$G$13+$B$2))*$K$11)</f>
        <v>0.000832628961235186</v>
      </c>
      <c r="N142" s="42" t="n">
        <f aca="false">SQRT(SIN($G$13)*SIN($G$13) + (SIN(K142-$G$13+$B$2)  + COS($B$2)*SIN($G$13) )* (SIN(K142-$G$13+$B$2)  + COS($B$2)*SIN($G$13) )/(SIN($B$2)*SIN($B$2))   )</f>
        <v>1.59488702836362</v>
      </c>
      <c r="O142" s="48" t="n">
        <f aca="true">FORECAST(N142,OFFSET($Z$1:$Z$200,MATCH(N142,$Y$1:$Y$200,-1)-1,0,2),OFFSET($Y$1:$Y$200,MATCH(N142,$Y$1:$Y$200,-1)-1,0,2))</f>
        <v>1318.74315636502</v>
      </c>
      <c r="P142" s="43"/>
      <c r="Q142" s="32" t="n">
        <f aca="false">6.1*(0.001)</f>
        <v>0.0061</v>
      </c>
      <c r="R142" s="45" t="n">
        <f aca="false">AVERAGE(Q142:Q144)</f>
        <v>0.00203333333333333</v>
      </c>
      <c r="S142" s="46" t="n">
        <f aca="false">MAX(ABS(Q142-R142),ABS(Q143-R142),ABS(Q144-R142))</f>
        <v>0.00406666666666667</v>
      </c>
      <c r="T142" s="47" t="n">
        <f aca="true">FORECAST((N142-M142),OFFSET($Z$1:$Z$200,MATCH((N142-M142),$Y$1:$Y$200,-1)-1,0,2),OFFSET($Y$1:$Y$200,MATCH((N142-M142),$Y$1:$Y$200,-1)-1,0,2))</f>
        <v>1388.09204183343</v>
      </c>
      <c r="U142" s="47" t="n">
        <f aca="true">FORECAST((N142+M142),OFFSET($Z$1:$Z$200,MATCH((N142+M142),$Y$1:$Y$200,-1)-1,0,2),OFFSET($Y$1:$Y$200,MATCH((N142+M142),$Y$1:$Y$200,-1)-1,0,2))</f>
        <v>1252.0299840756</v>
      </c>
      <c r="V142" s="0"/>
      <c r="W142" s="17"/>
      <c r="X142" s="0" t="n">
        <f aca="false">MAX(T142-O142,O142-U142)</f>
        <v>69.3488854684149</v>
      </c>
      <c r="Y142" s="3" t="n">
        <v>1.5911</v>
      </c>
      <c r="Z142" s="3" t="n">
        <v>1701.6</v>
      </c>
    </row>
    <row r="143" customFormat="false" ht="15" hidden="false" customHeight="false" outlineLevel="0" collapsed="false">
      <c r="A143" s="0"/>
      <c r="B143" s="0"/>
      <c r="C143" s="0"/>
      <c r="D143" s="0"/>
      <c r="E143" s="0"/>
      <c r="F143" s="0"/>
      <c r="G143" s="0"/>
      <c r="H143" s="43"/>
      <c r="I143" s="43"/>
      <c r="J143" s="43"/>
      <c r="K143" s="43"/>
      <c r="L143" s="24"/>
      <c r="M143" s="5"/>
      <c r="N143" s="42"/>
      <c r="O143" s="48"/>
      <c r="P143" s="43"/>
      <c r="Q143" s="32" t="n">
        <f aca="false">(0.001)*0</f>
        <v>0</v>
      </c>
      <c r="R143" s="45"/>
      <c r="S143" s="46" t="n">
        <f aca="false">MAX(ABS(Q143-R143),ABS(Q144-R143),ABS(Q145-R143))</f>
        <v>0.00596</v>
      </c>
      <c r="T143" s="47"/>
      <c r="U143" s="47"/>
      <c r="V143" s="17"/>
      <c r="W143" s="17"/>
      <c r="X143" s="17"/>
      <c r="Y143" s="3" t="n">
        <v>1.5909</v>
      </c>
      <c r="Z143" s="3" t="n">
        <v>1731.7</v>
      </c>
    </row>
    <row r="144" customFormat="false" ht="15" hidden="false" customHeight="false" outlineLevel="0" collapsed="false">
      <c r="A144" s="0"/>
      <c r="B144" s="0"/>
      <c r="C144" s="0"/>
      <c r="D144" s="0"/>
      <c r="E144" s="0"/>
      <c r="F144" s="0"/>
      <c r="G144" s="0"/>
      <c r="H144" s="43"/>
      <c r="I144" s="43"/>
      <c r="J144" s="43"/>
      <c r="K144" s="44"/>
      <c r="L144" s="24"/>
      <c r="M144" s="5"/>
      <c r="N144" s="42"/>
      <c r="O144" s="48"/>
      <c r="P144" s="43"/>
      <c r="Q144" s="32" t="n">
        <f aca="false">(0.001)*0</f>
        <v>0</v>
      </c>
      <c r="R144" s="45"/>
      <c r="S144" s="46" t="n">
        <f aca="false">MAX(ABS(Q144-R144),ABS(Q145-R144),ABS(Q146-R144))</f>
        <v>0.00596</v>
      </c>
      <c r="T144" s="47"/>
      <c r="U144" s="47"/>
      <c r="V144" s="17"/>
      <c r="W144" s="17"/>
      <c r="X144" s="17"/>
      <c r="Y144" s="3" t="n">
        <v>1.5907</v>
      </c>
      <c r="Z144" s="3" t="n">
        <v>1762.6</v>
      </c>
    </row>
    <row r="145" customFormat="false" ht="15" hidden="false" customHeight="false" outlineLevel="0" collapsed="false">
      <c r="A145" s="0"/>
      <c r="B145" s="0"/>
      <c r="C145" s="0"/>
      <c r="D145" s="0"/>
      <c r="E145" s="0"/>
      <c r="F145" s="0"/>
      <c r="G145" s="0"/>
      <c r="H145" s="43"/>
      <c r="I145" s="43" t="n">
        <f aca="false">I139+1</f>
        <v>226</v>
      </c>
      <c r="J145" s="43" t="n">
        <v>10</v>
      </c>
      <c r="K145" s="44" t="n">
        <f aca="false">$B$3-(I145+J145/60)*PI()/180</f>
        <v>0.834849158870621</v>
      </c>
      <c r="L145" s="24" t="n">
        <f aca="false">2/(SIN($B$2)*SIN($B$2))*(SIN(K145-$G$13+$B$2)+COS($B$2)*SIN($G$13))</f>
        <v>3.32198605135127</v>
      </c>
      <c r="M145" s="5" t="n">
        <f aca="false">1/(2*SQRT(N145))*(ABS((2*SIN($G$13)*COS($G$13)+L145)*(COS($B$2)*COS($G$13)-COS(K145-$G$13+$B$2)))*$H$13+ABS(L145*COS(K145-$G$13+$B$2))*$K$11)</f>
        <v>0.000860984562778785</v>
      </c>
      <c r="N145" s="42" t="n">
        <f aca="false">SQRT(SIN($G$13)*SIN($G$13) + (SIN(K145-$G$13+$B$2)  + COS($B$2)*SIN($G$13) )* (SIN(K145-$G$13+$B$2)  + COS($B$2)*SIN($G$13) )/(SIN($B$2)*SIN($B$2))   )</f>
        <v>1.59358720712716</v>
      </c>
      <c r="O145" s="39" t="n">
        <f aca="true">FORECAST(N145,OFFSET($Z$1:$Z$200,MATCH(N145,$Y$1:$Y$200,-1)-1,0,2),OFFSET($Y$1:$Y$200,MATCH(N145,$Y$1:$Y$200,-1)-1,0,2))</f>
        <v>1433.02000888531</v>
      </c>
      <c r="P145" s="43"/>
      <c r="Q145" s="1" t="n">
        <f aca="false">5.96*(0.001)</f>
        <v>0.00596</v>
      </c>
      <c r="R145" s="45" t="n">
        <f aca="false">AVERAGE(Q145:Q147)</f>
        <v>0.00198666666666667</v>
      </c>
      <c r="S145" s="46" t="n">
        <f aca="false">MAX(ABS(Q145-R145),ABS(Q146-R145),ABS(Q147-R145))</f>
        <v>0.00397333333333333</v>
      </c>
      <c r="T145" s="47" t="n">
        <f aca="true">FORECAST((N145-M145),OFFSET($Z$1:$Z$200,MATCH((N145-M145),$Y$1:$Y$200,-1)-1,0,2),OFFSET($Y$1:$Y$200,MATCH((N145-M145),$Y$1:$Y$200,-1)-1,0,2))</f>
        <v>1519.17434219932</v>
      </c>
      <c r="U145" s="47" t="n">
        <f aca="true">FORECAST((N145+M145),OFFSET($Z$1:$Z$200,MATCH((N145+M145),$Y$1:$Y$200,-1)-1,0,2),OFFSET($Y$1:$Y$200,MATCH((N145+M145),$Y$1:$Y$200,-1)-1,0,2))</f>
        <v>1352.5808310062</v>
      </c>
      <c r="V145" s="17"/>
      <c r="W145" s="17"/>
      <c r="X145" s="17"/>
      <c r="Y145" s="3" t="n">
        <v>1.5905</v>
      </c>
      <c r="Z145" s="3" t="n">
        <v>1794.5</v>
      </c>
    </row>
    <row r="146" customFormat="false" ht="15" hidden="false" customHeight="false" outlineLevel="0" collapsed="false">
      <c r="A146" s="0"/>
      <c r="B146" s="0"/>
      <c r="C146" s="0"/>
      <c r="D146" s="0"/>
      <c r="E146" s="0"/>
      <c r="F146" s="0"/>
      <c r="G146" s="0"/>
      <c r="H146" s="43"/>
      <c r="I146" s="43"/>
      <c r="J146" s="43"/>
      <c r="K146" s="43"/>
      <c r="L146" s="24"/>
      <c r="M146" s="5"/>
      <c r="N146" s="42"/>
      <c r="O146" s="39"/>
      <c r="P146" s="43"/>
      <c r="Q146" s="1" t="n">
        <f aca="false">(0.001)*0</f>
        <v>0</v>
      </c>
      <c r="R146" s="45"/>
      <c r="S146" s="46" t="n">
        <f aca="false">MAX(ABS(Q146-R146),ABS(Q147-R146),ABS(Q148-R146))</f>
        <v>0</v>
      </c>
      <c r="T146" s="47"/>
      <c r="U146" s="47"/>
      <c r="V146" s="17"/>
      <c r="W146" s="17"/>
      <c r="X146" s="17"/>
      <c r="Y146" s="3" t="n">
        <v>1.5902</v>
      </c>
      <c r="Z146" s="3" t="n">
        <v>1827.2</v>
      </c>
    </row>
    <row r="147" customFormat="false" ht="15" hidden="false" customHeight="false" outlineLevel="0" collapsed="false">
      <c r="A147" s="0"/>
      <c r="B147" s="0"/>
      <c r="C147" s="0"/>
      <c r="D147" s="0"/>
      <c r="E147" s="0"/>
      <c r="F147" s="0"/>
      <c r="G147" s="0"/>
      <c r="H147" s="43"/>
      <c r="I147" s="43"/>
      <c r="J147" s="43"/>
      <c r="K147" s="44"/>
      <c r="L147" s="24"/>
      <c r="M147" s="5"/>
      <c r="N147" s="42"/>
      <c r="O147" s="39"/>
      <c r="P147" s="43"/>
      <c r="Q147" s="1" t="n">
        <f aca="false">(0.001)*0</f>
        <v>0</v>
      </c>
      <c r="R147" s="45"/>
      <c r="S147" s="46" t="n">
        <f aca="false">MAX(ABS(Q147-R147),ABS(Q148-R147),ABS(Q149-R147))</f>
        <v>0</v>
      </c>
      <c r="T147" s="47"/>
      <c r="U147" s="47"/>
      <c r="V147" s="17"/>
      <c r="W147" s="17"/>
      <c r="X147" s="17"/>
      <c r="Y147" s="3" t="n">
        <v>1.59</v>
      </c>
      <c r="Z147" s="3" t="n">
        <v>1861</v>
      </c>
    </row>
    <row r="148" customFormat="false" ht="15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1" t="n">
        <f aca="false">(0.001)*0</f>
        <v>0</v>
      </c>
      <c r="R148" s="0"/>
      <c r="S148" s="34"/>
      <c r="T148" s="34"/>
      <c r="U148" s="34"/>
      <c r="V148" s="34"/>
      <c r="W148" s="34"/>
      <c r="X148" s="34"/>
      <c r="Y148" s="3" t="n">
        <v>1.5898</v>
      </c>
      <c r="Z148" s="3" t="n">
        <v>1895.7</v>
      </c>
    </row>
    <row r="149" customFormat="false" ht="15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 t="n">
        <f aca="false">2/60*PI()/180+C141</f>
        <v>0.000581776417331443</v>
      </c>
      <c r="L149" s="0"/>
      <c r="M149" s="0"/>
      <c r="N149" s="0"/>
      <c r="O149" s="0"/>
      <c r="P149" s="0"/>
      <c r="Q149" s="1" t="n">
        <f aca="false">(0.001)*0</f>
        <v>0</v>
      </c>
      <c r="R149" s="0"/>
      <c r="S149" s="34"/>
      <c r="T149" s="34"/>
      <c r="U149" s="34"/>
      <c r="V149" s="34"/>
      <c r="W149" s="34"/>
      <c r="X149" s="34"/>
      <c r="Y149" s="3" t="n">
        <v>1.5895</v>
      </c>
      <c r="Z149" s="3" t="n">
        <v>1931.5</v>
      </c>
    </row>
    <row r="150" customFormat="false" ht="15" hidden="false" customHeight="false" outlineLevel="0" collapsed="false">
      <c r="A150" s="11" t="s">
        <v>36</v>
      </c>
      <c r="B150" s="11" t="s">
        <v>18</v>
      </c>
      <c r="C150" s="11" t="s">
        <v>37</v>
      </c>
      <c r="D150" s="11" t="s">
        <v>38</v>
      </c>
      <c r="E150" s="11" t="s">
        <v>39</v>
      </c>
      <c r="F150" s="11" t="s">
        <v>5</v>
      </c>
      <c r="G150" s="11" t="s">
        <v>40</v>
      </c>
      <c r="H150" s="11" t="s">
        <v>41</v>
      </c>
      <c r="I150" s="11" t="s">
        <v>42</v>
      </c>
      <c r="J150" s="11" t="s">
        <v>43</v>
      </c>
      <c r="K150" s="11" t="s">
        <v>44</v>
      </c>
      <c r="L150" s="11" t="s">
        <v>57</v>
      </c>
      <c r="M150" s="11" t="s">
        <v>58</v>
      </c>
      <c r="N150" s="11" t="s">
        <v>47</v>
      </c>
      <c r="O150" s="11" t="s">
        <v>48</v>
      </c>
      <c r="P150" s="11" t="s">
        <v>49</v>
      </c>
      <c r="Q150" s="1" t="s">
        <v>36</v>
      </c>
      <c r="R150" s="11"/>
      <c r="S150" s="11" t="s">
        <v>50</v>
      </c>
      <c r="T150" s="11" t="s">
        <v>51</v>
      </c>
      <c r="U150" s="11" t="s">
        <v>52</v>
      </c>
      <c r="V150" s="35"/>
      <c r="W150" s="35"/>
      <c r="X150" s="35"/>
      <c r="Y150" s="3" t="n">
        <v>1.5893</v>
      </c>
      <c r="Z150" s="3" t="n">
        <v>1968.3</v>
      </c>
    </row>
    <row r="151" customFormat="false" ht="15" hidden="false" customHeight="false" outlineLevel="0" collapsed="false">
      <c r="A151" s="36" t="n">
        <v>5.97</v>
      </c>
      <c r="B151" s="37"/>
      <c r="C151" s="37"/>
      <c r="D151" s="37"/>
      <c r="E151" s="37"/>
      <c r="F151" s="37" t="n">
        <f aca="false">F79</f>
        <v>43.3</v>
      </c>
      <c r="G151" s="38" t="n">
        <f aca="false">F151*PI()/180</f>
        <v>0.755727566113545</v>
      </c>
      <c r="H151" s="38"/>
      <c r="I151" s="38" t="n">
        <v>222</v>
      </c>
      <c r="J151" s="38" t="n">
        <v>10</v>
      </c>
      <c r="K151" s="37" t="n">
        <f aca="false">$B$3-(I151+J151/60)*PI()/180</f>
        <v>0.904662328950395</v>
      </c>
      <c r="L151" s="24" t="n">
        <f aca="false">2/(SIN($B$2)*SIN($B$2))*(SIN(K151-$G$13+$B$2)+COS($B$2)*SIN($G$13))</f>
        <v>3.3961061566613</v>
      </c>
      <c r="M151" s="5" t="n">
        <f aca="false">1/(2*SQRT(N151))*(ABS((2*SIN($G$13)*COS($G$13)+L151)*(COS($B$2)*COS($G$13)-COS(K151-$G$13+$B$2)))*$H$13+ABS(L151*COS(K151-$G$13+$B$2))*$K$11)</f>
        <v>0.000163927688200223</v>
      </c>
      <c r="N151" s="25" t="n">
        <f aca="false">SQRT(SIN($G$13)*SIN($G$13) + (SIN(K151-$G$13+$B$2)  + COS($B$2)*SIN($G$13) )* (SIN(K151-$G$13+$B$2)  + COS($B$2)*SIN($G$13) )/(SIN($B$2)*SIN($B$2))   )</f>
        <v>1.62261671562731</v>
      </c>
      <c r="O151" s="49" t="n">
        <f aca="true">FORECAST(N151,OFFSET($Z$1:$Z$200,MATCH(N151,$Y$1:$Y$200,-1)-1,0,2),OFFSET($Y$1:$Y$200,MATCH(N151,$Y$1:$Y$200,-1)-1,0,2))</f>
        <v>528.682990608812</v>
      </c>
      <c r="P151" s="38"/>
      <c r="Q151" s="1" t="n">
        <f aca="false">0.02*(0.001)</f>
        <v>2E-005</v>
      </c>
      <c r="R151" s="38" t="n">
        <f aca="false">AVERAGE(Q151:Q153)</f>
        <v>1.33333333333333E-005</v>
      </c>
      <c r="S151" s="40" t="n">
        <f aca="false">MAX(ABS(Q151-R151),ABS(Q152-R151),ABS(Q153-R151))</f>
        <v>6.66666666666667E-006</v>
      </c>
      <c r="T151" s="13"/>
      <c r="U151" s="13"/>
      <c r="V151" s="17"/>
      <c r="W151" s="17"/>
      <c r="X151" s="17"/>
      <c r="Y151" s="3" t="n">
        <v>1.5891</v>
      </c>
      <c r="Z151" s="3" t="n">
        <v>2006.2</v>
      </c>
    </row>
    <row r="152" customFormat="false" ht="15" hidden="false" customHeight="false" outlineLevel="0" collapsed="false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24"/>
      <c r="M152" s="24"/>
      <c r="N152" s="25"/>
      <c r="O152" s="49"/>
      <c r="P152" s="38"/>
      <c r="Q152" s="1" t="n">
        <f aca="false">0.01*(0.001)</f>
        <v>1E-005</v>
      </c>
      <c r="R152" s="38"/>
      <c r="S152" s="40" t="n">
        <f aca="false">MAX(ABS(Q152-R152),ABS(Q153-R152),ABS(Q154-R152))</f>
        <v>7E-005</v>
      </c>
      <c r="T152" s="13"/>
      <c r="U152" s="13"/>
      <c r="V152" s="17"/>
      <c r="W152" s="17"/>
      <c r="X152" s="17"/>
      <c r="Y152" s="3" t="n">
        <v>1.5888</v>
      </c>
      <c r="Z152" s="3" t="n">
        <v>2045.3</v>
      </c>
    </row>
    <row r="153" customFormat="false" ht="15" hidden="false" customHeight="false" outlineLevel="0" collapsed="false">
      <c r="A153" s="36"/>
      <c r="B153" s="37"/>
      <c r="C153" s="37"/>
      <c r="D153" s="37"/>
      <c r="E153" s="37"/>
      <c r="F153" s="37"/>
      <c r="G153" s="37"/>
      <c r="H153" s="38"/>
      <c r="I153" s="38"/>
      <c r="J153" s="38"/>
      <c r="K153" s="37"/>
      <c r="L153" s="24"/>
      <c r="M153" s="24"/>
      <c r="N153" s="25"/>
      <c r="O153" s="49"/>
      <c r="P153" s="38"/>
      <c r="Q153" s="1" t="n">
        <f aca="false">0.01*(0.001)</f>
        <v>1E-005</v>
      </c>
      <c r="R153" s="38"/>
      <c r="S153" s="40" t="n">
        <f aca="false">MAX(ABS(Q153-R153),ABS(Q154-R153),ABS(Q155-R153))</f>
        <v>7E-005</v>
      </c>
      <c r="T153" s="0"/>
      <c r="U153" s="0"/>
      <c r="V153" s="17"/>
      <c r="W153" s="17"/>
      <c r="X153" s="17"/>
      <c r="Y153" s="3" t="n">
        <v>1.5886</v>
      </c>
      <c r="Z153" s="3" t="n">
        <v>2085.6</v>
      </c>
    </row>
    <row r="154" customFormat="false" ht="15" hidden="false" customHeight="false" outlineLevel="0" collapsed="false">
      <c r="A154" s="36"/>
      <c r="B154" s="37"/>
      <c r="C154" s="37"/>
      <c r="D154" s="37"/>
      <c r="E154" s="37"/>
      <c r="F154" s="37"/>
      <c r="G154" s="37"/>
      <c r="H154" s="38"/>
      <c r="I154" s="38" t="n">
        <v>222</v>
      </c>
      <c r="J154" s="38" t="n">
        <v>41</v>
      </c>
      <c r="K154" s="37" t="n">
        <f aca="false">$B$3-(I154+J154/60)*PI()/180</f>
        <v>0.895644794481757</v>
      </c>
      <c r="L154" s="24" t="n">
        <f aca="false">2/(SIN($B$2)*SIN($B$2))*(SIN(K154-$G$13+$B$2)+COS($B$2)*SIN($G$13))</f>
        <v>3.38720522784688</v>
      </c>
      <c r="M154" s="5" t="n">
        <f aca="false">1/(2*SQRT(N154))*(ABS((2*SIN($G$13)*COS($G$13)+L154)*(COS($B$2)*COS($G$13)-COS(K154-$G$13+$B$2)))*$H$13+ABS(L154*COS(K154-$G$13+$B$2))*$K$11)</f>
        <v>0.000255812052842476</v>
      </c>
      <c r="N154" s="25" t="n">
        <f aca="false">SQRT(SIN($G$13)*SIN($G$13) + (SIN(K154-$G$13+$B$2)  + COS($B$2)*SIN($G$13) )* (SIN(K154-$G$13+$B$2)  + COS($B$2)*SIN($G$13) )/(SIN($B$2)*SIN($B$2))   )</f>
        <v>1.61912450837737</v>
      </c>
      <c r="O154" s="49" t="n">
        <f aca="true">FORECAST(N154,OFFSET($Z$1:$Z$200,MATCH(N154,$Y$1:$Y$200,-1)-1,0,2),OFFSET($Y$1:$Y$200,MATCH(N154,$Y$1:$Y$200,-1)-1,0,2))</f>
        <v>561.705899471584</v>
      </c>
      <c r="P154" s="38"/>
      <c r="Q154" s="1" t="n">
        <f aca="false">0.07*(0.001)</f>
        <v>7E-005</v>
      </c>
      <c r="R154" s="38" t="n">
        <f aca="false">AVERAGE(Q154:Q156)</f>
        <v>4.66666666666667E-005</v>
      </c>
      <c r="S154" s="40" t="n">
        <f aca="false">MAX(ABS(Q154-R154),ABS(Q155-R154),ABS(Q156-R154))</f>
        <v>2.33333333333333E-005</v>
      </c>
      <c r="T154" s="27" t="n">
        <f aca="true">FORECAST((N154-M154),OFFSET($Z$1:$Z$200,MATCH((N154-M154),$Y$1:$Y$200,-1)-1,0,2),OFFSET($Y$1:$Y$200,MATCH((N154-M154),$Y$1:$Y$200,-1)-1,0,2))</f>
        <v>564.250429403797</v>
      </c>
      <c r="U154" s="27" t="n">
        <f aca="true">FORECAST((N154+M154),OFFSET($Z$1:$Z$200,MATCH((N154+M154),$Y$1:$Y$200,-1)-1,0,2),OFFSET($Y$1:$Y$200,MATCH((N154+M154),$Y$1:$Y$200,-1)-1,0,2))</f>
        <v>559.357436558317</v>
      </c>
      <c r="V154" s="17"/>
      <c r="W154" s="17"/>
      <c r="X154" s="17"/>
      <c r="Y154" s="3" t="n">
        <v>1.5884</v>
      </c>
      <c r="Z154" s="3" t="n">
        <v>2127.1</v>
      </c>
    </row>
    <row r="155" customFormat="false" ht="15" hidden="false" customHeight="false" outlineLevel="0" collapsed="false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24"/>
      <c r="M155" s="24"/>
      <c r="N155" s="25"/>
      <c r="O155" s="49"/>
      <c r="P155" s="38"/>
      <c r="Q155" s="1" t="n">
        <f aca="false">0.03*(0.001)</f>
        <v>3E-005</v>
      </c>
      <c r="R155" s="38"/>
      <c r="S155" s="40" t="n">
        <f aca="false">MAX(ABS(Q155-R155),ABS(Q156-R155),ABS(Q157-R155))</f>
        <v>6E-005</v>
      </c>
      <c r="T155" s="27"/>
      <c r="U155" s="27"/>
      <c r="V155" s="17"/>
      <c r="W155" s="17"/>
      <c r="X155" s="17"/>
      <c r="Y155" s="3" t="n">
        <v>1.5881</v>
      </c>
      <c r="Z155" s="3" t="n">
        <v>2169.8</v>
      </c>
    </row>
    <row r="156" customFormat="false" ht="15" hidden="false" customHeight="false" outlineLevel="0" collapsed="false">
      <c r="A156" s="36"/>
      <c r="B156" s="37"/>
      <c r="C156" s="37"/>
      <c r="D156" s="37"/>
      <c r="E156" s="37"/>
      <c r="F156" s="37"/>
      <c r="G156" s="37"/>
      <c r="H156" s="38"/>
      <c r="I156" s="38"/>
      <c r="J156" s="38"/>
      <c r="K156" s="37"/>
      <c r="L156" s="24"/>
      <c r="M156" s="24"/>
      <c r="N156" s="25"/>
      <c r="O156" s="49"/>
      <c r="P156" s="38"/>
      <c r="Q156" s="1" t="n">
        <f aca="false">0.04*(0.001)</f>
        <v>4E-005</v>
      </c>
      <c r="R156" s="38"/>
      <c r="S156" s="40" t="n">
        <f aca="false">MAX(ABS(Q156-R156),ABS(Q157-R156),ABS(Q158-R156))</f>
        <v>0.0001</v>
      </c>
      <c r="T156" s="27"/>
      <c r="U156" s="27"/>
      <c r="V156" s="17"/>
      <c r="W156" s="17"/>
      <c r="X156" s="17"/>
      <c r="Y156" s="3" t="n">
        <v>1.5879</v>
      </c>
      <c r="Z156" s="3" t="n">
        <v>2213.9</v>
      </c>
    </row>
    <row r="157" customFormat="false" ht="15" hidden="false" customHeight="false" outlineLevel="0" collapsed="false">
      <c r="A157" s="36"/>
      <c r="B157" s="37"/>
      <c r="C157" s="37"/>
      <c r="D157" s="37"/>
      <c r="E157" s="37"/>
      <c r="F157" s="37"/>
      <c r="G157" s="37"/>
      <c r="H157" s="38"/>
      <c r="I157" s="38" t="n">
        <f aca="false">I151+1</f>
        <v>223</v>
      </c>
      <c r="J157" s="38" t="n">
        <v>19</v>
      </c>
      <c r="K157" s="37" t="n">
        <f aca="false">$B$3-(I157+J157/60)*PI()/180</f>
        <v>0.884591042552459</v>
      </c>
      <c r="L157" s="24" t="n">
        <f aca="false">2/(SIN($B$2)*SIN($B$2))*(SIN(K157-$G$13+$B$2)+COS($B$2)*SIN($G$13))</f>
        <v>3.37602018010956</v>
      </c>
      <c r="M157" s="5" t="n">
        <f aca="false">1/(2*SQRT(N157))*(ABS((2*SIN($G$13)*COS($G$13)+L157)*(COS($B$2)*COS($G$13)-COS(K157-$G$13+$B$2)))*$H$13+ABS(L157*COS(K157-$G$13+$B$2))*$K$11)</f>
        <v>0.000367728806510939</v>
      </c>
      <c r="N157" s="25" t="n">
        <f aca="false">SQRT(SIN($G$13)*SIN($G$13) + (SIN(K157-$G$13+$B$2)  + COS($B$2)*SIN($G$13) )* (SIN(K157-$G$13+$B$2)  + COS($B$2)*SIN($G$13) )/(SIN($B$2)*SIN($B$2))   )</f>
        <v>1.61473848077857</v>
      </c>
      <c r="O157" s="49" t="n">
        <f aca="true">FORECAST(N157,OFFSET($Z$1:$Z$200,MATCH(N157,$Y$1:$Y$200,-1)-1,0,2),OFFSET($Y$1:$Y$200,MATCH(N157,$Y$1:$Y$200,-1)-1,0,2))</f>
        <v>612.002365288138</v>
      </c>
      <c r="P157" s="38"/>
      <c r="Q157" s="1" t="n">
        <f aca="false">0.06*(0.001)</f>
        <v>6E-005</v>
      </c>
      <c r="R157" s="38" t="n">
        <f aca="false">AVERAGE(Q157:Q159)</f>
        <v>7.66666666666667E-005</v>
      </c>
      <c r="S157" s="40" t="n">
        <f aca="false">MAX(ABS(Q157-R157),ABS(Q158-R157),ABS(Q159-R157))</f>
        <v>2.33333333333333E-005</v>
      </c>
      <c r="T157" s="27" t="n">
        <f aca="true">FORECAST((N157-M157),OFFSET($Z$1:$Z$200,MATCH((N157-M157),$Y$1:$Y$200,-1)-1,0,2),OFFSET($Y$1:$Y$200,MATCH((N157-M157),$Y$1:$Y$200,-1)-1,0,2))</f>
        <v>617.567968447097</v>
      </c>
      <c r="U157" s="27" t="n">
        <f aca="true">FORECAST((N157+M157),OFFSET($Z$1:$Z$200,MATCH((N157+M157),$Y$1:$Y$200,-1)-1,0,2),OFFSET($Y$1:$Y$200,MATCH((N157+M157),$Y$1:$Y$200,-1)-1,0,2))</f>
        <v>607.653751431286</v>
      </c>
      <c r="V157" s="17"/>
      <c r="W157" s="17"/>
      <c r="X157" s="17"/>
      <c r="Y157" s="3" t="n">
        <v>1.5877</v>
      </c>
      <c r="Z157" s="3" t="n">
        <v>2259.3</v>
      </c>
    </row>
    <row r="158" customFormat="false" ht="15" hidden="false" customHeight="false" outlineLevel="0" collapsed="false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24"/>
      <c r="M158" s="24"/>
      <c r="N158" s="25"/>
      <c r="O158" s="49"/>
      <c r="P158" s="38"/>
      <c r="Q158" s="1" t="n">
        <f aca="false">0.1*(0.001)</f>
        <v>0.0001</v>
      </c>
      <c r="R158" s="38"/>
      <c r="S158" s="40" t="n">
        <f aca="false">MAX(ABS(Q158-R158),ABS(Q159-R158),ABS(Q160-R158))</f>
        <v>0.00022</v>
      </c>
      <c r="T158" s="27"/>
      <c r="U158" s="27"/>
      <c r="V158" s="17"/>
      <c r="W158" s="17"/>
      <c r="X158" s="17"/>
      <c r="Y158" s="3" t="n">
        <v>1.5874</v>
      </c>
      <c r="Z158" s="3" t="n">
        <v>2306.2</v>
      </c>
    </row>
    <row r="159" customFormat="false" ht="15" hidden="false" customHeight="false" outlineLevel="0" collapsed="false">
      <c r="A159" s="36"/>
      <c r="B159" s="37"/>
      <c r="C159" s="37"/>
      <c r="D159" s="37"/>
      <c r="E159" s="37"/>
      <c r="F159" s="37"/>
      <c r="G159" s="37"/>
      <c r="H159" s="38"/>
      <c r="I159" s="38"/>
      <c r="J159" s="38"/>
      <c r="K159" s="37"/>
      <c r="L159" s="24"/>
      <c r="M159" s="24"/>
      <c r="N159" s="25"/>
      <c r="O159" s="49"/>
      <c r="P159" s="38"/>
      <c r="Q159" s="1" t="n">
        <f aca="false">0.07*(0.001)</f>
        <v>7E-005</v>
      </c>
      <c r="R159" s="38"/>
      <c r="S159" s="40" t="n">
        <f aca="false">MAX(ABS(Q159-R159),ABS(Q160-R159),ABS(Q161-R159))</f>
        <v>0.00022</v>
      </c>
      <c r="T159" s="27"/>
      <c r="U159" s="27"/>
      <c r="V159" s="17"/>
      <c r="W159" s="17"/>
      <c r="X159" s="17"/>
      <c r="Y159" s="3" t="n">
        <v>1.5872</v>
      </c>
      <c r="Z159" s="3" t="n">
        <v>2354.5</v>
      </c>
    </row>
    <row r="160" customFormat="false" ht="15" hidden="false" customHeight="false" outlineLevel="0" collapsed="false">
      <c r="A160" s="36"/>
      <c r="B160" s="37"/>
      <c r="C160" s="37"/>
      <c r="D160" s="37"/>
      <c r="E160" s="37"/>
      <c r="F160" s="37"/>
      <c r="G160" s="37"/>
      <c r="H160" s="38"/>
      <c r="I160" s="38" t="n">
        <f aca="false">I154+1</f>
        <v>223</v>
      </c>
      <c r="J160" s="38" t="n">
        <v>41</v>
      </c>
      <c r="K160" s="37" t="n">
        <f aca="false">$B$3-(I160+J160/60)*PI()/180</f>
        <v>0.878191501961814</v>
      </c>
      <c r="L160" s="24" t="n">
        <f aca="false">2/(SIN($B$2)*SIN($B$2))*(SIN(K160-$G$13+$B$2)+COS($B$2)*SIN($G$13))</f>
        <v>3.36940706679431</v>
      </c>
      <c r="M160" s="5" t="n">
        <f aca="false">1/(2*SQRT(N160))*(ABS((2*SIN($G$13)*COS($G$13)+L160)*(COS($B$2)*COS($G$13)-COS(K160-$G$13+$B$2)))*$H$13+ABS(L160*COS(K160-$G$13+$B$2))*$K$11)</f>
        <v>0.000432153730715955</v>
      </c>
      <c r="N160" s="25" t="n">
        <f aca="false">SQRT(SIN($G$13)*SIN($G$13) + (SIN(K160-$G$13+$B$2)  + COS($B$2)*SIN($G$13) )* (SIN(K160-$G$13+$B$2)  + COS($B$2)*SIN($G$13) )/(SIN($B$2)*SIN($B$2))   )</f>
        <v>1.6121464914184</v>
      </c>
      <c r="O160" s="49" t="n">
        <f aca="true">FORECAST(N160,OFFSET($Z$1:$Z$200,MATCH(N160,$Y$1:$Y$200,-1)-1,0,2),OFFSET($Y$1:$Y$200,MATCH(N160,$Y$1:$Y$200,-1)-1,0,2))</f>
        <v>650.477775366913</v>
      </c>
      <c r="P160" s="38"/>
      <c r="Q160" s="1" t="n">
        <f aca="false">0.22*(0.001)</f>
        <v>0.00022</v>
      </c>
      <c r="R160" s="38" t="n">
        <f aca="false">AVERAGE(Q160:Q162)</f>
        <v>0.00021</v>
      </c>
      <c r="S160" s="40" t="n">
        <f aca="false">MAX(ABS(Q160-R160),ABS(Q161-R160),ABS(Q162-R160))</f>
        <v>1E-005</v>
      </c>
      <c r="T160" s="27" t="n">
        <f aca="true">FORECAST((N160-M160),OFFSET($Z$1:$Z$200,MATCH((N160-M160),$Y$1:$Y$200,-1)-1,0,2),OFFSET($Y$1:$Y$200,MATCH((N160-M160),$Y$1:$Y$200,-1)-1,0,2))</f>
        <v>657.22041509013</v>
      </c>
      <c r="U160" s="27" t="n">
        <f aca="true">FORECAST((N160+M160),OFFSET($Z$1:$Z$200,MATCH((N160+M160),$Y$1:$Y$200,-1)-1,0,2),OFFSET($Y$1:$Y$200,MATCH((N160+M160),$Y$1:$Y$200,-1)-1,0,2))</f>
        <v>642.884387315885</v>
      </c>
      <c r="V160" s="17"/>
      <c r="W160" s="17"/>
      <c r="X160" s="17"/>
      <c r="Y160" s="3" t="n">
        <v>1.587</v>
      </c>
      <c r="Z160" s="3" t="n">
        <v>2404.3</v>
      </c>
    </row>
    <row r="161" customFormat="false" ht="15" hidden="false" customHeight="false" outlineLevel="0" collapsed="false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24"/>
      <c r="M161" s="24"/>
      <c r="N161" s="25"/>
      <c r="O161" s="49"/>
      <c r="P161" s="38"/>
      <c r="Q161" s="1" t="n">
        <f aca="false">0.2*(0.001)</f>
        <v>0.0002</v>
      </c>
      <c r="R161" s="38"/>
      <c r="S161" s="40" t="n">
        <f aca="false">MAX(ABS(Q161-R161),ABS(Q162-R161),ABS(Q163-R161))</f>
        <v>0.00063</v>
      </c>
      <c r="T161" s="27"/>
      <c r="U161" s="27"/>
      <c r="V161" s="17"/>
      <c r="W161" s="17"/>
      <c r="X161" s="17"/>
      <c r="Y161" s="3" t="n">
        <v>1.5867</v>
      </c>
      <c r="Z161" s="3" t="n">
        <v>2455.8</v>
      </c>
    </row>
    <row r="162" customFormat="false" ht="15" hidden="false" customHeight="false" outlineLevel="0" collapsed="false">
      <c r="A162" s="36"/>
      <c r="B162" s="37"/>
      <c r="C162" s="37"/>
      <c r="D162" s="37"/>
      <c r="E162" s="37"/>
      <c r="F162" s="37"/>
      <c r="G162" s="37"/>
      <c r="H162" s="38"/>
      <c r="I162" s="38"/>
      <c r="J162" s="38"/>
      <c r="K162" s="37"/>
      <c r="L162" s="24"/>
      <c r="M162" s="24"/>
      <c r="N162" s="25"/>
      <c r="O162" s="49"/>
      <c r="P162" s="38"/>
      <c r="Q162" s="1" t="n">
        <f aca="false">0.21*(0.001)</f>
        <v>0.00021</v>
      </c>
      <c r="R162" s="38"/>
      <c r="S162" s="40" t="n">
        <f aca="false">MAX(ABS(Q162-R162),ABS(Q163-R162),ABS(Q164-R162))</f>
        <v>0.00063</v>
      </c>
      <c r="T162" s="27"/>
      <c r="U162" s="27"/>
      <c r="V162" s="17"/>
      <c r="W162" s="17"/>
      <c r="X162" s="17"/>
      <c r="Y162" s="3" t="n">
        <v>1.5865</v>
      </c>
      <c r="Z162" s="3" t="n">
        <v>2508.8</v>
      </c>
    </row>
    <row r="163" customFormat="false" ht="15" hidden="false" customHeight="false" outlineLevel="0" collapsed="false">
      <c r="A163" s="36"/>
      <c r="B163" s="37"/>
      <c r="C163" s="37"/>
      <c r="D163" s="37"/>
      <c r="E163" s="37"/>
      <c r="F163" s="37"/>
      <c r="G163" s="37"/>
      <c r="H163" s="38"/>
      <c r="I163" s="38" t="n">
        <f aca="false">I157+1</f>
        <v>224</v>
      </c>
      <c r="J163" s="38" t="n">
        <v>21</v>
      </c>
      <c r="K163" s="37" t="n">
        <f aca="false">$B$3-(I163+J163/60)*PI()/180</f>
        <v>0.866555973615185</v>
      </c>
      <c r="L163" s="24" t="n">
        <f aca="false">2/(SIN($B$2)*SIN($B$2))*(SIN(K163-$G$13+$B$2)+COS($B$2)*SIN($G$13))</f>
        <v>3.35712583121724</v>
      </c>
      <c r="M163" s="5" t="n">
        <f aca="false">1/(2*SQRT(N163))*(ABS((2*SIN($G$13)*COS($G$13)+L163)*(COS($B$2)*COS($G$13)-COS(K163-$G$13+$B$2)))*$H$13+ABS(L163*COS(K163-$G$13+$B$2))*$K$11)</f>
        <v>0.000548578924170136</v>
      </c>
      <c r="N163" s="25" t="n">
        <f aca="false">SQRT(SIN($G$13)*SIN($G$13) + (SIN(K163-$G$13+$B$2)  + COS($B$2)*SIN($G$13) )* (SIN(K163-$G$13+$B$2)  + COS($B$2)*SIN($G$13) )/(SIN($B$2)*SIN($B$2))   )</f>
        <v>1.60733534443016</v>
      </c>
      <c r="O163" s="49" t="n">
        <f aca="true">FORECAST(N163,OFFSET($Z$1:$Z$200,MATCH(N163,$Y$1:$Y$200,-1)-1,0,2),OFFSET($Y$1:$Y$200,MATCH(N163,$Y$1:$Y$200,-1)-1,0,2))</f>
        <v>743.773570637108</v>
      </c>
      <c r="P163" s="38"/>
      <c r="Q163" s="1" t="n">
        <f aca="false">0.63*(0.001)</f>
        <v>0.00063</v>
      </c>
      <c r="R163" s="38" t="n">
        <f aca="false">AVERAGE(Q163:Q165)</f>
        <v>0.000623333333333333</v>
      </c>
      <c r="S163" s="40" t="n">
        <f aca="false">MAX(ABS(Q163-R163),ABS(Q164-R163),ABS(Q165-R163))</f>
        <v>6.66666666666676E-006</v>
      </c>
      <c r="T163" s="27" t="n">
        <f aca="true">FORECAST((N163-M163),OFFSET($Z$1:$Z$200,MATCH((N163-M163),$Y$1:$Y$200,-1)-1,0,2),OFFSET($Y$1:$Y$200,MATCH((N163-M163),$Y$1:$Y$200,-1)-1,0,2))</f>
        <v>757.964689880305</v>
      </c>
      <c r="U163" s="27" t="n">
        <f aca="true">FORECAST((N163+M163),OFFSET($Z$1:$Z$200,MATCH((N163+M163),$Y$1:$Y$200,-1)-1,0,2),OFFSET($Y$1:$Y$200,MATCH((N163+M163),$Y$1:$Y$200,-1)-1,0,2))</f>
        <v>730.426031110388</v>
      </c>
      <c r="V163" s="17"/>
      <c r="W163" s="17"/>
      <c r="X163" s="17"/>
      <c r="Y163" s="3" t="n">
        <v>1.5863</v>
      </c>
      <c r="Z163" s="3" t="n">
        <v>2563.6</v>
      </c>
    </row>
    <row r="164" customFormat="false" ht="15" hidden="false" customHeight="false" outlineLevel="0" collapsed="false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24"/>
      <c r="M164" s="24"/>
      <c r="N164" s="25"/>
      <c r="O164" s="49"/>
      <c r="P164" s="38"/>
      <c r="Q164" s="1" t="n">
        <f aca="false">0.62*(0.001)</f>
        <v>0.00062</v>
      </c>
      <c r="R164" s="38"/>
      <c r="S164" s="40" t="n">
        <f aca="false">MAX(ABS(Q164-R164),ABS(Q165-R164),ABS(Q166-R164))</f>
        <v>0.00105</v>
      </c>
      <c r="T164" s="27"/>
      <c r="U164" s="27"/>
      <c r="V164" s="17"/>
      <c r="W164" s="17"/>
      <c r="X164" s="17"/>
      <c r="Y164" s="3" t="n">
        <v>1.5861</v>
      </c>
      <c r="Z164" s="3" t="n">
        <v>2620.1</v>
      </c>
    </row>
    <row r="165" customFormat="false" ht="15" hidden="false" customHeight="false" outlineLevel="0" collapsed="false">
      <c r="A165" s="36"/>
      <c r="B165" s="37"/>
      <c r="C165" s="37"/>
      <c r="D165" s="37"/>
      <c r="E165" s="37"/>
      <c r="F165" s="37"/>
      <c r="G165" s="37"/>
      <c r="H165" s="38"/>
      <c r="I165" s="38"/>
      <c r="J165" s="38"/>
      <c r="K165" s="37"/>
      <c r="L165" s="24"/>
      <c r="M165" s="24"/>
      <c r="N165" s="25"/>
      <c r="O165" s="49"/>
      <c r="P165" s="38"/>
      <c r="Q165" s="1" t="n">
        <f aca="false">0.62*(0.001)</f>
        <v>0.00062</v>
      </c>
      <c r="R165" s="38"/>
      <c r="S165" s="40" t="n">
        <f aca="false">MAX(ABS(Q165-R165),ABS(Q166-R165),ABS(Q167-R165))</f>
        <v>0.00105</v>
      </c>
      <c r="T165" s="27"/>
      <c r="U165" s="27"/>
      <c r="V165" s="17"/>
      <c r="W165" s="17"/>
      <c r="X165" s="17"/>
      <c r="Y165" s="3" t="n">
        <v>1.5858</v>
      </c>
      <c r="Z165" s="3" t="n">
        <v>2678.5</v>
      </c>
    </row>
    <row r="166" customFormat="false" ht="15" hidden="false" customHeight="false" outlineLevel="0" collapsed="false">
      <c r="A166" s="36"/>
      <c r="B166" s="37"/>
      <c r="C166" s="37"/>
      <c r="D166" s="37"/>
      <c r="E166" s="37"/>
      <c r="F166" s="37"/>
      <c r="G166" s="37"/>
      <c r="H166" s="38"/>
      <c r="I166" s="38" t="n">
        <f aca="false">I160+1</f>
        <v>224</v>
      </c>
      <c r="J166" s="38" t="n">
        <v>40</v>
      </c>
      <c r="K166" s="37" t="n">
        <f aca="false">$B$3-(I166+J166/60)*PI()/180</f>
        <v>0.861029097650536</v>
      </c>
      <c r="L166" s="24" t="n">
        <f aca="false">2/(SIN($B$2)*SIN($B$2))*(SIN(K166-$G$13+$B$2)+COS($B$2)*SIN($G$13))</f>
        <v>3.35117629141045</v>
      </c>
      <c r="M166" s="5" t="n">
        <f aca="false">1/(2*SQRT(N166))*(ABS((2*SIN($G$13)*COS($G$13)+L166)*(COS($B$2)*COS($G$13)-COS(K166-$G$13+$B$2)))*$H$13+ABS(L166*COS(K166-$G$13+$B$2))*$K$11)</f>
        <v>0.000603553028104761</v>
      </c>
      <c r="N166" s="25" t="n">
        <f aca="false">SQRT(SIN($G$13)*SIN($G$13) + (SIN(K166-$G$13+$B$2)  + COS($B$2)*SIN($G$13) )* (SIN(K166-$G$13+$B$2)  + COS($B$2)*SIN($G$13) )/(SIN($B$2)*SIN($B$2))   )</f>
        <v>1.60500577529582</v>
      </c>
      <c r="O166" s="49" t="n">
        <f aca="true">FORECAST(N166,OFFSET($Z$1:$Z$200,MATCH(N166,$Y$1:$Y$200,-1)-1,0,2),OFFSET($Y$1:$Y$200,MATCH(N166,$Y$1:$Y$200,-1)-1,0,2))</f>
        <v>805.050752294355</v>
      </c>
      <c r="P166" s="38"/>
      <c r="Q166" s="1" t="n">
        <f aca="false">1.05*(0.001)</f>
        <v>0.00105</v>
      </c>
      <c r="R166" s="38" t="n">
        <f aca="false">AVERAGE(Q166:Q168)</f>
        <v>0.00103333333333333</v>
      </c>
      <c r="S166" s="40" t="n">
        <f aca="false">MAX(ABS(Q166-R166),ABS(Q167-R166),ABS(Q168-R166))</f>
        <v>1.6666666666667E-005</v>
      </c>
      <c r="T166" s="27" t="n">
        <f aca="true">FORECAST((N166-M166),OFFSET($Z$1:$Z$200,MATCH((N166-M166),$Y$1:$Y$200,-1)-1,0,2),OFFSET($Y$1:$Y$200,MATCH((N166-M166),$Y$1:$Y$200,-1)-1,0,2))</f>
        <v>822.747406330843</v>
      </c>
      <c r="U166" s="27" t="n">
        <f aca="true">FORECAST((N166+M166),OFFSET($Z$1:$Z$200,MATCH((N166+M166),$Y$1:$Y$200,-1)-1,0,2),OFFSET($Y$1:$Y$200,MATCH((N166+M166),$Y$1:$Y$200,-1)-1,0,2))</f>
        <v>788.296829472579</v>
      </c>
      <c r="V166" s="17"/>
      <c r="W166" s="17"/>
      <c r="X166" s="17"/>
      <c r="Y166" s="3" t="n">
        <v>1.5856</v>
      </c>
      <c r="Z166" s="3" t="n">
        <v>2738.8</v>
      </c>
    </row>
    <row r="167" customFormat="false" ht="15" hidden="false" customHeight="false" outlineLevel="0" collapsed="false">
      <c r="A167" s="3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24"/>
      <c r="M167" s="24"/>
      <c r="N167" s="25"/>
      <c r="O167" s="49"/>
      <c r="P167" s="38"/>
      <c r="Q167" s="1" t="n">
        <f aca="false">1.03*(0.001)</f>
        <v>0.00103</v>
      </c>
      <c r="R167" s="38"/>
      <c r="S167" s="40" t="n">
        <f aca="false">MAX(ABS(Q167-R167),ABS(Q168-R167),ABS(Q169-R167))</f>
        <v>0.0018</v>
      </c>
      <c r="T167" s="27"/>
      <c r="U167" s="27"/>
      <c r="V167" s="17"/>
      <c r="W167" s="17"/>
      <c r="X167" s="17"/>
      <c r="Y167" s="3" t="n">
        <v>1.5854</v>
      </c>
      <c r="Z167" s="3" t="n">
        <v>2801</v>
      </c>
    </row>
    <row r="168" customFormat="false" ht="15" hidden="false" customHeight="false" outlineLevel="0" collapsed="false">
      <c r="A168" s="36"/>
      <c r="B168" s="37"/>
      <c r="C168" s="37"/>
      <c r="D168" s="37"/>
      <c r="E168" s="37"/>
      <c r="F168" s="37"/>
      <c r="G168" s="37"/>
      <c r="H168" s="38"/>
      <c r="I168" s="38"/>
      <c r="J168" s="38"/>
      <c r="K168" s="37"/>
      <c r="L168" s="24"/>
      <c r="M168" s="24"/>
      <c r="N168" s="25"/>
      <c r="O168" s="49"/>
      <c r="P168" s="38"/>
      <c r="Q168" s="1" t="n">
        <f aca="false">1.02*(0.001)</f>
        <v>0.00102</v>
      </c>
      <c r="R168" s="38"/>
      <c r="S168" s="40" t="n">
        <f aca="false">MAX(ABS(Q168-R168),ABS(Q169-R168),ABS(Q170-R168))</f>
        <v>0.00181</v>
      </c>
      <c r="T168" s="27"/>
      <c r="U168" s="27"/>
      <c r="V168" s="17"/>
      <c r="W168" s="17"/>
      <c r="X168" s="17"/>
      <c r="Y168" s="3" t="n">
        <v>1.5851</v>
      </c>
      <c r="Z168" s="3" t="n">
        <v>2865.3</v>
      </c>
    </row>
    <row r="169" customFormat="false" ht="15" hidden="false" customHeight="false" outlineLevel="0" collapsed="false">
      <c r="A169" s="36"/>
      <c r="B169" s="37"/>
      <c r="C169" s="37"/>
      <c r="D169" s="37"/>
      <c r="E169" s="37"/>
      <c r="F169" s="37"/>
      <c r="G169" s="37"/>
      <c r="H169" s="38"/>
      <c r="I169" s="38" t="n">
        <f aca="false">I163+1</f>
        <v>225</v>
      </c>
      <c r="J169" s="38" t="n">
        <v>0</v>
      </c>
      <c r="K169" s="37" t="n">
        <f aca="false">$B$3-(I169+J169/60)*PI()/180</f>
        <v>0.855211333477221</v>
      </c>
      <c r="L169" s="24" t="n">
        <f aca="false">2/(SIN($B$2)*SIN($B$2))*(SIN(K169-$G$13+$B$2)+COS($B$2)*SIN($G$13))</f>
        <v>3.34483320826436</v>
      </c>
      <c r="M169" s="5" t="n">
        <f aca="false">1/(2*SQRT(N169))*(ABS((2*SIN($G$13)*COS($G$13)+L169)*(COS($B$2)*COS($G$13)-COS(K169-$G$13+$B$2)))*$H$13+ABS(L169*COS(K169-$G$13+$B$2))*$K$11)</f>
        <v>0.000661188016943748</v>
      </c>
      <c r="N169" s="29" t="n">
        <f aca="false">SQRT(SIN($G$13)*SIN($G$13) + (SIN(K169-$G$13+$B$2)  + COS($B$2)*SIN($G$13) )* (SIN(K169-$G$13+$B$2)  + COS($B$2)*SIN($G$13) )/(SIN($B$2)*SIN($B$2))   )</f>
        <v>1.60252294415549</v>
      </c>
      <c r="O169" s="49" t="n">
        <f aca="true">FORECAST(N169,OFFSET($Z$1:$Z$200,MATCH(N169,$Y$1:$Y$200,-1)-1,0,2),OFFSET($Y$1:$Y$200,MATCH(N169,$Y$1:$Y$200,-1)-1,0,2))</f>
        <v>885.442267542675</v>
      </c>
      <c r="P169" s="38"/>
      <c r="Q169" s="1" t="n">
        <f aca="false">1.8*(0.001)</f>
        <v>0.0018</v>
      </c>
      <c r="R169" s="38" t="n">
        <f aca="false">AVERAGE(Q169:Q171)</f>
        <v>0.00182</v>
      </c>
      <c r="S169" s="40" t="n">
        <f aca="false">MAX(ABS(Q169-R169),ABS(Q170-R169),ABS(Q171-R169))</f>
        <v>2.99999999999999E-005</v>
      </c>
      <c r="T169" s="27" t="n">
        <f aca="true">FORECAST((N169-M169),OFFSET($Z$1:$Z$200,MATCH((N169-M169),$Y$1:$Y$200,-1)-1,0,2),OFFSET($Y$1:$Y$200,MATCH((N169-M169),$Y$1:$Y$200,-1)-1,0,2))</f>
        <v>910.92673046415</v>
      </c>
      <c r="U169" s="27" t="n">
        <f aca="true">FORECAST((N169+M169),OFFSET($Z$1:$Z$200,MATCH((N169+M169),$Y$1:$Y$200,-1)-1,0,2),OFFSET($Y$1:$Y$200,MATCH((N169+M169),$Y$1:$Y$200,-1)-1,0,2))</f>
        <v>864.16705395352</v>
      </c>
      <c r="V169" s="17"/>
      <c r="W169" s="17"/>
      <c r="X169" s="17"/>
      <c r="Y169" s="3" t="n">
        <v>1.5849</v>
      </c>
      <c r="Z169" s="3" t="n">
        <v>2931.7</v>
      </c>
    </row>
    <row r="170" customFormat="false" ht="15" hidden="false" customHeight="false" outlineLevel="0" collapsed="false">
      <c r="A170" s="3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24"/>
      <c r="M170" s="24"/>
      <c r="N170" s="29"/>
      <c r="O170" s="49"/>
      <c r="P170" s="38"/>
      <c r="Q170" s="1" t="n">
        <f aca="false">1.81*(0.001)</f>
        <v>0.00181</v>
      </c>
      <c r="R170" s="38"/>
      <c r="S170" s="40" t="n">
        <f aca="false">MAX(ABS(Q170-R170),ABS(Q171-R170),ABS(Q172-R170))</f>
        <v>0.00225</v>
      </c>
      <c r="T170" s="27"/>
      <c r="U170" s="27"/>
      <c r="V170" s="17"/>
      <c r="W170" s="17"/>
      <c r="X170" s="17"/>
      <c r="Y170" s="3" t="n">
        <v>1.5847</v>
      </c>
      <c r="Z170" s="3" t="n">
        <v>3000.4</v>
      </c>
    </row>
    <row r="171" customFormat="false" ht="15" hidden="false" customHeight="false" outlineLevel="0" collapsed="false">
      <c r="A171" s="36"/>
      <c r="B171" s="37"/>
      <c r="C171" s="37"/>
      <c r="D171" s="37"/>
      <c r="E171" s="37"/>
      <c r="F171" s="37"/>
      <c r="G171" s="37"/>
      <c r="H171" s="38"/>
      <c r="I171" s="38"/>
      <c r="J171" s="38"/>
      <c r="K171" s="37"/>
      <c r="L171" s="24"/>
      <c r="M171" s="24"/>
      <c r="N171" s="29"/>
      <c r="O171" s="49"/>
      <c r="P171" s="38"/>
      <c r="Q171" s="1" t="n">
        <f aca="false">1.85*(0.001)</f>
        <v>0.00185</v>
      </c>
      <c r="R171" s="38"/>
      <c r="S171" s="40" t="n">
        <f aca="false">MAX(ABS(Q171-R171),ABS(Q172-R171),ABS(Q173-R171))</f>
        <v>0.00225</v>
      </c>
      <c r="T171" s="27"/>
      <c r="U171" s="27"/>
      <c r="V171" s="17"/>
      <c r="W171" s="17"/>
      <c r="X171" s="17"/>
      <c r="Y171" s="3" t="n">
        <v>1.5844</v>
      </c>
      <c r="Z171" s="3" t="n">
        <v>3071.3</v>
      </c>
    </row>
    <row r="172" customFormat="false" ht="15" hidden="false" customHeight="false" outlineLevel="0" collapsed="false">
      <c r="A172" s="36"/>
      <c r="B172" s="37"/>
      <c r="C172" s="37"/>
      <c r="D172" s="37"/>
      <c r="E172" s="37"/>
      <c r="F172" s="37"/>
      <c r="G172" s="37"/>
      <c r="H172" s="38"/>
      <c r="I172" s="38" t="n">
        <f aca="false">I163+1</f>
        <v>225</v>
      </c>
      <c r="J172" s="38" t="n">
        <v>18</v>
      </c>
      <c r="K172" s="37" t="n">
        <f aca="false">$B$3-(I172+J172/60)*PI()/180</f>
        <v>0.849975345721238</v>
      </c>
      <c r="L172" s="24" t="n">
        <f aca="false">2/(SIN($B$2)*SIN($B$2))*(SIN(K172-$G$13+$B$2)+COS($B$2)*SIN($G$13))</f>
        <v>3.33905409469535</v>
      </c>
      <c r="M172" s="5" t="n">
        <f aca="false">1/(2*SQRT(N172))*(ABS((2*SIN($G$13)*COS($G$13)+L172)*(COS($B$2)*COS($G$13)-COS(K172-$G$13+$B$2)))*$H$13+ABS(L172*COS(K172-$G$13+$B$2))*$K$11)</f>
        <v>0.000712852890630728</v>
      </c>
      <c r="N172" s="42" t="n">
        <f aca="false">SQRT(SIN($G$13)*SIN($G$13) + (SIN(K172-$G$13+$B$2)  + COS($B$2)*SIN($G$13) )* (SIN(K172-$G$13+$B$2)  + COS($B$2)*SIN($G$13) )/(SIN($B$2)*SIN($B$2))   )</f>
        <v>1.60026161441844</v>
      </c>
      <c r="O172" s="49" t="n">
        <f aca="true">FORECAST(N172,OFFSET($Z$1:$Z$200,MATCH(N172,$Y$1:$Y$200,-1)-1,0,2),OFFSET($Y$1:$Y$200,MATCH(N172,$Y$1:$Y$200,-1)-1,0,2))</f>
        <v>979.703628613591</v>
      </c>
      <c r="P172" s="38"/>
      <c r="Q172" s="1" t="n">
        <f aca="false">2.25*(0.001)</f>
        <v>0.00225</v>
      </c>
      <c r="R172" s="38" t="n">
        <f aca="false">AVERAGE(Q172:Q174)</f>
        <v>0.00225666666666667</v>
      </c>
      <c r="S172" s="40" t="n">
        <f aca="false">MAX(ABS(Q172-R172),ABS(Q173-R172),ABS(Q174-R172))</f>
        <v>1.33333333333331E-005</v>
      </c>
      <c r="T172" s="27" t="n">
        <f aca="true">FORECAST((N172-M172),OFFSET($Z$1:$Z$200,MATCH((N172-M172),$Y$1:$Y$200,-1)-1,0,2),OFFSET($Y$1:$Y$200,MATCH((N172-M172),$Y$1:$Y$200,-1)-1,0,2))</f>
        <v>1013.9718313872</v>
      </c>
      <c r="U172" s="27" t="n">
        <f aca="true">FORECAST((N172+M172),OFFSET($Z$1:$Z$200,MATCH((N172+M172),$Y$1:$Y$200,-1)-1,0,2),OFFSET($Y$1:$Y$200,MATCH((N172+M172),$Y$1:$Y$200,-1)-1,0,2))</f>
        <v>947.776634546575</v>
      </c>
      <c r="V172" s="17"/>
      <c r="W172" s="17"/>
      <c r="X172" s="17"/>
      <c r="Y172" s="3" t="n">
        <v>1.5842</v>
      </c>
      <c r="Z172" s="3" t="n">
        <v>3144.7</v>
      </c>
    </row>
    <row r="173" customFormat="false" ht="15" hidden="false" customHeight="false" outlineLevel="0" collapsed="false">
      <c r="A173" s="3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24"/>
      <c r="M173" s="24"/>
      <c r="N173" s="42"/>
      <c r="O173" s="49"/>
      <c r="P173" s="38"/>
      <c r="Q173" s="1" t="n">
        <f aca="false">2.25*(0.001)</f>
        <v>0.00225</v>
      </c>
      <c r="R173" s="38"/>
      <c r="S173" s="40" t="n">
        <f aca="false">MAX(ABS(Q173-R173),ABS(Q174-R173),ABS(Q175-R173))</f>
        <v>0.00287</v>
      </c>
      <c r="T173" s="27"/>
      <c r="U173" s="27"/>
      <c r="V173" s="17"/>
      <c r="W173" s="17"/>
      <c r="X173" s="17"/>
      <c r="Y173" s="3" t="n">
        <v>1.584</v>
      </c>
      <c r="Z173" s="3" t="n">
        <v>3220.5</v>
      </c>
    </row>
    <row r="174" customFormat="false" ht="15" hidden="false" customHeight="false" outlineLevel="0" collapsed="false">
      <c r="A174" s="36"/>
      <c r="B174" s="37"/>
      <c r="C174" s="37"/>
      <c r="D174" s="37"/>
      <c r="E174" s="37"/>
      <c r="F174" s="37"/>
      <c r="G174" s="37"/>
      <c r="H174" s="38"/>
      <c r="I174" s="38"/>
      <c r="J174" s="38"/>
      <c r="K174" s="37"/>
      <c r="L174" s="24"/>
      <c r="M174" s="24"/>
      <c r="N174" s="42"/>
      <c r="O174" s="49"/>
      <c r="P174" s="38"/>
      <c r="Q174" s="1" t="n">
        <f aca="false">2.27*(0.001)</f>
        <v>0.00227</v>
      </c>
      <c r="R174" s="38"/>
      <c r="S174" s="40" t="n">
        <f aca="false">MAX(ABS(Q174-R174),ABS(Q175-R174),ABS(Q176-R174))</f>
        <v>0.0029</v>
      </c>
      <c r="T174" s="27"/>
      <c r="U174" s="27"/>
      <c r="V174" s="17"/>
      <c r="W174" s="17"/>
      <c r="X174" s="17"/>
      <c r="Y174" s="3" t="n">
        <v>1.5837</v>
      </c>
      <c r="Z174" s="3" t="n">
        <v>3298.9</v>
      </c>
    </row>
    <row r="175" customFormat="false" ht="15" hidden="false" customHeight="false" outlineLevel="0" collapsed="false">
      <c r="A175" s="36"/>
      <c r="B175" s="37"/>
      <c r="C175" s="37"/>
      <c r="D175" s="37"/>
      <c r="E175" s="37"/>
      <c r="F175" s="37"/>
      <c r="G175" s="37"/>
      <c r="H175" s="50"/>
      <c r="I175" s="50" t="n">
        <v>225</v>
      </c>
      <c r="J175" s="50" t="n">
        <v>30</v>
      </c>
      <c r="K175" s="37" t="n">
        <f aca="false">$B$3-(I175+J175/60)*PI()/180</f>
        <v>0.846484687217249</v>
      </c>
      <c r="L175" s="24" t="n">
        <f aca="false">2/(SIN($B$2)*SIN($B$2))*(SIN(K175-$G$13+$B$2)+COS($B$2)*SIN($G$13))</f>
        <v>3.33516441332426</v>
      </c>
      <c r="M175" s="5" t="n">
        <f aca="false">1/(2*SQRT(N175))*(ABS((2*SIN($G$13)*COS($G$13)+L175)*(COS($B$2)*COS($G$13)-COS(K175-$G$13+$B$2)))*$H$13+ABS(L175*COS(K175-$G$13+$B$2))*$K$11)</f>
        <v>0.000747186134406467</v>
      </c>
      <c r="N175" s="42" t="n">
        <f aca="false">SQRT(SIN($G$13)*SIN($G$13) + (SIN(K175-$G$13+$B$2)  + COS($B$2)*SIN($G$13) )* (SIN(K175-$G$13+$B$2)  + COS($B$2)*SIN($G$13) )/(SIN($B$2)*SIN($B$2))   )</f>
        <v>1.59874001175742</v>
      </c>
      <c r="O175" s="49" t="n">
        <f aca="true">FORECAST(N175,OFFSET($Z$1:$Z$200,MATCH(N175,$Y$1:$Y$200,-1)-1,0,2),OFFSET($Y$1:$Y$200,MATCH(N175,$Y$1:$Y$200,-1)-1,0,2))</f>
        <v>1056.80925340372</v>
      </c>
      <c r="P175" s="50"/>
      <c r="Q175" s="1" t="n">
        <f aca="false">2.87*(0.001)</f>
        <v>0.00287</v>
      </c>
      <c r="R175" s="38" t="n">
        <f aca="false">AVERAGE(Q175:Q177)</f>
        <v>0.00287666666666667</v>
      </c>
      <c r="S175" s="40" t="n">
        <f aca="false">MAX(ABS(Q175-R175),ABS(Q176-R175),ABS(Q177-R175))</f>
        <v>2.33333333333327E-005</v>
      </c>
      <c r="T175" s="27" t="n">
        <f aca="true">FORECAST((N175-M175),OFFSET($Z$1:$Z$200,MATCH((N175-M175),$Y$1:$Y$200,-1)-1,0,2),OFFSET($Y$1:$Y$200,MATCH((N175-M175),$Y$1:$Y$200,-1)-1,0,2))</f>
        <v>1099.34144482345</v>
      </c>
      <c r="U175" s="27" t="n">
        <f aca="true">FORECAST((N175+M175),OFFSET($Z$1:$Z$200,MATCH((N175+M175),$Y$1:$Y$200,-1)-1,0,2),OFFSET($Y$1:$Y$200,MATCH((N175+M175),$Y$1:$Y$200,-1)-1,0,2))</f>
        <v>1017.55532438214</v>
      </c>
      <c r="V175" s="17"/>
      <c r="W175" s="17"/>
      <c r="X175" s="17"/>
      <c r="Y175" s="3" t="n">
        <v>1.5835</v>
      </c>
      <c r="Z175" s="3" t="n">
        <v>3380</v>
      </c>
    </row>
    <row r="176" customFormat="false" ht="15" hidden="false" customHeight="false" outlineLevel="0" collapsed="false">
      <c r="A176" s="36"/>
      <c r="B176" s="37"/>
      <c r="C176" s="37"/>
      <c r="D176" s="37"/>
      <c r="E176" s="37"/>
      <c r="F176" s="37"/>
      <c r="G176" s="37"/>
      <c r="H176" s="50"/>
      <c r="I176" s="50"/>
      <c r="J176" s="50"/>
      <c r="K176" s="37"/>
      <c r="L176" s="24"/>
      <c r="M176" s="24"/>
      <c r="N176" s="42"/>
      <c r="O176" s="49"/>
      <c r="P176" s="50"/>
      <c r="Q176" s="1" t="n">
        <f aca="false">2.9*(0.001)</f>
        <v>0.0029</v>
      </c>
      <c r="R176" s="38"/>
      <c r="S176" s="40" t="n">
        <f aca="false">MAX(ABS(Q176-R176),ABS(Q177-R176),ABS(Q178-R176))</f>
        <v>0.00307</v>
      </c>
      <c r="T176" s="27"/>
      <c r="U176" s="27"/>
      <c r="V176" s="17"/>
      <c r="W176" s="17"/>
      <c r="X176" s="17"/>
      <c r="Y176" s="3" t="n">
        <v>1.5833</v>
      </c>
      <c r="Z176" s="3" t="n">
        <v>3463.9</v>
      </c>
    </row>
    <row r="177" customFormat="false" ht="15" hidden="false" customHeight="false" outlineLevel="0" collapsed="false">
      <c r="A177" s="36"/>
      <c r="B177" s="37"/>
      <c r="C177" s="37"/>
      <c r="D177" s="37"/>
      <c r="E177" s="37"/>
      <c r="F177" s="37"/>
      <c r="G177" s="37"/>
      <c r="H177" s="50"/>
      <c r="I177" s="50"/>
      <c r="J177" s="50"/>
      <c r="K177" s="37"/>
      <c r="L177" s="24"/>
      <c r="M177" s="24"/>
      <c r="N177" s="42"/>
      <c r="O177" s="49"/>
      <c r="P177" s="50"/>
      <c r="Q177" s="1" t="n">
        <f aca="false">2.86*(0.001)</f>
        <v>0.00286</v>
      </c>
      <c r="R177" s="38"/>
      <c r="S177" s="40" t="n">
        <f aca="false">MAX(ABS(Q177-R177),ABS(Q178-R177),ABS(Q179-R177))</f>
        <v>0.00307</v>
      </c>
      <c r="T177" s="27"/>
      <c r="U177" s="27"/>
      <c r="V177" s="17"/>
      <c r="W177" s="17"/>
      <c r="X177" s="17"/>
      <c r="Y177" s="3" t="n">
        <v>1.5831</v>
      </c>
      <c r="Z177" s="3" t="n">
        <v>3550.8</v>
      </c>
    </row>
    <row r="178" customFormat="false" ht="15" hidden="false" customHeight="false" outlineLevel="0" collapsed="false">
      <c r="A178" s="36"/>
      <c r="B178" s="37"/>
      <c r="C178" s="37"/>
      <c r="D178" s="37"/>
      <c r="E178" s="37"/>
      <c r="F178" s="37"/>
      <c r="G178" s="37"/>
      <c r="H178" s="38"/>
      <c r="I178" s="38" t="n">
        <f aca="false">I166+1</f>
        <v>225</v>
      </c>
      <c r="J178" s="38" t="n">
        <v>41</v>
      </c>
      <c r="K178" s="37" t="n">
        <f aca="false">$B$3-(I178+J178/60)*PI()/180</f>
        <v>0.843284916921927</v>
      </c>
      <c r="L178" s="24" t="n">
        <f aca="false">2/(SIN($B$2)*SIN($B$2))*(SIN(K178-$G$13+$B$2)+COS($B$2)*SIN($G$13))</f>
        <v>3.33157295952977</v>
      </c>
      <c r="M178" s="5" t="n">
        <f aca="false">1/(2*SQRT(N178))*(ABS((2*SIN($G$13)*COS($G$13)+L178)*(COS($B$2)*COS($G$13)-COS(K178-$G$13+$B$2)))*$H$13+ABS(L178*COS(K178-$G$13+$B$2))*$K$11)</f>
        <v>0.000778580242052304</v>
      </c>
      <c r="N178" s="42" t="n">
        <f aca="false">SQRT(SIN($G$13)*SIN($G$13) + (SIN(K178-$G$13+$B$2)  + COS($B$2)*SIN($G$13) )* (SIN(K178-$G$13+$B$2)  + COS($B$2)*SIN($G$13) )/(SIN($B$2)*SIN($B$2))   )</f>
        <v>1.59733536251397</v>
      </c>
      <c r="O178" s="49" t="n">
        <f aca="true">FORECAST(N178,OFFSET($Z$1:$Z$200,MATCH(N178,$Y$1:$Y$200,-1)-1,0,2),OFFSET($Y$1:$Y$200,MATCH(N178,$Y$1:$Y$200,-1)-1,0,2))</f>
        <v>1138.75085522314</v>
      </c>
      <c r="P178" s="38"/>
      <c r="Q178" s="1" t="n">
        <f aca="false">3.07*(0.001)</f>
        <v>0.00307</v>
      </c>
      <c r="R178" s="38" t="n">
        <f aca="false">AVERAGE(Q178:Q180)</f>
        <v>0.00304666666666667</v>
      </c>
      <c r="S178" s="40" t="n">
        <f aca="false">MAX(ABS(Q178-R178),ABS(Q179-R178),ABS(Q180-R178))</f>
        <v>2.33333333333335E-005</v>
      </c>
      <c r="T178" s="27" t="n">
        <f aca="true">FORECAST((N178-M178),OFFSET($Z$1:$Z$200,MATCH((N178-M178),$Y$1:$Y$200,-1)-1,0,2),OFFSET($Y$1:$Y$200,MATCH((N178-M178),$Y$1:$Y$200,-1)-1,0,2))</f>
        <v>1190.51420051845</v>
      </c>
      <c r="U178" s="27" t="n">
        <f aca="true">FORECAST((N178+M178),OFFSET($Z$1:$Z$200,MATCH((N178+M178),$Y$1:$Y$200,-1)-1,0,2),OFFSET($Y$1:$Y$200,MATCH((N178+M178),$Y$1:$Y$200,-1)-1,0,2))</f>
        <v>1091.38187114965</v>
      </c>
      <c r="V178" s="17"/>
      <c r="W178" s="17"/>
      <c r="X178" s="17"/>
      <c r="Y178" s="3" t="n">
        <v>1.5828</v>
      </c>
      <c r="Z178" s="3" t="n">
        <v>3640.7</v>
      </c>
    </row>
    <row r="179" customFormat="false" ht="15" hidden="false" customHeight="false" outlineLevel="0" collapsed="false">
      <c r="A179" s="3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24"/>
      <c r="M179" s="24"/>
      <c r="N179" s="42"/>
      <c r="O179" s="49"/>
      <c r="P179" s="38"/>
      <c r="Q179" s="1" t="n">
        <f aca="false">3.03*(0.001)</f>
        <v>0.00303</v>
      </c>
      <c r="R179" s="38"/>
      <c r="S179" s="40" t="n">
        <f aca="false">MAX(ABS(Q179-R179),ABS(Q180-R179),ABS(Q181-R179))</f>
        <v>0.00346</v>
      </c>
      <c r="T179" s="27"/>
      <c r="U179" s="27"/>
      <c r="V179" s="17"/>
      <c r="W179" s="17"/>
      <c r="X179" s="17"/>
      <c r="Y179" s="3" t="n">
        <v>1.5826</v>
      </c>
      <c r="Z179" s="3" t="n">
        <v>3733.7</v>
      </c>
    </row>
    <row r="180" customFormat="false" ht="15" hidden="false" customHeight="false" outlineLevel="0" collapsed="false">
      <c r="A180" s="36"/>
      <c r="B180" s="37"/>
      <c r="C180" s="37"/>
      <c r="D180" s="37"/>
      <c r="E180" s="37"/>
      <c r="F180" s="37"/>
      <c r="G180" s="37"/>
      <c r="H180" s="38"/>
      <c r="I180" s="38"/>
      <c r="J180" s="38"/>
      <c r="K180" s="37"/>
      <c r="L180" s="24"/>
      <c r="M180" s="24"/>
      <c r="N180" s="42"/>
      <c r="O180" s="49"/>
      <c r="P180" s="38"/>
      <c r="Q180" s="1" t="n">
        <f aca="false">3.04*(0.001)</f>
        <v>0.00304</v>
      </c>
      <c r="R180" s="38"/>
      <c r="S180" s="40" t="n">
        <f aca="false">MAX(ABS(Q180-R180),ABS(Q181-R180),ABS(Q182-R180))</f>
        <v>0.0035</v>
      </c>
      <c r="T180" s="27"/>
      <c r="U180" s="27"/>
      <c r="V180" s="17"/>
      <c r="W180" s="17"/>
      <c r="X180" s="17"/>
      <c r="Y180" s="3" t="n">
        <v>1.5824</v>
      </c>
      <c r="Z180" s="3" t="n">
        <v>3830</v>
      </c>
    </row>
    <row r="181" customFormat="false" ht="15" hidden="false" customHeight="false" outlineLevel="0" collapsed="false">
      <c r="A181" s="36"/>
      <c r="B181" s="37"/>
      <c r="C181" s="37"/>
      <c r="D181" s="37"/>
      <c r="E181" s="37"/>
      <c r="F181" s="37"/>
      <c r="G181" s="37"/>
      <c r="H181" s="38"/>
      <c r="I181" s="38" t="n">
        <v>226</v>
      </c>
      <c r="J181" s="38" t="n">
        <v>0</v>
      </c>
      <c r="K181" s="37" t="n">
        <f aca="false">$B$3-(I181+J181/60)*PI()/180</f>
        <v>0.837758040957278</v>
      </c>
      <c r="L181" s="24" t="n">
        <f aca="false">2/(SIN($B$2)*SIN($B$2))*(SIN(K181-$G$13+$B$2)+COS($B$2)*SIN($G$13))</f>
        <v>3.32531126966524</v>
      </c>
      <c r="M181" s="5" t="n">
        <f aca="false">1/(2*SQRT(N181))*(ABS((2*SIN($G$13)*COS($G$13)+L181)*(COS($B$2)*COS($G$13)-COS(K181-$G$13+$B$2)))*$H$13+ABS(L181*COS(K181-$G$13+$B$2))*$K$11)</f>
        <v>0.000832628961235186</v>
      </c>
      <c r="N181" s="42" t="n">
        <f aca="false">SQRT(SIN($G$13)*SIN($G$13) + (SIN(K181-$G$13+$B$2)  + COS($B$2)*SIN($G$13) )* (SIN(K181-$G$13+$B$2)  + COS($B$2)*SIN($G$13) )/(SIN($B$2)*SIN($B$2))   )</f>
        <v>1.59488702836362</v>
      </c>
      <c r="O181" s="49" t="n">
        <f aca="true">FORECAST(N181,OFFSET($Z$1:$Z$200,MATCH(N181,$Y$1:$Y$200,-1)-1,0,2),OFFSET($Y$1:$Y$200,MATCH(N181,$Y$1:$Y$200,-1)-1,0,2))</f>
        <v>1318.74315636502</v>
      </c>
      <c r="P181" s="38"/>
      <c r="Q181" s="1" t="n">
        <f aca="false">3.46*(0.001)</f>
        <v>0.00346</v>
      </c>
      <c r="R181" s="38" t="n">
        <f aca="false">AVERAGE(Q181:Q183)</f>
        <v>0.00350333333333333</v>
      </c>
      <c r="S181" s="40" t="n">
        <f aca="false">MAX(ABS(Q181-R181),ABS(Q182-R181),ABS(Q183-R181))</f>
        <v>4.66666666666658E-005</v>
      </c>
      <c r="T181" s="27" t="n">
        <f aca="true">FORECAST((N181-M181),OFFSET($Z$1:$Z$200,MATCH((N181-M181),$Y$1:$Y$200,-1)-1,0,2),OFFSET($Y$1:$Y$200,MATCH((N181-M181),$Y$1:$Y$200,-1)-1,0,2))</f>
        <v>1388.09204183343</v>
      </c>
      <c r="U181" s="27" t="n">
        <f aca="true">FORECAST((N181+M181),OFFSET($Z$1:$Z$200,MATCH((N181+M181),$Y$1:$Y$200,-1)-1,0,2),OFFSET($Y$1:$Y$200,MATCH((N181+M181),$Y$1:$Y$200,-1)-1,0,2))</f>
        <v>1252.0299840756</v>
      </c>
      <c r="V181" s="17"/>
      <c r="W181" s="17"/>
      <c r="X181" s="17"/>
      <c r="Y181" s="3" t="n">
        <v>1.5821</v>
      </c>
      <c r="Z181" s="3" t="n">
        <v>3929.8</v>
      </c>
    </row>
    <row r="182" customFormat="false" ht="15" hidden="false" customHeight="false" outlineLevel="0" collapsed="false">
      <c r="A182" s="3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24"/>
      <c r="M182" s="24"/>
      <c r="N182" s="42"/>
      <c r="O182" s="49"/>
      <c r="P182" s="38"/>
      <c r="Q182" s="1" t="n">
        <f aca="false">3.5*(0.001)</f>
        <v>0.0035</v>
      </c>
      <c r="R182" s="38"/>
      <c r="S182" s="40" t="n">
        <f aca="false">MAX(ABS(Q182-R182),ABS(Q183-R182),ABS(Q184-R182))</f>
        <v>0.00355</v>
      </c>
      <c r="T182" s="27"/>
      <c r="U182" s="27"/>
      <c r="V182" s="17"/>
      <c r="W182" s="17"/>
      <c r="X182" s="17"/>
      <c r="Y182" s="3" t="n">
        <v>1.5819</v>
      </c>
      <c r="Z182" s="3" t="n">
        <v>4033.1</v>
      </c>
    </row>
    <row r="183" customFormat="false" ht="15" hidden="false" customHeight="false" outlineLevel="0" collapsed="false">
      <c r="A183" s="36"/>
      <c r="B183" s="37"/>
      <c r="C183" s="37"/>
      <c r="D183" s="37"/>
      <c r="E183" s="37"/>
      <c r="F183" s="37"/>
      <c r="G183" s="37"/>
      <c r="H183" s="38"/>
      <c r="I183" s="38"/>
      <c r="J183" s="38"/>
      <c r="K183" s="37"/>
      <c r="L183" s="24"/>
      <c r="M183" s="24"/>
      <c r="N183" s="42"/>
      <c r="O183" s="49"/>
      <c r="P183" s="38"/>
      <c r="Q183" s="1" t="n">
        <f aca="false">3.55*(0.001)</f>
        <v>0.00355</v>
      </c>
      <c r="R183" s="38"/>
      <c r="S183" s="40" t="n">
        <f aca="false">MAX(ABS(Q183-R183),ABS(Q184-R183),ABS(Q185-R183))</f>
        <v>0.00355</v>
      </c>
      <c r="T183" s="27"/>
      <c r="U183" s="27"/>
      <c r="V183" s="17"/>
      <c r="W183" s="17"/>
      <c r="X183" s="17"/>
      <c r="Y183" s="3" t="n">
        <v>1.5817</v>
      </c>
      <c r="Z183" s="3" t="n">
        <v>4140.1</v>
      </c>
    </row>
    <row r="184" customFormat="false" ht="15" hidden="false" customHeight="false" outlineLevel="0" collapsed="false">
      <c r="A184" s="36"/>
      <c r="B184" s="37"/>
      <c r="C184" s="37"/>
      <c r="D184" s="37"/>
      <c r="E184" s="37"/>
      <c r="F184" s="37"/>
      <c r="G184" s="37"/>
      <c r="H184" s="38"/>
      <c r="I184" s="38" t="n">
        <v>226</v>
      </c>
      <c r="J184" s="38" t="n">
        <v>10</v>
      </c>
      <c r="K184" s="37" t="n">
        <f aca="false">$B$3-(I184+J184/60)*PI()/180</f>
        <v>0.834849158870621</v>
      </c>
      <c r="L184" s="24" t="n">
        <f aca="false">2/(SIN($B$2)*SIN($B$2))*(SIN(K184-$G$13+$B$2)+COS($B$2)*SIN($G$13))</f>
        <v>3.32198605135127</v>
      </c>
      <c r="M184" s="5" t="n">
        <f aca="false">1/(2*SQRT(N184))*(ABS((2*SIN($G$13)*COS($G$13)+L184)*(COS($B$2)*COS($G$13)-COS(K184-$G$13+$B$2)))*$H$13+ABS(L184*COS(K184-$G$13+$B$2))*$K$11)</f>
        <v>0.000860984562778785</v>
      </c>
      <c r="N184" s="42" t="n">
        <f aca="false">SQRT(SIN($G$13)*SIN($G$13) + (SIN(K184-$G$13+$B$2)  + COS($B$2)*SIN($G$13) )* (SIN(K184-$G$13+$B$2)  + COS($B$2)*SIN($G$13) )/(SIN($B$2)*SIN($B$2))   )</f>
        <v>1.59358720712716</v>
      </c>
      <c r="O184" s="31" t="n">
        <f aca="true">FORECAST(N184,OFFSET($Z$1:$Z$200,MATCH(N184,$Y$1:$Y$200,-1)-1,0,2),OFFSET($Y$1:$Y$200,MATCH(N184,$Y$1:$Y$200,-1)-1,0,2))</f>
        <v>1433.02000888531</v>
      </c>
      <c r="P184" s="38"/>
      <c r="Q184" s="32" t="n">
        <f aca="false">3.49*(0.001)</f>
        <v>0.00349</v>
      </c>
      <c r="R184" s="38" t="n">
        <f aca="false">AVERAGE(Q184:Q186)</f>
        <v>0.00351</v>
      </c>
      <c r="S184" s="40" t="n">
        <f aca="false">MAX(ABS(Q184-R184),ABS(Q185-R184),ABS(Q186-R184))</f>
        <v>2.99999999999996E-005</v>
      </c>
      <c r="T184" s="27" t="n">
        <f aca="true">FORECAST((N184-M184),OFFSET($Z$1:$Z$200,MATCH((N184-M184),$Y$1:$Y$200,-1)-1,0,2),OFFSET($Y$1:$Y$200,MATCH((N184-M184),$Y$1:$Y$200,-1)-1,0,2))</f>
        <v>1519.17434219932</v>
      </c>
      <c r="U184" s="27" t="n">
        <f aca="true">FORECAST((N184+M184),OFFSET($Z$1:$Z$200,MATCH((N184+M184),$Y$1:$Y$200,-1)-1,0,2),OFFSET($Y$1:$Y$200,MATCH((N184+M184),$Y$1:$Y$200,-1)-1,0,2))</f>
        <v>1352.5808310062</v>
      </c>
      <c r="V184" s="17"/>
      <c r="W184" s="17"/>
      <c r="X184" s="0" t="n">
        <f aca="false">MAX(T184-O184,O184-U184)</f>
        <v>86.1543333140157</v>
      </c>
      <c r="Y184" s="3" t="n">
        <v>1.5814</v>
      </c>
      <c r="Z184" s="3" t="n">
        <v>4251.1</v>
      </c>
    </row>
    <row r="185" customFormat="false" ht="15" hidden="false" customHeight="false" outlineLevel="0" collapsed="false">
      <c r="A185" s="3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24"/>
      <c r="M185" s="24"/>
      <c r="N185" s="42"/>
      <c r="O185" s="31"/>
      <c r="P185" s="38"/>
      <c r="Q185" s="32" t="n">
        <f aca="false">3.5*(0.001)</f>
        <v>0.0035</v>
      </c>
      <c r="R185" s="38"/>
      <c r="S185" s="40" t="n">
        <f aca="false">MAX(ABS(Q185-R185),ABS(Q186-R185),ABS(Q187-R185))</f>
        <v>0.00354</v>
      </c>
      <c r="T185" s="27"/>
      <c r="U185" s="27"/>
      <c r="V185" s="17"/>
      <c r="W185" s="17"/>
      <c r="X185" s="17"/>
      <c r="Y185" s="3" t="n">
        <v>1.5812</v>
      </c>
      <c r="Z185" s="3" t="n">
        <v>4366</v>
      </c>
    </row>
    <row r="186" customFormat="false" ht="15" hidden="false" customHeight="false" outlineLevel="0" collapsed="false">
      <c r="A186" s="36"/>
      <c r="B186" s="37"/>
      <c r="C186" s="37"/>
      <c r="D186" s="37"/>
      <c r="E186" s="37"/>
      <c r="F186" s="37"/>
      <c r="G186" s="37"/>
      <c r="H186" s="38"/>
      <c r="I186" s="38"/>
      <c r="J186" s="38"/>
      <c r="K186" s="37"/>
      <c r="L186" s="24"/>
      <c r="M186" s="24"/>
      <c r="N186" s="42"/>
      <c r="O186" s="31"/>
      <c r="P186" s="38"/>
      <c r="Q186" s="32" t="n">
        <f aca="false">3.54*(0.001)</f>
        <v>0.00354</v>
      </c>
      <c r="R186" s="38"/>
      <c r="S186" s="40" t="n">
        <f aca="false">MAX(ABS(Q186-R186),ABS(Q187-R186),ABS(Q188-R186))</f>
        <v>0.00354</v>
      </c>
      <c r="T186" s="27"/>
      <c r="U186" s="27"/>
      <c r="V186" s="17"/>
      <c r="W186" s="17"/>
      <c r="X186" s="17"/>
      <c r="Y186" s="3" t="n">
        <v>1.581</v>
      </c>
      <c r="Z186" s="3" t="n">
        <v>4485.2</v>
      </c>
    </row>
    <row r="187" customFormat="false" ht="15" hidden="false" customHeight="false" outlineLevel="0" collapsed="false">
      <c r="A187" s="36"/>
      <c r="B187" s="37"/>
      <c r="C187" s="37"/>
      <c r="D187" s="37"/>
      <c r="E187" s="37"/>
      <c r="F187" s="37"/>
      <c r="G187" s="37"/>
      <c r="H187" s="38"/>
      <c r="I187" s="38" t="n">
        <f aca="false">I172+1</f>
        <v>226</v>
      </c>
      <c r="J187" s="38" t="n">
        <v>19</v>
      </c>
      <c r="K187" s="37" t="n">
        <f aca="false">$B$3-(I187+J187/60)*PI()/180</f>
        <v>0.83223116499263</v>
      </c>
      <c r="L187" s="24" t="n">
        <f aca="false">2/(SIN($B$2)*SIN($B$2))*(SIN(K187-$G$13+$B$2)+COS($B$2)*SIN($G$13))</f>
        <v>3.31897593617709</v>
      </c>
      <c r="M187" s="5" t="n">
        <f aca="false">1/(2*SQRT(N187))*(ABS((2*SIN($G$13)*COS($G$13)+L187)*(COS($B$2)*COS($G$13)-COS(K187-$G$13+$B$2)))*$H$13+ABS(L187*COS(K187-$G$13+$B$2))*$K$11)</f>
        <v>0.000886450442717048</v>
      </c>
      <c r="N187" s="42" t="n">
        <f aca="false">SQRT(SIN($G$13)*SIN($G$13) + (SIN(K187-$G$13+$B$2)  + COS($B$2)*SIN($G$13) )* (SIN(K187-$G$13+$B$2)  + COS($B$2)*SIN($G$13) )/(SIN($B$2)*SIN($B$2))   )</f>
        <v>1.59241076685163</v>
      </c>
      <c r="O187" s="49" t="n">
        <f aca="true">FORECAST(N187,OFFSET($Z$1:$Z$200,MATCH(N187,$Y$1:$Y$200,-1)-1,0,2),OFFSET($Y$1:$Y$200,MATCH(N187,$Y$1:$Y$200,-1)-1,0,2))</f>
        <v>1549.17722641697</v>
      </c>
      <c r="P187" s="38"/>
      <c r="Q187" s="1" t="n">
        <f aca="false">3.05*(0.001)</f>
        <v>0.00305</v>
      </c>
      <c r="R187" s="38" t="n">
        <f aca="false">AVERAGE(Q187:Q189)</f>
        <v>0.00303</v>
      </c>
      <c r="S187" s="40" t="n">
        <f aca="false">MAX(ABS(Q187-R187),ABS(Q188-R187),ABS(Q189-R187))</f>
        <v>2E-005</v>
      </c>
      <c r="T187" s="27" t="n">
        <f aca="true">FORECAST((N187-M187),OFFSET($Z$1:$Z$200,MATCH((N187-M187),$Y$1:$Y$200,-1)-1,0,2),OFFSET($Y$1:$Y$200,MATCH((N187-M187),$Y$1:$Y$200,-1)-1,0,2))</f>
        <v>1654.68491172966</v>
      </c>
      <c r="U187" s="27" t="n">
        <f aca="true">FORECAST((N187+M187),OFFSET($Z$1:$Z$200,MATCH((N187+M187),$Y$1:$Y$200,-1)-1,0,2),OFFSET($Y$1:$Y$200,MATCH((N187+M187),$Y$1:$Y$200,-1)-1,0,2))</f>
        <v>1458.1114856295</v>
      </c>
      <c r="V187" s="17"/>
      <c r="W187" s="17"/>
      <c r="X187" s="17"/>
      <c r="Y187" s="3" t="n">
        <v>1.5807</v>
      </c>
      <c r="Z187" s="3" t="n">
        <v>4608.8</v>
      </c>
    </row>
    <row r="188" customFormat="false" ht="15" hidden="false" customHeight="false" outlineLevel="0" collapsed="false">
      <c r="A188" s="3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24"/>
      <c r="M188" s="24"/>
      <c r="N188" s="42"/>
      <c r="O188" s="49"/>
      <c r="P188" s="38"/>
      <c r="Q188" s="1" t="n">
        <f aca="false">3.03*(0.001)</f>
        <v>0.00303</v>
      </c>
      <c r="R188" s="38"/>
      <c r="S188" s="40" t="n">
        <f aca="false">MAX(ABS(Q188-R188),ABS(Q189-R188),ABS(Q190-R188))</f>
        <v>0.00303</v>
      </c>
      <c r="T188" s="27"/>
      <c r="U188" s="27"/>
      <c r="V188" s="17"/>
      <c r="W188" s="17"/>
      <c r="X188" s="17"/>
      <c r="Y188" s="3" t="n">
        <v>1.5805</v>
      </c>
      <c r="Z188" s="3" t="n">
        <v>4737</v>
      </c>
    </row>
    <row r="189" customFormat="false" ht="15" hidden="false" customHeight="false" outlineLevel="0" collapsed="false">
      <c r="A189" s="36"/>
      <c r="B189" s="37"/>
      <c r="C189" s="37"/>
      <c r="D189" s="37"/>
      <c r="E189" s="37"/>
      <c r="F189" s="37"/>
      <c r="G189" s="37"/>
      <c r="H189" s="38"/>
      <c r="I189" s="38"/>
      <c r="J189" s="38"/>
      <c r="K189" s="37"/>
      <c r="L189" s="24"/>
      <c r="M189" s="24"/>
      <c r="N189" s="42"/>
      <c r="O189" s="49"/>
      <c r="P189" s="38"/>
      <c r="Q189" s="1" t="n">
        <f aca="false">3.01*(0.001)</f>
        <v>0.00301</v>
      </c>
      <c r="R189" s="38"/>
      <c r="S189" s="40" t="n">
        <f aca="false">MAX(ABS(Q189-R189),ABS(Q190-R189),ABS(Q191-R189))</f>
        <v>0.00301</v>
      </c>
      <c r="T189" s="27"/>
      <c r="U189" s="27"/>
      <c r="V189" s="17"/>
      <c r="W189" s="17"/>
      <c r="X189" s="17"/>
      <c r="Y189" s="3" t="n">
        <v>1.5803</v>
      </c>
      <c r="Z189" s="3" t="n">
        <v>4869.9</v>
      </c>
    </row>
    <row r="190" customFormat="false" ht="15" hidden="false" customHeight="false" outlineLevel="0" collapsed="false">
      <c r="A190" s="36"/>
      <c r="B190" s="37"/>
      <c r="C190" s="37"/>
      <c r="D190" s="37"/>
      <c r="E190" s="37"/>
      <c r="F190" s="37"/>
      <c r="G190" s="37"/>
      <c r="H190" s="38"/>
      <c r="I190" s="38" t="n">
        <f aca="false">I178+1</f>
        <v>226</v>
      </c>
      <c r="J190" s="38" t="n">
        <v>43</v>
      </c>
      <c r="K190" s="37" t="n">
        <f aca="false">$B$3-(I190+J190/60)*PI()/180</f>
        <v>0.825249847984652</v>
      </c>
      <c r="L190" s="24" t="n">
        <f aca="false">2/(SIN($B$2)*SIN($B$2))*(SIN(K190-$G$13+$B$2)+COS($B$2)*SIN($G$13))</f>
        <v>3.31086844730901</v>
      </c>
      <c r="M190" s="5" t="n">
        <f aca="false">1/(2*SQRT(N190))*(ABS((2*SIN($G$13)*COS($G$13)+L190)*(COS($B$2)*COS($G$13)-COS(K190-$G$13+$B$2)))*$H$13+ABS(L190*COS(K190-$G$13+$B$2))*$K$11)</f>
        <v>0.000954106264191472</v>
      </c>
      <c r="N190" s="42" t="n">
        <f aca="false">SQRT(SIN($G$13)*SIN($G$13) + (SIN(K190-$G$13+$B$2)  + COS($B$2)*SIN($G$13) )* (SIN(K190-$G$13+$B$2)  + COS($B$2)*SIN($G$13) )/(SIN($B$2)*SIN($B$2))   )</f>
        <v>1.58924311068098</v>
      </c>
      <c r="O190" s="49" t="n">
        <f aca="true">FORECAST(N190,OFFSET($Z$1:$Z$200,MATCH(N190,$Y$1:$Y$200,-1)-1,0,2),OFFSET($Y$1:$Y$200,MATCH(N190,$Y$1:$Y$200,-1)-1,0,2))</f>
        <v>1979.08052595408</v>
      </c>
      <c r="P190" s="38"/>
      <c r="Q190" s="1" t="n">
        <f aca="false">2.26*(0.001)</f>
        <v>0.00226</v>
      </c>
      <c r="R190" s="38" t="n">
        <f aca="false">AVERAGE(Q190:Q192)</f>
        <v>0.00229</v>
      </c>
      <c r="S190" s="40" t="n">
        <f aca="false">MAX(ABS(Q190-R190),ABS(Q191-R190),ABS(Q192-R190))</f>
        <v>3.00000000000001E-005</v>
      </c>
      <c r="T190" s="27" t="n">
        <f aca="true">FORECAST((N190-M190),OFFSET($Z$1:$Z$200,MATCH((N190-M190),$Y$1:$Y$200,-1)-1,0,2),OFFSET($Y$1:$Y$200,MATCH((N190-M190),$Y$1:$Y$200,-1)-1,0,2))</f>
        <v>2142.89837134363</v>
      </c>
      <c r="U190" s="27" t="n">
        <f aca="true">FORECAST((N190+M190),OFFSET($Z$1:$Z$200,MATCH((N190+M190),$Y$1:$Y$200,-1)-1,0,2),OFFSET($Y$1:$Y$200,MATCH((N190+M190),$Y$1:$Y$200,-1)-1,0,2))</f>
        <v>1827.67033626586</v>
      </c>
      <c r="V190" s="17"/>
      <c r="W190" s="17"/>
      <c r="X190" s="17"/>
      <c r="Y190" s="3" t="n">
        <v>1.5801</v>
      </c>
      <c r="Z190" s="3" t="n">
        <v>5007.9</v>
      </c>
    </row>
    <row r="191" customFormat="false" ht="15" hidden="false" customHeight="false" outlineLevel="0" collapsed="false">
      <c r="A191" s="3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24"/>
      <c r="M191" s="24"/>
      <c r="N191" s="42"/>
      <c r="O191" s="49"/>
      <c r="P191" s="38"/>
      <c r="Q191" s="1" t="n">
        <f aca="false">2.31*(0.001)</f>
        <v>0.00231</v>
      </c>
      <c r="R191" s="38"/>
      <c r="S191" s="40" t="n">
        <f aca="false">MAX(ABS(Q191-R191),ABS(Q192-R191),ABS(Q193-R191))</f>
        <v>0.00231</v>
      </c>
      <c r="T191" s="27"/>
      <c r="U191" s="27"/>
      <c r="V191" s="17"/>
      <c r="W191" s="17"/>
      <c r="X191" s="17"/>
      <c r="Y191" s="3" t="n">
        <v>1.5798</v>
      </c>
      <c r="Z191" s="3" t="n">
        <v>5151.1</v>
      </c>
    </row>
    <row r="192" customFormat="false" ht="15" hidden="false" customHeight="false" outlineLevel="0" collapsed="false">
      <c r="A192" s="36"/>
      <c r="B192" s="37"/>
      <c r="C192" s="37"/>
      <c r="D192" s="37"/>
      <c r="E192" s="37"/>
      <c r="F192" s="37"/>
      <c r="G192" s="37"/>
      <c r="H192" s="38"/>
      <c r="I192" s="38"/>
      <c r="J192" s="38"/>
      <c r="K192" s="37"/>
      <c r="L192" s="24"/>
      <c r="M192" s="24"/>
      <c r="N192" s="42"/>
      <c r="O192" s="49"/>
      <c r="P192" s="38"/>
      <c r="Q192" s="1" t="n">
        <f aca="false">2.3*(0.001)</f>
        <v>0.0023</v>
      </c>
      <c r="R192" s="38"/>
      <c r="S192" s="40" t="n">
        <f aca="false">MAX(ABS(Q192-R192),ABS(Q193-R192),ABS(Q194-R192))</f>
        <v>0.0023</v>
      </c>
      <c r="T192" s="27"/>
      <c r="U192" s="27"/>
      <c r="V192" s="17"/>
      <c r="W192" s="17"/>
      <c r="X192" s="17"/>
      <c r="Y192" s="3" t="n">
        <v>1.5796</v>
      </c>
      <c r="Z192" s="3" t="n">
        <v>5299.7</v>
      </c>
    </row>
    <row r="193" customFormat="false" ht="15" hidden="false" customHeight="false" outlineLevel="0" collapsed="false">
      <c r="A193" s="36"/>
      <c r="B193" s="37"/>
      <c r="C193" s="37"/>
      <c r="D193" s="37"/>
      <c r="E193" s="37"/>
      <c r="F193" s="37"/>
      <c r="G193" s="37"/>
      <c r="H193" s="38"/>
      <c r="I193" s="38" t="n">
        <f aca="false">I187+1</f>
        <v>227</v>
      </c>
      <c r="J193" s="38" t="n">
        <v>21</v>
      </c>
      <c r="K193" s="37" t="n">
        <f aca="false">$B$3-(I193+J193/60)*PI()/180</f>
        <v>0.814196096055355</v>
      </c>
      <c r="L193" s="24" t="n">
        <f aca="false">2/(SIN($B$2)*SIN($B$2))*(SIN(K193-$G$13+$B$2)+COS($B$2)*SIN($G$13))</f>
        <v>3.29779287831214</v>
      </c>
      <c r="M193" s="5" t="n">
        <f aca="false">1/(2*SQRT(N193))*(ABS((2*SIN($G$13)*COS($G$13)+L193)*(COS($B$2)*COS($G$13)-COS(K193-$G$13+$B$2)))*$H$13+ABS(L193*COS(K193-$G$13+$B$2))*$K$11)</f>
        <v>0.0010604633779757</v>
      </c>
      <c r="N193" s="42" t="n">
        <f aca="false">SQRT(SIN($G$13)*SIN($G$13) + (SIN(K193-$G$13+$B$2)  + COS($B$2)*SIN($G$13) )* (SIN(K193-$G$13+$B$2)  + COS($B$2)*SIN($G$13) )/(SIN($B$2)*SIN($B$2))   )</f>
        <v>1.58413743517038</v>
      </c>
      <c r="O193" s="49" t="n">
        <f aca="true">FORECAST(N193,OFFSET($Z$1:$Z$200,MATCH(N193,$Y$1:$Y$200,-1)-1,0,2),OFFSET($Y$1:$Y$200,MATCH(N193,$Y$1:$Y$200,-1)-1,0,2))</f>
        <v>3168.4120704258</v>
      </c>
      <c r="P193" s="38"/>
      <c r="Q193" s="1" t="n">
        <f aca="false">1.11*(0.001)</f>
        <v>0.00111</v>
      </c>
      <c r="R193" s="38" t="n">
        <f aca="false">AVERAGE(Q193:Q195)</f>
        <v>0.00108</v>
      </c>
      <c r="S193" s="40" t="n">
        <f aca="false">MAX(ABS(Q193-R193),ABS(Q194-R193),ABS(Q195-R193))</f>
        <v>3.00000000000001E-005</v>
      </c>
      <c r="T193" s="27" t="n">
        <f aca="true">FORECAST((N193-M193),OFFSET($Z$1:$Z$200,MATCH((N193-M193),$Y$1:$Y$200,-1)-1,0,2),OFFSET($Y$1:$Y$200,MATCH((N193-M193),$Y$1:$Y$200,-1)-1,0,2))</f>
        <v>3557.70078620928</v>
      </c>
      <c r="U193" s="27" t="n">
        <f aca="true">FORECAST((N193+M193),OFFSET($Z$1:$Z$200,MATCH((N193+M193),$Y$1:$Y$200,-1)-1,0,2),OFFSET($Y$1:$Y$200,MATCH((N193+M193),$Y$1:$Y$200,-1)-1,0,2))</f>
        <v>2844.31707780236</v>
      </c>
      <c r="V193" s="17"/>
      <c r="W193" s="17"/>
      <c r="X193" s="17"/>
      <c r="Y193" s="3" t="n">
        <v>1.5794</v>
      </c>
      <c r="Z193" s="3" t="n">
        <v>5454</v>
      </c>
    </row>
    <row r="194" customFormat="false" ht="15" hidden="false" customHeight="false" outlineLevel="0" collapsed="false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24"/>
      <c r="M194" s="5"/>
      <c r="N194" s="42"/>
      <c r="O194" s="49"/>
      <c r="P194" s="38"/>
      <c r="Q194" s="1" t="n">
        <f aca="false">1.07*(0.001)</f>
        <v>0.00107</v>
      </c>
      <c r="R194" s="38"/>
      <c r="S194" s="40" t="n">
        <f aca="false">MAX(ABS(Q194-R194),ABS(Q195-R194),ABS(Q196-R194))</f>
        <v>0.00107</v>
      </c>
      <c r="T194" s="27"/>
      <c r="U194" s="27"/>
      <c r="V194" s="17"/>
      <c r="W194" s="17"/>
      <c r="X194" s="17"/>
      <c r="Y194" s="3" t="n">
        <v>1.5791</v>
      </c>
      <c r="Z194" s="3" t="n">
        <v>5614.2</v>
      </c>
    </row>
    <row r="195" customFormat="false" ht="15" hidden="false" customHeight="false" outlineLevel="0" collapsed="false">
      <c r="A195" s="36"/>
      <c r="B195" s="37"/>
      <c r="C195" s="37"/>
      <c r="D195" s="37"/>
      <c r="E195" s="37"/>
      <c r="F195" s="37"/>
      <c r="G195" s="37"/>
      <c r="H195" s="38"/>
      <c r="I195" s="38"/>
      <c r="J195" s="38"/>
      <c r="K195" s="37"/>
      <c r="L195" s="24"/>
      <c r="M195" s="5"/>
      <c r="N195" s="42"/>
      <c r="O195" s="49"/>
      <c r="P195" s="38"/>
      <c r="Q195" s="1" t="n">
        <f aca="false">1.06*(0.001)</f>
        <v>0.00106</v>
      </c>
      <c r="R195" s="38"/>
      <c r="S195" s="40" t="n">
        <f aca="false">MAX(ABS(Q195-R195),ABS(Q196-R195),ABS(Q197-R195))</f>
        <v>0.00106</v>
      </c>
      <c r="T195" s="27"/>
      <c r="U195" s="27"/>
      <c r="V195" s="17"/>
      <c r="W195" s="17"/>
      <c r="X195" s="17"/>
      <c r="Y195" s="3" t="n">
        <v>1.5789</v>
      </c>
      <c r="Z195" s="3" t="n">
        <v>5780.6</v>
      </c>
    </row>
    <row r="196" customFormat="false" ht="15" hidden="false" customHeight="false" outlineLevel="0" collapsed="false">
      <c r="A196" s="36"/>
      <c r="B196" s="37"/>
      <c r="C196" s="37"/>
      <c r="D196" s="37"/>
      <c r="E196" s="37"/>
      <c r="F196" s="37"/>
      <c r="G196" s="37"/>
      <c r="H196" s="38"/>
      <c r="I196" s="38" t="n">
        <f aca="false">I190+1</f>
        <v>227</v>
      </c>
      <c r="J196" s="38" t="n">
        <v>39</v>
      </c>
      <c r="K196" s="37" t="n">
        <f aca="false">$B$3-(I196+J196/60)*PI()/180</f>
        <v>0.808960108299372</v>
      </c>
      <c r="L196" s="24" t="n">
        <f aca="false">2/(SIN($B$2)*SIN($B$2))*(SIN(K196-$G$13+$B$2)+COS($B$2)*SIN($G$13))</f>
        <v>3.29149744741685</v>
      </c>
      <c r="M196" s="5" t="n">
        <f aca="false">1/(2*SQRT(N196))*(ABS((2*SIN($G$13)*COS($G$13)+L196)*(COS($B$2)*COS($G$13)-COS(K196-$G$13+$B$2)))*$H$13+ABS(L196*COS(K196-$G$13+$B$2))*$K$11)</f>
        <v>0.00111051046083224</v>
      </c>
      <c r="N196" s="42" t="n">
        <f aca="false">SQRT(SIN($G$13)*SIN($G$13) + (SIN(K196-$G$13+$B$2)  + COS($B$2)*SIN($G$13) )* (SIN(K196-$G$13+$B$2)  + COS($B$2)*SIN($G$13) )/(SIN($B$2)*SIN($B$2))   )</f>
        <v>1.58168058071248</v>
      </c>
      <c r="O196" s="49" t="n">
        <f aca="true">FORECAST(N196,OFFSET($Z$1:$Z$200,MATCH(N196,$Y$1:$Y$200,-1)-1,0,2),OFFSET($Y$1:$Y$200,MATCH(N196,$Y$1:$Y$200,-1)-1,0,2))</f>
        <v>4147.2851363843</v>
      </c>
      <c r="P196" s="38"/>
      <c r="Q196" s="1" t="n">
        <f aca="false">0.61*(0.001)</f>
        <v>0.00061</v>
      </c>
      <c r="R196" s="38" t="n">
        <f aca="false">AVERAGE(Q196:Q198)</f>
        <v>0.00063</v>
      </c>
      <c r="S196" s="40" t="n">
        <f aca="false">MAX(ABS(Q196-R196),ABS(Q197-R196),ABS(Q198-R196))</f>
        <v>2.00000000000002E-005</v>
      </c>
      <c r="T196" s="27" t="n">
        <f aca="true">FORECAST((N196-M196),OFFSET($Z$1:$Z$200,MATCH((N196-M196),$Y$1:$Y$200,-1)-1,0,2),OFFSET($Y$1:$Y$200,MATCH((N196-M196),$Y$1:$Y$200,-1)-1,0,2))</f>
        <v>4692.084968697</v>
      </c>
      <c r="U196" s="27" t="n">
        <f aca="true">FORECAST((N196+M196),OFFSET($Z$1:$Z$200,MATCH((N196+M196),$Y$1:$Y$200,-1)-1,0,2),OFFSET($Y$1:$Y$200,MATCH((N196+M196),$Y$1:$Y$200,-1)-1,0,2))</f>
        <v>3644.84260441215</v>
      </c>
      <c r="V196" s="17"/>
      <c r="W196" s="17"/>
      <c r="X196" s="17"/>
      <c r="Y196" s="3" t="n">
        <v>1.5787</v>
      </c>
      <c r="Z196" s="3" t="n">
        <v>5953.5</v>
      </c>
    </row>
    <row r="197" customFormat="false" ht="15" hidden="false" customHeight="false" outlineLevel="0" collapsed="false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24"/>
      <c r="M197" s="5"/>
      <c r="N197" s="42"/>
      <c r="O197" s="49"/>
      <c r="P197" s="38"/>
      <c r="Q197" s="1" t="n">
        <f aca="false">0.65*(0.001)</f>
        <v>0.00065</v>
      </c>
      <c r="R197" s="38"/>
      <c r="S197" s="40" t="n">
        <f aca="false">MAX(ABS(Q197-R197),ABS(Q198-R197),ABS(Q199-R197))</f>
        <v>0.00065</v>
      </c>
      <c r="T197" s="27"/>
      <c r="U197" s="27"/>
      <c r="V197" s="17"/>
      <c r="W197" s="17"/>
      <c r="X197" s="17"/>
      <c r="Y197" s="3" t="n">
        <v>1.5784</v>
      </c>
      <c r="Z197" s="3" t="n">
        <v>6133.2</v>
      </c>
    </row>
    <row r="198" customFormat="false" ht="15" hidden="false" customHeight="false" outlineLevel="0" collapsed="false">
      <c r="A198" s="36"/>
      <c r="B198" s="37"/>
      <c r="C198" s="37"/>
      <c r="D198" s="37"/>
      <c r="E198" s="37"/>
      <c r="F198" s="37"/>
      <c r="G198" s="37"/>
      <c r="H198" s="38"/>
      <c r="I198" s="38"/>
      <c r="J198" s="38"/>
      <c r="K198" s="37"/>
      <c r="L198" s="24"/>
      <c r="M198" s="5"/>
      <c r="N198" s="42"/>
      <c r="O198" s="49"/>
      <c r="P198" s="38"/>
      <c r="Q198" s="1" t="n">
        <f aca="false">0.63*(0.001)</f>
        <v>0.00063</v>
      </c>
      <c r="R198" s="38"/>
      <c r="S198" s="40" t="n">
        <f aca="false">MAX(ABS(Q198-R198),ABS(Q199-R198),ABS(Q200-R198))</f>
        <v>0.00063</v>
      </c>
      <c r="T198" s="27"/>
      <c r="U198" s="27"/>
      <c r="V198" s="17"/>
      <c r="W198" s="17"/>
      <c r="X198" s="17"/>
      <c r="Y198" s="3" t="n">
        <v>1.5782</v>
      </c>
      <c r="Z198" s="3" t="n">
        <v>6320</v>
      </c>
    </row>
    <row r="199" customFormat="false" ht="15" hidden="false" customHeight="false" outlineLevel="0" collapsed="false">
      <c r="A199" s="36"/>
      <c r="B199" s="37"/>
      <c r="C199" s="37"/>
      <c r="D199" s="37"/>
      <c r="E199" s="37"/>
      <c r="F199" s="37"/>
      <c r="G199" s="37"/>
      <c r="H199" s="38"/>
      <c r="I199" s="38" t="n">
        <f aca="false">I193+1</f>
        <v>228</v>
      </c>
      <c r="J199" s="38" t="n">
        <v>20</v>
      </c>
      <c r="K199" s="37" t="n">
        <f aca="false">$B$3-(I199+J199/60)*PI()/180</f>
        <v>0.797033691744077</v>
      </c>
      <c r="L199" s="24" t="n">
        <f aca="false">2/(SIN($B$2)*SIN($B$2))*(SIN(K199-$G$13+$B$2)+COS($B$2)*SIN($G$13))</f>
        <v>3.27691485607659</v>
      </c>
      <c r="M199" s="5" t="n">
        <f aca="false">1/(2*SQRT(N199))*(ABS((2*SIN($G$13)*COS($G$13)+L199)*(COS($B$2)*COS($G$13)-COS(K199-$G$13+$B$2)))*$H$13+ABS(L199*COS(K199-$G$13+$B$2))*$K$11)</f>
        <v>0.00122369263106593</v>
      </c>
      <c r="N199" s="42" t="n">
        <f aca="false">SQRT(SIN($G$13)*SIN($G$13) + (SIN(K199-$G$13+$B$2)  + COS($B$2)*SIN($G$13) )* (SIN(K199-$G$13+$B$2)  + COS($B$2)*SIN($G$13) )/(SIN($B$2)*SIN($B$2))   )</f>
        <v>1.57599297930937</v>
      </c>
      <c r="O199" s="49" t="e">
        <f aca="true">FORECAST(N199,OFFSET($Z$1:$Z$200,MATCH(N199,$Y$1:$Y$200,-1)-1,0,2),OFFSET($Y$1:$Y$200,MATCH(N199,$Y$1:$Y$200,-1)-1,0,2))</f>
        <v>#DIV/0!</v>
      </c>
      <c r="P199" s="38"/>
      <c r="Q199" s="1" t="n">
        <f aca="false">0.14*(0.001)</f>
        <v>0.00014</v>
      </c>
      <c r="R199" s="38" t="n">
        <f aca="false">AVERAGE(Q199:Q201)</f>
        <v>0.00015</v>
      </c>
      <c r="S199" s="17"/>
      <c r="T199" s="17"/>
      <c r="U199" s="17"/>
      <c r="V199" s="17"/>
      <c r="W199" s="17"/>
      <c r="X199" s="17"/>
      <c r="Y199" s="3" t="n">
        <v>1.578</v>
      </c>
      <c r="Z199" s="3" t="n">
        <v>6514.2</v>
      </c>
    </row>
    <row r="200" customFormat="false" ht="15" hidden="false" customHeight="false" outlineLevel="0" collapsed="false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24"/>
      <c r="M200" s="5"/>
      <c r="N200" s="42"/>
      <c r="O200" s="49"/>
      <c r="P200" s="38"/>
      <c r="Q200" s="1" t="n">
        <f aca="false">0.16*(0.001)</f>
        <v>0.00016</v>
      </c>
      <c r="R200" s="38"/>
      <c r="S200" s="17"/>
      <c r="T200" s="17"/>
      <c r="U200" s="17"/>
      <c r="V200" s="17"/>
      <c r="W200" s="17"/>
      <c r="X200" s="17"/>
      <c r="Y200" s="3" t="n">
        <v>1.5778</v>
      </c>
      <c r="Z200" s="3" t="n">
        <v>6716.1</v>
      </c>
    </row>
    <row r="201" customFormat="false" ht="15" hidden="false" customHeight="false" outlineLevel="0" collapsed="false">
      <c r="A201" s="36"/>
      <c r="B201" s="37"/>
      <c r="C201" s="37"/>
      <c r="D201" s="37"/>
      <c r="E201" s="37"/>
      <c r="F201" s="37"/>
      <c r="G201" s="37"/>
      <c r="H201" s="38"/>
      <c r="I201" s="38"/>
      <c r="J201" s="38"/>
      <c r="K201" s="37"/>
      <c r="L201" s="24"/>
      <c r="M201" s="5"/>
      <c r="N201" s="42"/>
      <c r="O201" s="49"/>
      <c r="P201" s="38"/>
      <c r="Q201" s="1" t="n">
        <f aca="false">0.15*(0.001)</f>
        <v>0.00015</v>
      </c>
      <c r="R201" s="38"/>
      <c r="S201" s="17"/>
      <c r="T201" s="17"/>
      <c r="U201" s="17"/>
      <c r="V201" s="17"/>
      <c r="W201" s="17"/>
      <c r="X201" s="17"/>
    </row>
    <row r="202" customFormat="false" ht="15" hidden="false" customHeight="false" outlineLevel="0" collapsed="false">
      <c r="A202" s="36"/>
      <c r="B202" s="37"/>
      <c r="C202" s="37"/>
      <c r="D202" s="37"/>
      <c r="E202" s="37"/>
      <c r="F202" s="37"/>
      <c r="G202" s="37"/>
      <c r="H202" s="38"/>
      <c r="I202" s="38" t="n">
        <f aca="false">I196+1</f>
        <v>228</v>
      </c>
      <c r="J202" s="38" t="n">
        <v>43</v>
      </c>
      <c r="K202" s="37" t="n">
        <f aca="false">$B$3-(I202+J202/60)*PI()/180</f>
        <v>0.790343262944766</v>
      </c>
      <c r="L202" s="24" t="n">
        <f aca="false">2/(SIN($B$2)*SIN($B$2))*(SIN(K202-$G$13+$B$2)+COS($B$2)*SIN($G$13))</f>
        <v>3.26858711527173</v>
      </c>
      <c r="M202" s="5" t="n">
        <f aca="false">1/(2*SQRT(N202))*(ABS((2*SIN($G$13)*COS($G$13)+L202)*(COS($B$2)*COS($G$13)-COS(K202-$G$13+$B$2)))*$H$13+ABS(L202*COS(K202-$G$13+$B$2))*$K$11)</f>
        <v>0.00128668171151509</v>
      </c>
      <c r="N202" s="42" t="n">
        <f aca="false">SQRT(SIN($G$13)*SIN($G$13) + (SIN(K202-$G$13+$B$2)  + COS($B$2)*SIN($G$13) )* (SIN(K202-$G$13+$B$2)  + COS($B$2)*SIN($G$13) )/(SIN($B$2)*SIN($B$2))   )</f>
        <v>1.57274708316677</v>
      </c>
      <c r="O202" s="49" t="e">
        <f aca="true">FORECAST(N202,OFFSET($Z$1:$Z$200,MATCH(N202,$Y$1:$Y$200,-1)-1,0,2),OFFSET($Y$1:$Y$200,MATCH(N202,$Y$1:$Y$200,-1)-1,0,2))</f>
        <v>#DIV/0!</v>
      </c>
      <c r="P202" s="38"/>
      <c r="Q202" s="1" t="n">
        <f aca="false">0.05*(0.001)</f>
        <v>5E-005</v>
      </c>
      <c r="R202" s="38" t="n">
        <f aca="false">AVERAGE(Q202:Q204)</f>
        <v>6E-005</v>
      </c>
      <c r="S202" s="17"/>
      <c r="T202" s="17"/>
      <c r="U202" s="17"/>
      <c r="V202" s="17"/>
      <c r="W202" s="17"/>
      <c r="X202" s="17"/>
    </row>
    <row r="203" customFormat="false" ht="15" hidden="false" customHeight="false" outlineLevel="0" collapsed="false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24"/>
      <c r="M203" s="5"/>
      <c r="N203" s="42"/>
      <c r="O203" s="49"/>
      <c r="P203" s="38"/>
      <c r="Q203" s="1" t="n">
        <f aca="false">0.06*(0.001)</f>
        <v>6E-005</v>
      </c>
      <c r="R203" s="38"/>
      <c r="S203" s="17"/>
      <c r="T203" s="17"/>
      <c r="U203" s="17"/>
      <c r="V203" s="17"/>
      <c r="W203" s="17"/>
      <c r="X203" s="17"/>
    </row>
    <row r="204" customFormat="false" ht="15" hidden="false" customHeight="false" outlineLevel="0" collapsed="false">
      <c r="A204" s="36"/>
      <c r="B204" s="37"/>
      <c r="C204" s="37"/>
      <c r="D204" s="37"/>
      <c r="E204" s="37"/>
      <c r="F204" s="37"/>
      <c r="G204" s="37"/>
      <c r="H204" s="38"/>
      <c r="I204" s="38"/>
      <c r="J204" s="38"/>
      <c r="K204" s="37"/>
      <c r="L204" s="24"/>
      <c r="M204" s="5"/>
      <c r="N204" s="42"/>
      <c r="O204" s="49"/>
      <c r="P204" s="38"/>
      <c r="Q204" s="1" t="n">
        <f aca="false">0.07*(0.001)</f>
        <v>7E-005</v>
      </c>
      <c r="R204" s="38"/>
      <c r="S204" s="17"/>
      <c r="T204" s="17"/>
      <c r="U204" s="17"/>
      <c r="V204" s="17"/>
      <c r="W204" s="17"/>
      <c r="X204" s="17"/>
    </row>
    <row r="205" customFormat="false" ht="15" hidden="false" customHeight="false" outlineLevel="0" collapsed="false">
      <c r="A205" s="36"/>
      <c r="B205" s="37"/>
      <c r="C205" s="37"/>
      <c r="D205" s="37"/>
      <c r="E205" s="37"/>
      <c r="F205" s="37"/>
      <c r="G205" s="37"/>
      <c r="S205" s="51"/>
      <c r="T205" s="51"/>
      <c r="U205" s="51"/>
      <c r="V205" s="51"/>
      <c r="W205" s="51"/>
      <c r="X205" s="51"/>
    </row>
    <row r="206" customFormat="false" ht="15" hidden="false" customHeight="false" outlineLevel="0" collapsed="false">
      <c r="A206" s="36"/>
      <c r="B206" s="37"/>
      <c r="C206" s="37"/>
      <c r="D206" s="37"/>
      <c r="E206" s="37"/>
      <c r="F206" s="37"/>
      <c r="G206" s="37"/>
      <c r="S206" s="51"/>
      <c r="T206" s="51"/>
      <c r="U206" s="51"/>
      <c r="V206" s="51"/>
      <c r="W206" s="51"/>
      <c r="X206" s="51"/>
    </row>
    <row r="207" customFormat="false" ht="15" hidden="false" customHeight="false" outlineLevel="0" collapsed="false">
      <c r="A207" s="36"/>
      <c r="B207" s="37"/>
      <c r="C207" s="37"/>
      <c r="D207" s="37"/>
      <c r="E207" s="37"/>
      <c r="F207" s="37"/>
      <c r="G207" s="37"/>
      <c r="S207" s="51"/>
      <c r="T207" s="51"/>
      <c r="U207" s="51"/>
      <c r="V207" s="51"/>
      <c r="W207" s="51"/>
      <c r="X207" s="51"/>
    </row>
    <row r="208" customFormat="false" ht="15" hidden="false" customHeight="false" outlineLevel="0" collapsed="false">
      <c r="A208" s="36"/>
      <c r="B208" s="37"/>
      <c r="C208" s="37"/>
      <c r="D208" s="37"/>
      <c r="E208" s="37"/>
      <c r="F208" s="37"/>
      <c r="G208" s="37"/>
      <c r="S208" s="51"/>
      <c r="T208" s="51"/>
      <c r="U208" s="51"/>
      <c r="V208" s="51"/>
      <c r="W208" s="51"/>
      <c r="X208" s="51"/>
    </row>
    <row r="209" customFormat="false" ht="15" hidden="false" customHeight="false" outlineLevel="0" collapsed="false">
      <c r="A209" s="36"/>
      <c r="B209" s="37"/>
      <c r="C209" s="37"/>
      <c r="D209" s="37"/>
      <c r="E209" s="37"/>
      <c r="F209" s="37"/>
      <c r="G209" s="37"/>
    </row>
    <row r="210" customFormat="false" ht="15" hidden="false" customHeight="false" outlineLevel="0" collapsed="false">
      <c r="A210" s="36"/>
      <c r="B210" s="37"/>
      <c r="C210" s="37"/>
      <c r="D210" s="37"/>
      <c r="E210" s="37"/>
      <c r="F210" s="37"/>
      <c r="G210" s="38"/>
    </row>
  </sheetData>
  <mergeCells count="814">
    <mergeCell ref="AH1:AH3"/>
    <mergeCell ref="AI1:AI3"/>
    <mergeCell ref="AL3:AL5"/>
    <mergeCell ref="AH4:AH6"/>
    <mergeCell ref="AI4:AI6"/>
    <mergeCell ref="AL6:AL8"/>
    <mergeCell ref="AH7:AH9"/>
    <mergeCell ref="AI7:AI9"/>
    <mergeCell ref="AH10:AH12"/>
    <mergeCell ref="AI10:AI12"/>
    <mergeCell ref="A13:A72"/>
    <mergeCell ref="B13:B72"/>
    <mergeCell ref="C13:C72"/>
    <mergeCell ref="D13:D72"/>
    <mergeCell ref="E13:E72"/>
    <mergeCell ref="F13:F72"/>
    <mergeCell ref="G13:G72"/>
    <mergeCell ref="H13:H72"/>
    <mergeCell ref="I13:I15"/>
    <mergeCell ref="J13:J15"/>
    <mergeCell ref="K13:K15"/>
    <mergeCell ref="L13:L15"/>
    <mergeCell ref="M13:M15"/>
    <mergeCell ref="N13:N15"/>
    <mergeCell ref="O13:O15"/>
    <mergeCell ref="P13:P15"/>
    <mergeCell ref="R13:R15"/>
    <mergeCell ref="S13:S15"/>
    <mergeCell ref="AH13:AH15"/>
    <mergeCell ref="AI13:AI15"/>
    <mergeCell ref="I16:I18"/>
    <mergeCell ref="J16:J18"/>
    <mergeCell ref="K16:K18"/>
    <mergeCell ref="L16:L18"/>
    <mergeCell ref="M16:M18"/>
    <mergeCell ref="N16:N18"/>
    <mergeCell ref="O16:O18"/>
    <mergeCell ref="P16:P18"/>
    <mergeCell ref="R16:R18"/>
    <mergeCell ref="S16:S18"/>
    <mergeCell ref="T16:T18"/>
    <mergeCell ref="U16:U18"/>
    <mergeCell ref="AH16:AH18"/>
    <mergeCell ref="AI16:AI18"/>
    <mergeCell ref="I19:I21"/>
    <mergeCell ref="J19:J21"/>
    <mergeCell ref="K19:K21"/>
    <mergeCell ref="L19:L21"/>
    <mergeCell ref="M19:M21"/>
    <mergeCell ref="N19:N21"/>
    <mergeCell ref="O19:O21"/>
    <mergeCell ref="P19:P21"/>
    <mergeCell ref="R19:R21"/>
    <mergeCell ref="S19:S21"/>
    <mergeCell ref="T19:T21"/>
    <mergeCell ref="U19:U21"/>
    <mergeCell ref="AH19:AH21"/>
    <mergeCell ref="AI19:AI21"/>
    <mergeCell ref="I22:I24"/>
    <mergeCell ref="J22:J24"/>
    <mergeCell ref="K22:K24"/>
    <mergeCell ref="L22:L24"/>
    <mergeCell ref="M22:M24"/>
    <mergeCell ref="N22:N24"/>
    <mergeCell ref="O22:O24"/>
    <mergeCell ref="P22:P24"/>
    <mergeCell ref="R22:R24"/>
    <mergeCell ref="S22:S24"/>
    <mergeCell ref="T22:T24"/>
    <mergeCell ref="U22:U24"/>
    <mergeCell ref="AH22:AH24"/>
    <mergeCell ref="AI22:AI24"/>
    <mergeCell ref="I25:I27"/>
    <mergeCell ref="J25:J27"/>
    <mergeCell ref="K25:K27"/>
    <mergeCell ref="L25:L27"/>
    <mergeCell ref="M25:M27"/>
    <mergeCell ref="N25:N27"/>
    <mergeCell ref="O25:O27"/>
    <mergeCell ref="P25:P27"/>
    <mergeCell ref="R25:R27"/>
    <mergeCell ref="S25:S27"/>
    <mergeCell ref="T25:T27"/>
    <mergeCell ref="U25:U27"/>
    <mergeCell ref="AH25:AH27"/>
    <mergeCell ref="AI25:AI27"/>
    <mergeCell ref="I28:I30"/>
    <mergeCell ref="J28:J30"/>
    <mergeCell ref="K28:K30"/>
    <mergeCell ref="L28:L30"/>
    <mergeCell ref="M28:M30"/>
    <mergeCell ref="N28:N30"/>
    <mergeCell ref="O28:O30"/>
    <mergeCell ref="P28:P30"/>
    <mergeCell ref="R28:R30"/>
    <mergeCell ref="S28:S30"/>
    <mergeCell ref="T28:T30"/>
    <mergeCell ref="U28:U30"/>
    <mergeCell ref="AH28:AH30"/>
    <mergeCell ref="AI28:AI30"/>
    <mergeCell ref="I31:I33"/>
    <mergeCell ref="J31:J33"/>
    <mergeCell ref="K31:K33"/>
    <mergeCell ref="L31:L33"/>
    <mergeCell ref="M31:M33"/>
    <mergeCell ref="N31:N33"/>
    <mergeCell ref="O31:O33"/>
    <mergeCell ref="P31:P33"/>
    <mergeCell ref="R31:R33"/>
    <mergeCell ref="S31:S33"/>
    <mergeCell ref="T31:T33"/>
    <mergeCell ref="U31:U33"/>
    <mergeCell ref="AH31:AH33"/>
    <mergeCell ref="AI31:AI33"/>
    <mergeCell ref="I34:I36"/>
    <mergeCell ref="J34:J36"/>
    <mergeCell ref="K34:K36"/>
    <mergeCell ref="L34:L36"/>
    <mergeCell ref="M34:M36"/>
    <mergeCell ref="N34:N36"/>
    <mergeCell ref="O34:O36"/>
    <mergeCell ref="P34:P36"/>
    <mergeCell ref="R34:R36"/>
    <mergeCell ref="S34:S36"/>
    <mergeCell ref="T34:T36"/>
    <mergeCell ref="U34:U36"/>
    <mergeCell ref="I37:I39"/>
    <mergeCell ref="J37:J39"/>
    <mergeCell ref="K37:K39"/>
    <mergeCell ref="L37:L39"/>
    <mergeCell ref="M37:M39"/>
    <mergeCell ref="N37:N39"/>
    <mergeCell ref="O37:O39"/>
    <mergeCell ref="P37:P39"/>
    <mergeCell ref="R37:R39"/>
    <mergeCell ref="S37:S39"/>
    <mergeCell ref="T37:T39"/>
    <mergeCell ref="U37:U39"/>
    <mergeCell ref="I40:I42"/>
    <mergeCell ref="J40:J42"/>
    <mergeCell ref="K40:K42"/>
    <mergeCell ref="L40:L42"/>
    <mergeCell ref="M40:M42"/>
    <mergeCell ref="N40:N42"/>
    <mergeCell ref="O40:O42"/>
    <mergeCell ref="P40:P42"/>
    <mergeCell ref="R40:R42"/>
    <mergeCell ref="S40:S42"/>
    <mergeCell ref="T40:T42"/>
    <mergeCell ref="U40:U42"/>
    <mergeCell ref="I43:I45"/>
    <mergeCell ref="J43:J45"/>
    <mergeCell ref="K43:K45"/>
    <mergeCell ref="L43:L45"/>
    <mergeCell ref="M43:M45"/>
    <mergeCell ref="N43:N45"/>
    <mergeCell ref="O43:O45"/>
    <mergeCell ref="P43:P45"/>
    <mergeCell ref="R43:R45"/>
    <mergeCell ref="S43:S45"/>
    <mergeCell ref="T43:T45"/>
    <mergeCell ref="U43:U45"/>
    <mergeCell ref="I46:I48"/>
    <mergeCell ref="J46:J48"/>
    <mergeCell ref="K46:K48"/>
    <mergeCell ref="L46:L48"/>
    <mergeCell ref="M46:M48"/>
    <mergeCell ref="N46:N48"/>
    <mergeCell ref="O46:O48"/>
    <mergeCell ref="P46:P48"/>
    <mergeCell ref="R46:R48"/>
    <mergeCell ref="S46:S48"/>
    <mergeCell ref="T46:T48"/>
    <mergeCell ref="U46:U48"/>
    <mergeCell ref="I49:I51"/>
    <mergeCell ref="J49:J51"/>
    <mergeCell ref="K49:K51"/>
    <mergeCell ref="L49:L51"/>
    <mergeCell ref="M49:M51"/>
    <mergeCell ref="N49:N51"/>
    <mergeCell ref="O49:O51"/>
    <mergeCell ref="P49:P51"/>
    <mergeCell ref="R49:R51"/>
    <mergeCell ref="S49:S51"/>
    <mergeCell ref="T49:T51"/>
    <mergeCell ref="U49:U51"/>
    <mergeCell ref="I52:I54"/>
    <mergeCell ref="J52:J54"/>
    <mergeCell ref="K52:K54"/>
    <mergeCell ref="L52:L54"/>
    <mergeCell ref="M52:M54"/>
    <mergeCell ref="N52:N54"/>
    <mergeCell ref="O52:O54"/>
    <mergeCell ref="P52:P54"/>
    <mergeCell ref="R52:R54"/>
    <mergeCell ref="S52:S54"/>
    <mergeCell ref="T52:T54"/>
    <mergeCell ref="U52:U54"/>
    <mergeCell ref="I55:I57"/>
    <mergeCell ref="J55:J57"/>
    <mergeCell ref="K55:K57"/>
    <mergeCell ref="L55:L57"/>
    <mergeCell ref="M55:M57"/>
    <mergeCell ref="N55:N57"/>
    <mergeCell ref="O55:O57"/>
    <mergeCell ref="P55:P57"/>
    <mergeCell ref="R55:R57"/>
    <mergeCell ref="S55:S57"/>
    <mergeCell ref="T55:T57"/>
    <mergeCell ref="U55:U57"/>
    <mergeCell ref="I58:I60"/>
    <mergeCell ref="J58:J60"/>
    <mergeCell ref="K58:K60"/>
    <mergeCell ref="L58:L60"/>
    <mergeCell ref="M58:M60"/>
    <mergeCell ref="N58:N60"/>
    <mergeCell ref="O58:O60"/>
    <mergeCell ref="P58:P60"/>
    <mergeCell ref="R58:R60"/>
    <mergeCell ref="S58:S60"/>
    <mergeCell ref="T58:T60"/>
    <mergeCell ref="U58:U60"/>
    <mergeCell ref="I61:I63"/>
    <mergeCell ref="J61:J63"/>
    <mergeCell ref="K61:K63"/>
    <mergeCell ref="L61:L63"/>
    <mergeCell ref="M61:M63"/>
    <mergeCell ref="N61:N63"/>
    <mergeCell ref="O61:O63"/>
    <mergeCell ref="P61:P63"/>
    <mergeCell ref="R61:R63"/>
    <mergeCell ref="S61:S63"/>
    <mergeCell ref="T61:T63"/>
    <mergeCell ref="U61:U63"/>
    <mergeCell ref="I64:I66"/>
    <mergeCell ref="J64:J66"/>
    <mergeCell ref="K64:K66"/>
    <mergeCell ref="L64:L66"/>
    <mergeCell ref="M64:M66"/>
    <mergeCell ref="N64:N66"/>
    <mergeCell ref="O64:O66"/>
    <mergeCell ref="P64:P66"/>
    <mergeCell ref="R64:R66"/>
    <mergeCell ref="S64:S66"/>
    <mergeCell ref="T64:T66"/>
    <mergeCell ref="U64:U66"/>
    <mergeCell ref="I67:I69"/>
    <mergeCell ref="J67:J69"/>
    <mergeCell ref="K67:K69"/>
    <mergeCell ref="L67:L69"/>
    <mergeCell ref="M67:M69"/>
    <mergeCell ref="N67:N69"/>
    <mergeCell ref="O67:O69"/>
    <mergeCell ref="P67:P69"/>
    <mergeCell ref="R67:R69"/>
    <mergeCell ref="S67:S69"/>
    <mergeCell ref="T67:T69"/>
    <mergeCell ref="U67:U69"/>
    <mergeCell ref="I70:I72"/>
    <mergeCell ref="J70:J72"/>
    <mergeCell ref="K70:K72"/>
    <mergeCell ref="L70:L72"/>
    <mergeCell ref="M70:M72"/>
    <mergeCell ref="N70:N72"/>
    <mergeCell ref="O70:O72"/>
    <mergeCell ref="P70:P72"/>
    <mergeCell ref="R70:R72"/>
    <mergeCell ref="S70:S72"/>
    <mergeCell ref="I73:I75"/>
    <mergeCell ref="J73:J75"/>
    <mergeCell ref="K73:K75"/>
    <mergeCell ref="L73:L75"/>
    <mergeCell ref="M73:M75"/>
    <mergeCell ref="N73:N75"/>
    <mergeCell ref="O73:O75"/>
    <mergeCell ref="P73:P75"/>
    <mergeCell ref="R73:R75"/>
    <mergeCell ref="A79:A138"/>
    <mergeCell ref="B79:B138"/>
    <mergeCell ref="C79:C138"/>
    <mergeCell ref="D79:D138"/>
    <mergeCell ref="E79:E138"/>
    <mergeCell ref="F79:F138"/>
    <mergeCell ref="G79:G138"/>
    <mergeCell ref="H79:H81"/>
    <mergeCell ref="I79:I81"/>
    <mergeCell ref="J79:J81"/>
    <mergeCell ref="K79:K81"/>
    <mergeCell ref="L79:L81"/>
    <mergeCell ref="M79:M81"/>
    <mergeCell ref="N79:N81"/>
    <mergeCell ref="O79:O81"/>
    <mergeCell ref="P79:P81"/>
    <mergeCell ref="R79:R81"/>
    <mergeCell ref="S79:S81"/>
    <mergeCell ref="H82:H84"/>
    <mergeCell ref="I82:I84"/>
    <mergeCell ref="J82:J84"/>
    <mergeCell ref="K82:K84"/>
    <mergeCell ref="L82:L84"/>
    <mergeCell ref="M82:M84"/>
    <mergeCell ref="N82:N84"/>
    <mergeCell ref="O82:O84"/>
    <mergeCell ref="P82:P84"/>
    <mergeCell ref="R82:R84"/>
    <mergeCell ref="S82:S84"/>
    <mergeCell ref="T82:T84"/>
    <mergeCell ref="U82:U84"/>
    <mergeCell ref="H85:H87"/>
    <mergeCell ref="I85:I87"/>
    <mergeCell ref="J85:J87"/>
    <mergeCell ref="K85:K87"/>
    <mergeCell ref="L85:L87"/>
    <mergeCell ref="M85:M87"/>
    <mergeCell ref="N85:N87"/>
    <mergeCell ref="O85:O87"/>
    <mergeCell ref="P85:P87"/>
    <mergeCell ref="R85:R87"/>
    <mergeCell ref="S85:S87"/>
    <mergeCell ref="T85:T87"/>
    <mergeCell ref="U85:U87"/>
    <mergeCell ref="H88:H90"/>
    <mergeCell ref="I88:I90"/>
    <mergeCell ref="J88:J90"/>
    <mergeCell ref="K88:K90"/>
    <mergeCell ref="L88:L90"/>
    <mergeCell ref="M88:M90"/>
    <mergeCell ref="N88:N90"/>
    <mergeCell ref="O88:O90"/>
    <mergeCell ref="P88:P90"/>
    <mergeCell ref="R88:R90"/>
    <mergeCell ref="S88:S90"/>
    <mergeCell ref="T88:T90"/>
    <mergeCell ref="U88:U90"/>
    <mergeCell ref="H91:H93"/>
    <mergeCell ref="I91:I93"/>
    <mergeCell ref="J91:J93"/>
    <mergeCell ref="K91:K93"/>
    <mergeCell ref="L91:L93"/>
    <mergeCell ref="M91:M93"/>
    <mergeCell ref="N91:N93"/>
    <mergeCell ref="O91:O93"/>
    <mergeCell ref="P91:P93"/>
    <mergeCell ref="R91:R93"/>
    <mergeCell ref="S91:S93"/>
    <mergeCell ref="T91:T93"/>
    <mergeCell ref="U91:U93"/>
    <mergeCell ref="H94:H96"/>
    <mergeCell ref="I94:I96"/>
    <mergeCell ref="J94:J96"/>
    <mergeCell ref="K94:K96"/>
    <mergeCell ref="L94:L96"/>
    <mergeCell ref="M94:M96"/>
    <mergeCell ref="N94:N96"/>
    <mergeCell ref="O94:O96"/>
    <mergeCell ref="P94:P96"/>
    <mergeCell ref="R94:R96"/>
    <mergeCell ref="S94:S96"/>
    <mergeCell ref="T94:T96"/>
    <mergeCell ref="U94:U96"/>
    <mergeCell ref="H97:H99"/>
    <mergeCell ref="I97:I99"/>
    <mergeCell ref="J97:J99"/>
    <mergeCell ref="K97:K99"/>
    <mergeCell ref="L97:L99"/>
    <mergeCell ref="M97:M99"/>
    <mergeCell ref="N97:N99"/>
    <mergeCell ref="O97:O99"/>
    <mergeCell ref="P97:P99"/>
    <mergeCell ref="R97:R99"/>
    <mergeCell ref="S97:S99"/>
    <mergeCell ref="T97:T99"/>
    <mergeCell ref="U97:U99"/>
    <mergeCell ref="H100:H102"/>
    <mergeCell ref="I100:I102"/>
    <mergeCell ref="J100:J102"/>
    <mergeCell ref="K100:K102"/>
    <mergeCell ref="L100:L102"/>
    <mergeCell ref="M100:M102"/>
    <mergeCell ref="N100:N102"/>
    <mergeCell ref="O100:O102"/>
    <mergeCell ref="P100:P102"/>
    <mergeCell ref="R100:R102"/>
    <mergeCell ref="S100:S102"/>
    <mergeCell ref="T100:T102"/>
    <mergeCell ref="U100:U102"/>
    <mergeCell ref="H103:H105"/>
    <mergeCell ref="I103:I105"/>
    <mergeCell ref="J103:J105"/>
    <mergeCell ref="K103:K105"/>
    <mergeCell ref="L103:L105"/>
    <mergeCell ref="M103:M105"/>
    <mergeCell ref="N103:N105"/>
    <mergeCell ref="O103:O105"/>
    <mergeCell ref="P103:P105"/>
    <mergeCell ref="R103:R105"/>
    <mergeCell ref="S103:S105"/>
    <mergeCell ref="T103:T105"/>
    <mergeCell ref="U103:U105"/>
    <mergeCell ref="H106:H108"/>
    <mergeCell ref="I106:I108"/>
    <mergeCell ref="J106:J108"/>
    <mergeCell ref="K106:K108"/>
    <mergeCell ref="L106:L108"/>
    <mergeCell ref="M106:M108"/>
    <mergeCell ref="N106:N108"/>
    <mergeCell ref="O106:O108"/>
    <mergeCell ref="P106:P108"/>
    <mergeCell ref="R106:R108"/>
    <mergeCell ref="S106:S108"/>
    <mergeCell ref="T106:T108"/>
    <mergeCell ref="U106:U108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P111"/>
    <mergeCell ref="R109:R111"/>
    <mergeCell ref="S109:S111"/>
    <mergeCell ref="T109:T111"/>
    <mergeCell ref="U109:U111"/>
    <mergeCell ref="H112:H114"/>
    <mergeCell ref="I112:I114"/>
    <mergeCell ref="J112:J114"/>
    <mergeCell ref="K112:K114"/>
    <mergeCell ref="L112:L114"/>
    <mergeCell ref="M112:M114"/>
    <mergeCell ref="N112:N114"/>
    <mergeCell ref="O112:O114"/>
    <mergeCell ref="P112:P114"/>
    <mergeCell ref="R112:R114"/>
    <mergeCell ref="S112:S114"/>
    <mergeCell ref="T112:T114"/>
    <mergeCell ref="U112:U114"/>
    <mergeCell ref="H115:H117"/>
    <mergeCell ref="I115:I117"/>
    <mergeCell ref="J115:J117"/>
    <mergeCell ref="K115:K117"/>
    <mergeCell ref="L115:L117"/>
    <mergeCell ref="M115:M117"/>
    <mergeCell ref="N115:N117"/>
    <mergeCell ref="O115:O117"/>
    <mergeCell ref="P115:P117"/>
    <mergeCell ref="R115:R117"/>
    <mergeCell ref="S115:S117"/>
    <mergeCell ref="T115:T117"/>
    <mergeCell ref="U115:U117"/>
    <mergeCell ref="H118:H120"/>
    <mergeCell ref="I118:I120"/>
    <mergeCell ref="J118:J120"/>
    <mergeCell ref="K118:K120"/>
    <mergeCell ref="L118:L120"/>
    <mergeCell ref="M118:M120"/>
    <mergeCell ref="N118:N120"/>
    <mergeCell ref="O118:O120"/>
    <mergeCell ref="P118:P120"/>
    <mergeCell ref="R118:R120"/>
    <mergeCell ref="S118:S120"/>
    <mergeCell ref="T118:T120"/>
    <mergeCell ref="U118:U120"/>
    <mergeCell ref="H121:H123"/>
    <mergeCell ref="I121:I123"/>
    <mergeCell ref="J121:J123"/>
    <mergeCell ref="K121:K123"/>
    <mergeCell ref="L121:L123"/>
    <mergeCell ref="M121:M123"/>
    <mergeCell ref="N121:N123"/>
    <mergeCell ref="O121:O123"/>
    <mergeCell ref="P121:P123"/>
    <mergeCell ref="R121:R123"/>
    <mergeCell ref="S121:S123"/>
    <mergeCell ref="T121:T123"/>
    <mergeCell ref="U121:U123"/>
    <mergeCell ref="H124:H126"/>
    <mergeCell ref="I124:I126"/>
    <mergeCell ref="J124:J126"/>
    <mergeCell ref="K124:K126"/>
    <mergeCell ref="L124:L126"/>
    <mergeCell ref="M124:M126"/>
    <mergeCell ref="N124:N126"/>
    <mergeCell ref="O124:O126"/>
    <mergeCell ref="P124:P126"/>
    <mergeCell ref="R124:R126"/>
    <mergeCell ref="S124:S126"/>
    <mergeCell ref="T124:T126"/>
    <mergeCell ref="U124:U126"/>
    <mergeCell ref="H127:H129"/>
    <mergeCell ref="I127:I129"/>
    <mergeCell ref="J127:J129"/>
    <mergeCell ref="K127:K129"/>
    <mergeCell ref="L127:L129"/>
    <mergeCell ref="M127:M129"/>
    <mergeCell ref="N127:N129"/>
    <mergeCell ref="O127:O129"/>
    <mergeCell ref="P127:P129"/>
    <mergeCell ref="R127:R129"/>
    <mergeCell ref="S127:S129"/>
    <mergeCell ref="T127:T129"/>
    <mergeCell ref="U127:U129"/>
    <mergeCell ref="H130:H132"/>
    <mergeCell ref="I130:I132"/>
    <mergeCell ref="J130:J132"/>
    <mergeCell ref="K130:K132"/>
    <mergeCell ref="L130:L132"/>
    <mergeCell ref="M130:M132"/>
    <mergeCell ref="N130:N132"/>
    <mergeCell ref="O130:O132"/>
    <mergeCell ref="P130:P132"/>
    <mergeCell ref="R130:R132"/>
    <mergeCell ref="S130:S132"/>
    <mergeCell ref="T130:T132"/>
    <mergeCell ref="U130:U132"/>
    <mergeCell ref="H133:H135"/>
    <mergeCell ref="I133:I135"/>
    <mergeCell ref="J133:J135"/>
    <mergeCell ref="K133:K135"/>
    <mergeCell ref="L133:L135"/>
    <mergeCell ref="M133:M135"/>
    <mergeCell ref="N133:N135"/>
    <mergeCell ref="O133:O135"/>
    <mergeCell ref="P133:P135"/>
    <mergeCell ref="R133:R135"/>
    <mergeCell ref="S133:S135"/>
    <mergeCell ref="T133:T135"/>
    <mergeCell ref="U133:U135"/>
    <mergeCell ref="H136:H138"/>
    <mergeCell ref="I136:I138"/>
    <mergeCell ref="J136:J138"/>
    <mergeCell ref="K136:K138"/>
    <mergeCell ref="L136:L138"/>
    <mergeCell ref="M136:M138"/>
    <mergeCell ref="N136:N138"/>
    <mergeCell ref="O136:O138"/>
    <mergeCell ref="P136:P138"/>
    <mergeCell ref="R136:R138"/>
    <mergeCell ref="S136:S138"/>
    <mergeCell ref="T136:T138"/>
    <mergeCell ref="U136:U138"/>
    <mergeCell ref="H139:H141"/>
    <mergeCell ref="I139:I141"/>
    <mergeCell ref="J139:J141"/>
    <mergeCell ref="K139:K141"/>
    <mergeCell ref="L139:L141"/>
    <mergeCell ref="M139:M141"/>
    <mergeCell ref="N139:N141"/>
    <mergeCell ref="O139:O141"/>
    <mergeCell ref="P139:P141"/>
    <mergeCell ref="R139:R141"/>
    <mergeCell ref="S139:S141"/>
    <mergeCell ref="T139:T141"/>
    <mergeCell ref="U139:U141"/>
    <mergeCell ref="H142:H144"/>
    <mergeCell ref="I142:I144"/>
    <mergeCell ref="J142:J144"/>
    <mergeCell ref="K142:K144"/>
    <mergeCell ref="L142:L144"/>
    <mergeCell ref="M142:M144"/>
    <mergeCell ref="N142:N144"/>
    <mergeCell ref="O142:O144"/>
    <mergeCell ref="P142:P144"/>
    <mergeCell ref="R142:R144"/>
    <mergeCell ref="S142:S144"/>
    <mergeCell ref="T142:T144"/>
    <mergeCell ref="U142:U144"/>
    <mergeCell ref="H145:H147"/>
    <mergeCell ref="I145:I147"/>
    <mergeCell ref="J145:J147"/>
    <mergeCell ref="K145:K147"/>
    <mergeCell ref="L145:L147"/>
    <mergeCell ref="M145:M147"/>
    <mergeCell ref="N145:N147"/>
    <mergeCell ref="O145:O147"/>
    <mergeCell ref="P145:P147"/>
    <mergeCell ref="R145:R147"/>
    <mergeCell ref="S145:S147"/>
    <mergeCell ref="T145:T147"/>
    <mergeCell ref="U145:U147"/>
    <mergeCell ref="A151:A210"/>
    <mergeCell ref="B151:B210"/>
    <mergeCell ref="C151:C210"/>
    <mergeCell ref="D151:D210"/>
    <mergeCell ref="E151:E210"/>
    <mergeCell ref="F151:F210"/>
    <mergeCell ref="G151:G210"/>
    <mergeCell ref="H151:H153"/>
    <mergeCell ref="I151:I153"/>
    <mergeCell ref="J151:J153"/>
    <mergeCell ref="K151:K153"/>
    <mergeCell ref="L151:L153"/>
    <mergeCell ref="M151:M153"/>
    <mergeCell ref="N151:N153"/>
    <mergeCell ref="O151:O153"/>
    <mergeCell ref="P151:P153"/>
    <mergeCell ref="R151:R153"/>
    <mergeCell ref="S151:S153"/>
    <mergeCell ref="H154:H156"/>
    <mergeCell ref="I154:I156"/>
    <mergeCell ref="J154:J156"/>
    <mergeCell ref="K154:K156"/>
    <mergeCell ref="L154:L156"/>
    <mergeCell ref="M154:M156"/>
    <mergeCell ref="N154:N156"/>
    <mergeCell ref="O154:O156"/>
    <mergeCell ref="P154:P156"/>
    <mergeCell ref="R154:R156"/>
    <mergeCell ref="S154:S156"/>
    <mergeCell ref="T154:T156"/>
    <mergeCell ref="U154:U156"/>
    <mergeCell ref="H157:H159"/>
    <mergeCell ref="I157:I159"/>
    <mergeCell ref="J157:J159"/>
    <mergeCell ref="K157:K159"/>
    <mergeCell ref="L157:L159"/>
    <mergeCell ref="M157:M159"/>
    <mergeCell ref="N157:N159"/>
    <mergeCell ref="O157:O159"/>
    <mergeCell ref="P157:P159"/>
    <mergeCell ref="R157:R159"/>
    <mergeCell ref="S157:S159"/>
    <mergeCell ref="T157:T159"/>
    <mergeCell ref="U157:U159"/>
    <mergeCell ref="H160:H162"/>
    <mergeCell ref="I160:I162"/>
    <mergeCell ref="J160:J162"/>
    <mergeCell ref="K160:K162"/>
    <mergeCell ref="L160:L162"/>
    <mergeCell ref="M160:M162"/>
    <mergeCell ref="N160:N162"/>
    <mergeCell ref="O160:O162"/>
    <mergeCell ref="P160:P162"/>
    <mergeCell ref="R160:R162"/>
    <mergeCell ref="S160:S162"/>
    <mergeCell ref="T160:T162"/>
    <mergeCell ref="U160:U162"/>
    <mergeCell ref="H163:H165"/>
    <mergeCell ref="I163:I165"/>
    <mergeCell ref="J163:J165"/>
    <mergeCell ref="K163:K165"/>
    <mergeCell ref="L163:L165"/>
    <mergeCell ref="M163:M165"/>
    <mergeCell ref="N163:N165"/>
    <mergeCell ref="O163:O165"/>
    <mergeCell ref="P163:P165"/>
    <mergeCell ref="R163:R165"/>
    <mergeCell ref="S163:S165"/>
    <mergeCell ref="T163:T165"/>
    <mergeCell ref="U163:U165"/>
    <mergeCell ref="H166:H168"/>
    <mergeCell ref="I166:I168"/>
    <mergeCell ref="J166:J168"/>
    <mergeCell ref="K166:K168"/>
    <mergeCell ref="L166:L168"/>
    <mergeCell ref="M166:M168"/>
    <mergeCell ref="N166:N168"/>
    <mergeCell ref="O166:O168"/>
    <mergeCell ref="P166:P168"/>
    <mergeCell ref="R166:R168"/>
    <mergeCell ref="S166:S168"/>
    <mergeCell ref="T166:T168"/>
    <mergeCell ref="U166:U168"/>
    <mergeCell ref="H169:H171"/>
    <mergeCell ref="I169:I171"/>
    <mergeCell ref="J169:J171"/>
    <mergeCell ref="K169:K171"/>
    <mergeCell ref="L169:L171"/>
    <mergeCell ref="M169:M171"/>
    <mergeCell ref="N169:N171"/>
    <mergeCell ref="O169:O171"/>
    <mergeCell ref="P169:P171"/>
    <mergeCell ref="R169:R171"/>
    <mergeCell ref="S169:S171"/>
    <mergeCell ref="T169:T171"/>
    <mergeCell ref="U169:U171"/>
    <mergeCell ref="H172:H174"/>
    <mergeCell ref="I172:I174"/>
    <mergeCell ref="J172:J174"/>
    <mergeCell ref="K172:K174"/>
    <mergeCell ref="L172:L174"/>
    <mergeCell ref="M172:M174"/>
    <mergeCell ref="N172:N174"/>
    <mergeCell ref="O172:O174"/>
    <mergeCell ref="P172:P174"/>
    <mergeCell ref="R172:R174"/>
    <mergeCell ref="S172:S174"/>
    <mergeCell ref="T172:T174"/>
    <mergeCell ref="U172:U174"/>
    <mergeCell ref="H175:H177"/>
    <mergeCell ref="I175:I177"/>
    <mergeCell ref="J175:J177"/>
    <mergeCell ref="K175:K177"/>
    <mergeCell ref="L175:L177"/>
    <mergeCell ref="M175:M177"/>
    <mergeCell ref="N175:N177"/>
    <mergeCell ref="O175:O177"/>
    <mergeCell ref="P175:P177"/>
    <mergeCell ref="R175:R177"/>
    <mergeCell ref="S175:S177"/>
    <mergeCell ref="T175:T177"/>
    <mergeCell ref="U175:U177"/>
    <mergeCell ref="H178:H180"/>
    <mergeCell ref="I178:I180"/>
    <mergeCell ref="J178:J180"/>
    <mergeCell ref="K178:K180"/>
    <mergeCell ref="L178:L180"/>
    <mergeCell ref="M178:M180"/>
    <mergeCell ref="N178:N180"/>
    <mergeCell ref="O178:O180"/>
    <mergeCell ref="P178:P180"/>
    <mergeCell ref="R178:R180"/>
    <mergeCell ref="S178:S180"/>
    <mergeCell ref="T178:T180"/>
    <mergeCell ref="U178:U180"/>
    <mergeCell ref="H181:H183"/>
    <mergeCell ref="I181:I183"/>
    <mergeCell ref="J181:J183"/>
    <mergeCell ref="K181:K183"/>
    <mergeCell ref="L181:L183"/>
    <mergeCell ref="M181:M183"/>
    <mergeCell ref="N181:N183"/>
    <mergeCell ref="O181:O183"/>
    <mergeCell ref="P181:P183"/>
    <mergeCell ref="R181:R183"/>
    <mergeCell ref="S181:S183"/>
    <mergeCell ref="T181:T183"/>
    <mergeCell ref="U181:U183"/>
    <mergeCell ref="H184:H186"/>
    <mergeCell ref="I184:I186"/>
    <mergeCell ref="J184:J186"/>
    <mergeCell ref="K184:K186"/>
    <mergeCell ref="L184:L186"/>
    <mergeCell ref="M184:M186"/>
    <mergeCell ref="N184:N186"/>
    <mergeCell ref="O184:O186"/>
    <mergeCell ref="P184:P186"/>
    <mergeCell ref="R184:R186"/>
    <mergeCell ref="S184:S186"/>
    <mergeCell ref="T184:T186"/>
    <mergeCell ref="U184:U186"/>
    <mergeCell ref="H187:H189"/>
    <mergeCell ref="I187:I189"/>
    <mergeCell ref="J187:J189"/>
    <mergeCell ref="K187:K189"/>
    <mergeCell ref="L187:L189"/>
    <mergeCell ref="M187:M189"/>
    <mergeCell ref="N187:N189"/>
    <mergeCell ref="O187:O189"/>
    <mergeCell ref="P187:P189"/>
    <mergeCell ref="R187:R189"/>
    <mergeCell ref="S187:S189"/>
    <mergeCell ref="T187:T189"/>
    <mergeCell ref="U187:U189"/>
    <mergeCell ref="H190:H192"/>
    <mergeCell ref="I190:I192"/>
    <mergeCell ref="J190:J192"/>
    <mergeCell ref="K190:K192"/>
    <mergeCell ref="L190:L192"/>
    <mergeCell ref="M190:M192"/>
    <mergeCell ref="N190:N192"/>
    <mergeCell ref="O190:O192"/>
    <mergeCell ref="P190:P192"/>
    <mergeCell ref="R190:R192"/>
    <mergeCell ref="S190:S192"/>
    <mergeCell ref="T190:T192"/>
    <mergeCell ref="U190:U192"/>
    <mergeCell ref="H193:H195"/>
    <mergeCell ref="I193:I195"/>
    <mergeCell ref="J193:J195"/>
    <mergeCell ref="K193:K195"/>
    <mergeCell ref="L193:L195"/>
    <mergeCell ref="M193:M195"/>
    <mergeCell ref="N193:N195"/>
    <mergeCell ref="O193:O195"/>
    <mergeCell ref="P193:P195"/>
    <mergeCell ref="R193:R195"/>
    <mergeCell ref="S193:S195"/>
    <mergeCell ref="T193:T195"/>
    <mergeCell ref="U193:U195"/>
    <mergeCell ref="H196:H198"/>
    <mergeCell ref="I196:I198"/>
    <mergeCell ref="J196:J198"/>
    <mergeCell ref="K196:K198"/>
    <mergeCell ref="L196:L198"/>
    <mergeCell ref="M196:M198"/>
    <mergeCell ref="N196:N198"/>
    <mergeCell ref="O196:O198"/>
    <mergeCell ref="P196:P198"/>
    <mergeCell ref="R196:R198"/>
    <mergeCell ref="S196:S198"/>
    <mergeCell ref="T196:T198"/>
    <mergeCell ref="U196:U198"/>
    <mergeCell ref="H199:H201"/>
    <mergeCell ref="I199:I201"/>
    <mergeCell ref="J199:J201"/>
    <mergeCell ref="K199:K201"/>
    <mergeCell ref="L199:L201"/>
    <mergeCell ref="M199:M201"/>
    <mergeCell ref="N199:N201"/>
    <mergeCell ref="O199:O201"/>
    <mergeCell ref="P199:P201"/>
    <mergeCell ref="R199:R201"/>
    <mergeCell ref="H202:H204"/>
    <mergeCell ref="I202:I204"/>
    <mergeCell ref="J202:J204"/>
    <mergeCell ref="K202:K204"/>
    <mergeCell ref="L202:L204"/>
    <mergeCell ref="M202:M204"/>
    <mergeCell ref="N202:N204"/>
    <mergeCell ref="O202:O204"/>
    <mergeCell ref="P202:P204"/>
    <mergeCell ref="R202:R20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3" activeCellId="0" sqref="F23"/>
    </sheetView>
  </sheetViews>
  <sheetFormatPr defaultRowHeight="15"/>
  <cols>
    <col collapsed="false" hidden="false" max="1025" min="1" style="0" width="8.83333333333333"/>
  </cols>
  <sheetData>
    <row r="1" customFormat="false" ht="20" hidden="false" customHeight="false" outlineLevel="0" collapsed="false">
      <c r="A1" s="52" t="s">
        <v>0</v>
      </c>
      <c r="B1" s="52"/>
      <c r="C1" s="52"/>
    </row>
    <row r="2" customFormat="false" ht="15" hidden="false" customHeight="false" outlineLevel="0" collapsed="false">
      <c r="A2" s="53" t="s">
        <v>3</v>
      </c>
      <c r="B2" s="54" t="n">
        <v>1.047197551</v>
      </c>
      <c r="C2" s="54"/>
    </row>
    <row r="3" customFormat="false" ht="15" hidden="false" customHeight="false" outlineLevel="0" collapsed="false">
      <c r="A3" s="53" t="s">
        <v>4</v>
      </c>
      <c r="B3" s="54"/>
      <c r="C3" s="54"/>
    </row>
    <row r="4" customFormat="false" ht="15" hidden="false" customHeight="false" outlineLevel="0" collapsed="false">
      <c r="A4" s="55" t="s">
        <v>31</v>
      </c>
      <c r="B4" s="56" t="n">
        <v>6.62606957E-034</v>
      </c>
      <c r="C4" s="55" t="s">
        <v>32</v>
      </c>
      <c r="D4" s="57" t="n">
        <v>2998792458</v>
      </c>
      <c r="E4" s="55" t="s">
        <v>33</v>
      </c>
      <c r="F4" s="56" t="n">
        <v>1.3806488E-023</v>
      </c>
    </row>
    <row r="6" customFormat="false" ht="15" hidden="false" customHeight="false" outlineLevel="0" collapsed="false">
      <c r="A6" s="58" t="s">
        <v>36</v>
      </c>
      <c r="B6" s="58" t="s">
        <v>18</v>
      </c>
      <c r="C6" s="58" t="s">
        <v>37</v>
      </c>
      <c r="D6" s="58" t="s">
        <v>38</v>
      </c>
      <c r="E6" s="58" t="s">
        <v>39</v>
      </c>
      <c r="F6" s="58" t="s">
        <v>5</v>
      </c>
      <c r="G6" s="58" t="s">
        <v>40</v>
      </c>
      <c r="H6" s="58" t="s">
        <v>41</v>
      </c>
      <c r="I6" s="58" t="s">
        <v>44</v>
      </c>
      <c r="J6" s="58" t="s">
        <v>58</v>
      </c>
      <c r="K6" s="58" t="s">
        <v>47</v>
      </c>
      <c r="L6" s="58" t="s">
        <v>48</v>
      </c>
      <c r="M6" s="58" t="s">
        <v>49</v>
      </c>
      <c r="N6" s="58" t="s">
        <v>36</v>
      </c>
      <c r="O6" s="58" t="s">
        <v>50</v>
      </c>
    </row>
    <row r="7" customFormat="false" ht="15" hidden="false" customHeight="false" outlineLevel="0" collapsed="false">
      <c r="A7" s="59" t="n">
        <v>5</v>
      </c>
      <c r="B7" s="59"/>
      <c r="C7" s="59"/>
      <c r="D7" s="59"/>
      <c r="E7" s="59"/>
      <c r="F7" s="59" t="n">
        <v>0</v>
      </c>
      <c r="G7" s="59" t="n">
        <f aca="false">F7*PI()/180</f>
        <v>0</v>
      </c>
      <c r="H7" s="59"/>
      <c r="I7" s="59" t="n">
        <f aca="false">F7-$B$3</f>
        <v>0</v>
      </c>
      <c r="J7" s="59"/>
      <c r="K7" s="59" t="n">
        <f aca="false">SQRT(SIN(G7)*SIN(G7) + (SIN(I7-G7+$B$2)  + COS($B$2)*SIN(G7) )* (SIN(I7-G7+$B$2)  + COS($B$2)*SIN(G7) )/(SIN($B$2)*SIN($B$2))   )</f>
        <v>1</v>
      </c>
      <c r="L7" s="59"/>
      <c r="M7" s="59"/>
      <c r="N7" s="59"/>
      <c r="O7" s="59"/>
    </row>
    <row r="8" customFormat="false" ht="15" hidden="false" customHeight="false" outlineLevel="0" collapsed="false">
      <c r="A8" s="59" t="n">
        <f aca="false">A7+1</f>
        <v>6</v>
      </c>
      <c r="B8" s="59"/>
      <c r="C8" s="59"/>
      <c r="D8" s="59"/>
      <c r="E8" s="59"/>
      <c r="F8" s="59" t="n">
        <v>1</v>
      </c>
      <c r="G8" s="59" t="n">
        <f aca="false">F8*PI()/180</f>
        <v>0.0174532925199433</v>
      </c>
      <c r="H8" s="59"/>
      <c r="I8" s="59" t="n">
        <f aca="false">F8-$B$3</f>
        <v>1</v>
      </c>
      <c r="J8" s="59"/>
      <c r="K8" s="59" t="n">
        <f aca="false">SQRT(SIN(G8)*SIN(G8) + (SIN(I8-G8+$B$2)  + COS($B$2)*SIN(G8) )* (SIN(I8-G8+$B$2)  + COS($B$2)*SIN(G8) )/(SIN($B$2)*SIN($B$2))   )</f>
        <v>1.04543288399095</v>
      </c>
      <c r="L8" s="59"/>
      <c r="M8" s="59"/>
      <c r="N8" s="59"/>
      <c r="O8" s="59"/>
    </row>
    <row r="9" customFormat="false" ht="15" hidden="false" customHeight="false" outlineLevel="0" collapsed="false">
      <c r="A9" s="59" t="n">
        <f aca="false">A8+1</f>
        <v>7</v>
      </c>
      <c r="B9" s="59"/>
      <c r="C9" s="59"/>
      <c r="D9" s="59"/>
      <c r="E9" s="59"/>
      <c r="F9" s="59" t="n">
        <v>2</v>
      </c>
      <c r="G9" s="59" t="n">
        <f aca="false">F9*PI()/180</f>
        <v>0.0349065850398866</v>
      </c>
      <c r="H9" s="59"/>
      <c r="I9" s="59" t="n">
        <f aca="false">F9-$B$3</f>
        <v>2</v>
      </c>
      <c r="J9" s="59"/>
      <c r="K9" s="59" t="n">
        <f aca="false">SQRT(SIN(G9)*SIN(G9) + (SIN(I9-G9+$B$2)  + COS($B$2)*SIN(G9) )* (SIN(I9-G9+$B$2)  + COS($B$2)*SIN(G9) )/(SIN($B$2)*SIN($B$2))   )</f>
        <v>0.172603339918324</v>
      </c>
      <c r="L9" s="59"/>
      <c r="M9" s="59"/>
      <c r="N9" s="59"/>
      <c r="O9" s="59"/>
    </row>
    <row r="10" customFormat="false" ht="15" hidden="false" customHeight="false" outlineLevel="0" collapsed="false">
      <c r="A10" s="59" t="n">
        <f aca="false">A9+1</f>
        <v>8</v>
      </c>
      <c r="B10" s="59"/>
      <c r="C10" s="59"/>
      <c r="D10" s="59"/>
      <c r="E10" s="59"/>
      <c r="F10" s="59" t="n">
        <v>3</v>
      </c>
      <c r="G10" s="59" t="n">
        <f aca="false">F10*PI()/180</f>
        <v>0.0523598775598299</v>
      </c>
      <c r="H10" s="59"/>
      <c r="I10" s="59" t="n">
        <f aca="false">F10-$B$3</f>
        <v>3</v>
      </c>
      <c r="J10" s="59"/>
      <c r="K10" s="59" t="n">
        <f aca="false">SQRT(SIN(G10)*SIN(G10) + (SIN(I10-G10+$B$2)  + COS($B$2)*SIN(G10) )* (SIN(I10-G10+$B$2)  + COS($B$2)*SIN(G10) )/(SIN($B$2)*SIN($B$2))   )</f>
        <v>0.841385393495843</v>
      </c>
      <c r="L10" s="59"/>
      <c r="M10" s="59"/>
      <c r="N10" s="59"/>
      <c r="O10" s="59"/>
    </row>
    <row r="11" customFormat="false" ht="15" hidden="false" customHeight="false" outlineLevel="0" collapsed="false">
      <c r="A11" s="59" t="n">
        <f aca="false">A10+1</f>
        <v>9</v>
      </c>
      <c r="B11" s="59"/>
      <c r="C11" s="59"/>
      <c r="D11" s="59"/>
      <c r="E11" s="59"/>
      <c r="F11" s="59" t="n">
        <v>4</v>
      </c>
      <c r="G11" s="59" t="n">
        <f aca="false">F11*PI()/180</f>
        <v>0.0698131700797732</v>
      </c>
      <c r="H11" s="59"/>
      <c r="I11" s="59" t="n">
        <f aca="false">F11-$B$3</f>
        <v>4</v>
      </c>
      <c r="J11" s="59"/>
      <c r="K11" s="59" t="n">
        <f aca="false">SQRT(SIN(G11)*SIN(G11) + (SIN(I11-G11+$B$2)  + COS($B$2)*SIN(G11) )* (SIN(I11-G11+$B$2)  + COS($B$2)*SIN(G11) )/(SIN($B$2)*SIN($B$2))   )</f>
        <v>1.07638301268402</v>
      </c>
      <c r="L11" s="59"/>
      <c r="M11" s="59"/>
      <c r="N11" s="59"/>
      <c r="O11" s="59"/>
    </row>
    <row r="12" customFormat="false" ht="15" hidden="false" customHeight="false" outlineLevel="0" collapsed="false">
      <c r="A12" s="59" t="n">
        <f aca="false">A11+1</f>
        <v>10</v>
      </c>
      <c r="B12" s="59"/>
      <c r="C12" s="59"/>
      <c r="D12" s="59"/>
      <c r="E12" s="59"/>
      <c r="F12" s="59" t="n">
        <v>5</v>
      </c>
      <c r="G12" s="59" t="n">
        <f aca="false">F12*PI()/180</f>
        <v>0.0872664625997165</v>
      </c>
      <c r="H12" s="59"/>
      <c r="I12" s="59" t="n">
        <f aca="false">F12-$B$3</f>
        <v>5</v>
      </c>
      <c r="J12" s="59"/>
      <c r="K12" s="59" t="n">
        <f aca="false">SQRT(SIN(G12)*SIN(G12) + (SIN(I12-G12+$B$2)  + COS($B$2)*SIN(G12) )* (SIN(I12-G12+$B$2)  + COS($B$2)*SIN(G12) )/(SIN($B$2)*SIN($B$2))   )</f>
        <v>0.328257555744257</v>
      </c>
      <c r="L12" s="59"/>
      <c r="M12" s="59"/>
      <c r="N12" s="59"/>
      <c r="O12" s="59"/>
    </row>
    <row r="13" customFormat="false" ht="15" hidden="false" customHeight="false" outlineLevel="0" collapsed="false">
      <c r="A13" s="59" t="n">
        <f aca="false">A12+1</f>
        <v>11</v>
      </c>
      <c r="B13" s="59"/>
      <c r="C13" s="59"/>
      <c r="D13" s="59"/>
      <c r="E13" s="59"/>
      <c r="F13" s="59" t="n">
        <v>6</v>
      </c>
      <c r="G13" s="59" t="n">
        <f aca="false">F13*PI()/180</f>
        <v>0.10471975511966</v>
      </c>
      <c r="H13" s="59"/>
      <c r="I13" s="59" t="n">
        <f aca="false">F13-$B$3</f>
        <v>6</v>
      </c>
      <c r="J13" s="59"/>
      <c r="K13" s="59" t="n">
        <f aca="false">SQRT(SIN(G13)*SIN(G13) + (SIN(I13-G13+$B$2)  + COS($B$2)*SIN(G13) )* (SIN(I13-G13+$B$2)  + COS($B$2)*SIN(G13) )/(SIN($B$2)*SIN($B$2))   )</f>
        <v>0.774754106268713</v>
      </c>
      <c r="L13" s="59"/>
      <c r="M13" s="59"/>
      <c r="N13" s="59"/>
      <c r="O13" s="59"/>
    </row>
    <row r="14" customFormat="false" ht="15" hidden="false" customHeight="false" outlineLevel="0" collapsed="false">
      <c r="A14" s="59" t="n">
        <f aca="false">A13+1</f>
        <v>12</v>
      </c>
      <c r="B14" s="59"/>
      <c r="C14" s="59"/>
      <c r="D14" s="59"/>
      <c r="E14" s="59"/>
      <c r="F14" s="59" t="n">
        <v>7</v>
      </c>
      <c r="G14" s="59" t="n">
        <f aca="false">F14*PI()/180</f>
        <v>0.122173047639603</v>
      </c>
      <c r="H14" s="59"/>
      <c r="I14" s="59" t="n">
        <f aca="false">F14-$B$3</f>
        <v>7</v>
      </c>
      <c r="J14" s="59"/>
      <c r="K14" s="59" t="n">
        <f aca="false">SQRT(SIN(G14)*SIN(G14) + (SIN(I14-G14+$B$2)  + COS($B$2)*SIN(G14) )* (SIN(I14-G14+$B$2)  + COS($B$2)*SIN(G14) )/(SIN($B$2)*SIN($B$2))   )</f>
        <v>1.22821033117216</v>
      </c>
      <c r="L14" s="59"/>
      <c r="M14" s="59"/>
      <c r="N14" s="59"/>
      <c r="O14" s="59"/>
    </row>
    <row r="19" customFormat="false" ht="15" hidden="false" customHeight="false" outlineLevel="0" collapsed="false">
      <c r="E19" s="4"/>
    </row>
    <row r="20" customFormat="false" ht="15" hidden="false" customHeight="false" outlineLevel="0" collapsed="false">
      <c r="E20" s="4"/>
    </row>
    <row r="21" customFormat="false" ht="15" hidden="false" customHeight="false" outlineLevel="0" collapsed="false">
      <c r="E21" s="4"/>
    </row>
  </sheetData>
  <mergeCells count="3">
    <mergeCell ref="E19:E21"/>
    <mergeCell ref="E20:E22"/>
    <mergeCell ref="E21:E2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2" activeCellId="0" sqref="F12"/>
    </sheetView>
  </sheetViews>
  <sheetFormatPr defaultRowHeight="15"/>
  <cols>
    <col collapsed="false" hidden="false" max="1025" min="1" style="0" width="8.83333333333333"/>
  </cols>
  <sheetData>
    <row r="1" customFormat="false" ht="20" hidden="false" customHeight="false" outlineLevel="0" collapsed="false">
      <c r="A1" s="52" t="s">
        <v>0</v>
      </c>
      <c r="B1" s="52"/>
      <c r="C1" s="52"/>
    </row>
    <row r="2" customFormat="false" ht="15" hidden="false" customHeight="false" outlineLevel="0" collapsed="false">
      <c r="A2" s="53" t="s">
        <v>3</v>
      </c>
      <c r="B2" s="54" t="n">
        <v>1.047197551</v>
      </c>
      <c r="C2" s="54"/>
    </row>
    <row r="3" customFormat="false" ht="15" hidden="false" customHeight="false" outlineLevel="0" collapsed="false">
      <c r="A3" s="53" t="s">
        <v>4</v>
      </c>
      <c r="B3" s="54"/>
      <c r="C3" s="54"/>
    </row>
    <row r="4" customFormat="false" ht="15" hidden="false" customHeight="false" outlineLevel="0" collapsed="false">
      <c r="A4" s="55" t="s">
        <v>31</v>
      </c>
      <c r="B4" s="56" t="n">
        <v>6.62606957E-034</v>
      </c>
      <c r="C4" s="55" t="s">
        <v>32</v>
      </c>
      <c r="D4" s="57" t="n">
        <v>2998792458</v>
      </c>
      <c r="E4" s="55" t="s">
        <v>33</v>
      </c>
      <c r="F4" s="56" t="n">
        <v>1.3806488E-023</v>
      </c>
    </row>
    <row r="6" customFormat="false" ht="15" hidden="false" customHeight="false" outlineLevel="0" collapsed="false">
      <c r="A6" s="60" t="s">
        <v>36</v>
      </c>
      <c r="B6" s="60" t="s">
        <v>12</v>
      </c>
      <c r="C6" s="60" t="s">
        <v>13</v>
      </c>
      <c r="D6" s="60" t="s">
        <v>60</v>
      </c>
      <c r="E6" s="60"/>
      <c r="F6" s="60" t="s">
        <v>18</v>
      </c>
      <c r="G6" s="60" t="s">
        <v>61</v>
      </c>
    </row>
    <row r="7" customFormat="false" ht="15" hidden="false" customHeight="false" outlineLevel="0" collapsed="false">
      <c r="A7" s="61" t="n">
        <v>11.98</v>
      </c>
      <c r="B7" s="61"/>
      <c r="C7" s="61" t="n">
        <v>1.69</v>
      </c>
      <c r="D7" s="62" t="n">
        <v>0.00691</v>
      </c>
      <c r="E7" s="61"/>
      <c r="F7" s="61"/>
      <c r="G7" s="61"/>
    </row>
    <row r="8" customFormat="false" ht="15" hidden="false" customHeight="false" outlineLevel="0" collapsed="false">
      <c r="A8" s="61" t="n">
        <v>10.99</v>
      </c>
      <c r="B8" s="61"/>
      <c r="C8" s="61" t="n">
        <v>1.61</v>
      </c>
      <c r="D8" s="62" t="n">
        <v>0.00607</v>
      </c>
      <c r="E8" s="61"/>
      <c r="F8" s="61"/>
      <c r="G8" s="61"/>
    </row>
    <row r="9" customFormat="false" ht="15" hidden="false" customHeight="false" outlineLevel="0" collapsed="false">
      <c r="A9" s="61" t="n">
        <v>9.95</v>
      </c>
      <c r="B9" s="61"/>
      <c r="C9" s="61" t="n">
        <v>1.53</v>
      </c>
      <c r="D9" s="62" t="n">
        <v>0.00516</v>
      </c>
      <c r="E9" s="61"/>
      <c r="F9" s="61"/>
      <c r="G9" s="61"/>
    </row>
    <row r="10" customFormat="false" ht="15" hidden="false" customHeight="false" outlineLevel="0" collapsed="false">
      <c r="A10" s="61" t="n">
        <v>9</v>
      </c>
      <c r="B10" s="61"/>
      <c r="C10" s="61" t="n">
        <v>1.46</v>
      </c>
      <c r="D10" s="62" t="n">
        <v>0.00435</v>
      </c>
      <c r="E10" s="61"/>
      <c r="F10" s="61"/>
      <c r="G10" s="61"/>
    </row>
    <row r="11" customFormat="false" ht="15" hidden="false" customHeight="false" outlineLevel="0" collapsed="false">
      <c r="A11" s="61" t="n">
        <v>7.99</v>
      </c>
      <c r="B11" s="61"/>
      <c r="C11" s="61" t="n">
        <v>1.37</v>
      </c>
      <c r="D11" s="62" t="n">
        <v>0.00355</v>
      </c>
      <c r="E11" s="61"/>
      <c r="F11" s="61"/>
      <c r="G11" s="61"/>
    </row>
    <row r="12" customFormat="false" ht="15" hidden="false" customHeight="false" outlineLevel="0" collapsed="false">
      <c r="A12" s="61" t="n">
        <v>7.02</v>
      </c>
      <c r="B12" s="61"/>
      <c r="C12" s="61" t="n">
        <v>1.28</v>
      </c>
      <c r="D12" s="62" t="n">
        <v>0.00286</v>
      </c>
      <c r="E12" s="61"/>
      <c r="F12" s="61"/>
      <c r="G12" s="61"/>
    </row>
    <row r="13" customFormat="false" ht="15" hidden="false" customHeight="false" outlineLevel="0" collapsed="false">
      <c r="A13" s="61" t="n">
        <v>5.99</v>
      </c>
      <c r="B13" s="61"/>
      <c r="C13" s="61" t="n">
        <v>1.18</v>
      </c>
      <c r="D13" s="62" t="n">
        <v>0.00216</v>
      </c>
      <c r="E13" s="61"/>
      <c r="F13" s="61"/>
      <c r="G13" s="61"/>
    </row>
    <row r="14" customFormat="false" ht="15" hidden="false" customHeight="false" outlineLevel="0" collapsed="false">
      <c r="A14" s="61" t="n">
        <v>5.02</v>
      </c>
      <c r="B14" s="61"/>
      <c r="C14" s="61" t="n">
        <v>1.08</v>
      </c>
      <c r="D14" s="62" t="n">
        <v>0.00156</v>
      </c>
      <c r="E14" s="61"/>
      <c r="F14" s="61"/>
      <c r="G14" s="61"/>
    </row>
    <row r="15" customFormat="false" ht="15" hidden="false" customHeight="false" outlineLevel="0" collapsed="false">
      <c r="A15" s="61" t="n">
        <v>3.995</v>
      </c>
      <c r="B15" s="61"/>
      <c r="C15" s="61" t="n">
        <v>0.97</v>
      </c>
      <c r="D15" s="62" t="n">
        <v>0.00103</v>
      </c>
      <c r="E15" s="61"/>
      <c r="F15" s="61"/>
      <c r="G15" s="61"/>
    </row>
    <row r="16" customFormat="false" ht="15" hidden="false" customHeight="false" outlineLevel="0" collapsed="false">
      <c r="A16" s="61" t="n">
        <v>2.987</v>
      </c>
      <c r="B16" s="61"/>
      <c r="C16" s="61" t="n">
        <v>0.85</v>
      </c>
      <c r="D16" s="62" t="n">
        <v>0.00057</v>
      </c>
      <c r="E16" s="61"/>
      <c r="F16" s="61"/>
      <c r="G16" s="6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55" t="s">
        <v>31</v>
      </c>
      <c r="B1" s="56" t="n">
        <v>6.62606957E-034</v>
      </c>
      <c r="C1" s="55" t="s">
        <v>32</v>
      </c>
      <c r="D1" s="57" t="n">
        <v>2998792458</v>
      </c>
      <c r="E1" s="55" t="s">
        <v>33</v>
      </c>
      <c r="F1" s="56" t="n">
        <v>1.3806488E-023</v>
      </c>
    </row>
    <row r="2" customFormat="false" ht="15" hidden="false" customHeight="false" outlineLevel="0" collapsed="false">
      <c r="B2" s="0" t="s">
        <v>62</v>
      </c>
    </row>
    <row r="3" customFormat="false" ht="15" hidden="false" customHeight="false" outlineLevel="0" collapsed="false">
      <c r="A3" s="58" t="s">
        <v>18</v>
      </c>
      <c r="B3" s="58" t="s">
        <v>63</v>
      </c>
      <c r="C3" s="58" t="s">
        <v>64</v>
      </c>
      <c r="D3" s="58" t="s">
        <v>65</v>
      </c>
      <c r="E3" s="58" t="s">
        <v>66</v>
      </c>
      <c r="J3" s="0" t="s">
        <v>67</v>
      </c>
    </row>
    <row r="4" customFormat="false" ht="15" hidden="false" customHeight="false" outlineLevel="0" collapsed="false">
      <c r="A4" s="63" t="n">
        <v>90</v>
      </c>
      <c r="B4" s="63" t="s">
        <v>68</v>
      </c>
      <c r="C4" s="63" t="s">
        <v>69</v>
      </c>
      <c r="D4" s="63" t="s">
        <v>70</v>
      </c>
      <c r="E4" s="63" t="s">
        <v>71</v>
      </c>
      <c r="F4" s="63" t="s">
        <v>72</v>
      </c>
      <c r="I4" s="0" t="s">
        <v>73</v>
      </c>
      <c r="J4" s="0" t="s">
        <v>74</v>
      </c>
      <c r="K4" s="0" t="s">
        <v>75</v>
      </c>
    </row>
    <row r="5" customFormat="false" ht="15" hidden="false" customHeight="false" outlineLevel="0" collapsed="false">
      <c r="A5" s="63" t="n">
        <v>69</v>
      </c>
      <c r="B5" s="63" t="s">
        <v>76</v>
      </c>
      <c r="C5" s="63" t="s">
        <v>77</v>
      </c>
      <c r="D5" s="63" t="s">
        <v>78</v>
      </c>
      <c r="E5" s="63" t="n">
        <v>1.82</v>
      </c>
      <c r="F5" s="63" t="s">
        <v>79</v>
      </c>
      <c r="I5" s="0" t="s">
        <v>80</v>
      </c>
      <c r="J5" s="0" t="s">
        <v>81</v>
      </c>
      <c r="K5" s="0" t="n">
        <v>41</v>
      </c>
    </row>
    <row r="6" customFormat="false" ht="15" hidden="false" customHeight="false" outlineLevel="0" collapsed="false">
      <c r="A6" s="64"/>
      <c r="B6" s="64"/>
      <c r="C6" s="64"/>
      <c r="D6" s="64"/>
      <c r="E6" s="64"/>
      <c r="I6" s="0" t="s">
        <v>82</v>
      </c>
      <c r="J6" s="0" t="s">
        <v>83</v>
      </c>
      <c r="K6" s="0" t="n">
        <v>49</v>
      </c>
    </row>
    <row r="7" customFormat="false" ht="15" hidden="false" customHeight="false" outlineLevel="0" collapsed="false">
      <c r="I7" s="0" t="s">
        <v>84</v>
      </c>
      <c r="J7" s="0" t="s">
        <v>85</v>
      </c>
      <c r="K7" s="0" t="n">
        <v>56</v>
      </c>
    </row>
    <row r="8" customFormat="false" ht="15" hidden="false" customHeight="false" outlineLevel="0" collapsed="false">
      <c r="I8" s="0" t="s">
        <v>86</v>
      </c>
      <c r="J8" s="0" t="s">
        <v>87</v>
      </c>
      <c r="K8" s="0" t="n">
        <v>63</v>
      </c>
    </row>
    <row r="9" customFormat="false" ht="15" hidden="false" customHeight="false" outlineLevel="0" collapsed="false">
      <c r="I9" s="0" t="s">
        <v>88</v>
      </c>
      <c r="J9" s="0" t="s">
        <v>89</v>
      </c>
      <c r="K9" s="0" t="n">
        <v>72</v>
      </c>
    </row>
    <row r="10" customFormat="false" ht="15" hidden="false" customHeight="false" outlineLevel="0" collapsed="false">
      <c r="I10" s="0" t="s">
        <v>90</v>
      </c>
      <c r="J10" s="0" t="s">
        <v>91</v>
      </c>
      <c r="K10" s="0" t="n">
        <v>77</v>
      </c>
    </row>
    <row r="11" customFormat="false" ht="15" hidden="false" customHeight="false" outlineLevel="0" collapsed="false">
      <c r="I11" s="0" t="s">
        <v>92</v>
      </c>
      <c r="J11" s="0" t="s">
        <v>93</v>
      </c>
      <c r="K11" s="0" t="n">
        <v>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0" width="8.83333333333333"/>
  </cols>
  <sheetData>
    <row r="1" customFormat="false" ht="16" hidden="false" customHeight="false" outlineLevel="0" collapsed="false">
      <c r="A1" s="0" t="n">
        <v>1.6242</v>
      </c>
      <c r="B1" s="0" t="n">
        <v>515.1</v>
      </c>
      <c r="D1" s="65" t="e">
        <f aca="false">LINEST(B1:B200,A1:A200^{1;2;3;4;5;6})</f>
        <v>#VALUE!</v>
      </c>
    </row>
    <row r="2" customFormat="false" ht="15" hidden="false" customHeight="false" outlineLevel="0" collapsed="false">
      <c r="A2" s="0" t="n">
        <v>1.6239</v>
      </c>
      <c r="B2" s="0" t="n">
        <v>517.1</v>
      </c>
    </row>
    <row r="3" customFormat="false" ht="15" hidden="false" customHeight="false" outlineLevel="0" collapsed="false">
      <c r="A3" s="0" t="n">
        <v>1.6237</v>
      </c>
      <c r="B3" s="0" t="n">
        <v>519.2</v>
      </c>
    </row>
    <row r="4" customFormat="false" ht="15" hidden="false" customHeight="false" outlineLevel="0" collapsed="false">
      <c r="A4" s="0" t="n">
        <v>1.6235</v>
      </c>
      <c r="B4" s="0" t="n">
        <v>521.2</v>
      </c>
      <c r="F4" s="0" t="s">
        <v>27</v>
      </c>
    </row>
    <row r="5" customFormat="false" ht="15" hidden="false" customHeight="false" outlineLevel="0" collapsed="false">
      <c r="A5" s="0" t="n">
        <v>1.6232</v>
      </c>
      <c r="B5" s="0" t="n">
        <v>523.3</v>
      </c>
    </row>
    <row r="6" customFormat="false" ht="15" hidden="false" customHeight="false" outlineLevel="0" collapsed="false">
      <c r="A6" s="0" t="n">
        <v>1.623</v>
      </c>
      <c r="B6" s="0" t="n">
        <v>525.3</v>
      </c>
    </row>
    <row r="7" customFormat="false" ht="15" hidden="false" customHeight="false" outlineLevel="0" collapsed="false">
      <c r="A7" s="0" t="n">
        <v>1.6228</v>
      </c>
      <c r="B7" s="0" t="n">
        <v>527.4</v>
      </c>
    </row>
    <row r="8" customFormat="false" ht="15" hidden="false" customHeight="false" outlineLevel="0" collapsed="false">
      <c r="A8" s="0" t="n">
        <v>1.6225</v>
      </c>
      <c r="B8" s="0" t="n">
        <v>529.5</v>
      </c>
    </row>
    <row r="9" customFormat="false" ht="15" hidden="false" customHeight="false" outlineLevel="0" collapsed="false">
      <c r="A9" s="0" t="n">
        <v>1.6223</v>
      </c>
      <c r="B9" s="0" t="n">
        <v>531.6</v>
      </c>
    </row>
    <row r="10" customFormat="false" ht="15" hidden="false" customHeight="false" outlineLevel="0" collapsed="false">
      <c r="A10" s="0" t="n">
        <v>1.6221</v>
      </c>
      <c r="B10" s="0" t="n">
        <v>533.8</v>
      </c>
    </row>
    <row r="11" customFormat="false" ht="15" hidden="false" customHeight="false" outlineLevel="0" collapsed="false">
      <c r="A11" s="0" t="n">
        <v>1.6218</v>
      </c>
      <c r="B11" s="0" t="n">
        <v>535.9</v>
      </c>
    </row>
    <row r="12" customFormat="false" ht="15" hidden="false" customHeight="false" outlineLevel="0" collapsed="false">
      <c r="A12" s="0" t="n">
        <v>1.6216</v>
      </c>
      <c r="B12" s="0" t="n">
        <v>538.1</v>
      </c>
    </row>
    <row r="13" customFormat="false" ht="15" hidden="false" customHeight="false" outlineLevel="0" collapsed="false">
      <c r="A13" s="0" t="n">
        <v>1.6213</v>
      </c>
      <c r="B13" s="0" t="n">
        <v>540.3</v>
      </c>
    </row>
    <row r="14" customFormat="false" ht="15" hidden="false" customHeight="false" outlineLevel="0" collapsed="false">
      <c r="A14" s="0" t="n">
        <v>1.6211</v>
      </c>
      <c r="B14" s="0" t="n">
        <v>542.5</v>
      </c>
    </row>
    <row r="15" customFormat="false" ht="15" hidden="false" customHeight="false" outlineLevel="0" collapsed="false">
      <c r="A15" s="0" t="n">
        <v>1.6209</v>
      </c>
      <c r="B15" s="0" t="n">
        <v>544.7</v>
      </c>
    </row>
    <row r="16" customFormat="false" ht="15" hidden="false" customHeight="false" outlineLevel="0" collapsed="false">
      <c r="A16" s="0" t="n">
        <v>1.6206</v>
      </c>
      <c r="B16" s="0" t="n">
        <v>546.9</v>
      </c>
    </row>
    <row r="17" customFormat="false" ht="15" hidden="false" customHeight="false" outlineLevel="0" collapsed="false">
      <c r="A17" s="0" t="n">
        <v>1.6204</v>
      </c>
      <c r="B17" s="0" t="n">
        <v>549.2</v>
      </c>
    </row>
    <row r="18" customFormat="false" ht="15" hidden="false" customHeight="false" outlineLevel="0" collapsed="false">
      <c r="A18" s="0" t="n">
        <v>1.6202</v>
      </c>
      <c r="B18" s="0" t="n">
        <v>551.4</v>
      </c>
    </row>
    <row r="19" customFormat="false" ht="15" hidden="false" customHeight="false" outlineLevel="0" collapsed="false">
      <c r="A19" s="0" t="n">
        <v>1.6199</v>
      </c>
      <c r="B19" s="0" t="n">
        <v>553.7</v>
      </c>
    </row>
    <row r="20" customFormat="false" ht="15" hidden="false" customHeight="false" outlineLevel="0" collapsed="false">
      <c r="A20" s="0" t="n">
        <v>1.6197</v>
      </c>
      <c r="B20" s="0" t="n">
        <v>556.1</v>
      </c>
    </row>
    <row r="21" customFormat="false" ht="15" hidden="false" customHeight="false" outlineLevel="0" collapsed="false">
      <c r="A21" s="0" t="n">
        <v>1.6195</v>
      </c>
      <c r="B21" s="0" t="n">
        <v>558.4</v>
      </c>
    </row>
    <row r="22" customFormat="false" ht="15" hidden="false" customHeight="false" outlineLevel="0" collapsed="false">
      <c r="A22" s="0" t="n">
        <v>1.6192</v>
      </c>
      <c r="B22" s="0" t="n">
        <v>560.8</v>
      </c>
    </row>
    <row r="23" customFormat="false" ht="15" hidden="false" customHeight="false" outlineLevel="0" collapsed="false">
      <c r="A23" s="0" t="n">
        <v>1.619</v>
      </c>
      <c r="B23" s="0" t="n">
        <v>563.2</v>
      </c>
    </row>
    <row r="24" customFormat="false" ht="15" hidden="false" customHeight="false" outlineLevel="0" collapsed="false">
      <c r="A24" s="0" t="n">
        <v>1.6187</v>
      </c>
      <c r="B24" s="0" t="n">
        <v>565.6</v>
      </c>
    </row>
    <row r="25" customFormat="false" ht="15" hidden="false" customHeight="false" outlineLevel="0" collapsed="false">
      <c r="A25" s="0" t="n">
        <v>1.6185</v>
      </c>
      <c r="B25" s="0" t="n">
        <v>568.1</v>
      </c>
    </row>
    <row r="26" customFormat="false" ht="15" hidden="false" customHeight="false" outlineLevel="0" collapsed="false">
      <c r="A26" s="0" t="n">
        <v>1.6183</v>
      </c>
      <c r="B26" s="0" t="n">
        <v>570.6</v>
      </c>
    </row>
    <row r="27" customFormat="false" ht="15" hidden="false" customHeight="false" outlineLevel="0" collapsed="false">
      <c r="A27" s="0" t="n">
        <v>1.618</v>
      </c>
      <c r="B27" s="0" t="n">
        <v>573.1</v>
      </c>
    </row>
    <row r="28" customFormat="false" ht="15" hidden="false" customHeight="false" outlineLevel="0" collapsed="false">
      <c r="A28" s="0" t="n">
        <v>1.6178</v>
      </c>
      <c r="B28" s="0" t="n">
        <v>575.7</v>
      </c>
    </row>
    <row r="29" customFormat="false" ht="15" hidden="false" customHeight="false" outlineLevel="0" collapsed="false">
      <c r="A29" s="0" t="n">
        <v>1.6176</v>
      </c>
      <c r="B29" s="0" t="n">
        <v>578.3</v>
      </c>
    </row>
    <row r="30" customFormat="false" ht="15" hidden="false" customHeight="false" outlineLevel="0" collapsed="false">
      <c r="A30" s="0" t="n">
        <v>1.6173</v>
      </c>
      <c r="B30" s="0" t="n">
        <v>580.9</v>
      </c>
    </row>
    <row r="31" customFormat="false" ht="15" hidden="false" customHeight="false" outlineLevel="0" collapsed="false">
      <c r="A31" s="0" t="n">
        <v>1.6171</v>
      </c>
      <c r="B31" s="0" t="n">
        <v>583.5</v>
      </c>
    </row>
    <row r="32" customFormat="false" ht="15" hidden="false" customHeight="false" outlineLevel="0" collapsed="false">
      <c r="A32" s="0" t="n">
        <v>1.6169</v>
      </c>
      <c r="B32" s="0" t="n">
        <v>586.2</v>
      </c>
    </row>
    <row r="33" customFormat="false" ht="15" hidden="false" customHeight="false" outlineLevel="0" collapsed="false">
      <c r="A33" s="0" t="n">
        <v>1.6166</v>
      </c>
      <c r="B33" s="0" t="n">
        <v>589</v>
      </c>
    </row>
    <row r="34" customFormat="false" ht="15" hidden="false" customHeight="false" outlineLevel="0" collapsed="false">
      <c r="A34" s="0" t="n">
        <v>1.6164</v>
      </c>
      <c r="B34" s="0" t="n">
        <v>591.7</v>
      </c>
    </row>
    <row r="35" customFormat="false" ht="15" hidden="false" customHeight="false" outlineLevel="0" collapsed="false">
      <c r="A35" s="0" t="n">
        <v>1.6162</v>
      </c>
      <c r="B35" s="0" t="n">
        <v>594.6</v>
      </c>
    </row>
    <row r="36" customFormat="false" ht="15" hidden="false" customHeight="false" outlineLevel="0" collapsed="false">
      <c r="A36" s="0" t="n">
        <v>1.6159</v>
      </c>
      <c r="B36" s="0" t="n">
        <v>597.4</v>
      </c>
    </row>
    <row r="37" customFormat="false" ht="15" hidden="false" customHeight="false" outlineLevel="0" collapsed="false">
      <c r="A37" s="0" t="n">
        <v>1.6157</v>
      </c>
      <c r="B37" s="0" t="n">
        <v>600.3</v>
      </c>
    </row>
    <row r="38" customFormat="false" ht="15" hidden="false" customHeight="false" outlineLevel="0" collapsed="false">
      <c r="A38" s="0" t="n">
        <v>1.6154</v>
      </c>
      <c r="B38" s="0" t="n">
        <v>603.3</v>
      </c>
    </row>
    <row r="39" customFormat="false" ht="15" hidden="false" customHeight="false" outlineLevel="0" collapsed="false">
      <c r="A39" s="0" t="n">
        <v>1.6152</v>
      </c>
      <c r="B39" s="0" t="n">
        <v>606.2</v>
      </c>
    </row>
    <row r="40" customFormat="false" ht="15" hidden="false" customHeight="false" outlineLevel="0" collapsed="false">
      <c r="A40" s="0" t="n">
        <v>1.615</v>
      </c>
      <c r="B40" s="0" t="n">
        <v>609.3</v>
      </c>
    </row>
    <row r="41" customFormat="false" ht="15" hidden="false" customHeight="false" outlineLevel="0" collapsed="false">
      <c r="A41" s="0" t="n">
        <v>1.6147</v>
      </c>
      <c r="B41" s="0" t="n">
        <v>612.4</v>
      </c>
    </row>
    <row r="42" customFormat="false" ht="15" hidden="false" customHeight="false" outlineLevel="0" collapsed="false">
      <c r="A42" s="0" t="n">
        <v>1.6145</v>
      </c>
      <c r="B42" s="0" t="n">
        <v>615.5</v>
      </c>
    </row>
    <row r="43" customFormat="false" ht="15" hidden="false" customHeight="false" outlineLevel="0" collapsed="false">
      <c r="A43" s="0" t="n">
        <v>1.6143</v>
      </c>
      <c r="B43" s="0" t="n">
        <v>618.7</v>
      </c>
    </row>
    <row r="44" customFormat="false" ht="15" hidden="false" customHeight="false" outlineLevel="0" collapsed="false">
      <c r="A44" s="0" t="n">
        <v>1.614</v>
      </c>
      <c r="B44" s="0" t="n">
        <v>621.9</v>
      </c>
    </row>
    <row r="45" customFormat="false" ht="15" hidden="false" customHeight="false" outlineLevel="0" collapsed="false">
      <c r="A45" s="0" t="n">
        <v>1.6138</v>
      </c>
      <c r="B45" s="0" t="n">
        <v>625.2</v>
      </c>
    </row>
    <row r="46" customFormat="false" ht="15" hidden="false" customHeight="false" outlineLevel="0" collapsed="false">
      <c r="A46" s="0" t="n">
        <v>1.6136</v>
      </c>
      <c r="B46" s="0" t="n">
        <v>628.5</v>
      </c>
    </row>
    <row r="47" customFormat="false" ht="15" hidden="false" customHeight="false" outlineLevel="0" collapsed="false">
      <c r="A47" s="0" t="n">
        <v>1.6133</v>
      </c>
      <c r="B47" s="0" t="n">
        <v>631.9</v>
      </c>
    </row>
    <row r="48" customFormat="false" ht="15" hidden="false" customHeight="false" outlineLevel="0" collapsed="false">
      <c r="A48" s="0" t="n">
        <v>1.6131</v>
      </c>
      <c r="B48" s="0" t="n">
        <v>635.4</v>
      </c>
    </row>
    <row r="49" customFormat="false" ht="15" hidden="false" customHeight="false" outlineLevel="0" collapsed="false">
      <c r="A49" s="0" t="n">
        <v>1.6129</v>
      </c>
      <c r="B49" s="0" t="n">
        <v>638.9</v>
      </c>
    </row>
    <row r="50" customFormat="false" ht="15" hidden="false" customHeight="false" outlineLevel="0" collapsed="false">
      <c r="A50" s="0" t="n">
        <v>1.6126</v>
      </c>
      <c r="B50" s="0" t="n">
        <v>642.5</v>
      </c>
    </row>
    <row r="51" customFormat="false" ht="15" hidden="false" customHeight="false" outlineLevel="0" collapsed="false">
      <c r="A51" s="0" t="n">
        <v>1.6124</v>
      </c>
      <c r="B51" s="0" t="n">
        <v>646.1</v>
      </c>
    </row>
    <row r="52" customFormat="false" ht="15" hidden="false" customHeight="false" outlineLevel="0" collapsed="false">
      <c r="A52" s="0" t="n">
        <v>1.6122</v>
      </c>
      <c r="B52" s="0" t="n">
        <v>649.8</v>
      </c>
    </row>
    <row r="53" customFormat="false" ht="15" hidden="false" customHeight="false" outlineLevel="0" collapsed="false">
      <c r="A53" s="0" t="n">
        <v>1.6119</v>
      </c>
      <c r="B53" s="0" t="n">
        <v>653.6</v>
      </c>
    </row>
    <row r="54" customFormat="false" ht="15" hidden="false" customHeight="false" outlineLevel="0" collapsed="false">
      <c r="A54" s="0" t="n">
        <v>1.6117</v>
      </c>
      <c r="B54" s="0" t="n">
        <v>657.5</v>
      </c>
    </row>
    <row r="55" customFormat="false" ht="15" hidden="false" customHeight="false" outlineLevel="0" collapsed="false">
      <c r="A55" s="0" t="n">
        <v>1.6114</v>
      </c>
      <c r="B55" s="0" t="n">
        <v>661.4</v>
      </c>
    </row>
    <row r="56" customFormat="false" ht="15" hidden="false" customHeight="false" outlineLevel="0" collapsed="false">
      <c r="A56" s="0" t="n">
        <v>1.6112</v>
      </c>
      <c r="B56" s="0" t="n">
        <v>665.4</v>
      </c>
    </row>
    <row r="57" customFormat="false" ht="15" hidden="false" customHeight="false" outlineLevel="0" collapsed="false">
      <c r="A57" s="0" t="n">
        <v>1.611</v>
      </c>
      <c r="B57" s="0" t="n">
        <v>669.4</v>
      </c>
    </row>
    <row r="58" customFormat="false" ht="15" hidden="false" customHeight="false" outlineLevel="0" collapsed="false">
      <c r="A58" s="0" t="n">
        <v>1.6107</v>
      </c>
      <c r="B58" s="0" t="n">
        <v>673.6</v>
      </c>
    </row>
    <row r="59" customFormat="false" ht="15" hidden="false" customHeight="false" outlineLevel="0" collapsed="false">
      <c r="A59" s="0" t="n">
        <v>1.6105</v>
      </c>
      <c r="B59" s="0" t="n">
        <v>677.8</v>
      </c>
    </row>
    <row r="60" customFormat="false" ht="15" hidden="false" customHeight="false" outlineLevel="0" collapsed="false">
      <c r="A60" s="0" t="n">
        <v>1.6103</v>
      </c>
      <c r="B60" s="0" t="n">
        <v>682.1</v>
      </c>
    </row>
    <row r="61" customFormat="false" ht="15" hidden="false" customHeight="false" outlineLevel="0" collapsed="false">
      <c r="A61" s="0" t="n">
        <v>1.61</v>
      </c>
      <c r="B61" s="0" t="n">
        <v>686.5</v>
      </c>
    </row>
    <row r="62" customFormat="false" ht="15" hidden="false" customHeight="false" outlineLevel="0" collapsed="false">
      <c r="A62" s="0" t="n">
        <v>1.6098</v>
      </c>
      <c r="B62" s="0" t="n">
        <v>690.9</v>
      </c>
    </row>
    <row r="63" customFormat="false" ht="15" hidden="false" customHeight="false" outlineLevel="0" collapsed="false">
      <c r="A63" s="0" t="n">
        <v>1.6096</v>
      </c>
      <c r="B63" s="0" t="n">
        <v>695.5</v>
      </c>
    </row>
    <row r="64" customFormat="false" ht="15" hidden="false" customHeight="false" outlineLevel="0" collapsed="false">
      <c r="A64" s="0" t="n">
        <v>1.6093</v>
      </c>
      <c r="B64" s="0" t="n">
        <v>700.1</v>
      </c>
    </row>
    <row r="65" customFormat="false" ht="15" hidden="false" customHeight="false" outlineLevel="0" collapsed="false">
      <c r="A65" s="0" t="n">
        <v>1.6091</v>
      </c>
      <c r="B65" s="0" t="n">
        <v>704.8</v>
      </c>
    </row>
    <row r="66" customFormat="false" ht="15" hidden="false" customHeight="false" outlineLevel="0" collapsed="false">
      <c r="A66" s="0" t="n">
        <v>1.6089</v>
      </c>
      <c r="B66" s="0" t="n">
        <v>709.7</v>
      </c>
    </row>
    <row r="67" customFormat="false" ht="15" hidden="false" customHeight="false" outlineLevel="0" collapsed="false">
      <c r="A67" s="0" t="n">
        <v>1.6086</v>
      </c>
      <c r="B67" s="0" t="n">
        <v>714.6</v>
      </c>
    </row>
    <row r="68" customFormat="false" ht="15" hidden="false" customHeight="false" outlineLevel="0" collapsed="false">
      <c r="A68" s="0" t="n">
        <v>1.6084</v>
      </c>
      <c r="B68" s="0" t="n">
        <v>719.6</v>
      </c>
    </row>
    <row r="69" customFormat="false" ht="15" hidden="false" customHeight="false" outlineLevel="0" collapsed="false">
      <c r="A69" s="0" t="n">
        <v>1.6082</v>
      </c>
      <c r="B69" s="0" t="n">
        <v>724.7</v>
      </c>
    </row>
    <row r="70" customFormat="false" ht="15" hidden="false" customHeight="false" outlineLevel="0" collapsed="false">
      <c r="A70" s="0" t="n">
        <v>1.6079</v>
      </c>
      <c r="B70" s="0" t="n">
        <v>730</v>
      </c>
    </row>
    <row r="71" customFormat="false" ht="15" hidden="false" customHeight="false" outlineLevel="0" collapsed="false">
      <c r="A71" s="0" t="n">
        <v>1.6077</v>
      </c>
      <c r="B71" s="0" t="n">
        <v>735.3</v>
      </c>
    </row>
    <row r="72" customFormat="false" ht="15" hidden="false" customHeight="false" outlineLevel="0" collapsed="false">
      <c r="A72" s="0" t="n">
        <v>1.6075</v>
      </c>
      <c r="B72" s="0" t="n">
        <v>740.7</v>
      </c>
    </row>
    <row r="73" customFormat="false" ht="15" hidden="false" customHeight="false" outlineLevel="0" collapsed="false">
      <c r="A73" s="0" t="n">
        <v>1.6072</v>
      </c>
      <c r="B73" s="0" t="n">
        <v>746.3</v>
      </c>
    </row>
    <row r="74" customFormat="false" ht="15" hidden="false" customHeight="false" outlineLevel="0" collapsed="false">
      <c r="A74" s="0" t="n">
        <v>1.607</v>
      </c>
      <c r="B74" s="0" t="n">
        <v>752</v>
      </c>
    </row>
    <row r="75" customFormat="false" ht="15" hidden="false" customHeight="false" outlineLevel="0" collapsed="false">
      <c r="A75" s="0" t="n">
        <v>1.6068</v>
      </c>
      <c r="B75" s="0" t="n">
        <v>757.7</v>
      </c>
    </row>
    <row r="76" customFormat="false" ht="15" hidden="false" customHeight="false" outlineLevel="0" collapsed="false">
      <c r="A76" s="0" t="n">
        <v>1.6065</v>
      </c>
      <c r="B76" s="0" t="n">
        <v>763.7</v>
      </c>
    </row>
    <row r="77" customFormat="false" ht="15" hidden="false" customHeight="false" outlineLevel="0" collapsed="false">
      <c r="A77" s="0" t="n">
        <v>1.6063</v>
      </c>
      <c r="B77" s="0" t="n">
        <v>769.7</v>
      </c>
    </row>
    <row r="78" customFormat="false" ht="15" hidden="false" customHeight="false" outlineLevel="0" collapsed="false">
      <c r="A78" s="0" t="n">
        <v>1.6061</v>
      </c>
      <c r="B78" s="0" t="n">
        <v>775.8</v>
      </c>
    </row>
    <row r="79" customFormat="false" ht="15" hidden="false" customHeight="false" outlineLevel="0" collapsed="false">
      <c r="A79" s="0" t="n">
        <v>1.6058</v>
      </c>
      <c r="B79" s="0" t="n">
        <v>782.1</v>
      </c>
    </row>
    <row r="80" customFormat="false" ht="15" hidden="false" customHeight="false" outlineLevel="0" collapsed="false">
      <c r="A80" s="0" t="n">
        <v>1.6056</v>
      </c>
      <c r="B80" s="0" t="n">
        <v>788.6</v>
      </c>
    </row>
    <row r="81" customFormat="false" ht="15" hidden="false" customHeight="false" outlineLevel="0" collapsed="false">
      <c r="A81" s="0" t="n">
        <v>1.6054</v>
      </c>
      <c r="B81" s="0" t="n">
        <v>795.1</v>
      </c>
    </row>
    <row r="82" customFormat="false" ht="15" hidden="false" customHeight="false" outlineLevel="0" collapsed="false">
      <c r="A82" s="0" t="n">
        <v>1.6051</v>
      </c>
      <c r="B82" s="0" t="n">
        <v>801.8</v>
      </c>
    </row>
    <row r="83" customFormat="false" ht="15" hidden="false" customHeight="false" outlineLevel="0" collapsed="false">
      <c r="A83" s="0" t="n">
        <v>1.6049</v>
      </c>
      <c r="B83" s="0" t="n">
        <v>808.7</v>
      </c>
    </row>
    <row r="84" customFormat="false" ht="15" hidden="false" customHeight="false" outlineLevel="0" collapsed="false">
      <c r="A84" s="0" t="n">
        <v>1.6047</v>
      </c>
      <c r="B84" s="0" t="n">
        <v>815.7</v>
      </c>
    </row>
    <row r="85" customFormat="false" ht="15" hidden="false" customHeight="false" outlineLevel="0" collapsed="false">
      <c r="A85" s="0" t="n">
        <v>1.6044</v>
      </c>
      <c r="B85" s="0" t="n">
        <v>822.8</v>
      </c>
    </row>
    <row r="86" customFormat="false" ht="15" hidden="false" customHeight="false" outlineLevel="0" collapsed="false">
      <c r="A86" s="0" t="n">
        <v>1.6042</v>
      </c>
      <c r="B86" s="0" t="n">
        <v>830.1</v>
      </c>
    </row>
    <row r="87" customFormat="false" ht="15" hidden="false" customHeight="false" outlineLevel="0" collapsed="false">
      <c r="A87" s="0" t="n">
        <v>1.604</v>
      </c>
      <c r="B87" s="0" t="n">
        <v>837.6</v>
      </c>
    </row>
    <row r="88" customFormat="false" ht="15" hidden="false" customHeight="false" outlineLevel="0" collapsed="false">
      <c r="A88" s="0" t="n">
        <v>1.6037</v>
      </c>
      <c r="B88" s="0" t="n">
        <v>845.2</v>
      </c>
    </row>
    <row r="89" customFormat="false" ht="15" hidden="false" customHeight="false" outlineLevel="0" collapsed="false">
      <c r="A89" s="0" t="n">
        <v>1.6035</v>
      </c>
      <c r="B89" s="0" t="n">
        <v>853</v>
      </c>
    </row>
    <row r="90" customFormat="false" ht="15" hidden="false" customHeight="false" outlineLevel="0" collapsed="false">
      <c r="A90" s="0" t="n">
        <v>1.6033</v>
      </c>
      <c r="B90" s="0" t="n">
        <v>861</v>
      </c>
    </row>
    <row r="91" customFormat="false" ht="15" hidden="false" customHeight="false" outlineLevel="0" collapsed="false">
      <c r="A91" s="0" t="n">
        <v>1.603</v>
      </c>
      <c r="B91" s="0" t="n">
        <v>869.2</v>
      </c>
    </row>
    <row r="92" customFormat="false" ht="15" hidden="false" customHeight="false" outlineLevel="0" collapsed="false">
      <c r="A92" s="0" t="n">
        <v>1.6028</v>
      </c>
      <c r="B92" s="0" t="n">
        <v>877.5</v>
      </c>
    </row>
    <row r="93" customFormat="false" ht="15" hidden="false" customHeight="false" outlineLevel="0" collapsed="false">
      <c r="A93" s="0" t="n">
        <v>1.6025</v>
      </c>
      <c r="B93" s="0" t="n">
        <v>886.1</v>
      </c>
    </row>
    <row r="94" customFormat="false" ht="15" hidden="false" customHeight="false" outlineLevel="0" collapsed="false">
      <c r="A94" s="0" t="n">
        <v>1.6023</v>
      </c>
      <c r="B94" s="0" t="n">
        <v>894.8</v>
      </c>
    </row>
    <row r="95" customFormat="false" ht="15" hidden="false" customHeight="false" outlineLevel="0" collapsed="false">
      <c r="A95" s="0" t="n">
        <v>1.6021</v>
      </c>
      <c r="B95" s="0" t="n">
        <v>903.7</v>
      </c>
    </row>
    <row r="96" customFormat="false" ht="15" hidden="false" customHeight="false" outlineLevel="0" collapsed="false">
      <c r="A96" s="0" t="n">
        <v>1.6018</v>
      </c>
      <c r="B96" s="0" t="n">
        <v>912.8</v>
      </c>
    </row>
    <row r="97" customFormat="false" ht="15" hidden="false" customHeight="false" outlineLevel="0" collapsed="false">
      <c r="A97" s="0" t="n">
        <v>1.6016</v>
      </c>
      <c r="B97" s="0" t="n">
        <v>922.2</v>
      </c>
    </row>
    <row r="98" customFormat="false" ht="15" hidden="false" customHeight="false" outlineLevel="0" collapsed="false">
      <c r="A98" s="0" t="n">
        <v>1.6014</v>
      </c>
      <c r="B98" s="0" t="n">
        <v>931.7</v>
      </c>
    </row>
    <row r="99" customFormat="false" ht="15" hidden="false" customHeight="false" outlineLevel="0" collapsed="false">
      <c r="A99" s="0" t="n">
        <v>1.6011</v>
      </c>
      <c r="B99" s="0" t="n">
        <v>941.5</v>
      </c>
    </row>
    <row r="100" customFormat="false" ht="15" hidden="false" customHeight="false" outlineLevel="0" collapsed="false">
      <c r="A100" s="0" t="n">
        <v>1.6009</v>
      </c>
      <c r="B100" s="0" t="n">
        <v>951.5</v>
      </c>
    </row>
    <row r="101" customFormat="false" ht="15" hidden="false" customHeight="false" outlineLevel="0" collapsed="false">
      <c r="A101" s="0" t="n">
        <v>1.6007</v>
      </c>
      <c r="B101" s="0" t="n">
        <v>961.8</v>
      </c>
    </row>
    <row r="102" customFormat="false" ht="15" hidden="false" customHeight="false" outlineLevel="0" collapsed="false">
      <c r="A102" s="0" t="n">
        <v>1.6004</v>
      </c>
      <c r="B102" s="0" t="n">
        <v>972.3</v>
      </c>
    </row>
    <row r="103" customFormat="false" ht="15" hidden="false" customHeight="false" outlineLevel="0" collapsed="false">
      <c r="A103" s="0" t="n">
        <v>1.6002</v>
      </c>
      <c r="B103" s="0" t="n">
        <v>983</v>
      </c>
    </row>
    <row r="104" customFormat="false" ht="15" hidden="false" customHeight="false" outlineLevel="0" collapsed="false">
      <c r="A104" s="0" t="n">
        <v>1.6</v>
      </c>
      <c r="B104" s="0" t="n">
        <v>994</v>
      </c>
    </row>
    <row r="105" customFormat="false" ht="15" hidden="false" customHeight="false" outlineLevel="0" collapsed="false">
      <c r="A105" s="0" t="n">
        <v>1.5997</v>
      </c>
      <c r="B105" s="0" t="n">
        <v>1005.2</v>
      </c>
    </row>
    <row r="106" customFormat="false" ht="15" hidden="false" customHeight="false" outlineLevel="0" collapsed="false">
      <c r="A106" s="0" t="n">
        <v>1.5995</v>
      </c>
      <c r="B106" s="0" t="n">
        <v>1016.8</v>
      </c>
    </row>
    <row r="107" customFormat="false" ht="15" hidden="false" customHeight="false" outlineLevel="0" collapsed="false">
      <c r="A107" s="0" t="n">
        <v>1.5993</v>
      </c>
      <c r="B107" s="0" t="n">
        <v>1028.6</v>
      </c>
    </row>
    <row r="108" customFormat="false" ht="15" hidden="false" customHeight="false" outlineLevel="0" collapsed="false">
      <c r="A108" s="0" t="n">
        <v>1.5991</v>
      </c>
      <c r="B108" s="0" t="n">
        <v>1040.6</v>
      </c>
    </row>
    <row r="109" customFormat="false" ht="15" hidden="false" customHeight="false" outlineLevel="0" collapsed="false">
      <c r="A109" s="0" t="n">
        <v>1.5988</v>
      </c>
      <c r="B109" s="0" t="n">
        <v>1053</v>
      </c>
    </row>
    <row r="110" customFormat="false" ht="15" hidden="false" customHeight="false" outlineLevel="0" collapsed="false">
      <c r="A110" s="0" t="n">
        <v>1.5986</v>
      </c>
      <c r="B110" s="0" t="n">
        <v>1065.7</v>
      </c>
    </row>
    <row r="111" customFormat="false" ht="15" hidden="false" customHeight="false" outlineLevel="0" collapsed="false">
      <c r="A111" s="0" t="n">
        <v>1.5984</v>
      </c>
      <c r="B111" s="0" t="n">
        <v>1078.7</v>
      </c>
    </row>
    <row r="112" customFormat="false" ht="15" hidden="false" customHeight="false" outlineLevel="0" collapsed="false">
      <c r="A112" s="0" t="n">
        <v>1.5981</v>
      </c>
      <c r="B112" s="0" t="n">
        <v>1092</v>
      </c>
    </row>
    <row r="113" customFormat="false" ht="15" hidden="false" customHeight="false" outlineLevel="0" collapsed="false">
      <c r="A113" s="0" t="n">
        <v>1.5979</v>
      </c>
      <c r="B113" s="0" t="n">
        <v>1105.7</v>
      </c>
    </row>
    <row r="114" customFormat="false" ht="15" hidden="false" customHeight="false" outlineLevel="0" collapsed="false">
      <c r="A114" s="0" t="n">
        <v>1.5977</v>
      </c>
      <c r="B114" s="0" t="n">
        <v>1119.6</v>
      </c>
    </row>
    <row r="115" customFormat="false" ht="15" hidden="false" customHeight="false" outlineLevel="0" collapsed="false">
      <c r="A115" s="0" t="n">
        <v>1.5974</v>
      </c>
      <c r="B115" s="0" t="n">
        <v>1134</v>
      </c>
    </row>
    <row r="116" customFormat="false" ht="15" hidden="false" customHeight="false" outlineLevel="0" collapsed="false">
      <c r="A116" s="0" t="n">
        <v>1.5972</v>
      </c>
      <c r="B116" s="0" t="n">
        <v>1148.7</v>
      </c>
    </row>
    <row r="117" customFormat="false" ht="15" hidden="false" customHeight="false" outlineLevel="0" collapsed="false">
      <c r="A117" s="0" t="n">
        <v>1.597</v>
      </c>
      <c r="B117" s="0" t="n">
        <v>1163.7</v>
      </c>
    </row>
    <row r="118" customFormat="false" ht="15" hidden="false" customHeight="false" outlineLevel="0" collapsed="false">
      <c r="A118" s="0" t="n">
        <v>1.5967</v>
      </c>
      <c r="B118" s="0" t="n">
        <v>1179.2</v>
      </c>
    </row>
    <row r="119" customFormat="false" ht="15" hidden="false" customHeight="false" outlineLevel="0" collapsed="false">
      <c r="A119" s="0" t="n">
        <v>1.5965</v>
      </c>
      <c r="B119" s="0" t="n">
        <v>1195</v>
      </c>
    </row>
    <row r="120" customFormat="false" ht="15" hidden="false" customHeight="false" outlineLevel="0" collapsed="false">
      <c r="A120" s="0" t="n">
        <v>1.5963</v>
      </c>
      <c r="B120" s="0" t="n">
        <v>1211.2</v>
      </c>
    </row>
    <row r="121" customFormat="false" ht="15" hidden="false" customHeight="false" outlineLevel="0" collapsed="false">
      <c r="A121" s="0" t="n">
        <v>1.596</v>
      </c>
      <c r="B121" s="0" t="n">
        <v>1227.9</v>
      </c>
    </row>
    <row r="122" customFormat="false" ht="15" hidden="false" customHeight="false" outlineLevel="0" collapsed="false">
      <c r="A122" s="0" t="n">
        <v>1.5958</v>
      </c>
      <c r="B122" s="0" t="n">
        <v>1245</v>
      </c>
    </row>
    <row r="123" customFormat="false" ht="15" hidden="false" customHeight="false" outlineLevel="0" collapsed="false">
      <c r="A123" s="0" t="n">
        <v>1.5956</v>
      </c>
      <c r="B123" s="0" t="n">
        <v>1262.5</v>
      </c>
    </row>
    <row r="124" customFormat="false" ht="15" hidden="false" customHeight="false" outlineLevel="0" collapsed="false">
      <c r="A124" s="0" t="n">
        <v>1.5953</v>
      </c>
      <c r="B124" s="0" t="n">
        <v>1280.5</v>
      </c>
    </row>
    <row r="125" customFormat="false" ht="15" hidden="false" customHeight="false" outlineLevel="0" collapsed="false">
      <c r="A125" s="0" t="n">
        <v>1.5951</v>
      </c>
      <c r="B125" s="0" t="n">
        <v>1299</v>
      </c>
    </row>
    <row r="126" customFormat="false" ht="15" hidden="false" customHeight="false" outlineLevel="0" collapsed="false">
      <c r="A126" s="0" t="n">
        <v>1.5949</v>
      </c>
      <c r="B126" s="0" t="n">
        <v>1317.9</v>
      </c>
    </row>
    <row r="127" customFormat="false" ht="15" hidden="false" customHeight="false" outlineLevel="0" collapsed="false">
      <c r="A127" s="0" t="n">
        <v>1.5946</v>
      </c>
      <c r="B127" s="0" t="n">
        <v>1337.4</v>
      </c>
    </row>
    <row r="128" customFormat="false" ht="15" hidden="false" customHeight="false" outlineLevel="0" collapsed="false">
      <c r="A128" s="0" t="n">
        <v>1.5944</v>
      </c>
      <c r="B128" s="0" t="n">
        <v>1357.4</v>
      </c>
    </row>
    <row r="129" customFormat="false" ht="15" hidden="false" customHeight="false" outlineLevel="0" collapsed="false">
      <c r="A129" s="0" t="n">
        <v>1.5942</v>
      </c>
      <c r="B129" s="0" t="n">
        <v>1377.9</v>
      </c>
    </row>
    <row r="130" customFormat="false" ht="15" hidden="false" customHeight="false" outlineLevel="0" collapsed="false">
      <c r="A130" s="0" t="n">
        <v>1.5939</v>
      </c>
      <c r="B130" s="0" t="n">
        <v>1398.9</v>
      </c>
    </row>
    <row r="131" customFormat="false" ht="15" hidden="false" customHeight="false" outlineLevel="0" collapsed="false">
      <c r="A131" s="0" t="n">
        <v>1.5937</v>
      </c>
      <c r="B131" s="0" t="n">
        <v>1420.5</v>
      </c>
    </row>
    <row r="132" customFormat="false" ht="15" hidden="false" customHeight="false" outlineLevel="0" collapsed="false">
      <c r="A132" s="0" t="n">
        <v>1.5935</v>
      </c>
      <c r="B132" s="0" t="n">
        <v>1442.7</v>
      </c>
    </row>
    <row r="133" customFormat="false" ht="15" hidden="false" customHeight="false" outlineLevel="0" collapsed="false">
      <c r="A133" s="0" t="n">
        <v>1.5932</v>
      </c>
      <c r="B133" s="0" t="n">
        <v>1465.5</v>
      </c>
    </row>
    <row r="134" customFormat="false" ht="15" hidden="false" customHeight="false" outlineLevel="0" collapsed="false">
      <c r="A134" s="0" t="n">
        <v>1.593</v>
      </c>
      <c r="B134" s="0" t="n">
        <v>1489</v>
      </c>
    </row>
    <row r="135" customFormat="false" ht="15" hidden="false" customHeight="false" outlineLevel="0" collapsed="false">
      <c r="A135" s="0" t="n">
        <v>1.5928</v>
      </c>
      <c r="B135" s="0" t="n">
        <v>1513.1</v>
      </c>
    </row>
    <row r="136" customFormat="false" ht="15" hidden="false" customHeight="false" outlineLevel="0" collapsed="false">
      <c r="A136" s="0" t="n">
        <v>1.5925</v>
      </c>
      <c r="B136" s="0" t="n">
        <v>1537.8</v>
      </c>
    </row>
    <row r="137" customFormat="false" ht="15" hidden="false" customHeight="false" outlineLevel="0" collapsed="false">
      <c r="A137" s="0" t="n">
        <v>1.5923</v>
      </c>
      <c r="B137" s="0" t="n">
        <v>1563.3</v>
      </c>
    </row>
    <row r="138" customFormat="false" ht="15" hidden="false" customHeight="false" outlineLevel="0" collapsed="false">
      <c r="A138" s="0" t="n">
        <v>1.5921</v>
      </c>
      <c r="B138" s="0" t="n">
        <v>1589.4</v>
      </c>
    </row>
    <row r="139" customFormat="false" ht="15" hidden="false" customHeight="false" outlineLevel="0" collapsed="false">
      <c r="A139" s="0" t="n">
        <v>1.5918</v>
      </c>
      <c r="B139" s="0" t="n">
        <v>1616.3</v>
      </c>
    </row>
    <row r="140" customFormat="false" ht="15" hidden="false" customHeight="false" outlineLevel="0" collapsed="false">
      <c r="A140" s="0" t="n">
        <v>1.5916</v>
      </c>
      <c r="B140" s="0" t="n">
        <v>1643.9</v>
      </c>
    </row>
    <row r="141" customFormat="false" ht="15" hidden="false" customHeight="false" outlineLevel="0" collapsed="false">
      <c r="A141" s="0" t="n">
        <v>1.5914</v>
      </c>
      <c r="B141" s="0" t="n">
        <v>1672.4</v>
      </c>
    </row>
    <row r="142" customFormat="false" ht="15" hidden="false" customHeight="false" outlineLevel="0" collapsed="false">
      <c r="A142" s="0" t="n">
        <v>1.5911</v>
      </c>
      <c r="B142" s="0" t="n">
        <v>1701.6</v>
      </c>
    </row>
    <row r="143" customFormat="false" ht="15" hidden="false" customHeight="false" outlineLevel="0" collapsed="false">
      <c r="A143" s="0" t="n">
        <v>1.5909</v>
      </c>
      <c r="B143" s="0" t="n">
        <v>1731.7</v>
      </c>
    </row>
    <row r="144" customFormat="false" ht="15" hidden="false" customHeight="false" outlineLevel="0" collapsed="false">
      <c r="A144" s="0" t="n">
        <v>1.5907</v>
      </c>
      <c r="B144" s="0" t="n">
        <v>1762.6</v>
      </c>
    </row>
    <row r="145" customFormat="false" ht="15" hidden="false" customHeight="false" outlineLevel="0" collapsed="false">
      <c r="A145" s="0" t="n">
        <v>1.5905</v>
      </c>
      <c r="B145" s="0" t="n">
        <v>1794.5</v>
      </c>
    </row>
    <row r="146" customFormat="false" ht="15" hidden="false" customHeight="false" outlineLevel="0" collapsed="false">
      <c r="A146" s="0" t="n">
        <v>1.5902</v>
      </c>
      <c r="B146" s="0" t="n">
        <v>1827.2</v>
      </c>
    </row>
    <row r="147" customFormat="false" ht="15" hidden="false" customHeight="false" outlineLevel="0" collapsed="false">
      <c r="A147" s="0" t="n">
        <v>1.59</v>
      </c>
      <c r="B147" s="0" t="n">
        <v>1861</v>
      </c>
    </row>
    <row r="148" customFormat="false" ht="15" hidden="false" customHeight="false" outlineLevel="0" collapsed="false">
      <c r="A148" s="0" t="n">
        <v>1.5898</v>
      </c>
      <c r="B148" s="0" t="n">
        <v>1895.7</v>
      </c>
    </row>
    <row r="149" customFormat="false" ht="15" hidden="false" customHeight="false" outlineLevel="0" collapsed="false">
      <c r="A149" s="0" t="n">
        <v>1.5895</v>
      </c>
      <c r="B149" s="0" t="n">
        <v>1931.5</v>
      </c>
    </row>
    <row r="150" customFormat="false" ht="15" hidden="false" customHeight="false" outlineLevel="0" collapsed="false">
      <c r="A150" s="0" t="n">
        <v>1.5893</v>
      </c>
      <c r="B150" s="0" t="n">
        <v>1968.3</v>
      </c>
    </row>
    <row r="151" customFormat="false" ht="15" hidden="false" customHeight="false" outlineLevel="0" collapsed="false">
      <c r="A151" s="0" t="n">
        <v>1.5891</v>
      </c>
      <c r="B151" s="0" t="n">
        <v>2006.2</v>
      </c>
    </row>
    <row r="152" customFormat="false" ht="15" hidden="false" customHeight="false" outlineLevel="0" collapsed="false">
      <c r="A152" s="0" t="n">
        <v>1.5888</v>
      </c>
      <c r="B152" s="0" t="n">
        <v>2045.3</v>
      </c>
    </row>
    <row r="153" customFormat="false" ht="15" hidden="false" customHeight="false" outlineLevel="0" collapsed="false">
      <c r="A153" s="0" t="n">
        <v>1.5886</v>
      </c>
      <c r="B153" s="0" t="n">
        <v>2085.6</v>
      </c>
    </row>
    <row r="154" customFormat="false" ht="15" hidden="false" customHeight="false" outlineLevel="0" collapsed="false">
      <c r="A154" s="0" t="n">
        <v>1.5884</v>
      </c>
      <c r="B154" s="0" t="n">
        <v>2127.1</v>
      </c>
    </row>
    <row r="155" customFormat="false" ht="15" hidden="false" customHeight="false" outlineLevel="0" collapsed="false">
      <c r="A155" s="0" t="n">
        <v>1.5881</v>
      </c>
      <c r="B155" s="0" t="n">
        <v>2169.8</v>
      </c>
    </row>
    <row r="156" customFormat="false" ht="15" hidden="false" customHeight="false" outlineLevel="0" collapsed="false">
      <c r="A156" s="0" t="n">
        <v>1.5879</v>
      </c>
      <c r="B156" s="0" t="n">
        <v>2213.9</v>
      </c>
    </row>
    <row r="157" customFormat="false" ht="15" hidden="false" customHeight="false" outlineLevel="0" collapsed="false">
      <c r="A157" s="0" t="n">
        <v>1.5877</v>
      </c>
      <c r="B157" s="0" t="n">
        <v>2259.3</v>
      </c>
    </row>
    <row r="158" customFormat="false" ht="15" hidden="false" customHeight="false" outlineLevel="0" collapsed="false">
      <c r="A158" s="0" t="n">
        <v>1.5874</v>
      </c>
      <c r="B158" s="0" t="n">
        <v>2306.2</v>
      </c>
    </row>
    <row r="159" customFormat="false" ht="15" hidden="false" customHeight="false" outlineLevel="0" collapsed="false">
      <c r="A159" s="0" t="n">
        <v>1.5872</v>
      </c>
      <c r="B159" s="0" t="n">
        <v>2354.5</v>
      </c>
    </row>
    <row r="160" customFormat="false" ht="15" hidden="false" customHeight="false" outlineLevel="0" collapsed="false">
      <c r="A160" s="0" t="n">
        <v>1.587</v>
      </c>
      <c r="B160" s="0" t="n">
        <v>2404.3</v>
      </c>
    </row>
    <row r="161" customFormat="false" ht="15" hidden="false" customHeight="false" outlineLevel="0" collapsed="false">
      <c r="A161" s="0" t="n">
        <v>1.5867</v>
      </c>
      <c r="B161" s="0" t="n">
        <v>2455.8</v>
      </c>
    </row>
    <row r="162" customFormat="false" ht="15" hidden="false" customHeight="false" outlineLevel="0" collapsed="false">
      <c r="A162" s="0" t="n">
        <v>1.5865</v>
      </c>
      <c r="B162" s="0" t="n">
        <v>2508.8</v>
      </c>
    </row>
    <row r="163" customFormat="false" ht="15" hidden="false" customHeight="false" outlineLevel="0" collapsed="false">
      <c r="A163" s="0" t="n">
        <v>1.5863</v>
      </c>
      <c r="B163" s="0" t="n">
        <v>2563.6</v>
      </c>
    </row>
    <row r="164" customFormat="false" ht="15" hidden="false" customHeight="false" outlineLevel="0" collapsed="false">
      <c r="A164" s="0" t="n">
        <v>1.5861</v>
      </c>
      <c r="B164" s="0" t="n">
        <v>2620.1</v>
      </c>
    </row>
    <row r="165" customFormat="false" ht="15" hidden="false" customHeight="false" outlineLevel="0" collapsed="false">
      <c r="A165" s="0" t="n">
        <v>1.5858</v>
      </c>
      <c r="B165" s="0" t="n">
        <v>2678.5</v>
      </c>
    </row>
    <row r="166" customFormat="false" ht="15" hidden="false" customHeight="false" outlineLevel="0" collapsed="false">
      <c r="A166" s="0" t="n">
        <v>1.5856</v>
      </c>
      <c r="B166" s="0" t="n">
        <v>2738.8</v>
      </c>
    </row>
    <row r="167" customFormat="false" ht="15" hidden="false" customHeight="false" outlineLevel="0" collapsed="false">
      <c r="A167" s="0" t="n">
        <v>1.5854</v>
      </c>
      <c r="B167" s="0" t="n">
        <v>2801</v>
      </c>
    </row>
    <row r="168" customFormat="false" ht="15" hidden="false" customHeight="false" outlineLevel="0" collapsed="false">
      <c r="A168" s="0" t="n">
        <v>1.5851</v>
      </c>
      <c r="B168" s="0" t="n">
        <v>2865.3</v>
      </c>
    </row>
    <row r="169" customFormat="false" ht="15" hidden="false" customHeight="false" outlineLevel="0" collapsed="false">
      <c r="A169" s="0" t="n">
        <v>1.5849</v>
      </c>
      <c r="B169" s="0" t="n">
        <v>2931.7</v>
      </c>
    </row>
    <row r="170" customFormat="false" ht="15" hidden="false" customHeight="false" outlineLevel="0" collapsed="false">
      <c r="A170" s="0" t="n">
        <v>1.5847</v>
      </c>
      <c r="B170" s="0" t="n">
        <v>3000.4</v>
      </c>
    </row>
    <row r="171" customFormat="false" ht="15" hidden="false" customHeight="false" outlineLevel="0" collapsed="false">
      <c r="A171" s="0" t="n">
        <v>1.5844</v>
      </c>
      <c r="B171" s="0" t="n">
        <v>3071.3</v>
      </c>
    </row>
    <row r="172" customFormat="false" ht="15" hidden="false" customHeight="false" outlineLevel="0" collapsed="false">
      <c r="A172" s="0" t="n">
        <v>1.5842</v>
      </c>
      <c r="B172" s="0" t="n">
        <v>3144.7</v>
      </c>
    </row>
    <row r="173" customFormat="false" ht="15" hidden="false" customHeight="false" outlineLevel="0" collapsed="false">
      <c r="A173" s="0" t="n">
        <v>1.584</v>
      </c>
      <c r="B173" s="0" t="n">
        <v>3220.5</v>
      </c>
    </row>
    <row r="174" customFormat="false" ht="15" hidden="false" customHeight="false" outlineLevel="0" collapsed="false">
      <c r="A174" s="0" t="n">
        <v>1.5837</v>
      </c>
      <c r="B174" s="0" t="n">
        <v>3298.9</v>
      </c>
    </row>
    <row r="175" customFormat="false" ht="15" hidden="false" customHeight="false" outlineLevel="0" collapsed="false">
      <c r="A175" s="0" t="n">
        <v>1.5835</v>
      </c>
      <c r="B175" s="0" t="n">
        <v>3380</v>
      </c>
    </row>
    <row r="176" customFormat="false" ht="15" hidden="false" customHeight="false" outlineLevel="0" collapsed="false">
      <c r="A176" s="0" t="n">
        <v>1.5833</v>
      </c>
      <c r="B176" s="0" t="n">
        <v>3463.9</v>
      </c>
    </row>
    <row r="177" customFormat="false" ht="15" hidden="false" customHeight="false" outlineLevel="0" collapsed="false">
      <c r="A177" s="0" t="n">
        <v>1.5831</v>
      </c>
      <c r="B177" s="0" t="n">
        <v>3550.8</v>
      </c>
    </row>
    <row r="178" customFormat="false" ht="15" hidden="false" customHeight="false" outlineLevel="0" collapsed="false">
      <c r="A178" s="0" t="n">
        <v>1.5828</v>
      </c>
      <c r="B178" s="0" t="n">
        <v>3640.7</v>
      </c>
    </row>
    <row r="179" customFormat="false" ht="15" hidden="false" customHeight="false" outlineLevel="0" collapsed="false">
      <c r="A179" s="0" t="n">
        <v>1.5826</v>
      </c>
      <c r="B179" s="0" t="n">
        <v>3733.7</v>
      </c>
    </row>
    <row r="180" customFormat="false" ht="15" hidden="false" customHeight="false" outlineLevel="0" collapsed="false">
      <c r="A180" s="0" t="n">
        <v>1.5824</v>
      </c>
      <c r="B180" s="0" t="n">
        <v>3830</v>
      </c>
    </row>
    <row r="181" customFormat="false" ht="15" hidden="false" customHeight="false" outlineLevel="0" collapsed="false">
      <c r="A181" s="0" t="n">
        <v>1.5821</v>
      </c>
      <c r="B181" s="0" t="n">
        <v>3929.8</v>
      </c>
    </row>
    <row r="182" customFormat="false" ht="15" hidden="false" customHeight="false" outlineLevel="0" collapsed="false">
      <c r="A182" s="0" t="n">
        <v>1.5819</v>
      </c>
      <c r="B182" s="0" t="n">
        <v>4033.1</v>
      </c>
    </row>
    <row r="183" customFormat="false" ht="15" hidden="false" customHeight="false" outlineLevel="0" collapsed="false">
      <c r="A183" s="0" t="n">
        <v>1.5817</v>
      </c>
      <c r="B183" s="0" t="n">
        <v>4140.1</v>
      </c>
    </row>
    <row r="184" customFormat="false" ht="15" hidden="false" customHeight="false" outlineLevel="0" collapsed="false">
      <c r="A184" s="0" t="n">
        <v>1.5814</v>
      </c>
      <c r="B184" s="0" t="n">
        <v>4251.1</v>
      </c>
    </row>
    <row r="185" customFormat="false" ht="15" hidden="false" customHeight="false" outlineLevel="0" collapsed="false">
      <c r="A185" s="0" t="n">
        <v>1.5812</v>
      </c>
      <c r="B185" s="0" t="n">
        <v>4366</v>
      </c>
    </row>
    <row r="186" customFormat="false" ht="15" hidden="false" customHeight="false" outlineLevel="0" collapsed="false">
      <c r="A186" s="0" t="n">
        <v>1.581</v>
      </c>
      <c r="B186" s="0" t="n">
        <v>4485.2</v>
      </c>
    </row>
    <row r="187" customFormat="false" ht="15" hidden="false" customHeight="false" outlineLevel="0" collapsed="false">
      <c r="A187" s="0" t="n">
        <v>1.5807</v>
      </c>
      <c r="B187" s="0" t="n">
        <v>4608.8</v>
      </c>
    </row>
    <row r="188" customFormat="false" ht="15" hidden="false" customHeight="false" outlineLevel="0" collapsed="false">
      <c r="A188" s="0" t="n">
        <v>1.5805</v>
      </c>
      <c r="B188" s="0" t="n">
        <v>4737</v>
      </c>
    </row>
    <row r="189" customFormat="false" ht="15" hidden="false" customHeight="false" outlineLevel="0" collapsed="false">
      <c r="A189" s="0" t="n">
        <v>1.5803</v>
      </c>
      <c r="B189" s="0" t="n">
        <v>4869.9</v>
      </c>
    </row>
    <row r="190" customFormat="false" ht="15" hidden="false" customHeight="false" outlineLevel="0" collapsed="false">
      <c r="A190" s="0" t="n">
        <v>1.5801</v>
      </c>
      <c r="B190" s="0" t="n">
        <v>5007.9</v>
      </c>
    </row>
    <row r="191" customFormat="false" ht="15" hidden="false" customHeight="false" outlineLevel="0" collapsed="false">
      <c r="A191" s="0" t="n">
        <v>1.5798</v>
      </c>
      <c r="B191" s="0" t="n">
        <v>5151.1</v>
      </c>
    </row>
    <row r="192" customFormat="false" ht="15" hidden="false" customHeight="false" outlineLevel="0" collapsed="false">
      <c r="A192" s="0" t="n">
        <v>1.5796</v>
      </c>
      <c r="B192" s="0" t="n">
        <v>5299.7</v>
      </c>
    </row>
    <row r="193" customFormat="false" ht="15" hidden="false" customHeight="false" outlineLevel="0" collapsed="false">
      <c r="A193" s="0" t="n">
        <v>1.5794</v>
      </c>
      <c r="B193" s="0" t="n">
        <v>5454</v>
      </c>
    </row>
    <row r="194" customFormat="false" ht="15" hidden="false" customHeight="false" outlineLevel="0" collapsed="false">
      <c r="A194" s="0" t="n">
        <v>1.5791</v>
      </c>
      <c r="B194" s="0" t="n">
        <v>5614.2</v>
      </c>
    </row>
    <row r="195" customFormat="false" ht="15" hidden="false" customHeight="false" outlineLevel="0" collapsed="false">
      <c r="A195" s="0" t="n">
        <v>1.5789</v>
      </c>
      <c r="B195" s="0" t="n">
        <v>5780.6</v>
      </c>
    </row>
    <row r="196" customFormat="false" ht="15" hidden="false" customHeight="false" outlineLevel="0" collapsed="false">
      <c r="A196" s="0" t="n">
        <v>1.5787</v>
      </c>
      <c r="B196" s="0" t="n">
        <v>5953.5</v>
      </c>
    </row>
    <row r="197" customFormat="false" ht="15" hidden="false" customHeight="false" outlineLevel="0" collapsed="false">
      <c r="A197" s="0" t="n">
        <v>1.5784</v>
      </c>
      <c r="B197" s="0" t="n">
        <v>6133.2</v>
      </c>
    </row>
    <row r="198" customFormat="false" ht="15" hidden="false" customHeight="false" outlineLevel="0" collapsed="false">
      <c r="A198" s="0" t="n">
        <v>1.5782</v>
      </c>
      <c r="B198" s="0" t="n">
        <v>6320</v>
      </c>
    </row>
    <row r="199" customFormat="false" ht="15" hidden="false" customHeight="false" outlineLevel="0" collapsed="false">
      <c r="A199" s="0" t="n">
        <v>1.578</v>
      </c>
      <c r="B199" s="0" t="n">
        <v>6514.2</v>
      </c>
    </row>
    <row r="200" customFormat="false" ht="15" hidden="false" customHeight="false" outlineLevel="0" collapsed="false">
      <c r="A200" s="0" t="n">
        <v>1.5778</v>
      </c>
      <c r="B200" s="0" t="n">
        <v>6716.1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65" zoomScaleNormal="65" zoomScalePageLayoutView="100" workbookViewId="0">
      <selection pane="topLeft" activeCell="D10" activeCellId="0" sqref="D10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4" t="n">
        <v>544.267702312281</v>
      </c>
      <c r="B1" s="5" t="n">
        <v>10.3933333333333</v>
      </c>
    </row>
    <row r="2" customFormat="false" ht="15" hidden="false" customHeight="false" outlineLevel="0" collapsed="false">
      <c r="A2" s="4"/>
      <c r="B2" s="5"/>
    </row>
    <row r="3" customFormat="false" ht="15" hidden="false" customHeight="false" outlineLevel="0" collapsed="false">
      <c r="A3" s="4"/>
      <c r="B3" s="5"/>
    </row>
    <row r="4" customFormat="false" ht="15" hidden="false" customHeight="false" outlineLevel="0" collapsed="false">
      <c r="A4" s="4" t="n">
        <v>553.538571030633</v>
      </c>
      <c r="B4" s="5" t="n">
        <v>10.38</v>
      </c>
    </row>
    <row r="5" customFormat="false" ht="15" hidden="false" customHeight="false" outlineLevel="0" collapsed="false">
      <c r="A5" s="4"/>
      <c r="B5" s="5"/>
    </row>
    <row r="6" customFormat="false" ht="15" hidden="false" customHeight="false" outlineLevel="0" collapsed="false">
      <c r="A6" s="4"/>
      <c r="B6" s="5"/>
    </row>
    <row r="7" customFormat="false" ht="15" hidden="false" customHeight="false" outlineLevel="0" collapsed="false">
      <c r="A7" s="4" t="n">
        <v>564.686627449177</v>
      </c>
      <c r="B7" s="5" t="n">
        <v>9.84333333333333</v>
      </c>
    </row>
    <row r="8" customFormat="false" ht="15" hidden="false" customHeight="false" outlineLevel="0" collapsed="false">
      <c r="A8" s="4"/>
      <c r="B8" s="5"/>
    </row>
    <row r="9" customFormat="false" ht="15" hidden="false" customHeight="false" outlineLevel="0" collapsed="false">
      <c r="A9" s="4"/>
      <c r="B9" s="5"/>
    </row>
    <row r="10" customFormat="false" ht="15" hidden="false" customHeight="false" outlineLevel="0" collapsed="false">
      <c r="A10" s="4" t="n">
        <v>581.45567126196</v>
      </c>
      <c r="B10" s="5" t="n">
        <v>8.72333333333333</v>
      </c>
    </row>
    <row r="11" customFormat="false" ht="15" hidden="false" customHeight="false" outlineLevel="0" collapsed="false">
      <c r="A11" s="4"/>
      <c r="B11" s="5"/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4" t="n">
        <v>617.041266904653</v>
      </c>
      <c r="B13" s="5" t="n">
        <v>7.79333333333333</v>
      </c>
    </row>
    <row r="14" customFormat="false" ht="15" hidden="false" customHeight="false" outlineLevel="0" collapsed="false">
      <c r="A14" s="4"/>
      <c r="B14" s="5"/>
    </row>
    <row r="15" customFormat="false" ht="15" hidden="false" customHeight="false" outlineLevel="0" collapsed="false">
      <c r="A15" s="4"/>
      <c r="B15" s="5"/>
    </row>
    <row r="16" customFormat="false" ht="15" hidden="false" customHeight="false" outlineLevel="0" collapsed="false">
      <c r="A16" s="4" t="n">
        <v>654.768363763633</v>
      </c>
      <c r="B16" s="5" t="n">
        <v>5.55666666666667</v>
      </c>
    </row>
    <row r="17" customFormat="false" ht="15" hidden="false" customHeight="false" outlineLevel="0" collapsed="false">
      <c r="A17" s="4"/>
      <c r="B17" s="5"/>
    </row>
    <row r="18" customFormat="false" ht="15" hidden="false" customHeight="false" outlineLevel="0" collapsed="false">
      <c r="A18" s="4"/>
      <c r="B18" s="5"/>
    </row>
    <row r="19" customFormat="false" ht="15" hidden="false" customHeight="false" outlineLevel="0" collapsed="false">
      <c r="A19" s="4" t="n">
        <v>694.676038376077</v>
      </c>
      <c r="B19" s="5" t="n">
        <v>3.67333333333333</v>
      </c>
    </row>
    <row r="20" customFormat="false" ht="15" hidden="false" customHeight="false" outlineLevel="0" collapsed="false">
      <c r="A20" s="4"/>
      <c r="B20" s="5"/>
    </row>
    <row r="21" customFormat="false" ht="15" hidden="false" customHeight="false" outlineLevel="0" collapsed="false">
      <c r="A21" s="4"/>
      <c r="B21" s="5"/>
    </row>
    <row r="22" customFormat="false" ht="15" hidden="false" customHeight="false" outlineLevel="0" collapsed="false">
      <c r="A22" s="4" t="n">
        <v>736.804733502038</v>
      </c>
      <c r="B22" s="5" t="n">
        <v>2.23666666666667</v>
      </c>
    </row>
    <row r="23" customFormat="false" ht="15" hidden="false" customHeight="false" outlineLevel="0" collapsed="false">
      <c r="A23" s="4"/>
      <c r="B23" s="5"/>
    </row>
    <row r="24" customFormat="false" ht="15" hidden="false" customHeight="false" outlineLevel="0" collapsed="false">
      <c r="A24" s="4"/>
      <c r="B24" s="5"/>
    </row>
    <row r="25" customFormat="false" ht="15" hidden="false" customHeight="false" outlineLevel="0" collapsed="false">
      <c r="A25" s="4" t="n">
        <v>777.322005894024</v>
      </c>
      <c r="B25" s="5" t="n">
        <v>1.21333333333333</v>
      </c>
    </row>
    <row r="26" customFormat="false" ht="15" hidden="false" customHeight="false" outlineLevel="0" collapsed="false">
      <c r="A26" s="4"/>
      <c r="B26" s="5"/>
    </row>
    <row r="27" customFormat="false" ht="15" hidden="false" customHeight="false" outlineLevel="0" collapsed="false">
      <c r="A27" s="4"/>
      <c r="B27" s="5"/>
    </row>
    <row r="28" customFormat="false" ht="15" hidden="false" customHeight="false" outlineLevel="0" collapsed="false">
      <c r="A28" s="4" t="n">
        <v>847.462632876101</v>
      </c>
      <c r="B28" s="5" t="n">
        <v>0.313333333333333</v>
      </c>
    </row>
    <row r="29" customFormat="false" ht="15" hidden="false" customHeight="false" outlineLevel="0" collapsed="false">
      <c r="A29" s="4"/>
      <c r="B29" s="5"/>
    </row>
    <row r="30" customFormat="false" ht="15" hidden="false" customHeight="false" outlineLevel="0" collapsed="false">
      <c r="A30" s="4"/>
      <c r="B30" s="5"/>
    </row>
    <row r="31" customFormat="false" ht="15" hidden="false" customHeight="false" outlineLevel="0" collapsed="false">
      <c r="A31" s="4" t="n">
        <v>894.696657836375</v>
      </c>
      <c r="B31" s="5" t="n">
        <v>0.0266666666666667</v>
      </c>
    </row>
    <row r="32" customFormat="false" ht="15" hidden="false" customHeight="false" outlineLevel="0" collapsed="false">
      <c r="A32" s="4"/>
      <c r="B32" s="5"/>
    </row>
    <row r="33" customFormat="false" ht="15" hidden="false" customHeight="false" outlineLevel="0" collapsed="false">
      <c r="A33" s="4"/>
      <c r="B33" s="5"/>
    </row>
  </sheetData>
  <mergeCells count="22">
    <mergeCell ref="A1:A3"/>
    <mergeCell ref="B1:B3"/>
    <mergeCell ref="A4:A6"/>
    <mergeCell ref="B4:B6"/>
    <mergeCell ref="A7:A9"/>
    <mergeCell ref="B7:B9"/>
    <mergeCell ref="A10:A12"/>
    <mergeCell ref="B10:B12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2015-03-26T11:32:35Z</dcterms:created>
  <dc:creator>Joao Ferreira</dc:creator>
  <dc:language>en-US</dc:language>
  <cp:lastModifiedBy>Joao Ferreira</cp:lastModifiedBy>
  <dcterms:modified xsi:type="dcterms:W3CDTF">2015-04-11T22:48:35Z</dcterms:modified>
  <cp:revision>0</cp:revision>
</cp:coreProperties>
</file>