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activeTab="1"/>
  </bookViews>
  <sheets>
    <sheet name="origin data" sheetId="1" r:id="rId1"/>
    <sheet name="种面积" sheetId="11" r:id="rId2"/>
    <sheet name="区域名" sheetId="8" r:id="rId3"/>
    <sheet name="湿重干重转换" sheetId="7" r:id="rId4"/>
    <sheet name="面积" sheetId="6" r:id="rId5"/>
    <sheet name="碳酸钙含量" sheetId="5" r:id="rId6"/>
    <sheet name="Sheet1" sheetId="4" r:id="rId7"/>
    <sheet name="metadata" sheetId="3" r:id="rId8"/>
    <sheet name="Explanation" sheetId="2" r:id="rId9"/>
    <sheet name="年平均变化" sheetId="9" r:id="rId10"/>
    <sheet name="Shell " sheetId="10" r:id="rId11"/>
  </sheets>
  <definedNames>
    <definedName name="_xlnm._FilterDatabase" localSheetId="0" hidden="1">'origin data'!$C$1:$C$852</definedName>
  </definedName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2" i="11"/>
  <c r="B645" i="11"/>
  <c r="B582" i="11"/>
  <c r="B574" i="11"/>
  <c r="B551" i="11"/>
  <c r="B550" i="11"/>
  <c r="B549" i="11"/>
  <c r="B548" i="11"/>
  <c r="B547" i="11"/>
  <c r="B507" i="11"/>
  <c r="B506" i="11"/>
  <c r="B477" i="11"/>
  <c r="B437" i="11"/>
  <c r="B376" i="11"/>
  <c r="B369" i="11"/>
  <c r="C342" i="11"/>
  <c r="B306" i="11"/>
  <c r="B292" i="11"/>
  <c r="B291" i="11"/>
  <c r="B282" i="11"/>
  <c r="B242" i="11"/>
  <c r="B241" i="11"/>
  <c r="B240" i="11"/>
  <c r="B239" i="11"/>
  <c r="B238" i="11"/>
  <c r="B237" i="11"/>
  <c r="B227" i="11"/>
  <c r="B226" i="11"/>
  <c r="B69" i="11"/>
  <c r="B68" i="11"/>
  <c r="B46" i="11"/>
  <c r="B45" i="11"/>
  <c r="B72" i="11"/>
  <c r="B71" i="11"/>
  <c r="B85" i="11"/>
  <c r="B31" i="11"/>
  <c r="B81" i="11"/>
  <c r="B55" i="11"/>
  <c r="B62" i="11"/>
  <c r="B40" i="11"/>
  <c r="B27" i="11"/>
  <c r="B49" i="11"/>
  <c r="Q25" i="9" l="1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24" i="9"/>
  <c r="P39" i="9"/>
  <c r="P32" i="9"/>
  <c r="I33" i="5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AC432" i="1" l="1"/>
  <c r="AB432" i="1"/>
  <c r="AA432" i="1"/>
  <c r="W432" i="1"/>
  <c r="V432" i="1"/>
  <c r="U432" i="1"/>
  <c r="O424" i="1"/>
  <c r="AE850" i="1" l="1"/>
  <c r="Y850" i="1"/>
  <c r="G5" i="4"/>
  <c r="AN777" i="1"/>
  <c r="AM777" i="1"/>
  <c r="AJ777" i="1"/>
  <c r="AI777" i="1"/>
  <c r="AH777" i="1"/>
  <c r="AG777" i="1"/>
  <c r="AF777" i="1"/>
  <c r="AE777" i="1"/>
  <c r="AD777" i="1"/>
  <c r="AC777" i="1"/>
  <c r="AB777" i="1"/>
  <c r="AA777" i="1"/>
  <c r="Z777" i="1"/>
  <c r="V777" i="1"/>
  <c r="W777" i="1"/>
  <c r="X777" i="1"/>
  <c r="Y777" i="1"/>
  <c r="U777" i="1"/>
  <c r="O777" i="1"/>
  <c r="AN746" i="1" l="1"/>
  <c r="AM746" i="1"/>
  <c r="AJ746" i="1"/>
  <c r="AI746" i="1"/>
  <c r="AH746" i="1"/>
  <c r="AG746" i="1"/>
  <c r="AJ724" i="1"/>
  <c r="AI724" i="1"/>
  <c r="AN724" i="1"/>
  <c r="AM724" i="1"/>
  <c r="AH724" i="1"/>
  <c r="AG724" i="1"/>
  <c r="V717" i="1" l="1"/>
  <c r="X717" i="1"/>
  <c r="U716" i="1"/>
  <c r="V716" i="1"/>
  <c r="U715" i="1"/>
  <c r="V715" i="1"/>
  <c r="W715" i="1"/>
  <c r="O714" i="1"/>
  <c r="AB709" i="1"/>
  <c r="AC709" i="1"/>
  <c r="AD709" i="1"/>
  <c r="AA709" i="1"/>
  <c r="AE711" i="1"/>
  <c r="AE712" i="1"/>
  <c r="AE713" i="1"/>
  <c r="AE710" i="1"/>
  <c r="V709" i="1"/>
  <c r="W709" i="1"/>
  <c r="X709" i="1"/>
  <c r="Y709" i="1"/>
  <c r="U709" i="1"/>
  <c r="AE709" i="1" l="1"/>
  <c r="AA708" i="1"/>
  <c r="AB708" i="1"/>
  <c r="AC708" i="1"/>
  <c r="AD708" i="1"/>
  <c r="P65" i="3"/>
  <c r="O66" i="3"/>
  <c r="O65" i="3"/>
  <c r="N67" i="3"/>
  <c r="N66" i="3"/>
  <c r="N65" i="3"/>
  <c r="O61" i="3"/>
  <c r="N62" i="3"/>
  <c r="N61" i="3"/>
  <c r="Q68" i="3"/>
  <c r="Q67" i="3"/>
  <c r="Q66" i="3"/>
  <c r="Q65" i="3"/>
  <c r="Q63" i="3"/>
  <c r="Q62" i="3"/>
  <c r="Q61" i="3"/>
  <c r="V708" i="1"/>
  <c r="W708" i="1"/>
  <c r="X708" i="1"/>
  <c r="Q51" i="3"/>
  <c r="Q52" i="3"/>
  <c r="Q54" i="3"/>
  <c r="Q55" i="3"/>
  <c r="Q56" i="3"/>
  <c r="Q57" i="3"/>
  <c r="Q50" i="3"/>
  <c r="O54" i="3"/>
  <c r="N55" i="3"/>
  <c r="N54" i="3"/>
  <c r="O51" i="3"/>
  <c r="O50" i="3"/>
  <c r="N51" i="3"/>
  <c r="N50" i="3"/>
  <c r="O706" i="1"/>
  <c r="O680" i="1"/>
  <c r="O681" i="1"/>
  <c r="O682" i="1"/>
  <c r="O683" i="1"/>
  <c r="O679" i="1"/>
  <c r="AN668" i="1"/>
  <c r="AM668" i="1"/>
  <c r="AJ668" i="1"/>
  <c r="AI668" i="1"/>
  <c r="AH668" i="1"/>
  <c r="AG668" i="1"/>
  <c r="AF668" i="1"/>
  <c r="Z668" i="1"/>
  <c r="AE668" i="1"/>
  <c r="AD668" i="1"/>
  <c r="AC668" i="1"/>
  <c r="AB668" i="1"/>
  <c r="AA668" i="1"/>
  <c r="V668" i="1"/>
  <c r="W668" i="1"/>
  <c r="X668" i="1"/>
  <c r="Y668" i="1"/>
  <c r="U668" i="1"/>
  <c r="W661" i="1"/>
  <c r="U661" i="1"/>
  <c r="W660" i="1"/>
  <c r="U660" i="1"/>
  <c r="AN648" i="1"/>
  <c r="AM648" i="1"/>
  <c r="AJ648" i="1"/>
  <c r="AI648" i="1"/>
  <c r="AH648" i="1"/>
  <c r="AG648" i="1"/>
  <c r="AB648" i="1"/>
  <c r="AC648" i="1"/>
  <c r="AD648" i="1"/>
  <c r="AA648" i="1"/>
  <c r="V648" i="1"/>
  <c r="W648" i="1"/>
  <c r="X648" i="1"/>
  <c r="U648" i="1"/>
  <c r="Y650" i="1"/>
  <c r="Y651" i="1"/>
  <c r="Y652" i="1"/>
  <c r="Y653" i="1"/>
  <c r="Y654" i="1"/>
  <c r="AE649" i="1"/>
  <c r="AE650" i="1"/>
  <c r="AE651" i="1"/>
  <c r="AE652" i="1"/>
  <c r="AE653" i="1"/>
  <c r="AE654" i="1"/>
  <c r="Y649" i="1"/>
  <c r="Z640" i="1"/>
  <c r="AF640" i="1"/>
  <c r="AC640" i="1"/>
  <c r="AA640" i="1"/>
  <c r="AB640" i="1"/>
  <c r="W640" i="1"/>
  <c r="U640" i="1"/>
  <c r="V640" i="1"/>
  <c r="AJ640" i="1"/>
  <c r="AN640" i="1"/>
  <c r="AM640" i="1"/>
  <c r="AH640" i="1"/>
  <c r="AG640" i="1"/>
  <c r="O639" i="1"/>
  <c r="AN638" i="1"/>
  <c r="AL638" i="1"/>
  <c r="AJ638" i="1"/>
  <c r="AH638" i="1"/>
  <c r="V638" i="1"/>
  <c r="V639" i="1" s="1"/>
  <c r="W638" i="1"/>
  <c r="W639" i="1" s="1"/>
  <c r="Y638" i="1"/>
  <c r="Y639" i="1" s="1"/>
  <c r="Z638" i="1"/>
  <c r="Z639" i="1" s="1"/>
  <c r="AA638" i="1"/>
  <c r="AA639" i="1" s="1"/>
  <c r="AB638" i="1"/>
  <c r="AB639" i="1" s="1"/>
  <c r="AC638" i="1"/>
  <c r="AC639" i="1" s="1"/>
  <c r="AE638" i="1"/>
  <c r="AE639" i="1" s="1"/>
  <c r="AF638" i="1"/>
  <c r="AF639" i="1" s="1"/>
  <c r="AG638" i="1"/>
  <c r="AH639" i="1" s="1"/>
  <c r="AI638" i="1"/>
  <c r="AI639" i="1" s="1"/>
  <c r="AK638" i="1"/>
  <c r="AL639" i="1" s="1"/>
  <c r="AM638" i="1"/>
  <c r="AM639" i="1" s="1"/>
  <c r="U638" i="1"/>
  <c r="U639" i="1" s="1"/>
  <c r="O638" i="1"/>
  <c r="AK611" i="1"/>
  <c r="AK610" i="1"/>
  <c r="AI611" i="1"/>
  <c r="AI610" i="1"/>
  <c r="AG611" i="1"/>
  <c r="AG610" i="1"/>
  <c r="AC609" i="1"/>
  <c r="AB609" i="1"/>
  <c r="AA609" i="1"/>
  <c r="V609" i="1"/>
  <c r="W609" i="1"/>
  <c r="U609" i="1"/>
  <c r="AF611" i="1"/>
  <c r="AE611" i="1"/>
  <c r="AF610" i="1"/>
  <c r="AE610" i="1"/>
  <c r="Z611" i="1"/>
  <c r="Z610" i="1"/>
  <c r="Y611" i="1"/>
  <c r="Y610" i="1"/>
  <c r="AF609" i="1" l="1"/>
  <c r="Z609" i="1"/>
  <c r="Z648" i="1"/>
  <c r="AF648" i="1"/>
  <c r="AN639" i="1"/>
  <c r="AE648" i="1"/>
  <c r="Y609" i="1"/>
  <c r="AE609" i="1"/>
  <c r="Y648" i="1"/>
  <c r="AG609" i="1"/>
  <c r="AK609" i="1"/>
  <c r="AI609" i="1"/>
  <c r="AJ639" i="1"/>
  <c r="AG639" i="1"/>
  <c r="AK639" i="1"/>
  <c r="AI640" i="1"/>
  <c r="O609" i="1"/>
  <c r="AE608" i="1"/>
  <c r="AN508" i="1"/>
  <c r="AJ508" i="1"/>
  <c r="AH508" i="1"/>
  <c r="O508" i="1"/>
  <c r="O122" i="1"/>
  <c r="O121" i="1"/>
  <c r="V577" i="1" l="1"/>
  <c r="W577" i="1"/>
  <c r="Y577" i="1"/>
  <c r="AA577" i="1"/>
  <c r="AB577" i="1"/>
  <c r="AC577" i="1"/>
  <c r="U577" i="1"/>
  <c r="AH569" i="1"/>
  <c r="AI569" i="1"/>
  <c r="AJ569" i="1"/>
  <c r="AK569" i="1"/>
  <c r="AL569" i="1"/>
  <c r="AM569" i="1"/>
  <c r="AN569" i="1"/>
  <c r="AG569" i="1"/>
  <c r="V569" i="1"/>
  <c r="W569" i="1"/>
  <c r="X569" i="1"/>
  <c r="Y569" i="1"/>
  <c r="Z569" i="1"/>
  <c r="AA569" i="1"/>
  <c r="AB569" i="1"/>
  <c r="AC569" i="1"/>
  <c r="AD569" i="1"/>
  <c r="AE569" i="1"/>
  <c r="AF569" i="1"/>
  <c r="U569" i="1"/>
  <c r="O569" i="1"/>
  <c r="AN548" i="1"/>
  <c r="AM548" i="1"/>
  <c r="AL548" i="1"/>
  <c r="AK548" i="1"/>
  <c r="AJ548" i="1"/>
  <c r="AI548" i="1"/>
  <c r="AH548" i="1"/>
  <c r="AG548" i="1"/>
  <c r="O82" i="3"/>
  <c r="N82" i="3"/>
  <c r="M82" i="3"/>
  <c r="K82" i="3"/>
  <c r="J82" i="3"/>
  <c r="I82" i="3"/>
  <c r="J78" i="3"/>
  <c r="K78" i="3"/>
  <c r="M78" i="3"/>
  <c r="N78" i="3"/>
  <c r="O78" i="3"/>
  <c r="I78" i="3"/>
  <c r="U546" i="1"/>
  <c r="AB538" i="1"/>
  <c r="AC538" i="1"/>
  <c r="AE538" i="1"/>
  <c r="AA538" i="1"/>
  <c r="V538" i="1"/>
  <c r="W538" i="1"/>
  <c r="Y538" i="1"/>
  <c r="U538" i="1"/>
  <c r="AN501" i="1"/>
  <c r="AJ501" i="1"/>
  <c r="AH501" i="1"/>
  <c r="O501" i="1"/>
  <c r="AB481" i="1" l="1"/>
  <c r="AC481" i="1"/>
  <c r="AD481" i="1"/>
  <c r="AE481" i="1"/>
  <c r="AA481" i="1"/>
  <c r="V481" i="1"/>
  <c r="W481" i="1"/>
  <c r="X481" i="1"/>
  <c r="Y481" i="1"/>
  <c r="U481" i="1"/>
  <c r="S474" i="1"/>
  <c r="R474" i="1"/>
  <c r="Q474" i="1"/>
  <c r="P474" i="1"/>
  <c r="O438" i="1" l="1"/>
  <c r="W431" i="1"/>
  <c r="V431" i="1"/>
  <c r="U431" i="1"/>
  <c r="AC431" i="1"/>
  <c r="AB431" i="1"/>
  <c r="AA431" i="1"/>
  <c r="W427" i="1" l="1"/>
  <c r="V427" i="1"/>
  <c r="W426" i="1"/>
  <c r="V426" i="1"/>
  <c r="J71" i="3"/>
  <c r="J72" i="3"/>
  <c r="I72" i="3"/>
  <c r="I71" i="3"/>
  <c r="O423" i="1"/>
  <c r="W422" i="1"/>
  <c r="W421" i="1"/>
  <c r="W420" i="1"/>
  <c r="W419" i="1"/>
  <c r="V422" i="1"/>
  <c r="V421" i="1"/>
  <c r="V420" i="1"/>
  <c r="V419" i="1"/>
  <c r="Z414" i="1"/>
  <c r="AF414" i="1"/>
  <c r="AH414" i="1"/>
  <c r="AN414" i="1"/>
  <c r="AM414" i="1"/>
  <c r="AJ414" i="1"/>
  <c r="AI414" i="1"/>
  <c r="AG414" i="1"/>
  <c r="O414" i="1"/>
  <c r="C94" i="3"/>
  <c r="D94" i="3"/>
  <c r="E94" i="3"/>
  <c r="F94" i="3"/>
  <c r="G94" i="3"/>
  <c r="B94" i="3"/>
  <c r="AB407" i="1"/>
  <c r="V407" i="1"/>
  <c r="C86" i="3"/>
  <c r="D86" i="3"/>
  <c r="E86" i="3"/>
  <c r="B86" i="3"/>
  <c r="C85" i="3"/>
  <c r="D85" i="3"/>
  <c r="E85" i="3"/>
  <c r="B85" i="3"/>
  <c r="O370" i="1"/>
  <c r="O371" i="1"/>
  <c r="O372" i="1"/>
  <c r="O373" i="1"/>
  <c r="O374" i="1"/>
  <c r="O369" i="1"/>
  <c r="AE362" i="1"/>
  <c r="AE363" i="1"/>
  <c r="AE364" i="1"/>
  <c r="AE365" i="1"/>
  <c r="AE361" i="1"/>
  <c r="Y362" i="1"/>
  <c r="Y363" i="1"/>
  <c r="Y364" i="1"/>
  <c r="Y365" i="1"/>
  <c r="Y361" i="1"/>
  <c r="AN360" i="1"/>
  <c r="AL360" i="1"/>
  <c r="AJ360" i="1"/>
  <c r="AH360" i="1"/>
  <c r="O359" i="1"/>
  <c r="O358" i="1"/>
  <c r="AH350" i="1"/>
  <c r="AF350" i="1"/>
  <c r="Z350" i="1"/>
  <c r="E73" i="3"/>
  <c r="F73" i="3"/>
  <c r="D73" i="3"/>
  <c r="AN328" i="1"/>
  <c r="AM328" i="1"/>
  <c r="AL328" i="1"/>
  <c r="AK328" i="1"/>
  <c r="AJ328" i="1"/>
  <c r="AI328" i="1"/>
  <c r="AH328" i="1"/>
  <c r="AG328" i="1"/>
  <c r="AF328" i="1"/>
  <c r="Z328" i="1"/>
  <c r="AN312" i="1"/>
  <c r="AJ312" i="1"/>
  <c r="AH312" i="1"/>
  <c r="Z312" i="1"/>
  <c r="AF312" i="1"/>
  <c r="B69" i="3"/>
  <c r="A69" i="3"/>
  <c r="B68" i="3"/>
  <c r="A68" i="3"/>
  <c r="Z360" i="1" l="1"/>
  <c r="AF360" i="1"/>
  <c r="V220" i="1"/>
  <c r="U220" i="1"/>
  <c r="V218" i="1"/>
  <c r="U218" i="1"/>
  <c r="V217" i="1"/>
  <c r="U217" i="1"/>
  <c r="V223" i="1"/>
  <c r="V222" i="1"/>
  <c r="U222" i="1"/>
  <c r="U221" i="1"/>
  <c r="AB223" i="1"/>
  <c r="AA223" i="1"/>
  <c r="AB222" i="1"/>
  <c r="AA222" i="1"/>
  <c r="AB221" i="1"/>
  <c r="AA221" i="1"/>
  <c r="O204" i="1"/>
  <c r="O205" i="1"/>
  <c r="O206" i="1"/>
  <c r="O207" i="1"/>
  <c r="O208" i="1"/>
  <c r="O203" i="1"/>
  <c r="AN195" i="1"/>
  <c r="AM195" i="1"/>
  <c r="AJ195" i="1"/>
  <c r="AI195" i="1"/>
  <c r="AH195" i="1"/>
  <c r="AG195" i="1"/>
  <c r="AF195" i="1"/>
  <c r="AE195" i="1"/>
  <c r="Z195" i="1"/>
  <c r="Y195" i="1"/>
  <c r="W186" i="1"/>
  <c r="O181" i="1"/>
  <c r="K14" i="3"/>
  <c r="J14" i="3"/>
  <c r="I14" i="3"/>
  <c r="K13" i="3"/>
  <c r="J13" i="3"/>
  <c r="I13" i="3"/>
  <c r="J8" i="3"/>
  <c r="K8" i="3"/>
  <c r="J7" i="3"/>
  <c r="K7" i="3"/>
  <c r="I8" i="3"/>
  <c r="I7" i="3"/>
  <c r="AF126" i="1" l="1"/>
  <c r="AE126" i="1"/>
  <c r="AF125" i="1"/>
  <c r="AE125" i="1"/>
  <c r="AF124" i="1"/>
  <c r="AE124" i="1"/>
  <c r="AF123" i="1"/>
  <c r="AE123" i="1"/>
  <c r="Z126" i="1"/>
  <c r="Y126" i="1"/>
  <c r="Z125" i="1"/>
  <c r="Y125" i="1"/>
  <c r="Z124" i="1"/>
  <c r="Y124" i="1"/>
  <c r="Z123" i="1"/>
  <c r="Y123" i="1"/>
  <c r="AN126" i="1"/>
  <c r="AM126" i="1"/>
  <c r="AJ126" i="1"/>
  <c r="AI126" i="1"/>
  <c r="AH126" i="1"/>
  <c r="AG126" i="1"/>
  <c r="AN125" i="1"/>
  <c r="AM125" i="1"/>
  <c r="AJ125" i="1"/>
  <c r="AI125" i="1"/>
  <c r="AH125" i="1"/>
  <c r="AG125" i="1"/>
  <c r="AN124" i="1"/>
  <c r="AM124" i="1"/>
  <c r="AJ124" i="1"/>
  <c r="AI124" i="1"/>
  <c r="AH124" i="1"/>
  <c r="AG124" i="1"/>
  <c r="AN123" i="1"/>
  <c r="AM123" i="1"/>
  <c r="AJ123" i="1"/>
  <c r="AI123" i="1"/>
  <c r="AH123" i="1"/>
  <c r="AG123" i="1"/>
  <c r="I35" i="3"/>
  <c r="J35" i="3"/>
  <c r="K35" i="3"/>
  <c r="L35" i="3"/>
  <c r="M35" i="3"/>
  <c r="H35" i="3"/>
  <c r="I34" i="3"/>
  <c r="J34" i="3"/>
  <c r="K34" i="3"/>
  <c r="L34" i="3"/>
  <c r="M34" i="3"/>
  <c r="H34" i="3"/>
  <c r="O120" i="1"/>
  <c r="G34" i="3"/>
  <c r="G29" i="3"/>
  <c r="G24" i="3"/>
  <c r="O114" i="1"/>
  <c r="G18" i="3"/>
  <c r="G13" i="3"/>
  <c r="AF108" i="1"/>
  <c r="Z108" i="1"/>
  <c r="O108" i="1"/>
  <c r="C52" i="3"/>
  <c r="D52" i="3"/>
  <c r="B52" i="3"/>
  <c r="C51" i="3"/>
  <c r="D51" i="3"/>
  <c r="B51" i="3"/>
  <c r="O105" i="1"/>
  <c r="O106" i="1"/>
  <c r="O107" i="1"/>
  <c r="O104" i="1"/>
  <c r="AN92" i="1"/>
  <c r="AM92" i="1"/>
  <c r="AJ92" i="1"/>
  <c r="AI92" i="1"/>
  <c r="AH92" i="1"/>
  <c r="AG92" i="1"/>
  <c r="AF92" i="1"/>
  <c r="AE92" i="1"/>
  <c r="AN91" i="1"/>
  <c r="AJ91" i="1"/>
  <c r="AH91" i="1"/>
  <c r="AF91" i="1"/>
  <c r="AM91" i="1"/>
  <c r="AI91" i="1"/>
  <c r="AG91" i="1"/>
  <c r="AE91" i="1"/>
  <c r="AB94" i="1"/>
  <c r="AB95" i="1"/>
  <c r="AB96" i="1"/>
  <c r="AB97" i="1"/>
  <c r="AB98" i="1"/>
  <c r="AB99" i="1"/>
  <c r="AB100" i="1"/>
  <c r="AB93" i="1"/>
  <c r="V100" i="1"/>
  <c r="V99" i="1"/>
  <c r="V98" i="1"/>
  <c r="V97" i="1"/>
  <c r="V96" i="1"/>
  <c r="V95" i="1"/>
  <c r="V94" i="1"/>
  <c r="V93" i="1"/>
  <c r="V82" i="1"/>
  <c r="V83" i="1"/>
  <c r="V84" i="1"/>
  <c r="V85" i="1"/>
  <c r="V86" i="1"/>
  <c r="V87" i="1"/>
  <c r="V88" i="1"/>
  <c r="V89" i="1"/>
  <c r="V90" i="1"/>
  <c r="V81" i="1"/>
  <c r="AN82" i="1"/>
  <c r="AM82" i="1"/>
  <c r="AN81" i="1"/>
  <c r="AM81" i="1"/>
  <c r="AL82" i="1"/>
  <c r="AK82" i="1"/>
  <c r="AL81" i="1"/>
  <c r="AK81" i="1"/>
  <c r="AJ82" i="1"/>
  <c r="AI82" i="1"/>
  <c r="AJ81" i="1"/>
  <c r="AI81" i="1"/>
  <c r="AH82" i="1"/>
  <c r="AG82" i="1"/>
  <c r="AH81" i="1"/>
  <c r="AG81" i="1"/>
  <c r="AF82" i="1"/>
  <c r="AE82" i="1"/>
  <c r="AF81" i="1"/>
  <c r="AE81" i="1"/>
  <c r="AN50" i="1"/>
  <c r="AM50" i="1"/>
  <c r="AJ50" i="1"/>
  <c r="AI50" i="1"/>
  <c r="AH50" i="1"/>
  <c r="AG50" i="1"/>
  <c r="AN49" i="1"/>
  <c r="AM49" i="1"/>
  <c r="AJ49" i="1"/>
  <c r="AI49" i="1"/>
  <c r="AH49" i="1"/>
  <c r="AG49" i="1"/>
  <c r="AN48" i="1"/>
  <c r="AJ48" i="1"/>
  <c r="AH48" i="1"/>
  <c r="AM48" i="1"/>
  <c r="AI48" i="1"/>
  <c r="AG48" i="1"/>
  <c r="O2" i="1"/>
  <c r="V360" i="1" l="1"/>
  <c r="U359" i="1"/>
  <c r="V359" i="1"/>
  <c r="AA359" i="1"/>
  <c r="AB359" i="1"/>
  <c r="AA358" i="1"/>
  <c r="AB358" i="1"/>
  <c r="V358" i="1"/>
  <c r="U358" i="1"/>
  <c r="AD281" i="1" l="1"/>
  <c r="AD280" i="1"/>
  <c r="AD279" i="1"/>
  <c r="AD278" i="1"/>
  <c r="AC281" i="1"/>
  <c r="AC280" i="1"/>
  <c r="AC279" i="1"/>
  <c r="AC278" i="1"/>
  <c r="AC277" i="1"/>
  <c r="AB281" i="1"/>
  <c r="AB280" i="1"/>
  <c r="AB279" i="1"/>
  <c r="AB278" i="1"/>
  <c r="AB277" i="1"/>
  <c r="AA281" i="1"/>
  <c r="AA280" i="1"/>
  <c r="AA279" i="1"/>
  <c r="AA278" i="1"/>
  <c r="AA277" i="1"/>
  <c r="X281" i="1"/>
  <c r="W282" i="1"/>
  <c r="W281" i="1"/>
  <c r="V282" i="1"/>
  <c r="V281" i="1"/>
  <c r="U282" i="1"/>
  <c r="X280" i="1"/>
  <c r="X279" i="1"/>
  <c r="U281" i="1"/>
  <c r="W280" i="1"/>
  <c r="W279" i="1"/>
  <c r="V280" i="1"/>
  <c r="V279" i="1"/>
  <c r="U280" i="1"/>
  <c r="U279" i="1"/>
  <c r="X278" i="1"/>
  <c r="W278" i="1"/>
  <c r="V278" i="1"/>
  <c r="U278" i="1"/>
  <c r="X277" i="1"/>
  <c r="W277" i="1"/>
  <c r="U277" i="1"/>
  <c r="V277" i="1"/>
  <c r="U216" i="1"/>
  <c r="AC195" i="1"/>
  <c r="AB195" i="1"/>
  <c r="V195" i="1"/>
  <c r="Y180" i="1"/>
  <c r="V180" i="1" s="1"/>
  <c r="Y179" i="1"/>
  <c r="V179" i="1" s="1"/>
  <c r="AE180" i="1"/>
  <c r="AB180" i="1" s="1"/>
  <c r="AE179" i="1"/>
  <c r="AB179" i="1" s="1"/>
  <c r="U112" i="1"/>
  <c r="V112" i="1"/>
  <c r="V92" i="1"/>
  <c r="V91" i="1"/>
  <c r="Y80" i="1"/>
  <c r="AE80" i="1"/>
  <c r="AE79" i="1"/>
  <c r="Y79" i="1"/>
  <c r="AB47" i="1"/>
  <c r="V4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</calcChain>
</file>

<file path=xl/sharedStrings.xml><?xml version="1.0" encoding="utf-8"?>
<sst xmlns="http://schemas.openxmlformats.org/spreadsheetml/2006/main" count="8063" uniqueCount="1010">
  <si>
    <t>Data set</t>
    <phoneticPr fontId="2" type="noConversion"/>
  </si>
  <si>
    <t>Reference</t>
    <phoneticPr fontId="2" type="noConversion"/>
  </si>
  <si>
    <t>Regions</t>
    <phoneticPr fontId="2" type="noConversion"/>
  </si>
  <si>
    <t>Sea</t>
    <phoneticPr fontId="2" type="noConversion"/>
  </si>
  <si>
    <t>Column name</t>
    <phoneticPr fontId="1" type="noConversion"/>
  </si>
  <si>
    <t>Explanation(See Table. A)</t>
    <phoneticPr fontId="1" type="noConversion"/>
  </si>
  <si>
    <t>Data set</t>
    <phoneticPr fontId="1" type="noConversion"/>
  </si>
  <si>
    <t>Reference</t>
    <phoneticPr fontId="1" type="noConversion"/>
  </si>
  <si>
    <t>Regions</t>
    <phoneticPr fontId="1" type="noConversion"/>
  </si>
  <si>
    <t>Sea</t>
    <phoneticPr fontId="1" type="noConversion"/>
  </si>
  <si>
    <t xml:space="preserve">Survey time initial </t>
    <phoneticPr fontId="1" type="noConversion"/>
  </si>
  <si>
    <t>Survey time end</t>
    <phoneticPr fontId="1" type="noConversion"/>
  </si>
  <si>
    <t>Station numbers in each survey</t>
    <phoneticPr fontId="1" type="noConversion"/>
  </si>
  <si>
    <t>SE</t>
    <phoneticPr fontId="1" type="noConversion"/>
  </si>
  <si>
    <t>SM</t>
    <phoneticPr fontId="1" type="noConversion"/>
  </si>
  <si>
    <t>SN</t>
    <phoneticPr fontId="1" type="noConversion"/>
  </si>
  <si>
    <t>Species number of echinoderms in each survey</t>
    <phoneticPr fontId="1" type="noConversion"/>
  </si>
  <si>
    <t>Species number of total macrobenthos in each survey</t>
    <phoneticPr fontId="1" type="noConversion"/>
  </si>
  <si>
    <t>Ending time of each survey</t>
    <phoneticPr fontId="1" type="noConversion"/>
  </si>
  <si>
    <t>Beginning time of each survey</t>
    <phoneticPr fontId="1" type="noConversion"/>
  </si>
  <si>
    <t>Sea which the survey stations are belong to</t>
    <phoneticPr fontId="1" type="noConversion"/>
  </si>
  <si>
    <t>Survey station in the literature</t>
    <phoneticPr fontId="1" type="noConversion"/>
  </si>
  <si>
    <t>Number order of each value from literatures met our criteria</t>
    <phoneticPr fontId="1" type="noConversion"/>
  </si>
  <si>
    <t>Reference number (also see the references in SM2)</t>
    <phoneticPr fontId="1" type="noConversion"/>
  </si>
  <si>
    <t>Chongming Island</t>
    <phoneticPr fontId="1" type="noConversion"/>
  </si>
  <si>
    <t>ECS</t>
    <phoneticPr fontId="1" type="noConversion"/>
  </si>
  <si>
    <t>crustacean</t>
    <phoneticPr fontId="2" type="noConversion"/>
  </si>
  <si>
    <t>year-S</t>
    <phoneticPr fontId="2" type="noConversion"/>
  </si>
  <si>
    <t>month-S</t>
    <phoneticPr fontId="2" type="noConversion"/>
  </si>
  <si>
    <t>year-E</t>
    <phoneticPr fontId="2" type="noConversion"/>
  </si>
  <si>
    <t>month-E</t>
    <phoneticPr fontId="2" type="noConversion"/>
  </si>
  <si>
    <t>intertidal</t>
    <phoneticPr fontId="1" type="noConversion"/>
  </si>
  <si>
    <t>Character</t>
    <phoneticPr fontId="1" type="noConversion"/>
  </si>
  <si>
    <t>crustacean-S</t>
    <phoneticPr fontId="2" type="noConversion"/>
  </si>
  <si>
    <t>total</t>
    <phoneticPr fontId="1" type="noConversion"/>
  </si>
  <si>
    <t>total-s</t>
    <phoneticPr fontId="1" type="noConversion"/>
  </si>
  <si>
    <t>salt</t>
    <phoneticPr fontId="1" type="noConversion"/>
  </si>
  <si>
    <t>sand</t>
    <phoneticPr fontId="1" type="noConversion"/>
  </si>
  <si>
    <t>Treatment</t>
    <phoneticPr fontId="1" type="noConversion"/>
  </si>
  <si>
    <t>natural</t>
    <phoneticPr fontId="1" type="noConversion"/>
  </si>
  <si>
    <t>Treatment period</t>
    <phoneticPr fontId="1" type="noConversion"/>
  </si>
  <si>
    <t>Wenzhou Bay</t>
    <phoneticPr fontId="1" type="noConversion"/>
  </si>
  <si>
    <t>high tidal</t>
    <phoneticPr fontId="1" type="noConversion"/>
  </si>
  <si>
    <t>low tidal</t>
    <phoneticPr fontId="1" type="noConversion"/>
  </si>
  <si>
    <t>mollusca-D</t>
    <phoneticPr fontId="2" type="noConversion"/>
  </si>
  <si>
    <t>ph</t>
    <phoneticPr fontId="1" type="noConversion"/>
  </si>
  <si>
    <t>total-D</t>
    <phoneticPr fontId="1" type="noConversion"/>
  </si>
  <si>
    <t>mollusca-S</t>
    <phoneticPr fontId="2" type="noConversion"/>
  </si>
  <si>
    <t>polychaetes-S</t>
    <phoneticPr fontId="1" type="noConversion"/>
  </si>
  <si>
    <t>polychaetes</t>
    <phoneticPr fontId="1" type="noConversion"/>
  </si>
  <si>
    <t>polychaetes-D</t>
    <phoneticPr fontId="1" type="noConversion"/>
  </si>
  <si>
    <t>Victoria harbour HK</t>
    <phoneticPr fontId="1" type="noConversion"/>
  </si>
  <si>
    <t>SCS</t>
    <phoneticPr fontId="1" type="noConversion"/>
  </si>
  <si>
    <t>Lianyungang</t>
    <phoneticPr fontId="1" type="noConversion"/>
  </si>
  <si>
    <t>human</t>
    <phoneticPr fontId="1" type="noConversion"/>
  </si>
  <si>
    <t>YS</t>
    <phoneticPr fontId="1" type="noConversion"/>
  </si>
  <si>
    <t>YS</t>
    <phoneticPr fontId="1" type="noConversion"/>
  </si>
  <si>
    <t>Echinoderms-S</t>
    <phoneticPr fontId="1" type="noConversion"/>
  </si>
  <si>
    <t>Echinoderm</t>
  </si>
  <si>
    <t>Echinoderm-D</t>
    <phoneticPr fontId="1" type="noConversion"/>
  </si>
  <si>
    <t>all</t>
    <phoneticPr fontId="1" type="noConversion"/>
  </si>
  <si>
    <t>all</t>
    <phoneticPr fontId="1" type="noConversion"/>
  </si>
  <si>
    <t>checklist</t>
    <phoneticPr fontId="1" type="noConversion"/>
  </si>
  <si>
    <t>all</t>
    <phoneticPr fontId="1" type="noConversion"/>
  </si>
  <si>
    <t>NA</t>
    <phoneticPr fontId="1" type="noConversion"/>
  </si>
  <si>
    <t>D</t>
    <phoneticPr fontId="1" type="noConversion"/>
  </si>
  <si>
    <t>D</t>
    <phoneticPr fontId="1" type="noConversion"/>
  </si>
  <si>
    <t>species</t>
    <phoneticPr fontId="1" type="noConversion"/>
  </si>
  <si>
    <t>Potamocorbula laevis</t>
    <phoneticPr fontId="1" type="noConversion"/>
  </si>
  <si>
    <t>D</t>
    <phoneticPr fontId="1" type="noConversion"/>
  </si>
  <si>
    <t>all</t>
    <phoneticPr fontId="1" type="noConversion"/>
  </si>
  <si>
    <t>Nanlu Island</t>
    <phoneticPr fontId="1" type="noConversion"/>
  </si>
  <si>
    <t>ECS</t>
    <phoneticPr fontId="1" type="noConversion"/>
  </si>
  <si>
    <t>Dongtou Archipelago</t>
    <phoneticPr fontId="1" type="noConversion"/>
  </si>
  <si>
    <t>D</t>
    <phoneticPr fontId="1" type="noConversion"/>
  </si>
  <si>
    <t>coastal</t>
    <phoneticPr fontId="1" type="noConversion"/>
  </si>
  <si>
    <t>BS</t>
    <phoneticPr fontId="1" type="noConversion"/>
  </si>
  <si>
    <t xml:space="preserve">Ningjing </t>
    <phoneticPr fontId="1" type="noConversion"/>
  </si>
  <si>
    <t>蛤蜊</t>
    <phoneticPr fontId="1" type="noConversion"/>
  </si>
  <si>
    <t>Ximen island</t>
    <phoneticPr fontId="1" type="noConversion"/>
  </si>
  <si>
    <t>Cangnan</t>
    <phoneticPr fontId="1" type="noConversion"/>
  </si>
  <si>
    <t>Haizhou Bay</t>
    <phoneticPr fontId="1" type="noConversion"/>
  </si>
  <si>
    <t>natural</t>
    <phoneticPr fontId="1" type="noConversion"/>
  </si>
  <si>
    <t>ECS</t>
    <phoneticPr fontId="1" type="noConversion"/>
  </si>
  <si>
    <t>YS</t>
    <phoneticPr fontId="1" type="noConversion"/>
  </si>
  <si>
    <t>D</t>
    <phoneticPr fontId="1" type="noConversion"/>
  </si>
  <si>
    <t>luo</t>
    <phoneticPr fontId="1" type="noConversion"/>
  </si>
  <si>
    <t>Xiangshan Bay</t>
    <phoneticPr fontId="1" type="noConversion"/>
  </si>
  <si>
    <t>crustacean-D</t>
    <phoneticPr fontId="2" type="noConversion"/>
  </si>
  <si>
    <t>Lingkun island</t>
    <phoneticPr fontId="1" type="noConversion"/>
  </si>
  <si>
    <t>all</t>
    <phoneticPr fontId="1" type="noConversion"/>
  </si>
  <si>
    <t>节肢动物</t>
    <phoneticPr fontId="1" type="noConversion"/>
  </si>
  <si>
    <t>Bohai Bay</t>
    <phoneticPr fontId="1" type="noConversion"/>
  </si>
  <si>
    <t>note</t>
    <phoneticPr fontId="1" type="noConversion"/>
  </si>
  <si>
    <t>Yantai</t>
    <phoneticPr fontId="1" type="noConversion"/>
  </si>
  <si>
    <t>BS</t>
    <phoneticPr fontId="1" type="noConversion"/>
  </si>
  <si>
    <t>NA</t>
    <phoneticPr fontId="1" type="noConversion"/>
  </si>
  <si>
    <t>Rongcheng</t>
    <phoneticPr fontId="1" type="noConversion"/>
  </si>
  <si>
    <t>菲律宾蛤仔</t>
    <phoneticPr fontId="1" type="noConversion"/>
  </si>
  <si>
    <t>Qinzhou Bay</t>
    <phoneticPr fontId="1" type="noConversion"/>
  </si>
  <si>
    <t>effect</t>
    <phoneticPr fontId="1" type="noConversion"/>
  </si>
  <si>
    <t>infrastructure</t>
    <phoneticPr fontId="1" type="noConversion"/>
  </si>
  <si>
    <t xml:space="preserve">luo </t>
    <phoneticPr fontId="1" type="noConversion"/>
  </si>
  <si>
    <t>珠带拟蟹守螺</t>
    <phoneticPr fontId="1" type="noConversion"/>
  </si>
  <si>
    <t>D</t>
    <phoneticPr fontId="1" type="noConversion"/>
  </si>
  <si>
    <t>尖喙小囊蛤</t>
    <phoneticPr fontId="1" type="noConversion"/>
  </si>
  <si>
    <t>Waiyu island</t>
    <phoneticPr fontId="1" type="noConversion"/>
  </si>
  <si>
    <t>natural</t>
    <phoneticPr fontId="1" type="noConversion"/>
  </si>
  <si>
    <t>蛤蜊</t>
    <phoneticPr fontId="1" type="noConversion"/>
  </si>
  <si>
    <t>光滑河蓝蛤</t>
    <phoneticPr fontId="1" type="noConversion"/>
  </si>
  <si>
    <t>Jiushan lsland</t>
    <phoneticPr fontId="1" type="noConversion"/>
  </si>
  <si>
    <t>日本笠藤壶</t>
    <phoneticPr fontId="1" type="noConversion"/>
  </si>
  <si>
    <t>luo</t>
    <phoneticPr fontId="1" type="noConversion"/>
  </si>
  <si>
    <t>蛇尾，luo</t>
    <phoneticPr fontId="1" type="noConversion"/>
  </si>
  <si>
    <t>海胆，蟹，luo</t>
    <phoneticPr fontId="1" type="noConversion"/>
  </si>
  <si>
    <t>Zhejiang</t>
    <phoneticPr fontId="1" type="noConversion"/>
  </si>
  <si>
    <t>Hangzhou Bay</t>
    <phoneticPr fontId="1" type="noConversion"/>
  </si>
  <si>
    <t>North Zhejiang</t>
    <phoneticPr fontId="1" type="noConversion"/>
  </si>
  <si>
    <t>Middle Zhejiang</t>
    <phoneticPr fontId="1" type="noConversion"/>
  </si>
  <si>
    <t>South Zhejiang</t>
    <phoneticPr fontId="1" type="noConversion"/>
  </si>
  <si>
    <t>小荚蛏</t>
    <phoneticPr fontId="1" type="noConversion"/>
  </si>
  <si>
    <t>光滑河蓝蛤</t>
    <phoneticPr fontId="1" type="noConversion"/>
  </si>
  <si>
    <t>diked</t>
    <phoneticPr fontId="1" type="noConversion"/>
  </si>
  <si>
    <t>Pear river</t>
    <phoneticPr fontId="1" type="noConversion"/>
  </si>
  <si>
    <t>NA</t>
    <phoneticPr fontId="1" type="noConversion"/>
  </si>
  <si>
    <t>luo</t>
    <phoneticPr fontId="1" type="noConversion"/>
  </si>
  <si>
    <t xml:space="preserve">Dachangshan </t>
    <phoneticPr fontId="1" type="noConversion"/>
  </si>
  <si>
    <t>Sanhe</t>
    <phoneticPr fontId="1" type="noConversion"/>
  </si>
  <si>
    <t>Nanchangshan</t>
    <phoneticPr fontId="1" type="noConversion"/>
  </si>
  <si>
    <t>Liugong</t>
    <phoneticPr fontId="1" type="noConversion"/>
  </si>
  <si>
    <t>Xinglong</t>
    <phoneticPr fontId="1" type="noConversion"/>
  </si>
  <si>
    <t>Shengshan</t>
    <phoneticPr fontId="1" type="noConversion"/>
  </si>
  <si>
    <t>Zhoushan</t>
    <phoneticPr fontId="1" type="noConversion"/>
  </si>
  <si>
    <t>Daxie</t>
    <phoneticPr fontId="1" type="noConversion"/>
  </si>
  <si>
    <t>Zhujiajian</t>
    <phoneticPr fontId="1" type="noConversion"/>
  </si>
  <si>
    <t>Wuzhishan</t>
    <phoneticPr fontId="1" type="noConversion"/>
  </si>
  <si>
    <t>Dachen</t>
    <phoneticPr fontId="1" type="noConversion"/>
  </si>
  <si>
    <t>Meizhou</t>
    <phoneticPr fontId="1" type="noConversion"/>
  </si>
  <si>
    <t>Xiamen</t>
    <phoneticPr fontId="1" type="noConversion"/>
  </si>
  <si>
    <t>Nanao</t>
    <phoneticPr fontId="1" type="noConversion"/>
  </si>
  <si>
    <t>Neilingding</t>
    <phoneticPr fontId="1" type="noConversion"/>
  </si>
  <si>
    <t>Guishan</t>
    <phoneticPr fontId="1" type="noConversion"/>
  </si>
  <si>
    <t>Shangchuan</t>
    <phoneticPr fontId="1" type="noConversion"/>
  </si>
  <si>
    <t>Techeng</t>
    <phoneticPr fontId="1" type="noConversion"/>
  </si>
  <si>
    <t>Guoheyuan</t>
    <phoneticPr fontId="1" type="noConversion"/>
  </si>
  <si>
    <t>Dongyu</t>
    <phoneticPr fontId="1" type="noConversion"/>
  </si>
  <si>
    <t>Dazhou</t>
    <phoneticPr fontId="1" type="noConversion"/>
  </si>
  <si>
    <t>Niuqi</t>
    <phoneticPr fontId="1" type="noConversion"/>
  </si>
  <si>
    <t>YS</t>
    <phoneticPr fontId="1" type="noConversion"/>
  </si>
  <si>
    <t>BS</t>
    <phoneticPr fontId="1" type="noConversion"/>
  </si>
  <si>
    <t>Ximaozhou</t>
    <phoneticPr fontId="1" type="noConversion"/>
  </si>
  <si>
    <t>Pear river</t>
    <phoneticPr fontId="1" type="noConversion"/>
  </si>
  <si>
    <t>SCS</t>
    <phoneticPr fontId="1" type="noConversion"/>
  </si>
  <si>
    <t>Shen 1985</t>
    <phoneticPr fontId="1" type="noConversion"/>
  </si>
  <si>
    <t>Huang Yaqin et al., 2009</t>
    <phoneticPr fontId="1" type="noConversion"/>
  </si>
  <si>
    <t>Fujian</t>
    <phoneticPr fontId="1" type="noConversion"/>
  </si>
  <si>
    <t>natural</t>
    <phoneticPr fontId="1" type="noConversion"/>
  </si>
  <si>
    <t>Yushan</t>
    <phoneticPr fontId="1" type="noConversion"/>
  </si>
  <si>
    <t>Xiyang</t>
    <phoneticPr fontId="1" type="noConversion"/>
  </si>
  <si>
    <t>Sandu</t>
    <phoneticPr fontId="1" type="noConversion"/>
  </si>
  <si>
    <t>Langqi</t>
    <phoneticPr fontId="1" type="noConversion"/>
  </si>
  <si>
    <t>Haitan</t>
    <phoneticPr fontId="1" type="noConversion"/>
  </si>
  <si>
    <t>Jiangyin</t>
    <phoneticPr fontId="1" type="noConversion"/>
  </si>
  <si>
    <t>Nanri</t>
    <phoneticPr fontId="1" type="noConversion"/>
  </si>
  <si>
    <t>Meizhou</t>
    <phoneticPr fontId="1" type="noConversion"/>
  </si>
  <si>
    <t>Dayu</t>
    <phoneticPr fontId="1" type="noConversion"/>
  </si>
  <si>
    <t>Zini</t>
    <phoneticPr fontId="1" type="noConversion"/>
  </si>
  <si>
    <t>Dongshan</t>
    <phoneticPr fontId="1" type="noConversion"/>
  </si>
  <si>
    <t>economic species</t>
    <phoneticPr fontId="1" type="noConversion"/>
  </si>
  <si>
    <t>Huang Yaqin et al., 2010</t>
    <phoneticPr fontId="1" type="noConversion"/>
  </si>
  <si>
    <t>D</t>
    <phoneticPr fontId="1" type="noConversion"/>
  </si>
  <si>
    <t>Ji Yinglu et al., 2015</t>
    <phoneticPr fontId="1" type="noConversion"/>
  </si>
  <si>
    <t>Liaodong Bay</t>
    <phoneticPr fontId="1" type="noConversion"/>
  </si>
  <si>
    <t>文中有模型</t>
    <phoneticPr fontId="1" type="noConversion"/>
  </si>
  <si>
    <t>Ji Xiangxing et al., 2012</t>
    <phoneticPr fontId="1" type="noConversion"/>
  </si>
  <si>
    <t>Liaodong Bay</t>
    <phoneticPr fontId="1" type="noConversion"/>
  </si>
  <si>
    <t>文中新指数</t>
    <phoneticPr fontId="1" type="noConversion"/>
  </si>
  <si>
    <t>Jia Haibo et al., 2011</t>
    <phoneticPr fontId="1" type="noConversion"/>
  </si>
  <si>
    <t>Zhejiang</t>
    <phoneticPr fontId="1" type="noConversion"/>
  </si>
  <si>
    <t>ECS</t>
    <phoneticPr fontId="1" type="noConversion"/>
  </si>
  <si>
    <t>Jia Haibo et al., 2010</t>
    <phoneticPr fontId="1" type="noConversion"/>
  </si>
  <si>
    <t>YS</t>
    <phoneticPr fontId="1" type="noConversion"/>
  </si>
  <si>
    <t>natural</t>
    <phoneticPr fontId="1" type="noConversion"/>
  </si>
  <si>
    <t>all</t>
    <phoneticPr fontId="1" type="noConversion"/>
  </si>
  <si>
    <t>Jia Haibo et al., 2012</t>
    <phoneticPr fontId="1" type="noConversion"/>
  </si>
  <si>
    <t>Zhoushan</t>
    <phoneticPr fontId="1" type="noConversion"/>
  </si>
  <si>
    <t>浙江舟山海洋生态监测站 2001-2008</t>
    <phoneticPr fontId="1" type="noConversion"/>
  </si>
  <si>
    <t>Jia Haibo et al., 2013</t>
    <phoneticPr fontId="1" type="noConversion"/>
  </si>
  <si>
    <t>ECS</t>
    <phoneticPr fontId="1" type="noConversion"/>
  </si>
  <si>
    <t>Jiang Haihua et al., 2014</t>
    <phoneticPr fontId="1" type="noConversion"/>
  </si>
  <si>
    <t xml:space="preserve">Wenling </t>
    <phoneticPr fontId="1" type="noConversion"/>
  </si>
  <si>
    <t>natural</t>
    <phoneticPr fontId="1" type="noConversion"/>
  </si>
  <si>
    <t>all</t>
    <phoneticPr fontId="1" type="noConversion"/>
  </si>
  <si>
    <t>ECS</t>
    <phoneticPr fontId="1" type="noConversion"/>
  </si>
  <si>
    <t>D</t>
    <phoneticPr fontId="1" type="noConversion"/>
  </si>
  <si>
    <t>luo</t>
    <phoneticPr fontId="1" type="noConversion"/>
  </si>
  <si>
    <t>Jiao Haifeng et al., 2011</t>
    <phoneticPr fontId="1" type="noConversion"/>
  </si>
  <si>
    <t>natural</t>
    <phoneticPr fontId="1" type="noConversion"/>
  </si>
  <si>
    <t>all</t>
    <phoneticPr fontId="1" type="noConversion"/>
  </si>
  <si>
    <t>re-calculation</t>
    <phoneticPr fontId="1" type="noConversion"/>
  </si>
  <si>
    <t>Yushan</t>
    <phoneticPr fontId="1" type="noConversion"/>
  </si>
  <si>
    <t>Leng Yu et al., 2014</t>
    <phoneticPr fontId="1" type="noConversion"/>
  </si>
  <si>
    <t>Laizhou</t>
    <phoneticPr fontId="1" type="noConversion"/>
  </si>
  <si>
    <t>all</t>
    <phoneticPr fontId="1" type="noConversion"/>
  </si>
  <si>
    <t>YS</t>
    <phoneticPr fontId="1" type="noConversion"/>
  </si>
  <si>
    <t>no detail information</t>
    <phoneticPr fontId="1" type="noConversion"/>
  </si>
  <si>
    <t>Leng Yu et al., 2013</t>
    <phoneticPr fontId="1" type="noConversion"/>
  </si>
  <si>
    <t>BS</t>
    <phoneticPr fontId="1" type="noConversion"/>
  </si>
  <si>
    <t>BS</t>
    <phoneticPr fontId="1" type="noConversion"/>
  </si>
  <si>
    <t>Li Baoquan et al., 2007</t>
    <phoneticPr fontId="1" type="noConversion"/>
  </si>
  <si>
    <t>Changjiang</t>
    <phoneticPr fontId="1" type="noConversion"/>
  </si>
  <si>
    <t>NA</t>
    <phoneticPr fontId="1" type="noConversion"/>
  </si>
  <si>
    <t>Li Baoquan et al., 2005</t>
    <phoneticPr fontId="1" type="noConversion"/>
  </si>
  <si>
    <t xml:space="preserve">Jiaozhou </t>
    <phoneticPr fontId="1" type="noConversion"/>
  </si>
  <si>
    <t>菲律宾蛤仔</t>
    <phoneticPr fontId="1" type="noConversion"/>
  </si>
  <si>
    <t>only one species</t>
    <phoneticPr fontId="1" type="noConversion"/>
  </si>
  <si>
    <t>Li Rongguan et al., 1997</t>
    <phoneticPr fontId="1" type="noConversion"/>
  </si>
  <si>
    <t>Haimen</t>
    <phoneticPr fontId="1" type="noConversion"/>
  </si>
  <si>
    <t>SCS</t>
    <phoneticPr fontId="1" type="noConversion"/>
  </si>
  <si>
    <t>luo</t>
    <phoneticPr fontId="1" type="noConversion"/>
  </si>
  <si>
    <t>Li Rongguan et al., 2006</t>
    <phoneticPr fontId="1" type="noConversion"/>
  </si>
  <si>
    <t>province</t>
    <phoneticPr fontId="1" type="noConversion"/>
  </si>
  <si>
    <t>Shanghai</t>
    <phoneticPr fontId="1" type="noConversion"/>
  </si>
  <si>
    <t>station number</t>
    <phoneticPr fontId="1" type="noConversion"/>
  </si>
  <si>
    <t>H</t>
    <phoneticPr fontId="1" type="noConversion"/>
  </si>
  <si>
    <t xml:space="preserve">J </t>
    <phoneticPr fontId="1" type="noConversion"/>
  </si>
  <si>
    <t>D</t>
    <phoneticPr fontId="1" type="noConversion"/>
  </si>
  <si>
    <t>H-SD</t>
    <phoneticPr fontId="1" type="noConversion"/>
  </si>
  <si>
    <t>J-SD</t>
    <phoneticPr fontId="1" type="noConversion"/>
  </si>
  <si>
    <t>D-SD</t>
    <phoneticPr fontId="1" type="noConversion"/>
  </si>
  <si>
    <t>each plot(cm2)</t>
    <phoneticPr fontId="1" type="noConversion"/>
  </si>
  <si>
    <t>Zhejiang</t>
    <phoneticPr fontId="1" type="noConversion"/>
  </si>
  <si>
    <t>Zhejiang</t>
    <phoneticPr fontId="1" type="noConversion"/>
  </si>
  <si>
    <t>datasource</t>
    <phoneticPr fontId="1" type="noConversion"/>
  </si>
  <si>
    <t>O</t>
    <phoneticPr fontId="1" type="noConversion"/>
  </si>
  <si>
    <t>C</t>
    <phoneticPr fontId="1" type="noConversion"/>
  </si>
  <si>
    <t>HK</t>
    <phoneticPr fontId="1" type="noConversion"/>
  </si>
  <si>
    <t>HK</t>
    <phoneticPr fontId="1" type="noConversion"/>
  </si>
  <si>
    <t>pollution</t>
    <phoneticPr fontId="1" type="noConversion"/>
  </si>
  <si>
    <t>all</t>
    <phoneticPr fontId="1" type="noConversion"/>
  </si>
  <si>
    <t>S</t>
    <phoneticPr fontId="1" type="noConversion"/>
  </si>
  <si>
    <t>S-SD</t>
    <phoneticPr fontId="1" type="noConversion"/>
  </si>
  <si>
    <t>An Chuangguang et al.,2008</t>
    <phoneticPr fontId="1" type="noConversion"/>
  </si>
  <si>
    <t>Bao Yixin et al.,2008</t>
    <phoneticPr fontId="1" type="noConversion"/>
  </si>
  <si>
    <t>Bao Yixin et al.,2006</t>
    <phoneticPr fontId="1" type="noConversion"/>
  </si>
  <si>
    <t>Cai Lizhe et al., 1997</t>
    <phoneticPr fontId="1" type="noConversion"/>
  </si>
  <si>
    <t>Chen Binlin et al., 2007</t>
    <phoneticPr fontId="1" type="noConversion"/>
  </si>
  <si>
    <t>Jiangsu</t>
    <phoneticPr fontId="1" type="noConversion"/>
  </si>
  <si>
    <r>
      <rPr>
        <sz val="8"/>
        <color theme="1"/>
        <rFont val="宋体"/>
        <family val="3"/>
        <charset val="134"/>
      </rPr>
      <t>注：</t>
    </r>
    <r>
      <rPr>
        <sz val="8"/>
        <color theme="1"/>
        <rFont val="Arial"/>
        <family val="2"/>
      </rPr>
      <t>90%</t>
    </r>
    <r>
      <rPr>
        <sz val="8"/>
        <color theme="1"/>
        <rFont val="宋体"/>
        <family val="3"/>
        <charset val="134"/>
      </rPr>
      <t>的生物量定义为优势物种</t>
    </r>
    <phoneticPr fontId="1" type="noConversion"/>
  </si>
  <si>
    <r>
      <t>是加州扁鸟蛤</t>
    </r>
    <r>
      <rPr>
        <sz val="8"/>
        <color theme="1"/>
        <rFont val="Arial"/>
        <family val="2"/>
      </rPr>
      <t>(Cl inocardium californiense)</t>
    </r>
    <r>
      <rPr>
        <sz val="8"/>
        <color theme="1"/>
        <rFont val="宋体"/>
        <family val="3"/>
        <charset val="134"/>
      </rPr>
      <t>、江户明樱蛤</t>
    </r>
    <r>
      <rPr>
        <sz val="8"/>
        <color theme="1"/>
        <rFont val="Arial"/>
        <family val="2"/>
      </rPr>
      <t>(Moerella jedoensis)</t>
    </r>
    <r>
      <rPr>
        <sz val="8"/>
        <color theme="1"/>
        <rFont val="宋体"/>
        <family val="3"/>
        <charset val="134"/>
      </rPr>
      <t>和薄索足蛤</t>
    </r>
    <r>
      <rPr>
        <sz val="8"/>
        <color theme="1"/>
        <rFont val="Arial"/>
        <family val="2"/>
      </rPr>
      <t>( Thyasira tokunagai ) ,</t>
    </r>
    <r>
      <rPr>
        <sz val="8"/>
        <color theme="1"/>
        <rFont val="宋体"/>
        <family val="3"/>
        <charset val="134"/>
      </rPr>
      <t>分别为</t>
    </r>
    <r>
      <rPr>
        <sz val="8"/>
        <color theme="1"/>
        <rFont val="Arial"/>
        <family val="2"/>
      </rPr>
      <t>1. 06, 0. 49</t>
    </r>
    <r>
      <rPr>
        <sz val="8"/>
        <color theme="1"/>
        <rFont val="宋体"/>
        <family val="3"/>
        <charset val="134"/>
      </rPr>
      <t>和</t>
    </r>
    <r>
      <rPr>
        <sz val="8"/>
        <color theme="1"/>
        <rFont val="Arial"/>
        <family val="2"/>
      </rPr>
      <t>0. 41 g ( w</t>
    </r>
    <r>
      <rPr>
        <sz val="8"/>
        <color theme="1"/>
        <rFont val="宋体"/>
        <family val="3"/>
        <charset val="134"/>
      </rPr>
      <t>·</t>
    </r>
    <r>
      <rPr>
        <sz val="8"/>
        <color theme="1"/>
        <rFont val="Arial"/>
        <family val="2"/>
      </rPr>
      <t xml:space="preserve"> w ) /m2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</si>
  <si>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rPr>
        <sz val="8"/>
        <color theme="1"/>
        <rFont val="宋体"/>
        <family val="3"/>
        <charset val="134"/>
      </rPr>
      <t>光滑河蓝蛤：</t>
    </r>
    <r>
      <rPr>
        <sz val="8"/>
        <color theme="1"/>
        <rFont val="Arial"/>
        <family val="2"/>
      </rPr>
      <t>84.7ind</t>
    </r>
    <r>
      <rPr>
        <sz val="8"/>
        <color theme="1"/>
        <rFont val="宋体"/>
        <family val="3"/>
        <charset val="134"/>
      </rPr>
      <t>以及</t>
    </r>
    <r>
      <rPr>
        <sz val="8"/>
        <color theme="1"/>
        <rFont val="Arial"/>
        <family val="2"/>
      </rPr>
      <t>15.71g m-2</t>
    </r>
    <phoneticPr fontId="1" type="noConversion"/>
  </si>
  <si>
    <r>
      <rPr>
        <sz val="8"/>
        <color theme="1"/>
        <rFont val="宋体"/>
        <family val="3"/>
        <charset val="134"/>
      </rPr>
      <t>蛇尾，</t>
    </r>
    <r>
      <rPr>
        <sz val="8"/>
        <color theme="1"/>
        <rFont val="Arial"/>
        <family val="2"/>
      </rPr>
      <t>luo</t>
    </r>
    <phoneticPr fontId="1" type="noConversion"/>
  </si>
  <si>
    <r>
      <t>luo</t>
    </r>
    <r>
      <rPr>
        <sz val="8"/>
        <color theme="1"/>
        <rFont val="宋体"/>
        <family val="3"/>
        <charset val="134"/>
      </rPr>
      <t>，海胆</t>
    </r>
    <phoneticPr fontId="1" type="noConversion"/>
  </si>
  <si>
    <r>
      <t xml:space="preserve">luo </t>
    </r>
    <r>
      <rPr>
        <sz val="8"/>
        <color theme="1"/>
        <rFont val="宋体"/>
        <family val="3"/>
        <charset val="134"/>
      </rPr>
      <t>蛤蜊</t>
    </r>
    <phoneticPr fontId="1" type="noConversion"/>
  </si>
  <si>
    <r>
      <t xml:space="preserve">luo </t>
    </r>
    <r>
      <rPr>
        <sz val="8"/>
        <color theme="1"/>
        <rFont val="宋体"/>
        <family val="3"/>
        <charset val="134"/>
      </rPr>
      <t>蛤蜊</t>
    </r>
    <phoneticPr fontId="1" type="noConversion"/>
  </si>
  <si>
    <r>
      <t xml:space="preserve">luo </t>
    </r>
    <r>
      <rPr>
        <sz val="8"/>
        <color theme="1"/>
        <rFont val="宋体"/>
        <family val="3"/>
        <charset val="134"/>
      </rPr>
      <t>蛤蜊</t>
    </r>
    <phoneticPr fontId="1" type="noConversion"/>
  </si>
  <si>
    <t>diked</t>
    <phoneticPr fontId="1" type="noConversion"/>
  </si>
  <si>
    <t>C</t>
    <phoneticPr fontId="1" type="noConversion"/>
  </si>
  <si>
    <t>O</t>
    <phoneticPr fontId="1" type="noConversion"/>
  </si>
  <si>
    <t>industry</t>
    <phoneticPr fontId="1" type="noConversion"/>
  </si>
  <si>
    <t>nuclear</t>
    <phoneticPr fontId="1" type="noConversion"/>
  </si>
  <si>
    <t>industry</t>
    <phoneticPr fontId="1" type="noConversion"/>
  </si>
  <si>
    <t>Chen Guotong et al., 1994</t>
    <phoneticPr fontId="1" type="noConversion"/>
  </si>
  <si>
    <t>Chou Jianbiao et al., 2012</t>
    <phoneticPr fontId="1" type="noConversion"/>
  </si>
  <si>
    <t>all</t>
    <phoneticPr fontId="1" type="noConversion"/>
  </si>
  <si>
    <t>abu-SD</t>
    <phoneticPr fontId="1" type="noConversion"/>
  </si>
  <si>
    <t>C</t>
    <phoneticPr fontId="1" type="noConversion"/>
  </si>
  <si>
    <t>luo</t>
    <phoneticPr fontId="1" type="noConversion"/>
  </si>
  <si>
    <t>此处文章中提及luo占60%，此处按照50%算。</t>
    <phoneticPr fontId="1" type="noConversion"/>
  </si>
  <si>
    <t>Jiangsu</t>
    <phoneticPr fontId="1" type="noConversion"/>
  </si>
  <si>
    <t>Chou Le et al., 2010</t>
    <phoneticPr fontId="1" type="noConversion"/>
  </si>
  <si>
    <t>natural</t>
    <phoneticPr fontId="1" type="noConversion"/>
  </si>
  <si>
    <t>invasion</t>
    <phoneticPr fontId="1" type="noConversion"/>
  </si>
  <si>
    <t>invasion</t>
    <phoneticPr fontId="1" type="noConversion"/>
  </si>
  <si>
    <t>Chou Le et al., 2010</t>
    <phoneticPr fontId="1" type="noConversion"/>
  </si>
  <si>
    <t>luo</t>
    <phoneticPr fontId="1" type="noConversion"/>
  </si>
  <si>
    <t>此处文章中提及luo占60%，此处按照51%算。</t>
  </si>
  <si>
    <t>此处文章中提及luo占60%，此处按照52%算。</t>
  </si>
  <si>
    <t>此处文章中提及luo占60%，此处按照53%算。</t>
  </si>
  <si>
    <t>此处文章中提及luo占60%，此处按照54%算。</t>
  </si>
  <si>
    <t>此处文章中提及luo占60%，此处按照55%算。</t>
  </si>
  <si>
    <t>此处文章中提及luo占60%，此处按照56%算。</t>
  </si>
  <si>
    <t>此处文章中提及luo占60%，此处按照57%算。</t>
  </si>
  <si>
    <t>此处文章中提及luo占60%，此处按照58%算。</t>
  </si>
  <si>
    <t>此处文章中提及luo占60%，此处按照59%算。</t>
  </si>
  <si>
    <r>
      <rPr>
        <sz val="8"/>
        <color rgb="FFFF0000"/>
        <rFont val="宋体"/>
        <family val="3"/>
        <charset val="134"/>
      </rPr>
      <t>定义</t>
    </r>
    <r>
      <rPr>
        <sz val="8"/>
        <color rgb="FFFF0000"/>
        <rFont val="Arial"/>
        <family val="2"/>
      </rPr>
      <t>90%</t>
    </r>
    <r>
      <rPr>
        <sz val="8"/>
        <color rgb="FFFF0000"/>
        <rFont val="宋体"/>
        <family val="3"/>
        <charset val="134"/>
      </rPr>
      <t>生物量为软体动物，通过表</t>
    </r>
    <r>
      <rPr>
        <sz val="8"/>
        <color rgb="FFFF0000"/>
        <rFont val="Arial"/>
        <family val="2"/>
      </rPr>
      <t>2</t>
    </r>
    <r>
      <rPr>
        <sz val="8"/>
        <color rgb="FFFF0000"/>
        <rFont val="宋体"/>
        <family val="3"/>
        <charset val="134"/>
      </rPr>
      <t>得出。</t>
    </r>
    <phoneticPr fontId="1" type="noConversion"/>
  </si>
  <si>
    <t>C</t>
    <phoneticPr fontId="1" type="noConversion"/>
  </si>
  <si>
    <t>Bio-SD</t>
    <phoneticPr fontId="1" type="noConversion"/>
  </si>
  <si>
    <t>Fang Shaohua et al., 2009</t>
    <phoneticPr fontId="1" type="noConversion"/>
  </si>
  <si>
    <t>pollution</t>
    <phoneticPr fontId="1" type="noConversion"/>
  </si>
  <si>
    <t>ECS</t>
    <phoneticPr fontId="1" type="noConversion"/>
  </si>
  <si>
    <t>D</t>
    <phoneticPr fontId="1" type="noConversion"/>
  </si>
  <si>
    <t>软体动物生物量占优势</t>
    <phoneticPr fontId="1" type="noConversion"/>
  </si>
  <si>
    <t>软体动物生物量占优势，按照60%计算。</t>
    <phoneticPr fontId="1" type="noConversion"/>
  </si>
  <si>
    <t>Shandong</t>
    <phoneticPr fontId="1" type="noConversion"/>
  </si>
  <si>
    <t>彩虹明樱蛤蜊</t>
    <phoneticPr fontId="1" type="noConversion"/>
  </si>
  <si>
    <t>Gan Zhibin et al., 2009</t>
    <phoneticPr fontId="1" type="noConversion"/>
  </si>
  <si>
    <t>winter</t>
    <phoneticPr fontId="1" type="noConversion"/>
  </si>
  <si>
    <t xml:space="preserve">H </t>
    <phoneticPr fontId="1" type="noConversion"/>
  </si>
  <si>
    <t>J</t>
    <phoneticPr fontId="1" type="noConversion"/>
  </si>
  <si>
    <t>spring</t>
    <phoneticPr fontId="1" type="noConversion"/>
  </si>
  <si>
    <t>summer</t>
    <phoneticPr fontId="1" type="noConversion"/>
  </si>
  <si>
    <t>autumn</t>
    <phoneticPr fontId="1" type="noConversion"/>
  </si>
  <si>
    <t>average</t>
    <phoneticPr fontId="1" type="noConversion"/>
  </si>
  <si>
    <t>all</t>
    <phoneticPr fontId="1" type="noConversion"/>
  </si>
  <si>
    <t>YS</t>
    <phoneticPr fontId="1" type="noConversion"/>
  </si>
  <si>
    <t>Zhejiang</t>
    <phoneticPr fontId="1" type="noConversion"/>
  </si>
  <si>
    <t>mangrove</t>
    <phoneticPr fontId="1" type="noConversion"/>
  </si>
  <si>
    <t>invasion</t>
    <phoneticPr fontId="1" type="noConversion"/>
  </si>
  <si>
    <t>O</t>
    <phoneticPr fontId="1" type="noConversion"/>
  </si>
  <si>
    <t>Gao Aigen et al., 2005</t>
    <phoneticPr fontId="1" type="noConversion"/>
  </si>
  <si>
    <t>Gao Aigen et al., 2006</t>
    <phoneticPr fontId="1" type="noConversion"/>
  </si>
  <si>
    <t xml:space="preserve">Gan Zhibin et al., </t>
    <phoneticPr fontId="1" type="noConversion"/>
  </si>
  <si>
    <t>Gao Aigen et al., 2006</t>
    <phoneticPr fontId="1" type="noConversion"/>
  </si>
  <si>
    <t xml:space="preserve">H </t>
    <phoneticPr fontId="1" type="noConversion"/>
  </si>
  <si>
    <t>Shandong</t>
    <phoneticPr fontId="1" type="noConversion"/>
  </si>
  <si>
    <t>Gao Aigen et al., 2009</t>
    <phoneticPr fontId="1" type="noConversion"/>
  </si>
  <si>
    <t>Gao Aigen et al., 2009</t>
    <phoneticPr fontId="1" type="noConversion"/>
  </si>
  <si>
    <t>Gao Aigen et al., 2004</t>
    <phoneticPr fontId="1" type="noConversion"/>
  </si>
  <si>
    <t>蛤蜊</t>
    <phoneticPr fontId="1" type="noConversion"/>
  </si>
  <si>
    <t>Gao Aigen et al, 2004</t>
    <phoneticPr fontId="1" type="noConversion"/>
  </si>
  <si>
    <t>Ge Baoming et al., 2005</t>
    <phoneticPr fontId="1" type="noConversion"/>
  </si>
  <si>
    <t>invasion</t>
    <phoneticPr fontId="1" type="noConversion"/>
  </si>
  <si>
    <t>Ge Baoming et al., 2005</t>
    <phoneticPr fontId="1" type="noConversion"/>
  </si>
  <si>
    <t>D</t>
    <phoneticPr fontId="1" type="noConversion"/>
  </si>
  <si>
    <t>S</t>
    <phoneticPr fontId="1" type="noConversion"/>
  </si>
  <si>
    <t>Gu Dexian et al., 2011</t>
    <phoneticPr fontId="1" type="noConversion"/>
  </si>
  <si>
    <t xml:space="preserve">Tianjin </t>
    <phoneticPr fontId="1" type="noConversion"/>
  </si>
  <si>
    <t>Gu Xiaoying et al., 2010</t>
    <phoneticPr fontId="1" type="noConversion"/>
  </si>
  <si>
    <t>pollution</t>
    <phoneticPr fontId="1" type="noConversion"/>
  </si>
  <si>
    <t>Gu xiaoying et al., 2010</t>
    <phoneticPr fontId="1" type="noConversion"/>
  </si>
  <si>
    <t>ind</t>
    <phoneticPr fontId="1" type="noConversion"/>
  </si>
  <si>
    <t>biomass</t>
    <phoneticPr fontId="1" type="noConversion"/>
  </si>
  <si>
    <t>d</t>
    <phoneticPr fontId="1" type="noConversion"/>
  </si>
  <si>
    <t>J</t>
    <phoneticPr fontId="1" type="noConversion"/>
  </si>
  <si>
    <t>D</t>
    <phoneticPr fontId="1" type="noConversion"/>
  </si>
  <si>
    <t>H</t>
    <phoneticPr fontId="1" type="noConversion"/>
  </si>
  <si>
    <t>NA</t>
    <phoneticPr fontId="1" type="noConversion"/>
  </si>
  <si>
    <t>C</t>
    <phoneticPr fontId="1" type="noConversion"/>
  </si>
  <si>
    <t>BS</t>
    <phoneticPr fontId="1" type="noConversion"/>
  </si>
  <si>
    <t>BS</t>
    <phoneticPr fontId="1" type="noConversion"/>
  </si>
  <si>
    <t>Han Jie et al., 2001 &amp; Han Jie et al., 2004</t>
    <phoneticPr fontId="1" type="noConversion"/>
  </si>
  <si>
    <t>BS</t>
    <phoneticPr fontId="1" type="noConversion"/>
  </si>
  <si>
    <t>.0.76</t>
    <phoneticPr fontId="1" type="noConversion"/>
  </si>
  <si>
    <t>Han Jie et al., 2004..base as e</t>
    <phoneticPr fontId="1" type="noConversion"/>
  </si>
  <si>
    <t>Han Qingxi et al., 2014</t>
    <phoneticPr fontId="1" type="noConversion"/>
  </si>
  <si>
    <t>Han Qingxi et al., 2012</t>
    <phoneticPr fontId="1" type="noConversion"/>
  </si>
  <si>
    <t>Guangxi</t>
    <phoneticPr fontId="1" type="noConversion"/>
  </si>
  <si>
    <t>He Binyuan et al., 2004</t>
    <phoneticPr fontId="1" type="noConversion"/>
  </si>
  <si>
    <t>He Binyuan et al., 2004</t>
    <phoneticPr fontId="1" type="noConversion"/>
  </si>
  <si>
    <t>spring</t>
    <phoneticPr fontId="1" type="noConversion"/>
  </si>
  <si>
    <t>d</t>
    <phoneticPr fontId="1" type="noConversion"/>
  </si>
  <si>
    <t>H</t>
    <phoneticPr fontId="1" type="noConversion"/>
  </si>
  <si>
    <t>J</t>
    <phoneticPr fontId="1" type="noConversion"/>
  </si>
  <si>
    <t>summer</t>
    <phoneticPr fontId="1" type="noConversion"/>
  </si>
  <si>
    <t>mean</t>
    <phoneticPr fontId="1" type="noConversion"/>
  </si>
  <si>
    <t>SD</t>
    <phoneticPr fontId="1" type="noConversion"/>
  </si>
  <si>
    <t>He Minghai et al., 1988</t>
    <phoneticPr fontId="1" type="noConversion"/>
  </si>
  <si>
    <t>Fujian</t>
    <phoneticPr fontId="1" type="noConversion"/>
  </si>
  <si>
    <t xml:space="preserve">He Mingyuan et al.,1988 </t>
    <phoneticPr fontId="1" type="noConversion"/>
  </si>
  <si>
    <t>species number</t>
    <phoneticPr fontId="1" type="noConversion"/>
  </si>
  <si>
    <t>Cru</t>
    <phoneticPr fontId="1" type="noConversion"/>
  </si>
  <si>
    <t>Mul</t>
    <phoneticPr fontId="1" type="noConversion"/>
  </si>
  <si>
    <t>poly</t>
    <phoneticPr fontId="1" type="noConversion"/>
  </si>
  <si>
    <t>echi</t>
    <phoneticPr fontId="1" type="noConversion"/>
  </si>
  <si>
    <t>summer</t>
    <phoneticPr fontId="1" type="noConversion"/>
  </si>
  <si>
    <t>autumn</t>
    <phoneticPr fontId="1" type="noConversion"/>
  </si>
  <si>
    <t>winter</t>
    <phoneticPr fontId="1" type="noConversion"/>
  </si>
  <si>
    <t>biomass</t>
    <phoneticPr fontId="1" type="noConversion"/>
  </si>
  <si>
    <t>abundance</t>
    <phoneticPr fontId="1" type="noConversion"/>
  </si>
  <si>
    <t>C</t>
    <phoneticPr fontId="1" type="noConversion"/>
  </si>
  <si>
    <t>C</t>
    <phoneticPr fontId="1" type="noConversion"/>
  </si>
  <si>
    <t>He Minghai et al., 1993</t>
    <phoneticPr fontId="1" type="noConversion"/>
  </si>
  <si>
    <t>Jiulong River</t>
    <phoneticPr fontId="1" type="noConversion"/>
  </si>
  <si>
    <t>all</t>
    <phoneticPr fontId="1" type="noConversion"/>
  </si>
  <si>
    <t>ECS</t>
    <phoneticPr fontId="1" type="noConversion"/>
  </si>
  <si>
    <t>high tidal</t>
    <phoneticPr fontId="1" type="noConversion"/>
  </si>
  <si>
    <t>low tidal</t>
    <phoneticPr fontId="1" type="noConversion"/>
  </si>
  <si>
    <t>D</t>
    <phoneticPr fontId="1" type="noConversion"/>
  </si>
  <si>
    <t>O</t>
    <phoneticPr fontId="1" type="noConversion"/>
  </si>
  <si>
    <t>luo</t>
    <phoneticPr fontId="1" type="noConversion"/>
  </si>
  <si>
    <t>He Minghai et al., 1996</t>
    <phoneticPr fontId="1" type="noConversion"/>
  </si>
  <si>
    <t>He Xinran et al., 2009</t>
    <phoneticPr fontId="1" type="noConversion"/>
  </si>
  <si>
    <t>He xinran et al., 2009</t>
    <phoneticPr fontId="1" type="noConversion"/>
  </si>
  <si>
    <t>S</t>
    <phoneticPr fontId="1" type="noConversion"/>
  </si>
  <si>
    <t>He Zhouting et al., 2012</t>
    <phoneticPr fontId="1" type="noConversion"/>
  </si>
  <si>
    <t>Zhejiang</t>
    <phoneticPr fontId="1" type="noConversion"/>
  </si>
  <si>
    <t>Hu Haoyan et al., 2000</t>
    <phoneticPr fontId="1" type="noConversion"/>
  </si>
  <si>
    <t>Hu Haoyan et al., 2006</t>
    <phoneticPr fontId="1" type="noConversion"/>
  </si>
  <si>
    <t>Hu Zhiyuan et al., 2008</t>
    <phoneticPr fontId="1" type="noConversion"/>
  </si>
  <si>
    <t>Huang Hui et al., 2012</t>
    <phoneticPr fontId="1" type="noConversion"/>
  </si>
  <si>
    <t>0..34</t>
    <phoneticPr fontId="1" type="noConversion"/>
  </si>
  <si>
    <t>菲律宾蛤仔占生物量60%</t>
    <phoneticPr fontId="1" type="noConversion"/>
  </si>
  <si>
    <t>Huang Daojian et al., 2011</t>
    <phoneticPr fontId="1" type="noConversion"/>
  </si>
  <si>
    <t>Guangdong</t>
    <phoneticPr fontId="1" type="noConversion"/>
  </si>
  <si>
    <t>Huang Haiping et al., 2012</t>
    <phoneticPr fontId="1" type="noConversion"/>
  </si>
  <si>
    <t xml:space="preserve">Liaoning </t>
    <phoneticPr fontId="1" type="noConversion"/>
  </si>
  <si>
    <t>Dajinshan</t>
    <phoneticPr fontId="1" type="noConversion"/>
  </si>
  <si>
    <t>Fujian</t>
    <phoneticPr fontId="1" type="noConversion"/>
  </si>
  <si>
    <t>Guangdong</t>
    <phoneticPr fontId="1" type="noConversion"/>
  </si>
  <si>
    <t>Hainan</t>
    <phoneticPr fontId="1" type="noConversion"/>
  </si>
  <si>
    <t>Huang Honghui et al., 2002</t>
    <phoneticPr fontId="1" type="noConversion"/>
  </si>
  <si>
    <t>huang et al.,2002 ref</t>
    <phoneticPr fontId="1" type="noConversion"/>
  </si>
  <si>
    <t>huang Yaqin et al., 2010</t>
    <phoneticPr fontId="1" type="noConversion"/>
  </si>
  <si>
    <t>H</t>
    <phoneticPr fontId="1" type="noConversion"/>
  </si>
  <si>
    <t>C</t>
    <phoneticPr fontId="1" type="noConversion"/>
  </si>
  <si>
    <t>O</t>
    <phoneticPr fontId="1" type="noConversion"/>
  </si>
  <si>
    <t>O</t>
    <phoneticPr fontId="1" type="noConversion"/>
  </si>
  <si>
    <t>BS</t>
    <phoneticPr fontId="1" type="noConversion"/>
  </si>
  <si>
    <t>YS</t>
    <phoneticPr fontId="1" type="noConversion"/>
  </si>
  <si>
    <t>Jia haibo et al., 2012</t>
    <phoneticPr fontId="1" type="noConversion"/>
  </si>
  <si>
    <t>d</t>
    <phoneticPr fontId="1" type="noConversion"/>
  </si>
  <si>
    <t>J</t>
    <phoneticPr fontId="1" type="noConversion"/>
  </si>
  <si>
    <t>Jiao Haifeng et al., 2011a</t>
    <phoneticPr fontId="1" type="noConversion"/>
  </si>
  <si>
    <t>疣荔枝螺注：文章中说甲壳类和软体动物两个优势物种占80%，假设两者相同。</t>
    <phoneticPr fontId="1" type="noConversion"/>
  </si>
  <si>
    <t>O</t>
    <phoneticPr fontId="1" type="noConversion"/>
  </si>
  <si>
    <t>O</t>
    <phoneticPr fontId="1" type="noConversion"/>
  </si>
  <si>
    <t>Guangdong</t>
    <phoneticPr fontId="1" type="noConversion"/>
  </si>
  <si>
    <t>Quanzhou Bay</t>
    <phoneticPr fontId="1" type="noConversion"/>
  </si>
  <si>
    <t>pollution</t>
    <phoneticPr fontId="1" type="noConversion"/>
  </si>
  <si>
    <t>habor</t>
    <phoneticPr fontId="1" type="noConversion"/>
  </si>
  <si>
    <t>all</t>
    <phoneticPr fontId="1" type="noConversion"/>
  </si>
  <si>
    <t>SCS</t>
    <phoneticPr fontId="1" type="noConversion"/>
  </si>
  <si>
    <t>Li Rongguan et al., 2006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</si>
  <si>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</si>
  <si>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</si>
  <si>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</si>
  <si>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Yellow river</t>
    <phoneticPr fontId="1" type="noConversion"/>
  </si>
  <si>
    <t>Shandong</t>
    <phoneticPr fontId="1" type="noConversion"/>
  </si>
  <si>
    <t>discharge</t>
    <phoneticPr fontId="1" type="noConversion"/>
  </si>
  <si>
    <t>seniment discharge</t>
    <phoneticPr fontId="1" type="noConversion"/>
  </si>
  <si>
    <t>20d</t>
    <phoneticPr fontId="1" type="noConversion"/>
  </si>
  <si>
    <t>before</t>
    <phoneticPr fontId="1" type="noConversion"/>
  </si>
  <si>
    <t>on going</t>
    <phoneticPr fontId="1" type="noConversion"/>
  </si>
  <si>
    <t>after</t>
    <phoneticPr fontId="1" type="noConversion"/>
  </si>
  <si>
    <t>Li Shaowen et al., 2015</t>
    <phoneticPr fontId="1" type="noConversion"/>
  </si>
  <si>
    <t>江户明樱蛤</t>
    <phoneticPr fontId="1" type="noConversion"/>
  </si>
  <si>
    <t>Li Xiangfu et al., 2013</t>
    <phoneticPr fontId="1" type="noConversion"/>
  </si>
  <si>
    <t>mariculture</t>
    <phoneticPr fontId="1" type="noConversion"/>
  </si>
  <si>
    <t>ECS</t>
    <phoneticPr fontId="1" type="noConversion"/>
  </si>
  <si>
    <t>厚壳贻贝</t>
    <phoneticPr fontId="1" type="noConversion"/>
  </si>
  <si>
    <r>
      <t>70%</t>
    </r>
    <r>
      <rPr>
        <sz val="8"/>
        <color theme="1"/>
        <rFont val="宋体"/>
        <family val="3"/>
        <charset val="134"/>
      </rPr>
      <t>生物量以及丰度</t>
    </r>
    <phoneticPr fontId="1" type="noConversion"/>
  </si>
  <si>
    <t>Li Yongqiang et al., 2013</t>
    <phoneticPr fontId="1" type="noConversion"/>
  </si>
  <si>
    <t>Haizhou Bay</t>
    <phoneticPr fontId="1" type="noConversion"/>
  </si>
  <si>
    <t>natural</t>
    <phoneticPr fontId="1" type="noConversion"/>
  </si>
  <si>
    <t>all</t>
    <phoneticPr fontId="1" type="noConversion"/>
  </si>
  <si>
    <t>reference in this paper</t>
    <phoneticPr fontId="1" type="noConversion"/>
  </si>
  <si>
    <t xml:space="preserve">Leizhou </t>
    <phoneticPr fontId="1" type="noConversion"/>
  </si>
  <si>
    <t>all</t>
    <phoneticPr fontId="1" type="noConversion"/>
  </si>
  <si>
    <t>Liang Chaoyu et al., 2005</t>
    <phoneticPr fontId="1" type="noConversion"/>
  </si>
  <si>
    <t>H-spring</t>
    <phoneticPr fontId="1" type="noConversion"/>
  </si>
  <si>
    <t>H-autumn</t>
    <phoneticPr fontId="1" type="noConversion"/>
  </si>
  <si>
    <t>J-spring</t>
    <phoneticPr fontId="1" type="noConversion"/>
  </si>
  <si>
    <t>J-autumn</t>
    <phoneticPr fontId="1" type="noConversion"/>
  </si>
  <si>
    <t>D-spring</t>
    <phoneticPr fontId="1" type="noConversion"/>
  </si>
  <si>
    <t>D-autumn</t>
    <phoneticPr fontId="1" type="noConversion"/>
  </si>
  <si>
    <t>SD</t>
    <phoneticPr fontId="1" type="noConversion"/>
  </si>
  <si>
    <t>all</t>
    <phoneticPr fontId="1" type="noConversion"/>
  </si>
  <si>
    <t>蛤蜊</t>
    <phoneticPr fontId="1" type="noConversion"/>
  </si>
  <si>
    <t>Liao Yibo et al., 2011</t>
    <phoneticPr fontId="1" type="noConversion"/>
  </si>
  <si>
    <t xml:space="preserve">Sanmen </t>
    <phoneticPr fontId="1" type="noConversion"/>
  </si>
  <si>
    <t>Zhejiang</t>
    <phoneticPr fontId="1" type="noConversion"/>
  </si>
  <si>
    <t>ECS</t>
    <phoneticPr fontId="1" type="noConversion"/>
  </si>
  <si>
    <t>C</t>
    <phoneticPr fontId="1" type="noConversion"/>
  </si>
  <si>
    <t>Liao Yibo et al., 2007</t>
    <phoneticPr fontId="1" type="noConversion"/>
  </si>
  <si>
    <t>Shengsi</t>
    <phoneticPr fontId="1" type="noConversion"/>
  </si>
  <si>
    <t>Liao Yibo et al., 2007</t>
    <phoneticPr fontId="1" type="noConversion"/>
  </si>
  <si>
    <t>cru</t>
    <phoneticPr fontId="1" type="noConversion"/>
  </si>
  <si>
    <t>Liao Yibo et al., 2009</t>
    <phoneticPr fontId="1" type="noConversion"/>
  </si>
  <si>
    <t>Dayu</t>
    <phoneticPr fontId="1" type="noConversion"/>
  </si>
  <si>
    <t>disturb</t>
    <phoneticPr fontId="1" type="noConversion"/>
  </si>
  <si>
    <t>typhoon</t>
    <phoneticPr fontId="1" type="noConversion"/>
  </si>
  <si>
    <t>Liao Yibo et al,, 2009</t>
    <phoneticPr fontId="1" type="noConversion"/>
  </si>
  <si>
    <t>J</t>
    <phoneticPr fontId="1" type="noConversion"/>
  </si>
  <si>
    <t>C</t>
    <phoneticPr fontId="1" type="noConversion"/>
  </si>
  <si>
    <t>refence in this paper</t>
    <phoneticPr fontId="1" type="noConversion"/>
  </si>
  <si>
    <t>luo</t>
    <phoneticPr fontId="1" type="noConversion"/>
  </si>
  <si>
    <t>Liao Yibo et al., 2014</t>
    <phoneticPr fontId="1" type="noConversion"/>
  </si>
  <si>
    <t>Liao Yibo et al., 2011</t>
    <phoneticPr fontId="1" type="noConversion"/>
  </si>
  <si>
    <t>Li Junhui et al., 2007</t>
    <phoneticPr fontId="1" type="noConversion"/>
  </si>
  <si>
    <t>Tongan</t>
    <phoneticPr fontId="1" type="noConversion"/>
  </si>
  <si>
    <t>蛤蜊</t>
    <phoneticPr fontId="1" type="noConversion"/>
  </si>
  <si>
    <t>Lin Xiuchun et al., 2006</t>
    <phoneticPr fontId="1" type="noConversion"/>
  </si>
  <si>
    <t>Fujian</t>
    <phoneticPr fontId="1" type="noConversion"/>
  </si>
  <si>
    <t>shell-fish farming</t>
    <phoneticPr fontId="1" type="noConversion"/>
  </si>
  <si>
    <t>all</t>
    <phoneticPr fontId="1" type="noConversion"/>
  </si>
  <si>
    <t>ECS</t>
    <phoneticPr fontId="1" type="noConversion"/>
  </si>
  <si>
    <t>蛤蜊和luo</t>
    <phoneticPr fontId="1" type="noConversion"/>
  </si>
  <si>
    <t>O</t>
    <phoneticPr fontId="1" type="noConversion"/>
  </si>
  <si>
    <t>Liu Yu et al., 2014</t>
    <phoneticPr fontId="1" type="noConversion"/>
  </si>
  <si>
    <t>all</t>
    <phoneticPr fontId="1" type="noConversion"/>
  </si>
  <si>
    <t>luo</t>
    <phoneticPr fontId="1" type="noConversion"/>
  </si>
  <si>
    <t>Liu Jianguo et al., 2012</t>
    <phoneticPr fontId="1" type="noConversion"/>
  </si>
  <si>
    <t>Dongji</t>
    <phoneticPr fontId="1" type="noConversion"/>
  </si>
  <si>
    <t>Huangxin</t>
    <phoneticPr fontId="1" type="noConversion"/>
  </si>
  <si>
    <t>Zhejiang</t>
    <phoneticPr fontId="1" type="noConversion"/>
  </si>
  <si>
    <t>natural</t>
    <phoneticPr fontId="1" type="noConversion"/>
  </si>
  <si>
    <t>蛤蜊</t>
    <phoneticPr fontId="1" type="noConversion"/>
  </si>
  <si>
    <t>Liu Jinke et al., 2006</t>
    <phoneticPr fontId="1" type="noConversion"/>
  </si>
  <si>
    <t>SCS</t>
    <phoneticPr fontId="1" type="noConversion"/>
  </si>
  <si>
    <t>D</t>
    <phoneticPr fontId="1" type="noConversion"/>
  </si>
  <si>
    <t>luo</t>
    <phoneticPr fontId="1" type="noConversion"/>
  </si>
  <si>
    <t>C</t>
    <phoneticPr fontId="1" type="noConversion"/>
  </si>
  <si>
    <t>Liu Lusan et al., 2002</t>
    <phoneticPr fontId="1" type="noConversion"/>
  </si>
  <si>
    <t>reference in the paper</t>
    <phoneticPr fontId="1" type="noConversion"/>
  </si>
  <si>
    <t>Liu Lusan et al., 2003</t>
    <phoneticPr fontId="1" type="noConversion"/>
  </si>
  <si>
    <t>YS</t>
    <phoneticPr fontId="1" type="noConversion"/>
  </si>
  <si>
    <t>Liu Lusan et al., 2008</t>
    <phoneticPr fontId="1" type="noConversion"/>
  </si>
  <si>
    <t>Liu Lusan et al., 2008</t>
    <phoneticPr fontId="1" type="noConversion"/>
  </si>
  <si>
    <t>BS</t>
    <phoneticPr fontId="1" type="noConversion"/>
  </si>
  <si>
    <t>D</t>
    <phoneticPr fontId="1" type="noConversion"/>
  </si>
  <si>
    <t>光滑河蓝蛤</t>
    <phoneticPr fontId="1" type="noConversion"/>
  </si>
  <si>
    <t>O</t>
    <phoneticPr fontId="1" type="noConversion"/>
  </si>
  <si>
    <t>Liu Weixia et al., 2009</t>
    <phoneticPr fontId="1" type="noConversion"/>
  </si>
  <si>
    <t>YS</t>
    <phoneticPr fontId="1" type="noConversion"/>
  </si>
  <si>
    <t>natural</t>
    <phoneticPr fontId="1" type="noConversion"/>
  </si>
  <si>
    <t>all</t>
    <phoneticPr fontId="1" type="noConversion"/>
  </si>
  <si>
    <t>O</t>
    <phoneticPr fontId="1" type="noConversion"/>
  </si>
  <si>
    <t>Liu Xiaoshou et al., 2014</t>
    <phoneticPr fontId="1" type="noConversion"/>
  </si>
  <si>
    <t>BS</t>
    <phoneticPr fontId="1" type="noConversion"/>
  </si>
  <si>
    <t>BS</t>
    <phoneticPr fontId="1" type="noConversion"/>
  </si>
  <si>
    <t>O</t>
    <phoneticPr fontId="1" type="noConversion"/>
  </si>
  <si>
    <t>Liu Xiuze et al., 2011</t>
    <phoneticPr fontId="1" type="noConversion"/>
  </si>
  <si>
    <t>Lv Shun</t>
    <phoneticPr fontId="1" type="noConversion"/>
  </si>
  <si>
    <t>all</t>
    <phoneticPr fontId="1" type="noConversion"/>
  </si>
  <si>
    <t>luo</t>
    <phoneticPr fontId="1" type="noConversion"/>
  </si>
  <si>
    <t>Liu Yong et al., 2008</t>
    <phoneticPr fontId="1" type="noConversion"/>
  </si>
  <si>
    <t>Changjiang</t>
    <phoneticPr fontId="1" type="noConversion"/>
  </si>
  <si>
    <t>natural</t>
    <phoneticPr fontId="1" type="noConversion"/>
  </si>
  <si>
    <t>ECS</t>
    <phoneticPr fontId="1" type="noConversion"/>
  </si>
  <si>
    <t>Liu Yuanjin et al., 2012</t>
    <phoneticPr fontId="1" type="noConversion"/>
  </si>
  <si>
    <t>Shandong</t>
    <phoneticPr fontId="1" type="noConversion"/>
  </si>
  <si>
    <t>Lv Xiaomei et al., 2008</t>
    <phoneticPr fontId="1" type="noConversion"/>
  </si>
  <si>
    <t>Haitan</t>
    <phoneticPr fontId="1" type="noConversion"/>
  </si>
  <si>
    <t>natural</t>
    <phoneticPr fontId="1" type="noConversion"/>
  </si>
  <si>
    <t>all</t>
    <phoneticPr fontId="1" type="noConversion"/>
  </si>
  <si>
    <t>ECS</t>
    <phoneticPr fontId="1" type="noConversion"/>
  </si>
  <si>
    <t>NA</t>
    <phoneticPr fontId="1" type="noConversion"/>
  </si>
  <si>
    <t>luo</t>
    <phoneticPr fontId="1" type="noConversion"/>
  </si>
  <si>
    <t>O</t>
    <phoneticPr fontId="1" type="noConversion"/>
  </si>
  <si>
    <t>SD of H needed recal..caused it had.</t>
    <phoneticPr fontId="1" type="noConversion"/>
  </si>
  <si>
    <t>Haitan</t>
    <phoneticPr fontId="1" type="noConversion"/>
  </si>
  <si>
    <t>Fujian</t>
    <phoneticPr fontId="1" type="noConversion"/>
  </si>
  <si>
    <t>all</t>
    <phoneticPr fontId="1" type="noConversion"/>
  </si>
  <si>
    <t>Lv Xiaomei et al., 2008b</t>
    <phoneticPr fontId="1" type="noConversion"/>
  </si>
  <si>
    <t>mariculture</t>
    <phoneticPr fontId="1" type="noConversion"/>
  </si>
  <si>
    <t>D</t>
    <phoneticPr fontId="1" type="noConversion"/>
  </si>
  <si>
    <t>蛤蜊</t>
    <phoneticPr fontId="1" type="noConversion"/>
  </si>
  <si>
    <t>Lv Yonglin et al., 2011</t>
    <phoneticPr fontId="1" type="noConversion"/>
  </si>
  <si>
    <t>high tidal</t>
    <phoneticPr fontId="1" type="noConversion"/>
  </si>
  <si>
    <t>low tidal</t>
    <phoneticPr fontId="1" type="noConversion"/>
  </si>
  <si>
    <t>all</t>
    <phoneticPr fontId="1" type="noConversion"/>
  </si>
  <si>
    <t>Ma Yuyan et al., 2013</t>
    <phoneticPr fontId="1" type="noConversion"/>
  </si>
  <si>
    <t>BS</t>
    <phoneticPr fontId="1" type="noConversion"/>
  </si>
  <si>
    <t>.19.71</t>
    <phoneticPr fontId="1" type="noConversion"/>
  </si>
  <si>
    <t>O</t>
    <phoneticPr fontId="1" type="noConversion"/>
  </si>
  <si>
    <t>reference in the paper</t>
    <phoneticPr fontId="1" type="noConversion"/>
  </si>
  <si>
    <t>Ma Zuyou et al., 2007</t>
    <phoneticPr fontId="1" type="noConversion"/>
  </si>
  <si>
    <t>East Fujian coastal</t>
    <phoneticPr fontId="1" type="noConversion"/>
  </si>
  <si>
    <t>D</t>
    <phoneticPr fontId="1" type="noConversion"/>
  </si>
  <si>
    <t>O</t>
    <phoneticPr fontId="1" type="noConversion"/>
  </si>
  <si>
    <t>棒锥螺</t>
    <phoneticPr fontId="1" type="noConversion"/>
  </si>
  <si>
    <r>
      <rPr>
        <sz val="8"/>
        <color theme="1"/>
        <rFont val="宋体"/>
        <family val="3"/>
        <charset val="134"/>
      </rPr>
      <t>优势物种生物量占</t>
    </r>
    <r>
      <rPr>
        <sz val="8"/>
        <color theme="1"/>
        <rFont val="Arial"/>
        <family val="2"/>
      </rPr>
      <t>70.4%</t>
    </r>
    <phoneticPr fontId="1" type="noConversion"/>
  </si>
  <si>
    <t>natural</t>
    <phoneticPr fontId="1" type="noConversion"/>
  </si>
  <si>
    <t>Peng Maoxiao et al., 2013</t>
    <phoneticPr fontId="1" type="noConversion"/>
  </si>
  <si>
    <t>Peng Xin et al., 2007</t>
    <phoneticPr fontId="1" type="noConversion"/>
  </si>
  <si>
    <t>Dachen</t>
    <phoneticPr fontId="1" type="noConversion"/>
  </si>
  <si>
    <t>Mollus</t>
    <phoneticPr fontId="1" type="noConversion"/>
  </si>
  <si>
    <t>cru</t>
    <phoneticPr fontId="1" type="noConversion"/>
  </si>
  <si>
    <t>ind</t>
    <phoneticPr fontId="1" type="noConversion"/>
  </si>
  <si>
    <t>biomass</t>
    <phoneticPr fontId="1" type="noConversion"/>
  </si>
  <si>
    <t>C</t>
    <phoneticPr fontId="1" type="noConversion"/>
  </si>
  <si>
    <t>Peng Xin et al., 2009</t>
    <phoneticPr fontId="1" type="noConversion"/>
  </si>
  <si>
    <t>Qi Leilei et al., 2013</t>
    <phoneticPr fontId="1" type="noConversion"/>
  </si>
  <si>
    <t>Rizhao</t>
    <phoneticPr fontId="1" type="noConversion"/>
  </si>
  <si>
    <t>natural</t>
    <phoneticPr fontId="1" type="noConversion"/>
  </si>
  <si>
    <t>YS</t>
    <phoneticPr fontId="1" type="noConversion"/>
  </si>
  <si>
    <t>D</t>
    <phoneticPr fontId="1" type="noConversion"/>
  </si>
  <si>
    <t>O</t>
    <phoneticPr fontId="1" type="noConversion"/>
  </si>
  <si>
    <t>Quan Wemin et al., 2013</t>
    <phoneticPr fontId="1" type="noConversion"/>
  </si>
  <si>
    <t xml:space="preserve">Shou Lu et al., 2012 </t>
    <phoneticPr fontId="1" type="noConversion"/>
  </si>
  <si>
    <t>Shou Lu et al., 2009</t>
    <phoneticPr fontId="1" type="noConversion"/>
  </si>
  <si>
    <t xml:space="preserve">Oujiang </t>
    <phoneticPr fontId="1" type="noConversion"/>
  </si>
  <si>
    <t>Zhejiang</t>
    <phoneticPr fontId="1" type="noConversion"/>
  </si>
  <si>
    <t>Shou Lu et al., 2009b</t>
    <phoneticPr fontId="1" type="noConversion"/>
  </si>
  <si>
    <t>Xinghua</t>
    <phoneticPr fontId="1" type="noConversion"/>
  </si>
  <si>
    <t>O</t>
    <phoneticPr fontId="1" type="noConversion"/>
  </si>
  <si>
    <t>Song Xiang et al., 2009</t>
    <phoneticPr fontId="1" type="noConversion"/>
  </si>
  <si>
    <t>Daishan</t>
    <phoneticPr fontId="1" type="noConversion"/>
  </si>
  <si>
    <t>Sun Daoyuan et al., 1991</t>
    <phoneticPr fontId="1" type="noConversion"/>
  </si>
  <si>
    <t>BS</t>
    <phoneticPr fontId="1" type="noConversion"/>
  </si>
  <si>
    <t>natural</t>
    <phoneticPr fontId="1" type="noConversion"/>
  </si>
  <si>
    <t>all</t>
    <phoneticPr fontId="1" type="noConversion"/>
  </si>
  <si>
    <t xml:space="preserve">BS </t>
    <phoneticPr fontId="1" type="noConversion"/>
  </si>
  <si>
    <t>D</t>
    <phoneticPr fontId="1" type="noConversion"/>
  </si>
  <si>
    <t>O</t>
    <phoneticPr fontId="1" type="noConversion"/>
  </si>
  <si>
    <t>Sun Daoyuan et al., 1996</t>
    <phoneticPr fontId="1" type="noConversion"/>
  </si>
  <si>
    <t>natural</t>
    <phoneticPr fontId="1" type="noConversion"/>
  </si>
  <si>
    <t>YS</t>
    <phoneticPr fontId="1" type="noConversion"/>
  </si>
  <si>
    <t>蛤蜊</t>
    <phoneticPr fontId="1" type="noConversion"/>
  </si>
  <si>
    <t>reference in the paper</t>
    <phoneticPr fontId="1" type="noConversion"/>
  </si>
  <si>
    <t xml:space="preserve">Sun Dianrong et al., 2011 </t>
    <phoneticPr fontId="1" type="noConversion"/>
  </si>
  <si>
    <t xml:space="preserve">Nanpeng </t>
    <phoneticPr fontId="1" type="noConversion"/>
  </si>
  <si>
    <t>SCS</t>
    <phoneticPr fontId="1" type="noConversion"/>
  </si>
  <si>
    <t>O</t>
    <phoneticPr fontId="1" type="noConversion"/>
  </si>
  <si>
    <t>NA</t>
    <phoneticPr fontId="1" type="noConversion"/>
  </si>
  <si>
    <t>Tao lei et al., 2010</t>
    <phoneticPr fontId="1" type="noConversion"/>
  </si>
  <si>
    <t>human</t>
    <phoneticPr fontId="1" type="noConversion"/>
  </si>
  <si>
    <t>electro-industry</t>
    <phoneticPr fontId="1" type="noConversion"/>
  </si>
  <si>
    <t>C</t>
    <phoneticPr fontId="1" type="noConversion"/>
  </si>
  <si>
    <t>Tao Shiru et al., 2009</t>
    <phoneticPr fontId="1" type="noConversion"/>
  </si>
  <si>
    <t>菲律宾蛤仔</t>
    <phoneticPr fontId="1" type="noConversion"/>
  </si>
  <si>
    <t>natural</t>
    <phoneticPr fontId="1" type="noConversion"/>
  </si>
  <si>
    <t>Hengxing</t>
    <phoneticPr fontId="1" type="noConversion"/>
  </si>
  <si>
    <t>D</t>
  </si>
  <si>
    <t>D</t>
    <phoneticPr fontId="1" type="noConversion"/>
  </si>
  <si>
    <t>NA</t>
    <phoneticPr fontId="1" type="noConversion"/>
  </si>
  <si>
    <t>焦何蓝蛤</t>
    <phoneticPr fontId="1" type="noConversion"/>
  </si>
  <si>
    <t>O</t>
  </si>
  <si>
    <t>O</t>
    <phoneticPr fontId="1" type="noConversion"/>
  </si>
  <si>
    <t>Wang Baoqiang et al., 2011</t>
    <phoneticPr fontId="1" type="noConversion"/>
  </si>
  <si>
    <t>Yangshan</t>
    <phoneticPr fontId="1" type="noConversion"/>
  </si>
  <si>
    <t>all</t>
  </si>
  <si>
    <t>all</t>
    <phoneticPr fontId="1" type="noConversion"/>
  </si>
  <si>
    <t>luo</t>
    <phoneticPr fontId="1" type="noConversion"/>
  </si>
  <si>
    <t>C</t>
    <phoneticPr fontId="1" type="noConversion"/>
  </si>
  <si>
    <t>Wang Baoqiang et al., 2012</t>
  </si>
  <si>
    <t>natural</t>
  </si>
  <si>
    <t>Wang Di et al., 2011</t>
  </si>
  <si>
    <t>Wang Di et al., 2011</t>
    <phoneticPr fontId="1" type="noConversion"/>
  </si>
  <si>
    <t>Qinzhou Bay</t>
  </si>
  <si>
    <t>Guangxi</t>
  </si>
  <si>
    <t>Guangxi</t>
    <phoneticPr fontId="1" type="noConversion"/>
  </si>
  <si>
    <t>natural</t>
    <phoneticPr fontId="1" type="noConversion"/>
  </si>
  <si>
    <t>SCS</t>
  </si>
  <si>
    <t>SCS</t>
    <phoneticPr fontId="1" type="noConversion"/>
  </si>
  <si>
    <t>D</t>
    <phoneticPr fontId="1" type="noConversion"/>
  </si>
  <si>
    <t>蛤蜊</t>
  </si>
  <si>
    <t>蛤蜊</t>
    <phoneticPr fontId="1" type="noConversion"/>
  </si>
  <si>
    <t>O</t>
    <phoneticPr fontId="1" type="noConversion"/>
  </si>
  <si>
    <t>reference in the paper</t>
    <phoneticPr fontId="1" type="noConversion"/>
  </si>
  <si>
    <t>Wang Fengli et al., 2014</t>
    <phoneticPr fontId="1" type="noConversion"/>
  </si>
  <si>
    <t>Wenzhou Bay</t>
    <phoneticPr fontId="1" type="noConversion"/>
  </si>
  <si>
    <t>ECS</t>
    <phoneticPr fontId="1" type="noConversion"/>
  </si>
  <si>
    <t>C</t>
    <phoneticPr fontId="1" type="noConversion"/>
  </si>
  <si>
    <t>Wang Haibo et al., 2011</t>
    <phoneticPr fontId="1" type="noConversion"/>
  </si>
  <si>
    <t>BS</t>
    <phoneticPr fontId="1" type="noConversion"/>
  </si>
  <si>
    <t>Jinzhou</t>
    <phoneticPr fontId="1" type="noConversion"/>
  </si>
  <si>
    <t>Wang Haiming et al., 1996</t>
    <phoneticPr fontId="1" type="noConversion"/>
  </si>
  <si>
    <r>
      <rPr>
        <sz val="8"/>
        <color theme="1"/>
        <rFont val="宋体"/>
        <family val="3"/>
        <charset val="134"/>
      </rPr>
      <t>在文章中，只是给出了前两位的生物量和丰度，于是我按照生物量占</t>
    </r>
    <r>
      <rPr>
        <sz val="8"/>
        <color theme="1"/>
        <rFont val="Arial"/>
        <family val="2"/>
      </rPr>
      <t>1.5%</t>
    </r>
    <r>
      <rPr>
        <sz val="8"/>
        <color theme="1"/>
        <rFont val="宋体"/>
        <family val="3"/>
        <charset val="134"/>
      </rPr>
      <t>，以及丰度分别以</t>
    </r>
    <r>
      <rPr>
        <sz val="8"/>
        <color theme="1"/>
        <rFont val="Arial"/>
        <family val="2"/>
      </rPr>
      <t>8</t>
    </r>
    <r>
      <rPr>
        <sz val="8"/>
        <color theme="1"/>
        <rFont val="宋体"/>
        <family val="3"/>
        <charset val="134"/>
      </rPr>
      <t>和</t>
    </r>
    <r>
      <rPr>
        <sz val="8"/>
        <color theme="1"/>
        <rFont val="Arial"/>
        <family val="2"/>
      </rPr>
      <t>2</t>
    </r>
    <r>
      <rPr>
        <sz val="8"/>
        <color theme="1"/>
        <rFont val="宋体"/>
        <family val="3"/>
        <charset val="134"/>
      </rPr>
      <t>记录。这种来源于饼图的划分。</t>
    </r>
    <phoneticPr fontId="1" type="noConversion"/>
  </si>
  <si>
    <t xml:space="preserve">Sanmen </t>
    <phoneticPr fontId="1" type="noConversion"/>
  </si>
  <si>
    <t>Wang Jinbao et al., 2007</t>
    <phoneticPr fontId="1" type="noConversion"/>
  </si>
  <si>
    <t>YS</t>
    <phoneticPr fontId="1" type="noConversion"/>
  </si>
  <si>
    <t>YS</t>
    <phoneticPr fontId="1" type="noConversion"/>
  </si>
  <si>
    <t>YS</t>
    <phoneticPr fontId="1" type="noConversion"/>
  </si>
  <si>
    <t>海胆</t>
    <phoneticPr fontId="1" type="noConversion"/>
  </si>
  <si>
    <t>Wang Jinbao et al., 2011</t>
    <phoneticPr fontId="1" type="noConversion"/>
  </si>
  <si>
    <t>natural</t>
    <phoneticPr fontId="1" type="noConversion"/>
  </si>
  <si>
    <t>蛤蜊</t>
    <phoneticPr fontId="1" type="noConversion"/>
  </si>
  <si>
    <t>Wang Jinhui et al., 2006</t>
    <phoneticPr fontId="1" type="noConversion"/>
  </si>
  <si>
    <t>Xiangshan Bay</t>
    <phoneticPr fontId="1" type="noConversion"/>
  </si>
  <si>
    <t>all</t>
    <phoneticPr fontId="1" type="noConversion"/>
  </si>
  <si>
    <t>ECS</t>
    <phoneticPr fontId="1" type="noConversion"/>
  </si>
  <si>
    <t>Wang Lirong et al., 2003</t>
    <phoneticPr fontId="1" type="noConversion"/>
  </si>
  <si>
    <t>Qiongzhou</t>
    <phoneticPr fontId="1" type="noConversion"/>
  </si>
  <si>
    <t>natural</t>
    <phoneticPr fontId="1" type="noConversion"/>
  </si>
  <si>
    <t>coral</t>
    <phoneticPr fontId="1" type="noConversion"/>
  </si>
  <si>
    <t>蛇尾</t>
    <phoneticPr fontId="1" type="noConversion"/>
  </si>
  <si>
    <t>O</t>
    <phoneticPr fontId="1" type="noConversion"/>
  </si>
  <si>
    <t>Wang Lirong et al., 2008</t>
    <phoneticPr fontId="1" type="noConversion"/>
  </si>
  <si>
    <t>Hainan</t>
    <phoneticPr fontId="1" type="noConversion"/>
  </si>
  <si>
    <t>all</t>
    <phoneticPr fontId="1" type="noConversion"/>
  </si>
  <si>
    <t>Wang Quanchao et al., 2013</t>
    <phoneticPr fontId="1" type="noConversion"/>
  </si>
  <si>
    <t>Zhangzi island</t>
    <phoneticPr fontId="1" type="noConversion"/>
  </si>
  <si>
    <t>BS</t>
    <phoneticPr fontId="1" type="noConversion"/>
  </si>
  <si>
    <t>Wang Quanchao et al., 2013</t>
    <phoneticPr fontId="1" type="noConversion"/>
  </si>
  <si>
    <t>biomass</t>
    <phoneticPr fontId="1" type="noConversion"/>
  </si>
  <si>
    <t>mull</t>
    <phoneticPr fontId="1" type="noConversion"/>
  </si>
  <si>
    <t>Cru</t>
    <phoneticPr fontId="1" type="noConversion"/>
  </si>
  <si>
    <t>poly</t>
    <phoneticPr fontId="1" type="noConversion"/>
  </si>
  <si>
    <t>island</t>
    <phoneticPr fontId="1" type="noConversion"/>
  </si>
  <si>
    <t>sea</t>
    <phoneticPr fontId="1" type="noConversion"/>
  </si>
  <si>
    <t>ech</t>
    <phoneticPr fontId="1" type="noConversion"/>
  </si>
  <si>
    <t>average</t>
    <phoneticPr fontId="1" type="noConversion"/>
  </si>
  <si>
    <t>Yantai</t>
    <phoneticPr fontId="1" type="noConversion"/>
  </si>
  <si>
    <t>discharge</t>
    <phoneticPr fontId="1" type="noConversion"/>
  </si>
  <si>
    <t>Wang Quanchao et al., 2013a</t>
    <phoneticPr fontId="1" type="noConversion"/>
  </si>
  <si>
    <t>Wang Quanchao et al., 2013b</t>
    <phoneticPr fontId="1" type="noConversion"/>
  </si>
  <si>
    <t>all</t>
    <phoneticPr fontId="1" type="noConversion"/>
  </si>
  <si>
    <t>BS</t>
    <phoneticPr fontId="1" type="noConversion"/>
  </si>
  <si>
    <t>C</t>
    <phoneticPr fontId="1" type="noConversion"/>
  </si>
  <si>
    <t>短页索沙蚕</t>
    <phoneticPr fontId="1" type="noConversion"/>
  </si>
  <si>
    <t>wang Xu'e et al., 1995</t>
    <phoneticPr fontId="1" type="noConversion"/>
  </si>
  <si>
    <t>Yantai</t>
    <phoneticPr fontId="1" type="noConversion"/>
  </si>
  <si>
    <t>Shandong</t>
    <phoneticPr fontId="1" type="noConversion"/>
  </si>
  <si>
    <t xml:space="preserve">D </t>
    <phoneticPr fontId="1" type="noConversion"/>
  </si>
  <si>
    <t>沙蚕类</t>
    <phoneticPr fontId="1" type="noConversion"/>
  </si>
  <si>
    <t>蛤蜊</t>
    <phoneticPr fontId="1" type="noConversion"/>
  </si>
  <si>
    <t>O</t>
    <phoneticPr fontId="1" type="noConversion"/>
  </si>
  <si>
    <t>Wu Yaoquan and Zhang Bo,1994</t>
    <phoneticPr fontId="1" type="noConversion"/>
  </si>
  <si>
    <t>Shandong</t>
    <phoneticPr fontId="1" type="noConversion"/>
  </si>
  <si>
    <t>all</t>
    <phoneticPr fontId="1" type="noConversion"/>
  </si>
  <si>
    <t>BS</t>
    <phoneticPr fontId="1" type="noConversion"/>
  </si>
  <si>
    <t>O</t>
    <phoneticPr fontId="1" type="noConversion"/>
  </si>
  <si>
    <t>Tang Xianchun,2011</t>
    <phoneticPr fontId="1" type="noConversion"/>
  </si>
  <si>
    <t>natural</t>
    <phoneticPr fontId="1" type="noConversion"/>
  </si>
  <si>
    <t>all</t>
    <phoneticPr fontId="1" type="noConversion"/>
  </si>
  <si>
    <t>Wang Xiaochen et al., 2008</t>
    <phoneticPr fontId="1" type="noConversion"/>
  </si>
  <si>
    <t>natural</t>
    <phoneticPr fontId="1" type="noConversion"/>
  </si>
  <si>
    <t>all</t>
    <phoneticPr fontId="1" type="noConversion"/>
  </si>
  <si>
    <t>BS</t>
    <phoneticPr fontId="1" type="noConversion"/>
  </si>
  <si>
    <t>蛤蜊</t>
    <phoneticPr fontId="1" type="noConversion"/>
  </si>
  <si>
    <t>O</t>
    <phoneticPr fontId="1" type="noConversion"/>
  </si>
  <si>
    <t>O</t>
    <phoneticPr fontId="1" type="noConversion"/>
  </si>
  <si>
    <t>Wang Yonghong and Chen Guotong, 1994</t>
    <phoneticPr fontId="1" type="noConversion"/>
  </si>
  <si>
    <t>ECS</t>
    <phoneticPr fontId="1" type="noConversion"/>
  </si>
  <si>
    <t xml:space="preserve">D </t>
    <phoneticPr fontId="1" type="noConversion"/>
  </si>
  <si>
    <t>C</t>
    <phoneticPr fontId="1" type="noConversion"/>
  </si>
  <si>
    <t>Wang Yu et al., 2010</t>
    <phoneticPr fontId="1" type="noConversion"/>
  </si>
  <si>
    <t>natural</t>
    <phoneticPr fontId="1" type="noConversion"/>
  </si>
  <si>
    <t>BS</t>
    <phoneticPr fontId="1" type="noConversion"/>
  </si>
  <si>
    <t xml:space="preserve">D </t>
    <phoneticPr fontId="1" type="noConversion"/>
  </si>
  <si>
    <t>C</t>
    <phoneticPr fontId="1" type="noConversion"/>
  </si>
  <si>
    <t>Wang Zhenzhong et al., 2013</t>
    <phoneticPr fontId="1" type="noConversion"/>
  </si>
  <si>
    <t>蛤蜊，沙蚕，多毛类</t>
    <phoneticPr fontId="1" type="noConversion"/>
  </si>
  <si>
    <t>YS</t>
    <phoneticPr fontId="1" type="noConversion"/>
  </si>
  <si>
    <t>YS</t>
    <phoneticPr fontId="1" type="noConversion"/>
  </si>
  <si>
    <t>Wang Zongxing et al., 2010a</t>
    <phoneticPr fontId="1" type="noConversion"/>
  </si>
  <si>
    <t>Wang Zongxing et al., 2010b</t>
    <phoneticPr fontId="1" type="noConversion"/>
  </si>
  <si>
    <t>D</t>
    <phoneticPr fontId="1" type="noConversion"/>
  </si>
  <si>
    <t>甲壳，蛇尾</t>
    <phoneticPr fontId="1" type="noConversion"/>
  </si>
  <si>
    <t>O</t>
    <phoneticPr fontId="1" type="noConversion"/>
  </si>
  <si>
    <t>C</t>
    <phoneticPr fontId="1" type="noConversion"/>
  </si>
  <si>
    <t>Wang Zongxing et al., 2010c</t>
    <phoneticPr fontId="1" type="noConversion"/>
  </si>
  <si>
    <t>Wang Zongxing et al., 2010d</t>
    <phoneticPr fontId="1" type="noConversion"/>
  </si>
  <si>
    <t>Qinzhou Bay</t>
    <phoneticPr fontId="1" type="noConversion"/>
  </si>
  <si>
    <t>Guangxi</t>
    <phoneticPr fontId="1" type="noConversion"/>
  </si>
  <si>
    <t>SCS</t>
    <phoneticPr fontId="1" type="noConversion"/>
  </si>
  <si>
    <t xml:space="preserve">D </t>
    <phoneticPr fontId="1" type="noConversion"/>
  </si>
  <si>
    <t>多毛</t>
    <phoneticPr fontId="1" type="noConversion"/>
  </si>
  <si>
    <t>Wang Zongxing et al., 2011</t>
    <phoneticPr fontId="1" type="noConversion"/>
  </si>
  <si>
    <t>Sanggou Bay</t>
    <phoneticPr fontId="1" type="noConversion"/>
  </si>
  <si>
    <t>Wang Zongxing et al., 2011(in ref)</t>
    <phoneticPr fontId="1" type="noConversion"/>
  </si>
  <si>
    <t>Wang Zongxing et al., 2011(in ref)</t>
    <phoneticPr fontId="1" type="noConversion"/>
  </si>
  <si>
    <t>Wei Dezhong et al., 2012</t>
    <phoneticPr fontId="1" type="noConversion"/>
  </si>
  <si>
    <t>Wu Bin et al., 2014</t>
    <phoneticPr fontId="1" type="noConversion"/>
  </si>
  <si>
    <r>
      <rPr>
        <sz val="8"/>
        <color theme="1"/>
        <rFont val="宋体"/>
        <family val="3"/>
        <charset val="134"/>
      </rPr>
      <t>蛤蜊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宋体"/>
        <family val="3"/>
        <charset val="134"/>
      </rPr>
      <t>甲壳</t>
    </r>
    <phoneticPr fontId="1" type="noConversion"/>
  </si>
  <si>
    <t>O</t>
    <phoneticPr fontId="1" type="noConversion"/>
  </si>
  <si>
    <t>Wu Qiquan et al., 1992</t>
    <phoneticPr fontId="1" type="noConversion"/>
  </si>
  <si>
    <t>Daya Bay</t>
    <phoneticPr fontId="1" type="noConversion"/>
  </si>
  <si>
    <t>all</t>
    <phoneticPr fontId="1" type="noConversion"/>
  </si>
  <si>
    <t>SCS</t>
    <phoneticPr fontId="1" type="noConversion"/>
  </si>
  <si>
    <t>C</t>
    <phoneticPr fontId="1" type="noConversion"/>
  </si>
  <si>
    <t>蛤蜊</t>
    <phoneticPr fontId="1" type="noConversion"/>
  </si>
  <si>
    <t>Wu qiaoer et al., 2010</t>
    <phoneticPr fontId="1" type="noConversion"/>
  </si>
  <si>
    <t>Nanpeng</t>
    <phoneticPr fontId="1" type="noConversion"/>
  </si>
  <si>
    <t>Guangdong</t>
    <phoneticPr fontId="1" type="noConversion"/>
  </si>
  <si>
    <t xml:space="preserve">D </t>
    <phoneticPr fontId="1" type="noConversion"/>
  </si>
  <si>
    <t>O</t>
    <phoneticPr fontId="1" type="noConversion"/>
  </si>
  <si>
    <t>贝类</t>
    <phoneticPr fontId="1" type="noConversion"/>
  </si>
  <si>
    <t>Wu Yaoquan, 2007</t>
    <phoneticPr fontId="1" type="noConversion"/>
  </si>
  <si>
    <t>Shanghai</t>
    <phoneticPr fontId="1" type="noConversion"/>
  </si>
  <si>
    <t>natural</t>
    <phoneticPr fontId="1" type="noConversion"/>
  </si>
  <si>
    <t>all</t>
    <phoneticPr fontId="1" type="noConversion"/>
  </si>
  <si>
    <t>ECS</t>
    <phoneticPr fontId="1" type="noConversion"/>
  </si>
  <si>
    <t xml:space="preserve">D </t>
    <phoneticPr fontId="1" type="noConversion"/>
  </si>
  <si>
    <t>Wu Yaoquan and Li Xinzheng, 2003</t>
    <phoneticPr fontId="1" type="noConversion"/>
  </si>
  <si>
    <t>D</t>
    <phoneticPr fontId="1" type="noConversion"/>
  </si>
  <si>
    <t>D</t>
    <phoneticPr fontId="1" type="noConversion"/>
  </si>
  <si>
    <t>Sun Daoyuan et al., 1992</t>
    <phoneticPr fontId="1" type="noConversion"/>
  </si>
  <si>
    <t>Xu Zengqin et al., 2009</t>
    <phoneticPr fontId="1" type="noConversion"/>
  </si>
  <si>
    <t>YS</t>
    <phoneticPr fontId="1" type="noConversion"/>
  </si>
  <si>
    <t>YS</t>
    <phoneticPr fontId="1" type="noConversion"/>
  </si>
  <si>
    <t>all</t>
    <phoneticPr fontId="1" type="noConversion"/>
  </si>
  <si>
    <t>Yang Junyi et al., 2007</t>
    <phoneticPr fontId="1" type="noConversion"/>
  </si>
  <si>
    <t>Leqing Bay</t>
    <phoneticPr fontId="1" type="noConversion"/>
  </si>
  <si>
    <t>all</t>
    <phoneticPr fontId="1" type="noConversion"/>
  </si>
  <si>
    <t>Yang Junyi et al., 2007 (in ref)</t>
    <phoneticPr fontId="1" type="noConversion"/>
  </si>
  <si>
    <t>Yu Fangping et al., 2006</t>
    <phoneticPr fontId="1" type="noConversion"/>
  </si>
  <si>
    <t>Zhou Fasheng et al., 1999</t>
    <phoneticPr fontId="1" type="noConversion"/>
  </si>
  <si>
    <t>Qinglan Bay</t>
    <phoneticPr fontId="1" type="noConversion"/>
  </si>
  <si>
    <t>natural</t>
    <phoneticPr fontId="1" type="noConversion"/>
  </si>
  <si>
    <t>Dongzhai Bay</t>
    <phoneticPr fontId="1" type="noConversion"/>
  </si>
  <si>
    <t>mangrove</t>
    <phoneticPr fontId="1" type="noConversion"/>
  </si>
  <si>
    <t>all</t>
    <phoneticPr fontId="1" type="noConversion"/>
  </si>
  <si>
    <t>SCS</t>
    <phoneticPr fontId="1" type="noConversion"/>
  </si>
  <si>
    <t>O</t>
    <phoneticPr fontId="1" type="noConversion"/>
  </si>
  <si>
    <t>Zhou Fasheng et al., 1999</t>
    <phoneticPr fontId="1" type="noConversion"/>
  </si>
  <si>
    <t>Zhu Sixi et al., 2010</t>
    <phoneticPr fontId="1" type="noConversion"/>
  </si>
  <si>
    <t>Zhu Sixi et al., 2010 (in ref)</t>
    <phoneticPr fontId="1" type="noConversion"/>
  </si>
  <si>
    <t>Zhu Sixi et al., 2010 (in ref)</t>
    <phoneticPr fontId="1" type="noConversion"/>
  </si>
  <si>
    <t>all</t>
    <phoneticPr fontId="1" type="noConversion"/>
  </si>
  <si>
    <t>Zhou Weinan et al., 2013</t>
    <phoneticPr fontId="1" type="noConversion"/>
  </si>
  <si>
    <t>Zhanjiang Bay</t>
    <phoneticPr fontId="1" type="noConversion"/>
  </si>
  <si>
    <t>Guangdong</t>
    <phoneticPr fontId="1" type="noConversion"/>
  </si>
  <si>
    <t>all</t>
    <phoneticPr fontId="1" type="noConversion"/>
  </si>
  <si>
    <t>O</t>
    <phoneticPr fontId="1" type="noConversion"/>
  </si>
  <si>
    <t>Zhou Hong et al., 2010</t>
    <phoneticPr fontId="1" type="noConversion"/>
  </si>
  <si>
    <t xml:space="preserve">Laizhou </t>
    <phoneticPr fontId="1" type="noConversion"/>
  </si>
  <si>
    <t>natural</t>
    <phoneticPr fontId="1" type="noConversion"/>
  </si>
  <si>
    <t>all</t>
    <phoneticPr fontId="1" type="noConversion"/>
  </si>
  <si>
    <t>BS</t>
    <phoneticPr fontId="1" type="noConversion"/>
  </si>
  <si>
    <t>D</t>
    <phoneticPr fontId="1" type="noConversion"/>
  </si>
  <si>
    <t>Zhao Ning et al., 2013</t>
    <phoneticPr fontId="1" type="noConversion"/>
  </si>
  <si>
    <t xml:space="preserve">Rushan </t>
    <phoneticPr fontId="1" type="noConversion"/>
  </si>
  <si>
    <t>YS</t>
    <phoneticPr fontId="1" type="noConversion"/>
  </si>
  <si>
    <t>geli</t>
    <phoneticPr fontId="1" type="noConversion"/>
  </si>
  <si>
    <t>O</t>
    <phoneticPr fontId="1" type="noConversion"/>
  </si>
  <si>
    <t>Wang Yanming et al., 2009</t>
    <phoneticPr fontId="1" type="noConversion"/>
  </si>
  <si>
    <t>natural</t>
    <phoneticPr fontId="1" type="noConversion"/>
  </si>
  <si>
    <t>D</t>
    <phoneticPr fontId="1" type="noConversion"/>
  </si>
  <si>
    <t>D</t>
    <phoneticPr fontId="1" type="noConversion"/>
  </si>
  <si>
    <t>O</t>
    <phoneticPr fontId="1" type="noConversion"/>
  </si>
  <si>
    <t>O</t>
    <phoneticPr fontId="1" type="noConversion"/>
  </si>
  <si>
    <t>Zhang Feijun et al., 2010</t>
    <phoneticPr fontId="1" type="noConversion"/>
  </si>
  <si>
    <t>Xiushan island</t>
    <phoneticPr fontId="1" type="noConversion"/>
  </si>
  <si>
    <t>all</t>
    <phoneticPr fontId="1" type="noConversion"/>
  </si>
  <si>
    <t>ECS</t>
    <phoneticPr fontId="1" type="noConversion"/>
  </si>
  <si>
    <t>ge</t>
    <phoneticPr fontId="1" type="noConversion"/>
  </si>
  <si>
    <t>Zhang Zhinan et al., 1990</t>
    <phoneticPr fontId="1" type="noConversion"/>
  </si>
  <si>
    <t>BS</t>
    <phoneticPr fontId="1" type="noConversion"/>
  </si>
  <si>
    <t>BS</t>
    <phoneticPr fontId="1" type="noConversion"/>
  </si>
  <si>
    <t>BS</t>
    <phoneticPr fontId="1" type="noConversion"/>
  </si>
  <si>
    <t>Qinghuangdao</t>
    <phoneticPr fontId="1" type="noConversion"/>
  </si>
  <si>
    <t>ourter ECS</t>
    <phoneticPr fontId="1" type="noConversion"/>
  </si>
  <si>
    <t>YS</t>
    <phoneticPr fontId="1" type="noConversion"/>
  </si>
  <si>
    <t>BS</t>
    <phoneticPr fontId="1" type="noConversion"/>
  </si>
  <si>
    <t>Zhang Zhinan et al., 1990 (in ref)</t>
    <phoneticPr fontId="1" type="noConversion"/>
  </si>
  <si>
    <t>Zhang Hu et al., 2008</t>
    <phoneticPr fontId="1" type="noConversion"/>
  </si>
  <si>
    <t>Haizhou Bay</t>
    <phoneticPr fontId="1" type="noConversion"/>
  </si>
  <si>
    <t>YS</t>
    <phoneticPr fontId="1" type="noConversion"/>
  </si>
  <si>
    <t>YS</t>
    <phoneticPr fontId="1" type="noConversion"/>
  </si>
  <si>
    <t>reaf</t>
    <phoneticPr fontId="1" type="noConversion"/>
  </si>
  <si>
    <t>trwal</t>
    <phoneticPr fontId="1" type="noConversion"/>
  </si>
  <si>
    <t>Zhang Hu et al., 2010</t>
    <phoneticPr fontId="1" type="noConversion"/>
  </si>
  <si>
    <t>Jiangsu island</t>
    <phoneticPr fontId="1" type="noConversion"/>
  </si>
  <si>
    <t>Zhang Chongliang et al., 2010</t>
    <phoneticPr fontId="1" type="noConversion"/>
  </si>
  <si>
    <t xml:space="preserve">Jiaozhou </t>
    <phoneticPr fontId="1" type="noConversion"/>
  </si>
  <si>
    <t>all</t>
    <phoneticPr fontId="1" type="noConversion"/>
  </si>
  <si>
    <t>Yuan Wei et al., 2006</t>
    <phoneticPr fontId="1" type="noConversion"/>
  </si>
  <si>
    <t>all</t>
    <phoneticPr fontId="1" type="noConversion"/>
  </si>
  <si>
    <t>invasion</t>
  </si>
  <si>
    <t>YS</t>
  </si>
  <si>
    <t>intertidal</t>
  </si>
  <si>
    <t>high tidal</t>
  </si>
  <si>
    <t>YS</t>
    <phoneticPr fontId="1" type="noConversion"/>
  </si>
  <si>
    <t>Changjiang</t>
  </si>
  <si>
    <t>Meizhou</t>
  </si>
  <si>
    <t>Linglun island</t>
    <phoneticPr fontId="1" type="noConversion"/>
  </si>
  <si>
    <t>Xiamen</t>
    <phoneticPr fontId="1" type="noConversion"/>
  </si>
  <si>
    <t>organic</t>
    <phoneticPr fontId="1" type="noConversion"/>
  </si>
  <si>
    <t>mytilus edulis</t>
    <phoneticPr fontId="1" type="noConversion"/>
  </si>
  <si>
    <t>fissurella graeca</t>
    <phoneticPr fontId="1" type="noConversion"/>
  </si>
  <si>
    <t>lophyrus occidentalis</t>
    <phoneticPr fontId="1" type="noConversion"/>
  </si>
  <si>
    <t>turbo sp.</t>
    <phoneticPr fontId="1" type="noConversion"/>
  </si>
  <si>
    <t>erronea caurica</t>
    <phoneticPr fontId="1" type="noConversion"/>
  </si>
  <si>
    <t>bullaria sp.</t>
    <phoneticPr fontId="1" type="noConversion"/>
  </si>
  <si>
    <t>auricula sp.</t>
    <phoneticPr fontId="1" type="noConversion"/>
  </si>
  <si>
    <t>limnaea stagnalis</t>
    <phoneticPr fontId="1" type="noConversion"/>
  </si>
  <si>
    <t>arion emporocrum</t>
    <phoneticPr fontId="1" type="noConversion"/>
  </si>
  <si>
    <t>limax cinereo</t>
    <phoneticPr fontId="1" type="noConversion"/>
  </si>
  <si>
    <t>cepaea nemoralis</t>
    <phoneticPr fontId="1" type="noConversion"/>
  </si>
  <si>
    <t>pila werneri</t>
    <phoneticPr fontId="1" type="noConversion"/>
  </si>
  <si>
    <t>Pila sp.</t>
    <phoneticPr fontId="1" type="noConversion"/>
  </si>
  <si>
    <t>dentalium vulgaris</t>
    <phoneticPr fontId="1" type="noConversion"/>
  </si>
  <si>
    <t>pecten varius</t>
    <phoneticPr fontId="1" type="noConversion"/>
  </si>
  <si>
    <t>vivipara sp.</t>
    <phoneticPr fontId="1" type="noConversion"/>
  </si>
  <si>
    <t>solenomya togata</t>
    <phoneticPr fontId="1" type="noConversion"/>
  </si>
  <si>
    <t>anodona sp.</t>
    <phoneticPr fontId="1" type="noConversion"/>
  </si>
  <si>
    <t>nautilus pompilius</t>
    <phoneticPr fontId="1" type="noConversion"/>
  </si>
  <si>
    <t>loligo vulgaris</t>
    <phoneticPr fontId="1" type="noConversion"/>
  </si>
  <si>
    <t>sepia officinalis</t>
    <phoneticPr fontId="1" type="noConversion"/>
  </si>
  <si>
    <t>sepia sp.</t>
    <phoneticPr fontId="1" type="noConversion"/>
  </si>
  <si>
    <t>spirula spirula</t>
    <phoneticPr fontId="1" type="noConversion"/>
  </si>
  <si>
    <t>argonauta argo</t>
    <phoneticPr fontId="1" type="noConversion"/>
  </si>
  <si>
    <t>ampullaria sp.</t>
    <phoneticPr fontId="1" type="noConversion"/>
  </si>
  <si>
    <t>species name</t>
    <phoneticPr fontId="1" type="noConversion"/>
  </si>
  <si>
    <t>CaCO3%</t>
    <phoneticPr fontId="1" type="noConversion"/>
  </si>
  <si>
    <t>MgCO3%</t>
    <phoneticPr fontId="1" type="noConversion"/>
  </si>
  <si>
    <t>species1</t>
    <phoneticPr fontId="1" type="noConversion"/>
  </si>
  <si>
    <t>geli</t>
    <phoneticPr fontId="1" type="noConversion"/>
  </si>
  <si>
    <t>geli</t>
    <phoneticPr fontId="1" type="noConversion"/>
  </si>
  <si>
    <t>geli</t>
    <phoneticPr fontId="1" type="noConversion"/>
  </si>
  <si>
    <t>geli</t>
    <phoneticPr fontId="1" type="noConversion"/>
  </si>
  <si>
    <t>geli</t>
    <phoneticPr fontId="1" type="noConversion"/>
  </si>
  <si>
    <t>geli</t>
    <phoneticPr fontId="1" type="noConversion"/>
  </si>
  <si>
    <t>luogeli</t>
    <phoneticPr fontId="1" type="noConversion"/>
  </si>
  <si>
    <t>tw</t>
    <phoneticPr fontId="1" type="noConversion"/>
  </si>
  <si>
    <t>condition</t>
    <phoneticPr fontId="1" type="noConversion"/>
  </si>
  <si>
    <t>ww</t>
    <phoneticPr fontId="1" type="noConversion"/>
  </si>
  <si>
    <t xml:space="preserve">N </t>
    <phoneticPr fontId="1" type="noConversion"/>
  </si>
  <si>
    <t>小蛤仔</t>
    <phoneticPr fontId="1" type="noConversion"/>
  </si>
  <si>
    <t>dw/ww</t>
    <phoneticPr fontId="1" type="noConversion"/>
  </si>
  <si>
    <t>sw</t>
    <phoneticPr fontId="1" type="noConversion"/>
  </si>
  <si>
    <t>sw/ww</t>
    <phoneticPr fontId="1" type="noConversion"/>
  </si>
  <si>
    <t>DW/WW(%)</t>
    <phoneticPr fontId="1" type="noConversion"/>
  </si>
  <si>
    <t>SFDW/WW(%)</t>
    <phoneticPr fontId="1" type="noConversion"/>
  </si>
  <si>
    <t>SW/WW(%)</t>
    <phoneticPr fontId="1" type="noConversion"/>
  </si>
  <si>
    <t>腹足类</t>
    <phoneticPr fontId="1" type="noConversion"/>
  </si>
  <si>
    <t>双壳类</t>
    <phoneticPr fontId="1" type="noConversion"/>
  </si>
  <si>
    <t>ratiodw</t>
    <phoneticPr fontId="1" type="noConversion"/>
  </si>
  <si>
    <t>Bohai Bay</t>
  </si>
  <si>
    <t>BS</t>
  </si>
  <si>
    <t>Cangnan</t>
  </si>
  <si>
    <t>Chongming Island</t>
  </si>
  <si>
    <t>coastal</t>
  </si>
  <si>
    <t xml:space="preserve">Dachangshan </t>
  </si>
  <si>
    <t>Dachen</t>
  </si>
  <si>
    <t>Daishan</t>
  </si>
  <si>
    <t>Dajinshan</t>
  </si>
  <si>
    <t>Daxie</t>
  </si>
  <si>
    <t>Daya Bay</t>
  </si>
  <si>
    <t>Dayu</t>
  </si>
  <si>
    <t>Dazhou</t>
  </si>
  <si>
    <t>Dongji</t>
  </si>
  <si>
    <t>Dongshan</t>
  </si>
  <si>
    <t>Dongtou Archipelago</t>
  </si>
  <si>
    <t>Dongyu</t>
  </si>
  <si>
    <t>Dongzhai Bay</t>
  </si>
  <si>
    <t>East Fujian coastal</t>
  </si>
  <si>
    <t>ECS</t>
  </si>
  <si>
    <t>Fujian</t>
  </si>
  <si>
    <t>Guishan</t>
  </si>
  <si>
    <t>Guoheyuan</t>
  </si>
  <si>
    <t>Haimen</t>
  </si>
  <si>
    <t>Haitan</t>
  </si>
  <si>
    <t>Haizhou Bay</t>
  </si>
  <si>
    <t>Hangzhou Bay</t>
  </si>
  <si>
    <t>Hengxing</t>
  </si>
  <si>
    <t>Huangxin</t>
  </si>
  <si>
    <t>Jiangsu island</t>
  </si>
  <si>
    <t>Jiangyin</t>
  </si>
  <si>
    <t xml:space="preserve">Jiaozhou </t>
  </si>
  <si>
    <t>Jinzhou</t>
  </si>
  <si>
    <t>Jiulong River</t>
  </si>
  <si>
    <t>Jiushan lsland</t>
  </si>
  <si>
    <t>Laizhou</t>
  </si>
  <si>
    <t xml:space="preserve">Laizhou </t>
  </si>
  <si>
    <t>Langqi</t>
  </si>
  <si>
    <t xml:space="preserve">Leizhou </t>
  </si>
  <si>
    <t>Leqing Bay</t>
  </si>
  <si>
    <t>Lianyungang</t>
  </si>
  <si>
    <t>Liaodong Bay</t>
  </si>
  <si>
    <t>Lingkun island</t>
  </si>
  <si>
    <t>Linglun island</t>
  </si>
  <si>
    <t>Liugong</t>
  </si>
  <si>
    <t>Lv Shun</t>
  </si>
  <si>
    <t>Middle Zhejiang</t>
  </si>
  <si>
    <t>Nanao</t>
  </si>
  <si>
    <t>Nanchangshan</t>
  </si>
  <si>
    <t>Nanlu Island</t>
  </si>
  <si>
    <t>Nanpeng</t>
  </si>
  <si>
    <t xml:space="preserve">Nanpeng </t>
  </si>
  <si>
    <t>Nanri</t>
  </si>
  <si>
    <t>Neilingding</t>
  </si>
  <si>
    <t xml:space="preserve">Ningjing </t>
  </si>
  <si>
    <t>Niuqi</t>
  </si>
  <si>
    <t>North Zhejiang</t>
  </si>
  <si>
    <t xml:space="preserve">Oujiang </t>
  </si>
  <si>
    <t>ourter ECS</t>
  </si>
  <si>
    <t>Pear river</t>
  </si>
  <si>
    <t>Qinghuangdao</t>
  </si>
  <si>
    <t>Qinglan Bay</t>
  </si>
  <si>
    <t>Qiongzhou</t>
  </si>
  <si>
    <t>Quanzhou Bay</t>
  </si>
  <si>
    <t>Rizhao</t>
  </si>
  <si>
    <t>Rongcheng</t>
  </si>
  <si>
    <t xml:space="preserve">Rushan </t>
  </si>
  <si>
    <t>Sandu</t>
  </si>
  <si>
    <t>Sanggou Bay</t>
  </si>
  <si>
    <t>Sanhe</t>
  </si>
  <si>
    <t xml:space="preserve">Sanmen </t>
  </si>
  <si>
    <t>Shangchuan</t>
  </si>
  <si>
    <t>Shengshan</t>
  </si>
  <si>
    <t>Shengsi</t>
  </si>
  <si>
    <t>South Zhejiang</t>
  </si>
  <si>
    <t>Techeng</t>
  </si>
  <si>
    <t>Tongan</t>
  </si>
  <si>
    <t>Victoria harbour HK</t>
  </si>
  <si>
    <t>Waiyu island</t>
  </si>
  <si>
    <t xml:space="preserve">Wenling </t>
  </si>
  <si>
    <t>Wenzhou Bay</t>
  </si>
  <si>
    <t>Wuzhishan</t>
  </si>
  <si>
    <t>Xiamen</t>
  </si>
  <si>
    <t>Xiangshan Bay</t>
  </si>
  <si>
    <t>Ximaozhou</t>
  </si>
  <si>
    <t>Ximen island</t>
  </si>
  <si>
    <t>Xinghua</t>
  </si>
  <si>
    <t>Xinglong</t>
  </si>
  <si>
    <t>Xiushan island</t>
  </si>
  <si>
    <t>Xiyang</t>
  </si>
  <si>
    <t>Yangshan</t>
  </si>
  <si>
    <t>Yantai</t>
  </si>
  <si>
    <t>Yellow river</t>
  </si>
  <si>
    <t>Yushan</t>
  </si>
  <si>
    <t>Zhangzi island</t>
  </si>
  <si>
    <t>Zhanjiang Bay</t>
  </si>
  <si>
    <t>Zhejiang</t>
  </si>
  <si>
    <t>Zhoushan</t>
  </si>
  <si>
    <t>Zhujiajian</t>
  </si>
  <si>
    <t>Zini</t>
  </si>
  <si>
    <r>
      <rPr>
        <sz val="11"/>
        <color theme="1"/>
        <rFont val="宋体"/>
        <family val="2"/>
      </rPr>
      <t>三十年来调查站位名称</t>
    </r>
    <phoneticPr fontId="1" type="noConversion"/>
  </si>
  <si>
    <t>mollusca</t>
    <phoneticPr fontId="2" type="noConversion"/>
  </si>
  <si>
    <t>NA</t>
  </si>
  <si>
    <t>Year</t>
    <phoneticPr fontId="1" type="noConversion"/>
  </si>
  <si>
    <t>Mean</t>
    <phoneticPr fontId="1" type="noConversion"/>
  </si>
  <si>
    <t>YS</t>
    <phoneticPr fontId="1" type="noConversion"/>
  </si>
  <si>
    <t>mean</t>
    <phoneticPr fontId="1" type="noConversion"/>
  </si>
  <si>
    <t>An Chuangguang et al.,2008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</si>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</sst>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z val="8"/>
      <name val="Arial"/>
      <family val="2"/>
    </font>
    <font>
      <sz val="10"/>
      <color theme="1"/>
      <name val="Arial Unicode MS"/>
      <family val="2"/>
      <charset val="134"/>
    </font>
    <font>
      <sz val="8"/>
      <color theme="3" tint="0.39997558519241921"/>
      <name val="Arial"/>
      <family val="2"/>
    </font>
    <font>
      <b/>
      <sz val="8"/>
      <color theme="1"/>
      <name val="Arial"/>
      <family val="2"/>
    </font>
    <font>
      <sz val="8"/>
      <color theme="4"/>
      <name val="Arial"/>
      <family val="2"/>
    </font>
    <font>
      <sz val="12"/>
      <color rgb="FFDEDEDE"/>
      <name val="Courier New"/>
      <family val="3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rgb="FF222222"/>
      <name val="宋体"/>
      <family val="3"/>
      <charset val="134"/>
      <scheme val="minor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Border="1"/>
    <xf numFmtId="0" fontId="15" fillId="0" borderId="0" xfId="0" applyFont="1" applyBorder="1"/>
    <xf numFmtId="0" fontId="15" fillId="0" borderId="2" xfId="0" applyFont="1" applyBorder="1"/>
    <xf numFmtId="0" fontId="15" fillId="0" borderId="1" xfId="0" applyFont="1" applyBorder="1"/>
    <xf numFmtId="0" fontId="17" fillId="0" borderId="0" xfId="0" applyFont="1"/>
    <xf numFmtId="0" fontId="18" fillId="0" borderId="0" xfId="0" applyFont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年平均变化!$B$21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年平均变化!$C$22:$C$54</c:f>
                <c:numCache>
                  <c:formatCode>General</c:formatCode>
                  <c:ptCount val="33"/>
                  <c:pt idx="0">
                    <c:v>6.8781739999999996</c:v>
                  </c:pt>
                  <c:pt idx="1">
                    <c:v>6.5769739999999999</c:v>
                  </c:pt>
                  <c:pt idx="2">
                    <c:v>3.5277949999999998</c:v>
                  </c:pt>
                  <c:pt idx="3">
                    <c:v>19.928362</c:v>
                  </c:pt>
                  <c:pt idx="4">
                    <c:v>28.847597</c:v>
                  </c:pt>
                  <c:pt idx="5">
                    <c:v>7.6334410000000004</c:v>
                  </c:pt>
                  <c:pt idx="6">
                    <c:v>2.4039760000000001</c:v>
                  </c:pt>
                  <c:pt idx="7">
                    <c:v>1.038338</c:v>
                  </c:pt>
                  <c:pt idx="8">
                    <c:v>1.2290220000000001</c:v>
                  </c:pt>
                  <c:pt idx="10">
                    <c:v>4.9650270000000001</c:v>
                  </c:pt>
                  <c:pt idx="11">
                    <c:v>10.493124999999999</c:v>
                  </c:pt>
                  <c:pt idx="12">
                    <c:v>201.64874800000001</c:v>
                  </c:pt>
                  <c:pt idx="13">
                    <c:v>205.43727000000001</c:v>
                  </c:pt>
                  <c:pt idx="14">
                    <c:v>0</c:v>
                  </c:pt>
                  <c:pt idx="15">
                    <c:v>0</c:v>
                  </c:pt>
                  <c:pt idx="17">
                    <c:v>2.8152210000000002</c:v>
                  </c:pt>
                  <c:pt idx="18">
                    <c:v>4.8685939999999999</c:v>
                  </c:pt>
                  <c:pt idx="19">
                    <c:v>1.254667</c:v>
                  </c:pt>
                  <c:pt idx="20">
                    <c:v>91.347284999999999</c:v>
                  </c:pt>
                  <c:pt idx="21">
                    <c:v>4.8973789999999999</c:v>
                  </c:pt>
                  <c:pt idx="22">
                    <c:v>44.053440000000002</c:v>
                  </c:pt>
                  <c:pt idx="23">
                    <c:v>69.560536999999997</c:v>
                  </c:pt>
                  <c:pt idx="24">
                    <c:v>79.662166999999997</c:v>
                  </c:pt>
                  <c:pt idx="25">
                    <c:v>57.990741999999997</c:v>
                  </c:pt>
                  <c:pt idx="26">
                    <c:v>85.880503000000004</c:v>
                  </c:pt>
                  <c:pt idx="27">
                    <c:v>272.76401199999998</c:v>
                  </c:pt>
                  <c:pt idx="28">
                    <c:v>142.27705</c:v>
                  </c:pt>
                  <c:pt idx="29">
                    <c:v>1208.7660000000001</c:v>
                  </c:pt>
                  <c:pt idx="30">
                    <c:v>450.26746100000003</c:v>
                  </c:pt>
                  <c:pt idx="31">
                    <c:v>97.082499999999996</c:v>
                  </c:pt>
                  <c:pt idx="32">
                    <c:v>1914.2694300000001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年平均变化!$A$22:$A$54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年平均变化!$B$22:$B$54</c:f>
              <c:numCache>
                <c:formatCode>General</c:formatCode>
                <c:ptCount val="33"/>
                <c:pt idx="0">
                  <c:v>10.336696</c:v>
                </c:pt>
                <c:pt idx="1">
                  <c:v>10.53711</c:v>
                </c:pt>
                <c:pt idx="2">
                  <c:v>4.1867380000000001</c:v>
                </c:pt>
                <c:pt idx="3">
                  <c:v>13.067583000000001</c:v>
                </c:pt>
                <c:pt idx="4">
                  <c:v>22.481894</c:v>
                </c:pt>
                <c:pt idx="5">
                  <c:v>5.3681089999999996</c:v>
                </c:pt>
                <c:pt idx="6">
                  <c:v>2.12391</c:v>
                </c:pt>
                <c:pt idx="7">
                  <c:v>3.5506869999999999</c:v>
                </c:pt>
                <c:pt idx="8">
                  <c:v>1.169875</c:v>
                </c:pt>
                <c:pt idx="10">
                  <c:v>3.8821089999999998</c:v>
                </c:pt>
                <c:pt idx="11">
                  <c:v>8.4394670000000005</c:v>
                </c:pt>
                <c:pt idx="12">
                  <c:v>115.808154</c:v>
                </c:pt>
                <c:pt idx="13">
                  <c:v>87.777232999999995</c:v>
                </c:pt>
                <c:pt idx="14">
                  <c:v>8.5950000000000006</c:v>
                </c:pt>
                <c:pt idx="15">
                  <c:v>1.7046749999999999</c:v>
                </c:pt>
                <c:pt idx="17">
                  <c:v>3.8880189999999999</c:v>
                </c:pt>
                <c:pt idx="18">
                  <c:v>6.4701000000000004</c:v>
                </c:pt>
                <c:pt idx="19">
                  <c:v>2.713219</c:v>
                </c:pt>
                <c:pt idx="20">
                  <c:v>39.920622999999999</c:v>
                </c:pt>
                <c:pt idx="21">
                  <c:v>4.0460289999999999</c:v>
                </c:pt>
                <c:pt idx="22">
                  <c:v>41.588653000000001</c:v>
                </c:pt>
                <c:pt idx="23">
                  <c:v>25.811049000000001</c:v>
                </c:pt>
                <c:pt idx="24">
                  <c:v>26.093788</c:v>
                </c:pt>
                <c:pt idx="25">
                  <c:v>28.731316</c:v>
                </c:pt>
                <c:pt idx="26">
                  <c:v>36.379953999999998</c:v>
                </c:pt>
                <c:pt idx="27">
                  <c:v>78.540068000000005</c:v>
                </c:pt>
                <c:pt idx="28">
                  <c:v>83.199500999999998</c:v>
                </c:pt>
                <c:pt idx="29">
                  <c:v>415.454769</c:v>
                </c:pt>
                <c:pt idx="30">
                  <c:v>276.42930899999999</c:v>
                </c:pt>
                <c:pt idx="31">
                  <c:v>57.506720000000001</c:v>
                </c:pt>
                <c:pt idx="32">
                  <c:v>693.39943700000003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95712"/>
        <c:axId val="351193360"/>
      </c:barChart>
      <c:catAx>
        <c:axId val="3511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93360"/>
        <c:crosses val="autoZero"/>
        <c:auto val="1"/>
        <c:lblAlgn val="ctr"/>
        <c:lblOffset val="100"/>
        <c:noMultiLvlLbl val="0"/>
      </c:catAx>
      <c:valAx>
        <c:axId val="3511933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年平均变化!$O$24:$O$55</c:f>
              <c:numCache>
                <c:formatCode>General</c:formatCode>
                <c:ptCount val="32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</c:numCache>
            </c:numRef>
          </c:xVal>
          <c:yVal>
            <c:numRef>
              <c:f>年平均变化!$Q$24:$Q$55</c:f>
              <c:numCache>
                <c:formatCode>General</c:formatCode>
                <c:ptCount val="32"/>
                <c:pt idx="0">
                  <c:v>0.20041400000000031</c:v>
                </c:pt>
                <c:pt idx="1">
                  <c:v>-6.3503720000000001</c:v>
                </c:pt>
                <c:pt idx="2">
                  <c:v>8.8808450000000008</c:v>
                </c:pt>
                <c:pt idx="3">
                  <c:v>9.4143109999999997</c:v>
                </c:pt>
                <c:pt idx="4">
                  <c:v>-17.113785</c:v>
                </c:pt>
                <c:pt idx="5">
                  <c:v>-3.2441989999999996</c:v>
                </c:pt>
                <c:pt idx="6">
                  <c:v>1.426777</c:v>
                </c:pt>
                <c:pt idx="7">
                  <c:v>-2.3808119999999997</c:v>
                </c:pt>
                <c:pt idx="8">
                  <c:v>1.356117</c:v>
                </c:pt>
                <c:pt idx="9">
                  <c:v>1.3561169999999998</c:v>
                </c:pt>
                <c:pt idx="10">
                  <c:v>4.5573580000000007</c:v>
                </c:pt>
                <c:pt idx="11">
                  <c:v>107.36868699999999</c:v>
                </c:pt>
                <c:pt idx="12">
                  <c:v>-28.030921000000006</c:v>
                </c:pt>
                <c:pt idx="13">
                  <c:v>-79.182232999999997</c:v>
                </c:pt>
                <c:pt idx="14">
                  <c:v>-6.8903250000000007</c:v>
                </c:pt>
                <c:pt idx="15">
                  <c:v>1.091672</c:v>
                </c:pt>
                <c:pt idx="16">
                  <c:v>1.091672</c:v>
                </c:pt>
                <c:pt idx="17">
                  <c:v>2.5820810000000005</c:v>
                </c:pt>
                <c:pt idx="18">
                  <c:v>-3.7568810000000004</c:v>
                </c:pt>
                <c:pt idx="19">
                  <c:v>37.207403999999997</c:v>
                </c:pt>
                <c:pt idx="20">
                  <c:v>-35.874594000000002</c:v>
                </c:pt>
                <c:pt idx="21">
                  <c:v>37.542624000000004</c:v>
                </c:pt>
                <c:pt idx="22">
                  <c:v>-15.777604</c:v>
                </c:pt>
                <c:pt idx="23">
                  <c:v>0.28273899999999941</c:v>
                </c:pt>
                <c:pt idx="24">
                  <c:v>2.6375279999999997</c:v>
                </c:pt>
                <c:pt idx="25">
                  <c:v>7.6486379999999983</c:v>
                </c:pt>
                <c:pt idx="26">
                  <c:v>42.160114000000007</c:v>
                </c:pt>
                <c:pt idx="27">
                  <c:v>4.6594329999999928</c:v>
                </c:pt>
                <c:pt idx="28">
                  <c:v>332.255268</c:v>
                </c:pt>
                <c:pt idx="29">
                  <c:v>-139.02546000000001</c:v>
                </c:pt>
                <c:pt idx="30">
                  <c:v>-218.92258899999999</c:v>
                </c:pt>
                <c:pt idx="31">
                  <c:v>635.89271700000006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96888"/>
        <c:axId val="351199632"/>
      </c:scatterChart>
      <c:valAx>
        <c:axId val="35119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99632"/>
        <c:crosses val="autoZero"/>
        <c:crossBetween val="midCat"/>
      </c:valAx>
      <c:valAx>
        <c:axId val="3511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9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'Shell '!$D$4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'Shell '!$C$5:$C$7</c:f>
              <c:strCache>
                <c:ptCount val="3"/>
                <c:pt idx="0">
                  <c:v>BS</c:v>
                </c:pt>
                <c:pt idx="1">
                  <c:v>YS</c:v>
                </c:pt>
                <c:pt idx="2">
                  <c:v>ECS</c:v>
                </c:pt>
              </c:strCache>
            </c:strRef>
          </c:cat>
          <c:val>
            <c:numRef>
              <c:f>'Shell '!$D$5:$D$7</c:f>
              <c:numCache>
                <c:formatCode>General</c:formatCode>
                <c:ptCount val="3"/>
                <c:pt idx="0">
                  <c:v>2.5</c:v>
                </c:pt>
                <c:pt idx="1">
                  <c:v>17.18</c:v>
                </c:pt>
                <c:pt idx="2">
                  <c:v>114.16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94144"/>
        <c:axId val="351192576"/>
      </c:barChart>
      <c:catAx>
        <c:axId val="3511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海域名称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1192576"/>
        <c:crosses val="autoZero"/>
        <c:auto val="1"/>
        <c:lblAlgn val="ctr"/>
        <c:lblOffset val="100"/>
        <c:noMultiLvlLbl val="0"/>
      </c:catAx>
      <c:valAx>
        <c:axId val="35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碳酸钙年平均现存量（</a:t>
                </a:r>
                <a:r>
                  <a:rPr lang="en-US"/>
                  <a:t>MT/yr)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1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35</xdr:row>
      <xdr:rowOff>66675</xdr:rowOff>
    </xdr:from>
    <xdr:to>
      <xdr:col>12</xdr:col>
      <xdr:colOff>438150</xdr:colOff>
      <xdr:row>51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22</xdr:row>
      <xdr:rowOff>52387</xdr:rowOff>
    </xdr:from>
    <xdr:to>
      <xdr:col>11</xdr:col>
      <xdr:colOff>633412</xdr:colOff>
      <xdr:row>38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2"/>
  <sheetViews>
    <sheetView zoomScale="80" zoomScaleNormal="80" workbookViewId="0">
      <pane xSplit="2" ySplit="1" topLeftCell="G806" activePane="bottomRight" state="frozen"/>
      <selection pane="topRight" activeCell="C1" sqref="C1"/>
      <selection pane="bottomLeft" activeCell="A2" sqref="A2"/>
      <selection pane="bottomRight" activeCell="N1" sqref="N1:Q1048576"/>
    </sheetView>
  </sheetViews>
  <sheetFormatPr defaultRowHeight="11.25" x14ac:dyDescent="0.15"/>
  <cols>
    <col min="1" max="1" width="7.75" style="2" bestFit="1" customWidth="1"/>
    <col min="2" max="2" width="27.875" style="2" customWidth="1"/>
    <col min="3" max="3" width="15.125" style="2" bestFit="1" customWidth="1"/>
    <col min="4" max="5" width="15.125" style="2" customWidth="1"/>
    <col min="6" max="6" width="12.5" style="2" bestFit="1" customWidth="1"/>
    <col min="7" max="7" width="10.25" style="2" customWidth="1"/>
    <col min="8" max="8" width="8.875" style="2" bestFit="1" customWidth="1"/>
    <col min="9" max="9" width="4.875" style="2" bestFit="1" customWidth="1"/>
    <col min="10" max="10" width="6.375" style="2" bestFit="1" customWidth="1"/>
    <col min="11" max="11" width="7.625" style="2" bestFit="1" customWidth="1"/>
    <col min="12" max="12" width="9" style="2"/>
    <col min="13" max="13" width="6.375" style="2" bestFit="1" customWidth="1"/>
    <col min="14" max="15" width="9" style="3"/>
    <col min="16" max="16" width="9.75" style="2" bestFit="1" customWidth="1"/>
    <col min="17" max="17" width="8.125" style="2" bestFit="1" customWidth="1"/>
    <col min="18" max="18" width="10.25" style="2" bestFit="1" customWidth="1"/>
    <col min="19" max="19" width="10.625" style="2" bestFit="1" customWidth="1"/>
    <col min="20" max="20" width="5.25" style="3" bestFit="1" customWidth="1"/>
    <col min="21" max="21" width="9.75" style="3" bestFit="1" customWidth="1"/>
    <col min="22" max="22" width="9" style="3" bestFit="1" customWidth="1"/>
    <col min="23" max="23" width="8.875" style="3" bestFit="1" customWidth="1"/>
    <col min="24" max="24" width="8.5" style="3" bestFit="1" customWidth="1"/>
    <col min="25" max="25" width="9.75" style="3" bestFit="1" customWidth="1"/>
    <col min="26" max="26" width="9.75" style="3" customWidth="1"/>
    <col min="27" max="28" width="9.75" style="3" bestFit="1" customWidth="1"/>
    <col min="29" max="44" width="9" style="3"/>
    <col min="45" max="47" width="16" style="3" customWidth="1"/>
    <col min="48" max="283" width="9" style="3"/>
    <col min="284" max="284" width="34.875" style="3" bestFit="1" customWidth="1"/>
    <col min="285" max="285" width="9.75" style="3" bestFit="1" customWidth="1"/>
    <col min="286" max="289" width="9" style="3"/>
    <col min="290" max="290" width="3.625" style="3" bestFit="1" customWidth="1"/>
    <col min="291" max="292" width="4.125" style="3" bestFit="1" customWidth="1"/>
    <col min="293" max="539" width="9" style="3"/>
    <col min="540" max="540" width="34.875" style="3" bestFit="1" customWidth="1"/>
    <col min="541" max="541" width="9.75" style="3" bestFit="1" customWidth="1"/>
    <col min="542" max="545" width="9" style="3"/>
    <col min="546" max="546" width="3.625" style="3" bestFit="1" customWidth="1"/>
    <col min="547" max="548" width="4.125" style="3" bestFit="1" customWidth="1"/>
    <col min="549" max="795" width="9" style="3"/>
    <col min="796" max="796" width="34.875" style="3" bestFit="1" customWidth="1"/>
    <col min="797" max="797" width="9.75" style="3" bestFit="1" customWidth="1"/>
    <col min="798" max="801" width="9" style="3"/>
    <col min="802" max="802" width="3.625" style="3" bestFit="1" customWidth="1"/>
    <col min="803" max="804" width="4.125" style="3" bestFit="1" customWidth="1"/>
    <col min="805" max="1051" width="9" style="3"/>
    <col min="1052" max="1052" width="34.875" style="3" bestFit="1" customWidth="1"/>
    <col min="1053" max="1053" width="9.75" style="3" bestFit="1" customWidth="1"/>
    <col min="1054" max="1057" width="9" style="3"/>
    <col min="1058" max="1058" width="3.625" style="3" bestFit="1" customWidth="1"/>
    <col min="1059" max="1060" width="4.125" style="3" bestFit="1" customWidth="1"/>
    <col min="1061" max="1307" width="9" style="3"/>
    <col min="1308" max="1308" width="34.875" style="3" bestFit="1" customWidth="1"/>
    <col min="1309" max="1309" width="9.75" style="3" bestFit="1" customWidth="1"/>
    <col min="1310" max="1313" width="9" style="3"/>
    <col min="1314" max="1314" width="3.625" style="3" bestFit="1" customWidth="1"/>
    <col min="1315" max="1316" width="4.125" style="3" bestFit="1" customWidth="1"/>
    <col min="1317" max="1563" width="9" style="3"/>
    <col min="1564" max="1564" width="34.875" style="3" bestFit="1" customWidth="1"/>
    <col min="1565" max="1565" width="9.75" style="3" bestFit="1" customWidth="1"/>
    <col min="1566" max="1569" width="9" style="3"/>
    <col min="1570" max="1570" width="3.625" style="3" bestFit="1" customWidth="1"/>
    <col min="1571" max="1572" width="4.125" style="3" bestFit="1" customWidth="1"/>
    <col min="1573" max="1819" width="9" style="3"/>
    <col min="1820" max="1820" width="34.875" style="3" bestFit="1" customWidth="1"/>
    <col min="1821" max="1821" width="9.75" style="3" bestFit="1" customWidth="1"/>
    <col min="1822" max="1825" width="9" style="3"/>
    <col min="1826" max="1826" width="3.625" style="3" bestFit="1" customWidth="1"/>
    <col min="1827" max="1828" width="4.125" style="3" bestFit="1" customWidth="1"/>
    <col min="1829" max="2075" width="9" style="3"/>
    <col min="2076" max="2076" width="34.875" style="3" bestFit="1" customWidth="1"/>
    <col min="2077" max="2077" width="9.75" style="3" bestFit="1" customWidth="1"/>
    <col min="2078" max="2081" width="9" style="3"/>
    <col min="2082" max="2082" width="3.625" style="3" bestFit="1" customWidth="1"/>
    <col min="2083" max="2084" width="4.125" style="3" bestFit="1" customWidth="1"/>
    <col min="2085" max="2331" width="9" style="3"/>
    <col min="2332" max="2332" width="34.875" style="3" bestFit="1" customWidth="1"/>
    <col min="2333" max="2333" width="9.75" style="3" bestFit="1" customWidth="1"/>
    <col min="2334" max="2337" width="9" style="3"/>
    <col min="2338" max="2338" width="3.625" style="3" bestFit="1" customWidth="1"/>
    <col min="2339" max="2340" width="4.125" style="3" bestFit="1" customWidth="1"/>
    <col min="2341" max="2587" width="9" style="3"/>
    <col min="2588" max="2588" width="34.875" style="3" bestFit="1" customWidth="1"/>
    <col min="2589" max="2589" width="9.75" style="3" bestFit="1" customWidth="1"/>
    <col min="2590" max="2593" width="9" style="3"/>
    <col min="2594" max="2594" width="3.625" style="3" bestFit="1" customWidth="1"/>
    <col min="2595" max="2596" width="4.125" style="3" bestFit="1" customWidth="1"/>
    <col min="2597" max="2843" width="9" style="3"/>
    <col min="2844" max="2844" width="34.875" style="3" bestFit="1" customWidth="1"/>
    <col min="2845" max="2845" width="9.75" style="3" bestFit="1" customWidth="1"/>
    <col min="2846" max="2849" width="9" style="3"/>
    <col min="2850" max="2850" width="3.625" style="3" bestFit="1" customWidth="1"/>
    <col min="2851" max="2852" width="4.125" style="3" bestFit="1" customWidth="1"/>
    <col min="2853" max="3099" width="9" style="3"/>
    <col min="3100" max="3100" width="34.875" style="3" bestFit="1" customWidth="1"/>
    <col min="3101" max="3101" width="9.75" style="3" bestFit="1" customWidth="1"/>
    <col min="3102" max="3105" width="9" style="3"/>
    <col min="3106" max="3106" width="3.625" style="3" bestFit="1" customWidth="1"/>
    <col min="3107" max="3108" width="4.125" style="3" bestFit="1" customWidth="1"/>
    <col min="3109" max="3355" width="9" style="3"/>
    <col min="3356" max="3356" width="34.875" style="3" bestFit="1" customWidth="1"/>
    <col min="3357" max="3357" width="9.75" style="3" bestFit="1" customWidth="1"/>
    <col min="3358" max="3361" width="9" style="3"/>
    <col min="3362" max="3362" width="3.625" style="3" bestFit="1" customWidth="1"/>
    <col min="3363" max="3364" width="4.125" style="3" bestFit="1" customWidth="1"/>
    <col min="3365" max="3611" width="9" style="3"/>
    <col min="3612" max="3612" width="34.875" style="3" bestFit="1" customWidth="1"/>
    <col min="3613" max="3613" width="9.75" style="3" bestFit="1" customWidth="1"/>
    <col min="3614" max="3617" width="9" style="3"/>
    <col min="3618" max="3618" width="3.625" style="3" bestFit="1" customWidth="1"/>
    <col min="3619" max="3620" width="4.125" style="3" bestFit="1" customWidth="1"/>
    <col min="3621" max="3867" width="9" style="3"/>
    <col min="3868" max="3868" width="34.875" style="3" bestFit="1" customWidth="1"/>
    <col min="3869" max="3869" width="9.75" style="3" bestFit="1" customWidth="1"/>
    <col min="3870" max="3873" width="9" style="3"/>
    <col min="3874" max="3874" width="3.625" style="3" bestFit="1" customWidth="1"/>
    <col min="3875" max="3876" width="4.125" style="3" bestFit="1" customWidth="1"/>
    <col min="3877" max="4123" width="9" style="3"/>
    <col min="4124" max="4124" width="34.875" style="3" bestFit="1" customWidth="1"/>
    <col min="4125" max="4125" width="9.75" style="3" bestFit="1" customWidth="1"/>
    <col min="4126" max="4129" width="9" style="3"/>
    <col min="4130" max="4130" width="3.625" style="3" bestFit="1" customWidth="1"/>
    <col min="4131" max="4132" width="4.125" style="3" bestFit="1" customWidth="1"/>
    <col min="4133" max="4379" width="9" style="3"/>
    <col min="4380" max="4380" width="34.875" style="3" bestFit="1" customWidth="1"/>
    <col min="4381" max="4381" width="9.75" style="3" bestFit="1" customWidth="1"/>
    <col min="4382" max="4385" width="9" style="3"/>
    <col min="4386" max="4386" width="3.625" style="3" bestFit="1" customWidth="1"/>
    <col min="4387" max="4388" width="4.125" style="3" bestFit="1" customWidth="1"/>
    <col min="4389" max="4635" width="9" style="3"/>
    <col min="4636" max="4636" width="34.875" style="3" bestFit="1" customWidth="1"/>
    <col min="4637" max="4637" width="9.75" style="3" bestFit="1" customWidth="1"/>
    <col min="4638" max="4641" width="9" style="3"/>
    <col min="4642" max="4642" width="3.625" style="3" bestFit="1" customWidth="1"/>
    <col min="4643" max="4644" width="4.125" style="3" bestFit="1" customWidth="1"/>
    <col min="4645" max="4891" width="9" style="3"/>
    <col min="4892" max="4892" width="34.875" style="3" bestFit="1" customWidth="1"/>
    <col min="4893" max="4893" width="9.75" style="3" bestFit="1" customWidth="1"/>
    <col min="4894" max="4897" width="9" style="3"/>
    <col min="4898" max="4898" width="3.625" style="3" bestFit="1" customWidth="1"/>
    <col min="4899" max="4900" width="4.125" style="3" bestFit="1" customWidth="1"/>
    <col min="4901" max="5147" width="9" style="3"/>
    <col min="5148" max="5148" width="34.875" style="3" bestFit="1" customWidth="1"/>
    <col min="5149" max="5149" width="9.75" style="3" bestFit="1" customWidth="1"/>
    <col min="5150" max="5153" width="9" style="3"/>
    <col min="5154" max="5154" width="3.625" style="3" bestFit="1" customWidth="1"/>
    <col min="5155" max="5156" width="4.125" style="3" bestFit="1" customWidth="1"/>
    <col min="5157" max="5403" width="9" style="3"/>
    <col min="5404" max="5404" width="34.875" style="3" bestFit="1" customWidth="1"/>
    <col min="5405" max="5405" width="9.75" style="3" bestFit="1" customWidth="1"/>
    <col min="5406" max="5409" width="9" style="3"/>
    <col min="5410" max="5410" width="3.625" style="3" bestFit="1" customWidth="1"/>
    <col min="5411" max="5412" width="4.125" style="3" bestFit="1" customWidth="1"/>
    <col min="5413" max="5659" width="9" style="3"/>
    <col min="5660" max="5660" width="34.875" style="3" bestFit="1" customWidth="1"/>
    <col min="5661" max="5661" width="9.75" style="3" bestFit="1" customWidth="1"/>
    <col min="5662" max="5665" width="9" style="3"/>
    <col min="5666" max="5666" width="3.625" style="3" bestFit="1" customWidth="1"/>
    <col min="5667" max="5668" width="4.125" style="3" bestFit="1" customWidth="1"/>
    <col min="5669" max="5915" width="9" style="3"/>
    <col min="5916" max="5916" width="34.875" style="3" bestFit="1" customWidth="1"/>
    <col min="5917" max="5917" width="9.75" style="3" bestFit="1" customWidth="1"/>
    <col min="5918" max="5921" width="9" style="3"/>
    <col min="5922" max="5922" width="3.625" style="3" bestFit="1" customWidth="1"/>
    <col min="5923" max="5924" width="4.125" style="3" bestFit="1" customWidth="1"/>
    <col min="5925" max="6171" width="9" style="3"/>
    <col min="6172" max="6172" width="34.875" style="3" bestFit="1" customWidth="1"/>
    <col min="6173" max="6173" width="9.75" style="3" bestFit="1" customWidth="1"/>
    <col min="6174" max="6177" width="9" style="3"/>
    <col min="6178" max="6178" width="3.625" style="3" bestFit="1" customWidth="1"/>
    <col min="6179" max="6180" width="4.125" style="3" bestFit="1" customWidth="1"/>
    <col min="6181" max="6427" width="9" style="3"/>
    <col min="6428" max="6428" width="34.875" style="3" bestFit="1" customWidth="1"/>
    <col min="6429" max="6429" width="9.75" style="3" bestFit="1" customWidth="1"/>
    <col min="6430" max="6433" width="9" style="3"/>
    <col min="6434" max="6434" width="3.625" style="3" bestFit="1" customWidth="1"/>
    <col min="6435" max="6436" width="4.125" style="3" bestFit="1" customWidth="1"/>
    <col min="6437" max="6683" width="9" style="3"/>
    <col min="6684" max="6684" width="34.875" style="3" bestFit="1" customWidth="1"/>
    <col min="6685" max="6685" width="9.75" style="3" bestFit="1" customWidth="1"/>
    <col min="6686" max="6689" width="9" style="3"/>
    <col min="6690" max="6690" width="3.625" style="3" bestFit="1" customWidth="1"/>
    <col min="6691" max="6692" width="4.125" style="3" bestFit="1" customWidth="1"/>
    <col min="6693" max="6939" width="9" style="3"/>
    <col min="6940" max="6940" width="34.875" style="3" bestFit="1" customWidth="1"/>
    <col min="6941" max="6941" width="9.75" style="3" bestFit="1" customWidth="1"/>
    <col min="6942" max="6945" width="9" style="3"/>
    <col min="6946" max="6946" width="3.625" style="3" bestFit="1" customWidth="1"/>
    <col min="6947" max="6948" width="4.125" style="3" bestFit="1" customWidth="1"/>
    <col min="6949" max="7195" width="9" style="3"/>
    <col min="7196" max="7196" width="34.875" style="3" bestFit="1" customWidth="1"/>
    <col min="7197" max="7197" width="9.75" style="3" bestFit="1" customWidth="1"/>
    <col min="7198" max="7201" width="9" style="3"/>
    <col min="7202" max="7202" width="3.625" style="3" bestFit="1" customWidth="1"/>
    <col min="7203" max="7204" width="4.125" style="3" bestFit="1" customWidth="1"/>
    <col min="7205" max="7451" width="9" style="3"/>
    <col min="7452" max="7452" width="34.875" style="3" bestFit="1" customWidth="1"/>
    <col min="7453" max="7453" width="9.75" style="3" bestFit="1" customWidth="1"/>
    <col min="7454" max="7457" width="9" style="3"/>
    <col min="7458" max="7458" width="3.625" style="3" bestFit="1" customWidth="1"/>
    <col min="7459" max="7460" width="4.125" style="3" bestFit="1" customWidth="1"/>
    <col min="7461" max="7707" width="9" style="3"/>
    <col min="7708" max="7708" width="34.875" style="3" bestFit="1" customWidth="1"/>
    <col min="7709" max="7709" width="9.75" style="3" bestFit="1" customWidth="1"/>
    <col min="7710" max="7713" width="9" style="3"/>
    <col min="7714" max="7714" width="3.625" style="3" bestFit="1" customWidth="1"/>
    <col min="7715" max="7716" width="4.125" style="3" bestFit="1" customWidth="1"/>
    <col min="7717" max="7963" width="9" style="3"/>
    <col min="7964" max="7964" width="34.875" style="3" bestFit="1" customWidth="1"/>
    <col min="7965" max="7965" width="9.75" style="3" bestFit="1" customWidth="1"/>
    <col min="7966" max="7969" width="9" style="3"/>
    <col min="7970" max="7970" width="3.625" style="3" bestFit="1" customWidth="1"/>
    <col min="7971" max="7972" width="4.125" style="3" bestFit="1" customWidth="1"/>
    <col min="7973" max="8219" width="9" style="3"/>
    <col min="8220" max="8220" width="34.875" style="3" bestFit="1" customWidth="1"/>
    <col min="8221" max="8221" width="9.75" style="3" bestFit="1" customWidth="1"/>
    <col min="8222" max="8225" width="9" style="3"/>
    <col min="8226" max="8226" width="3.625" style="3" bestFit="1" customWidth="1"/>
    <col min="8227" max="8228" width="4.125" style="3" bestFit="1" customWidth="1"/>
    <col min="8229" max="8475" width="9" style="3"/>
    <col min="8476" max="8476" width="34.875" style="3" bestFit="1" customWidth="1"/>
    <col min="8477" max="8477" width="9.75" style="3" bestFit="1" customWidth="1"/>
    <col min="8478" max="8481" width="9" style="3"/>
    <col min="8482" max="8482" width="3.625" style="3" bestFit="1" customWidth="1"/>
    <col min="8483" max="8484" width="4.125" style="3" bestFit="1" customWidth="1"/>
    <col min="8485" max="8731" width="9" style="3"/>
    <col min="8732" max="8732" width="34.875" style="3" bestFit="1" customWidth="1"/>
    <col min="8733" max="8733" width="9.75" style="3" bestFit="1" customWidth="1"/>
    <col min="8734" max="8737" width="9" style="3"/>
    <col min="8738" max="8738" width="3.625" style="3" bestFit="1" customWidth="1"/>
    <col min="8739" max="8740" width="4.125" style="3" bestFit="1" customWidth="1"/>
    <col min="8741" max="8987" width="9" style="3"/>
    <col min="8988" max="8988" width="34.875" style="3" bestFit="1" customWidth="1"/>
    <col min="8989" max="8989" width="9.75" style="3" bestFit="1" customWidth="1"/>
    <col min="8990" max="8993" width="9" style="3"/>
    <col min="8994" max="8994" width="3.625" style="3" bestFit="1" customWidth="1"/>
    <col min="8995" max="8996" width="4.125" style="3" bestFit="1" customWidth="1"/>
    <col min="8997" max="9243" width="9" style="3"/>
    <col min="9244" max="9244" width="34.875" style="3" bestFit="1" customWidth="1"/>
    <col min="9245" max="9245" width="9.75" style="3" bestFit="1" customWidth="1"/>
    <col min="9246" max="9249" width="9" style="3"/>
    <col min="9250" max="9250" width="3.625" style="3" bestFit="1" customWidth="1"/>
    <col min="9251" max="9252" width="4.125" style="3" bestFit="1" customWidth="1"/>
    <col min="9253" max="9499" width="9" style="3"/>
    <col min="9500" max="9500" width="34.875" style="3" bestFit="1" customWidth="1"/>
    <col min="9501" max="9501" width="9.75" style="3" bestFit="1" customWidth="1"/>
    <col min="9502" max="9505" width="9" style="3"/>
    <col min="9506" max="9506" width="3.625" style="3" bestFit="1" customWidth="1"/>
    <col min="9507" max="9508" width="4.125" style="3" bestFit="1" customWidth="1"/>
    <col min="9509" max="9755" width="9" style="3"/>
    <col min="9756" max="9756" width="34.875" style="3" bestFit="1" customWidth="1"/>
    <col min="9757" max="9757" width="9.75" style="3" bestFit="1" customWidth="1"/>
    <col min="9758" max="9761" width="9" style="3"/>
    <col min="9762" max="9762" width="3.625" style="3" bestFit="1" customWidth="1"/>
    <col min="9763" max="9764" width="4.125" style="3" bestFit="1" customWidth="1"/>
    <col min="9765" max="10011" width="9" style="3"/>
    <col min="10012" max="10012" width="34.875" style="3" bestFit="1" customWidth="1"/>
    <col min="10013" max="10013" width="9.75" style="3" bestFit="1" customWidth="1"/>
    <col min="10014" max="10017" width="9" style="3"/>
    <col min="10018" max="10018" width="3.625" style="3" bestFit="1" customWidth="1"/>
    <col min="10019" max="10020" width="4.125" style="3" bestFit="1" customWidth="1"/>
    <col min="10021" max="10267" width="9" style="3"/>
    <col min="10268" max="10268" width="34.875" style="3" bestFit="1" customWidth="1"/>
    <col min="10269" max="10269" width="9.75" style="3" bestFit="1" customWidth="1"/>
    <col min="10270" max="10273" width="9" style="3"/>
    <col min="10274" max="10274" width="3.625" style="3" bestFit="1" customWidth="1"/>
    <col min="10275" max="10276" width="4.125" style="3" bestFit="1" customWidth="1"/>
    <col min="10277" max="10523" width="9" style="3"/>
    <col min="10524" max="10524" width="34.875" style="3" bestFit="1" customWidth="1"/>
    <col min="10525" max="10525" width="9.75" style="3" bestFit="1" customWidth="1"/>
    <col min="10526" max="10529" width="9" style="3"/>
    <col min="10530" max="10530" width="3.625" style="3" bestFit="1" customWidth="1"/>
    <col min="10531" max="10532" width="4.125" style="3" bestFit="1" customWidth="1"/>
    <col min="10533" max="10779" width="9" style="3"/>
    <col min="10780" max="10780" width="34.875" style="3" bestFit="1" customWidth="1"/>
    <col min="10781" max="10781" width="9.75" style="3" bestFit="1" customWidth="1"/>
    <col min="10782" max="10785" width="9" style="3"/>
    <col min="10786" max="10786" width="3.625" style="3" bestFit="1" customWidth="1"/>
    <col min="10787" max="10788" width="4.125" style="3" bestFit="1" customWidth="1"/>
    <col min="10789" max="11035" width="9" style="3"/>
    <col min="11036" max="11036" width="34.875" style="3" bestFit="1" customWidth="1"/>
    <col min="11037" max="11037" width="9.75" style="3" bestFit="1" customWidth="1"/>
    <col min="11038" max="11041" width="9" style="3"/>
    <col min="11042" max="11042" width="3.625" style="3" bestFit="1" customWidth="1"/>
    <col min="11043" max="11044" width="4.125" style="3" bestFit="1" customWidth="1"/>
    <col min="11045" max="11291" width="9" style="3"/>
    <col min="11292" max="11292" width="34.875" style="3" bestFit="1" customWidth="1"/>
    <col min="11293" max="11293" width="9.75" style="3" bestFit="1" customWidth="1"/>
    <col min="11294" max="11297" width="9" style="3"/>
    <col min="11298" max="11298" width="3.625" style="3" bestFit="1" customWidth="1"/>
    <col min="11299" max="11300" width="4.125" style="3" bestFit="1" customWidth="1"/>
    <col min="11301" max="11547" width="9" style="3"/>
    <col min="11548" max="11548" width="34.875" style="3" bestFit="1" customWidth="1"/>
    <col min="11549" max="11549" width="9.75" style="3" bestFit="1" customWidth="1"/>
    <col min="11550" max="11553" width="9" style="3"/>
    <col min="11554" max="11554" width="3.625" style="3" bestFit="1" customWidth="1"/>
    <col min="11555" max="11556" width="4.125" style="3" bestFit="1" customWidth="1"/>
    <col min="11557" max="11803" width="9" style="3"/>
    <col min="11804" max="11804" width="34.875" style="3" bestFit="1" customWidth="1"/>
    <col min="11805" max="11805" width="9.75" style="3" bestFit="1" customWidth="1"/>
    <col min="11806" max="11809" width="9" style="3"/>
    <col min="11810" max="11810" width="3.625" style="3" bestFit="1" customWidth="1"/>
    <col min="11811" max="11812" width="4.125" style="3" bestFit="1" customWidth="1"/>
    <col min="11813" max="12059" width="9" style="3"/>
    <col min="12060" max="12060" width="34.875" style="3" bestFit="1" customWidth="1"/>
    <col min="12061" max="12061" width="9.75" style="3" bestFit="1" customWidth="1"/>
    <col min="12062" max="12065" width="9" style="3"/>
    <col min="12066" max="12066" width="3.625" style="3" bestFit="1" customWidth="1"/>
    <col min="12067" max="12068" width="4.125" style="3" bestFit="1" customWidth="1"/>
    <col min="12069" max="12315" width="9" style="3"/>
    <col min="12316" max="12316" width="34.875" style="3" bestFit="1" customWidth="1"/>
    <col min="12317" max="12317" width="9.75" style="3" bestFit="1" customWidth="1"/>
    <col min="12318" max="12321" width="9" style="3"/>
    <col min="12322" max="12322" width="3.625" style="3" bestFit="1" customWidth="1"/>
    <col min="12323" max="12324" width="4.125" style="3" bestFit="1" customWidth="1"/>
    <col min="12325" max="12571" width="9" style="3"/>
    <col min="12572" max="12572" width="34.875" style="3" bestFit="1" customWidth="1"/>
    <col min="12573" max="12573" width="9.75" style="3" bestFit="1" customWidth="1"/>
    <col min="12574" max="12577" width="9" style="3"/>
    <col min="12578" max="12578" width="3.625" style="3" bestFit="1" customWidth="1"/>
    <col min="12579" max="12580" width="4.125" style="3" bestFit="1" customWidth="1"/>
    <col min="12581" max="12827" width="9" style="3"/>
    <col min="12828" max="12828" width="34.875" style="3" bestFit="1" customWidth="1"/>
    <col min="12829" max="12829" width="9.75" style="3" bestFit="1" customWidth="1"/>
    <col min="12830" max="12833" width="9" style="3"/>
    <col min="12834" max="12834" width="3.625" style="3" bestFit="1" customWidth="1"/>
    <col min="12835" max="12836" width="4.125" style="3" bestFit="1" customWidth="1"/>
    <col min="12837" max="13083" width="9" style="3"/>
    <col min="13084" max="13084" width="34.875" style="3" bestFit="1" customWidth="1"/>
    <col min="13085" max="13085" width="9.75" style="3" bestFit="1" customWidth="1"/>
    <col min="13086" max="13089" width="9" style="3"/>
    <col min="13090" max="13090" width="3.625" style="3" bestFit="1" customWidth="1"/>
    <col min="13091" max="13092" width="4.125" style="3" bestFit="1" customWidth="1"/>
    <col min="13093" max="13339" width="9" style="3"/>
    <col min="13340" max="13340" width="34.875" style="3" bestFit="1" customWidth="1"/>
    <col min="13341" max="13341" width="9.75" style="3" bestFit="1" customWidth="1"/>
    <col min="13342" max="13345" width="9" style="3"/>
    <col min="13346" max="13346" width="3.625" style="3" bestFit="1" customWidth="1"/>
    <col min="13347" max="13348" width="4.125" style="3" bestFit="1" customWidth="1"/>
    <col min="13349" max="13595" width="9" style="3"/>
    <col min="13596" max="13596" width="34.875" style="3" bestFit="1" customWidth="1"/>
    <col min="13597" max="13597" width="9.75" style="3" bestFit="1" customWidth="1"/>
    <col min="13598" max="13601" width="9" style="3"/>
    <col min="13602" max="13602" width="3.625" style="3" bestFit="1" customWidth="1"/>
    <col min="13603" max="13604" width="4.125" style="3" bestFit="1" customWidth="1"/>
    <col min="13605" max="13851" width="9" style="3"/>
    <col min="13852" max="13852" width="34.875" style="3" bestFit="1" customWidth="1"/>
    <col min="13853" max="13853" width="9.75" style="3" bestFit="1" customWidth="1"/>
    <col min="13854" max="13857" width="9" style="3"/>
    <col min="13858" max="13858" width="3.625" style="3" bestFit="1" customWidth="1"/>
    <col min="13859" max="13860" width="4.125" style="3" bestFit="1" customWidth="1"/>
    <col min="13861" max="14107" width="9" style="3"/>
    <col min="14108" max="14108" width="34.875" style="3" bestFit="1" customWidth="1"/>
    <col min="14109" max="14109" width="9.75" style="3" bestFit="1" customWidth="1"/>
    <col min="14110" max="14113" width="9" style="3"/>
    <col min="14114" max="14114" width="3.625" style="3" bestFit="1" customWidth="1"/>
    <col min="14115" max="14116" width="4.125" style="3" bestFit="1" customWidth="1"/>
    <col min="14117" max="14363" width="9" style="3"/>
    <col min="14364" max="14364" width="34.875" style="3" bestFit="1" customWidth="1"/>
    <col min="14365" max="14365" width="9.75" style="3" bestFit="1" customWidth="1"/>
    <col min="14366" max="14369" width="9" style="3"/>
    <col min="14370" max="14370" width="3.625" style="3" bestFit="1" customWidth="1"/>
    <col min="14371" max="14372" width="4.125" style="3" bestFit="1" customWidth="1"/>
    <col min="14373" max="14619" width="9" style="3"/>
    <col min="14620" max="14620" width="34.875" style="3" bestFit="1" customWidth="1"/>
    <col min="14621" max="14621" width="9.75" style="3" bestFit="1" customWidth="1"/>
    <col min="14622" max="14625" width="9" style="3"/>
    <col min="14626" max="14626" width="3.625" style="3" bestFit="1" customWidth="1"/>
    <col min="14627" max="14628" width="4.125" style="3" bestFit="1" customWidth="1"/>
    <col min="14629" max="14875" width="9" style="3"/>
    <col min="14876" max="14876" width="34.875" style="3" bestFit="1" customWidth="1"/>
    <col min="14877" max="14877" width="9.75" style="3" bestFit="1" customWidth="1"/>
    <col min="14878" max="14881" width="9" style="3"/>
    <col min="14882" max="14882" width="3.625" style="3" bestFit="1" customWidth="1"/>
    <col min="14883" max="14884" width="4.125" style="3" bestFit="1" customWidth="1"/>
    <col min="14885" max="15131" width="9" style="3"/>
    <col min="15132" max="15132" width="34.875" style="3" bestFit="1" customWidth="1"/>
    <col min="15133" max="15133" width="9.75" style="3" bestFit="1" customWidth="1"/>
    <col min="15134" max="15137" width="9" style="3"/>
    <col min="15138" max="15138" width="3.625" style="3" bestFit="1" customWidth="1"/>
    <col min="15139" max="15140" width="4.125" style="3" bestFit="1" customWidth="1"/>
    <col min="15141" max="15387" width="9" style="3"/>
    <col min="15388" max="15388" width="34.875" style="3" bestFit="1" customWidth="1"/>
    <col min="15389" max="15389" width="9.75" style="3" bestFit="1" customWidth="1"/>
    <col min="15390" max="15393" width="9" style="3"/>
    <col min="15394" max="15394" width="3.625" style="3" bestFit="1" customWidth="1"/>
    <col min="15395" max="15396" width="4.125" style="3" bestFit="1" customWidth="1"/>
    <col min="15397" max="15643" width="9" style="3"/>
    <col min="15644" max="15644" width="34.875" style="3" bestFit="1" customWidth="1"/>
    <col min="15645" max="15645" width="9.75" style="3" bestFit="1" customWidth="1"/>
    <col min="15646" max="15649" width="9" style="3"/>
    <col min="15650" max="15650" width="3.625" style="3" bestFit="1" customWidth="1"/>
    <col min="15651" max="15652" width="4.125" style="3" bestFit="1" customWidth="1"/>
    <col min="15653" max="15899" width="9" style="3"/>
    <col min="15900" max="15900" width="34.875" style="3" bestFit="1" customWidth="1"/>
    <col min="15901" max="15901" width="9.75" style="3" bestFit="1" customWidth="1"/>
    <col min="15902" max="15905" width="9" style="3"/>
    <col min="15906" max="15906" width="3.625" style="3" bestFit="1" customWidth="1"/>
    <col min="15907" max="15908" width="4.125" style="3" bestFit="1" customWidth="1"/>
    <col min="15909" max="16155" width="9" style="3"/>
    <col min="16156" max="16156" width="34.875" style="3" bestFit="1" customWidth="1"/>
    <col min="16157" max="16157" width="9.75" style="3" bestFit="1" customWidth="1"/>
    <col min="16158" max="16161" width="9" style="3"/>
    <col min="16162" max="16162" width="3.625" style="3" bestFit="1" customWidth="1"/>
    <col min="16163" max="16164" width="4.125" style="3" bestFit="1" customWidth="1"/>
    <col min="16165" max="16384" width="9" style="3"/>
  </cols>
  <sheetData>
    <row r="1" spans="1:49" s="16" customFormat="1" x14ac:dyDescent="0.15">
      <c r="A1" s="15" t="s">
        <v>0</v>
      </c>
      <c r="B1" s="15" t="s">
        <v>1</v>
      </c>
      <c r="C1" s="15" t="s">
        <v>2</v>
      </c>
      <c r="D1" s="15" t="s">
        <v>221</v>
      </c>
      <c r="E1" s="15" t="s">
        <v>38</v>
      </c>
      <c r="F1" s="15" t="s">
        <v>100</v>
      </c>
      <c r="G1" s="15" t="s">
        <v>40</v>
      </c>
      <c r="H1" s="15" t="s">
        <v>32</v>
      </c>
      <c r="I1" s="15" t="s">
        <v>3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230</v>
      </c>
      <c r="O1" s="15" t="s">
        <v>223</v>
      </c>
      <c r="P1" s="15" t="s">
        <v>33</v>
      </c>
      <c r="Q1" s="15" t="s">
        <v>47</v>
      </c>
      <c r="R1" s="15" t="s">
        <v>48</v>
      </c>
      <c r="S1" s="15" t="s">
        <v>57</v>
      </c>
      <c r="T1" s="16" t="s">
        <v>35</v>
      </c>
      <c r="U1" s="15" t="s">
        <v>26</v>
      </c>
      <c r="V1" s="15" t="s">
        <v>1002</v>
      </c>
      <c r="W1" s="15" t="s">
        <v>49</v>
      </c>
      <c r="X1" s="15" t="s">
        <v>58</v>
      </c>
      <c r="Y1" s="16" t="s">
        <v>34</v>
      </c>
      <c r="Z1" s="16" t="s">
        <v>287</v>
      </c>
      <c r="AA1" s="15" t="s">
        <v>88</v>
      </c>
      <c r="AB1" s="15" t="s">
        <v>44</v>
      </c>
      <c r="AC1" s="15" t="s">
        <v>50</v>
      </c>
      <c r="AD1" s="15" t="s">
        <v>59</v>
      </c>
      <c r="AE1" s="15" t="s">
        <v>46</v>
      </c>
      <c r="AF1" s="15" t="s">
        <v>265</v>
      </c>
      <c r="AG1" s="15" t="s">
        <v>224</v>
      </c>
      <c r="AH1" s="15" t="s">
        <v>227</v>
      </c>
      <c r="AI1" s="15" t="s">
        <v>225</v>
      </c>
      <c r="AJ1" s="15" t="s">
        <v>228</v>
      </c>
      <c r="AK1" s="15" t="s">
        <v>226</v>
      </c>
      <c r="AL1" s="15" t="s">
        <v>229</v>
      </c>
      <c r="AM1" s="15" t="s">
        <v>240</v>
      </c>
      <c r="AN1" s="15" t="s">
        <v>241</v>
      </c>
      <c r="AO1" s="16" t="s">
        <v>45</v>
      </c>
      <c r="AP1" s="16" t="s">
        <v>36</v>
      </c>
      <c r="AQ1" s="16" t="s">
        <v>37</v>
      </c>
      <c r="AR1" s="16" t="s">
        <v>62</v>
      </c>
      <c r="AS1" s="16" t="s">
        <v>67</v>
      </c>
      <c r="AT1" s="16" t="s">
        <v>900</v>
      </c>
      <c r="AU1" s="16" t="s">
        <v>879</v>
      </c>
      <c r="AV1" s="16" t="s">
        <v>93</v>
      </c>
      <c r="AW1" s="16" t="s">
        <v>233</v>
      </c>
    </row>
    <row r="2" spans="1:49" x14ac:dyDescent="0.15">
      <c r="A2" s="2">
        <v>1</v>
      </c>
      <c r="B2" s="2" t="s">
        <v>242</v>
      </c>
      <c r="C2" s="2" t="s">
        <v>24</v>
      </c>
      <c r="D2" s="2" t="s">
        <v>222</v>
      </c>
      <c r="E2" s="2" t="s">
        <v>627</v>
      </c>
      <c r="H2" s="2" t="s">
        <v>31</v>
      </c>
      <c r="I2" s="2" t="s">
        <v>25</v>
      </c>
      <c r="J2" s="2">
        <v>2006</v>
      </c>
      <c r="K2" s="2">
        <v>6</v>
      </c>
      <c r="L2" s="2">
        <v>2006</v>
      </c>
      <c r="M2" s="2">
        <v>6</v>
      </c>
      <c r="N2" s="3">
        <v>625</v>
      </c>
      <c r="O2" s="3">
        <f>8*21</f>
        <v>168</v>
      </c>
      <c r="P2" s="2">
        <v>29</v>
      </c>
      <c r="Q2" s="2">
        <v>20</v>
      </c>
      <c r="R2" s="2">
        <v>10</v>
      </c>
      <c r="T2" s="3">
        <v>63</v>
      </c>
      <c r="Y2" s="3">
        <v>79.11</v>
      </c>
      <c r="AG2" s="3">
        <v>1.857</v>
      </c>
      <c r="AH2" s="3">
        <v>0.52800000000000002</v>
      </c>
      <c r="AI2" s="3">
        <v>0.30599999999999999</v>
      </c>
      <c r="AJ2" s="3">
        <v>9.8000000000000004E-2</v>
      </c>
      <c r="AK2" s="3">
        <v>0.622</v>
      </c>
      <c r="AL2" s="3">
        <v>0.14099999999999999</v>
      </c>
      <c r="AR2" s="3" t="s">
        <v>60</v>
      </c>
      <c r="AT2" s="3">
        <v>47.75</v>
      </c>
      <c r="AU2" s="3" t="s">
        <v>880</v>
      </c>
      <c r="AW2" s="3" t="s">
        <v>234</v>
      </c>
    </row>
    <row r="3" spans="1:49" x14ac:dyDescent="0.15">
      <c r="A3" s="2">
        <v>2</v>
      </c>
      <c r="B3" s="2" t="s">
        <v>242</v>
      </c>
      <c r="C3" s="2" t="s">
        <v>24</v>
      </c>
      <c r="D3" s="2" t="s">
        <v>222</v>
      </c>
      <c r="E3" s="2" t="s">
        <v>627</v>
      </c>
      <c r="H3" s="2" t="s">
        <v>31</v>
      </c>
      <c r="I3" s="2" t="s">
        <v>25</v>
      </c>
      <c r="J3" s="2">
        <v>2006</v>
      </c>
      <c r="K3" s="2">
        <v>6</v>
      </c>
      <c r="L3" s="2">
        <v>2006</v>
      </c>
      <c r="M3" s="2">
        <v>6</v>
      </c>
      <c r="N3" s="3">
        <v>625</v>
      </c>
      <c r="O3" s="3">
        <v>8</v>
      </c>
      <c r="U3" s="3">
        <v>100.14</v>
      </c>
      <c r="V3" s="3">
        <v>8.27</v>
      </c>
      <c r="W3" s="3">
        <v>0.04</v>
      </c>
      <c r="Y3" s="3">
        <f t="shared" ref="Y3:Y22" si="0">SUM(U3:W3)</f>
        <v>108.45</v>
      </c>
      <c r="AA3" s="3">
        <v>49</v>
      </c>
      <c r="AB3" s="3">
        <v>20.67</v>
      </c>
      <c r="AC3" s="3">
        <v>0.33</v>
      </c>
      <c r="AE3" s="3">
        <v>70</v>
      </c>
      <c r="AG3" s="3">
        <v>2.238</v>
      </c>
      <c r="AI3" s="3">
        <v>0.36499999999999999</v>
      </c>
      <c r="AK3" s="3">
        <v>0.75900000000000001</v>
      </c>
      <c r="AO3" s="3">
        <v>7.46</v>
      </c>
      <c r="AP3" s="3">
        <v>3.23</v>
      </c>
      <c r="AQ3" s="3">
        <v>4.8899999999999997</v>
      </c>
      <c r="AR3" s="3" t="s">
        <v>60</v>
      </c>
      <c r="AT3" s="3">
        <v>47.75</v>
      </c>
      <c r="AU3" s="3" t="s">
        <v>880</v>
      </c>
      <c r="AW3" s="3" t="s">
        <v>234</v>
      </c>
    </row>
    <row r="4" spans="1:49" x14ac:dyDescent="0.15">
      <c r="A4" s="2">
        <v>3</v>
      </c>
      <c r="B4" s="2" t="s">
        <v>242</v>
      </c>
      <c r="C4" s="2" t="s">
        <v>24</v>
      </c>
      <c r="D4" s="2" t="s">
        <v>222</v>
      </c>
      <c r="E4" s="2" t="s">
        <v>627</v>
      </c>
      <c r="H4" s="2" t="s">
        <v>31</v>
      </c>
      <c r="I4" s="2" t="s">
        <v>25</v>
      </c>
      <c r="J4" s="2">
        <v>2006</v>
      </c>
      <c r="K4" s="2">
        <v>6</v>
      </c>
      <c r="L4" s="2">
        <v>2006</v>
      </c>
      <c r="M4" s="2">
        <v>6</v>
      </c>
      <c r="N4" s="3">
        <v>625</v>
      </c>
      <c r="O4" s="3">
        <v>8</v>
      </c>
      <c r="U4" s="3">
        <v>69.33</v>
      </c>
      <c r="V4" s="3">
        <v>1.04</v>
      </c>
      <c r="Y4" s="3">
        <f t="shared" si="0"/>
        <v>70.37</v>
      </c>
      <c r="AA4" s="3">
        <v>29</v>
      </c>
      <c r="AB4" s="3">
        <v>0.33</v>
      </c>
      <c r="AE4" s="3">
        <v>29.33</v>
      </c>
      <c r="AG4" s="3">
        <v>1.8129999999999999</v>
      </c>
      <c r="AI4" s="3">
        <v>0.372</v>
      </c>
      <c r="AK4" s="3">
        <v>0.63800000000000001</v>
      </c>
      <c r="AO4" s="3">
        <v>7.9</v>
      </c>
      <c r="AP4" s="3">
        <v>4.1399999999999997</v>
      </c>
      <c r="AQ4" s="3">
        <v>4.83</v>
      </c>
      <c r="AR4" s="3" t="s">
        <v>60</v>
      </c>
      <c r="AT4" s="3">
        <v>47.75</v>
      </c>
      <c r="AU4" s="3" t="s">
        <v>880</v>
      </c>
      <c r="AW4" s="3" t="s">
        <v>234</v>
      </c>
    </row>
    <row r="5" spans="1:49" x14ac:dyDescent="0.15">
      <c r="A5" s="2">
        <v>4</v>
      </c>
      <c r="B5" s="2" t="s">
        <v>242</v>
      </c>
      <c r="C5" s="2" t="s">
        <v>24</v>
      </c>
      <c r="D5" s="2" t="s">
        <v>222</v>
      </c>
      <c r="E5" s="2" t="s">
        <v>627</v>
      </c>
      <c r="H5" s="2" t="s">
        <v>31</v>
      </c>
      <c r="I5" s="2" t="s">
        <v>25</v>
      </c>
      <c r="J5" s="2">
        <v>2006</v>
      </c>
      <c r="K5" s="2">
        <v>6</v>
      </c>
      <c r="L5" s="2">
        <v>2006</v>
      </c>
      <c r="M5" s="2">
        <v>6</v>
      </c>
      <c r="N5" s="3">
        <v>625</v>
      </c>
      <c r="O5" s="3">
        <v>8</v>
      </c>
      <c r="U5" s="3">
        <v>59.33</v>
      </c>
      <c r="V5" s="3">
        <v>0.62</v>
      </c>
      <c r="Y5" s="3">
        <f t="shared" si="0"/>
        <v>59.949999999999996</v>
      </c>
      <c r="AA5" s="3">
        <v>61.67</v>
      </c>
      <c r="AB5" s="3">
        <v>0.33</v>
      </c>
      <c r="AE5" s="3">
        <v>62</v>
      </c>
      <c r="AG5" s="3">
        <v>0.94599999999999995</v>
      </c>
      <c r="AI5" s="3">
        <v>0.159</v>
      </c>
      <c r="AK5" s="3">
        <v>0.30299999999999999</v>
      </c>
      <c r="AO5" s="3">
        <v>6.98</v>
      </c>
      <c r="AP5" s="3">
        <v>3.57</v>
      </c>
      <c r="AQ5" s="3">
        <v>4.88</v>
      </c>
      <c r="AR5" s="3" t="s">
        <v>60</v>
      </c>
      <c r="AT5" s="3">
        <v>47.75</v>
      </c>
      <c r="AU5" s="3" t="s">
        <v>880</v>
      </c>
      <c r="AW5" s="3" t="s">
        <v>234</v>
      </c>
    </row>
    <row r="6" spans="1:49" x14ac:dyDescent="0.15">
      <c r="A6" s="2">
        <v>5</v>
      </c>
      <c r="B6" s="2" t="s">
        <v>242</v>
      </c>
      <c r="C6" s="2" t="s">
        <v>24</v>
      </c>
      <c r="D6" s="2" t="s">
        <v>222</v>
      </c>
      <c r="E6" s="2" t="s">
        <v>627</v>
      </c>
      <c r="H6" s="2" t="s">
        <v>31</v>
      </c>
      <c r="I6" s="2" t="s">
        <v>25</v>
      </c>
      <c r="J6" s="2">
        <v>2006</v>
      </c>
      <c r="K6" s="2">
        <v>6</v>
      </c>
      <c r="L6" s="2">
        <v>2006</v>
      </c>
      <c r="M6" s="2">
        <v>6</v>
      </c>
      <c r="N6" s="3">
        <v>625</v>
      </c>
      <c r="O6" s="3">
        <v>8</v>
      </c>
      <c r="U6" s="3">
        <v>21.3</v>
      </c>
      <c r="V6" s="3">
        <v>1.1299999999999999</v>
      </c>
      <c r="Y6" s="3">
        <f t="shared" si="0"/>
        <v>22.43</v>
      </c>
      <c r="AA6" s="3">
        <v>29</v>
      </c>
      <c r="AB6" s="3">
        <v>1.67</v>
      </c>
      <c r="AE6" s="3">
        <v>30.67</v>
      </c>
      <c r="AG6" s="3">
        <v>1.54</v>
      </c>
      <c r="AI6" s="3">
        <v>0.312</v>
      </c>
      <c r="AK6" s="3">
        <v>0.49299999999999999</v>
      </c>
      <c r="AO6" s="3">
        <v>7.42</v>
      </c>
      <c r="AP6" s="3">
        <v>2.0499999999999998</v>
      </c>
      <c r="AQ6" s="3">
        <v>4.25</v>
      </c>
      <c r="AR6" s="3" t="s">
        <v>60</v>
      </c>
      <c r="AT6" s="3">
        <v>47.75</v>
      </c>
      <c r="AU6" s="3" t="s">
        <v>880</v>
      </c>
      <c r="AW6" s="3" t="s">
        <v>234</v>
      </c>
    </row>
    <row r="7" spans="1:49" x14ac:dyDescent="0.15">
      <c r="A7" s="2">
        <v>6</v>
      </c>
      <c r="B7" s="2" t="s">
        <v>242</v>
      </c>
      <c r="C7" s="2" t="s">
        <v>24</v>
      </c>
      <c r="D7" s="2" t="s">
        <v>222</v>
      </c>
      <c r="E7" s="2" t="s">
        <v>627</v>
      </c>
      <c r="H7" s="2" t="s">
        <v>31</v>
      </c>
      <c r="I7" s="2" t="s">
        <v>25</v>
      </c>
      <c r="J7" s="2">
        <v>2006</v>
      </c>
      <c r="K7" s="2">
        <v>6</v>
      </c>
      <c r="L7" s="2">
        <v>2006</v>
      </c>
      <c r="M7" s="2">
        <v>6</v>
      </c>
      <c r="N7" s="3">
        <v>625</v>
      </c>
      <c r="O7" s="3">
        <v>8</v>
      </c>
      <c r="U7" s="3">
        <v>47.46</v>
      </c>
      <c r="V7" s="3">
        <v>4</v>
      </c>
      <c r="Y7" s="3">
        <f t="shared" si="0"/>
        <v>51.46</v>
      </c>
      <c r="AA7" s="3">
        <v>44</v>
      </c>
      <c r="AB7" s="3">
        <v>6</v>
      </c>
      <c r="AE7" s="3">
        <v>50</v>
      </c>
      <c r="AG7" s="3">
        <v>1.5780000000000001</v>
      </c>
      <c r="AI7" s="3">
        <v>0.28000000000000003</v>
      </c>
      <c r="AK7" s="3">
        <v>0.496</v>
      </c>
      <c r="AO7" s="3">
        <v>7.38</v>
      </c>
      <c r="AP7" s="3">
        <v>1.44</v>
      </c>
      <c r="AQ7" s="3">
        <v>5.18</v>
      </c>
      <c r="AR7" s="3" t="s">
        <v>60</v>
      </c>
      <c r="AT7" s="3">
        <v>47.75</v>
      </c>
      <c r="AU7" s="3" t="s">
        <v>880</v>
      </c>
      <c r="AW7" s="3" t="s">
        <v>234</v>
      </c>
    </row>
    <row r="8" spans="1:49" x14ac:dyDescent="0.15">
      <c r="A8" s="2">
        <v>7</v>
      </c>
      <c r="B8" s="2" t="s">
        <v>242</v>
      </c>
      <c r="C8" s="2" t="s">
        <v>24</v>
      </c>
      <c r="D8" s="2" t="s">
        <v>222</v>
      </c>
      <c r="E8" s="2" t="s">
        <v>627</v>
      </c>
      <c r="H8" s="2" t="s">
        <v>31</v>
      </c>
      <c r="I8" s="2" t="s">
        <v>25</v>
      </c>
      <c r="J8" s="2">
        <v>2006</v>
      </c>
      <c r="K8" s="2">
        <v>6</v>
      </c>
      <c r="L8" s="2">
        <v>2006</v>
      </c>
      <c r="M8" s="2">
        <v>6</v>
      </c>
      <c r="N8" s="3">
        <v>625</v>
      </c>
      <c r="O8" s="3">
        <v>8</v>
      </c>
      <c r="U8" s="3">
        <v>84.9</v>
      </c>
      <c r="V8" s="3">
        <v>7.27</v>
      </c>
      <c r="Y8" s="3">
        <f t="shared" si="0"/>
        <v>92.17</v>
      </c>
      <c r="AA8" s="3">
        <v>88.33</v>
      </c>
      <c r="AB8" s="3">
        <v>18.670000000000002</v>
      </c>
      <c r="AE8" s="3">
        <v>107</v>
      </c>
      <c r="AG8" s="3">
        <v>1.792</v>
      </c>
      <c r="AI8" s="3">
        <v>0.26600000000000001</v>
      </c>
      <c r="AK8" s="3">
        <v>0.65800000000000003</v>
      </c>
      <c r="AO8" s="3">
        <v>7.6</v>
      </c>
      <c r="AP8" s="3">
        <v>0.92</v>
      </c>
      <c r="AQ8" s="3">
        <v>5.44</v>
      </c>
      <c r="AR8" s="3" t="s">
        <v>60</v>
      </c>
      <c r="AT8" s="3">
        <v>47.75</v>
      </c>
      <c r="AU8" s="3" t="s">
        <v>880</v>
      </c>
      <c r="AW8" s="3" t="s">
        <v>234</v>
      </c>
    </row>
    <row r="9" spans="1:49" x14ac:dyDescent="0.15">
      <c r="A9" s="2">
        <v>8</v>
      </c>
      <c r="B9" s="2" t="s">
        <v>242</v>
      </c>
      <c r="C9" s="2" t="s">
        <v>24</v>
      </c>
      <c r="D9" s="2" t="s">
        <v>222</v>
      </c>
      <c r="E9" s="2" t="s">
        <v>627</v>
      </c>
      <c r="H9" s="2" t="s">
        <v>31</v>
      </c>
      <c r="I9" s="2" t="s">
        <v>25</v>
      </c>
      <c r="J9" s="2">
        <v>2006</v>
      </c>
      <c r="K9" s="2">
        <v>6</v>
      </c>
      <c r="L9" s="2">
        <v>2006</v>
      </c>
      <c r="M9" s="2">
        <v>6</v>
      </c>
      <c r="N9" s="3">
        <v>625</v>
      </c>
      <c r="O9" s="3">
        <v>8</v>
      </c>
      <c r="U9" s="3">
        <v>81.39</v>
      </c>
      <c r="Y9" s="3">
        <f t="shared" si="0"/>
        <v>81.39</v>
      </c>
      <c r="AA9" s="3">
        <v>37.33</v>
      </c>
      <c r="AE9" s="3">
        <v>37.33</v>
      </c>
      <c r="AG9" s="3">
        <v>1.5669999999999999</v>
      </c>
      <c r="AI9" s="3">
        <v>0.3</v>
      </c>
      <c r="AK9" s="3">
        <v>0.63</v>
      </c>
      <c r="AO9" s="3">
        <v>7.25</v>
      </c>
      <c r="AP9" s="3">
        <v>1.03</v>
      </c>
      <c r="AQ9" s="3">
        <v>5.18</v>
      </c>
      <c r="AR9" s="3" t="s">
        <v>60</v>
      </c>
      <c r="AT9" s="3">
        <v>47.75</v>
      </c>
      <c r="AU9" s="3" t="s">
        <v>880</v>
      </c>
      <c r="AW9" s="3" t="s">
        <v>234</v>
      </c>
    </row>
    <row r="10" spans="1:49" x14ac:dyDescent="0.15">
      <c r="A10" s="2">
        <v>9</v>
      </c>
      <c r="B10" s="2" t="s">
        <v>242</v>
      </c>
      <c r="C10" s="2" t="s">
        <v>24</v>
      </c>
      <c r="D10" s="2" t="s">
        <v>222</v>
      </c>
      <c r="E10" s="2" t="s">
        <v>627</v>
      </c>
      <c r="H10" s="2" t="s">
        <v>31</v>
      </c>
      <c r="I10" s="2" t="s">
        <v>25</v>
      </c>
      <c r="J10" s="2">
        <v>2006</v>
      </c>
      <c r="K10" s="2">
        <v>6</v>
      </c>
      <c r="L10" s="2">
        <v>2006</v>
      </c>
      <c r="M10" s="2">
        <v>6</v>
      </c>
      <c r="N10" s="3">
        <v>625</v>
      </c>
      <c r="O10" s="3">
        <v>8</v>
      </c>
      <c r="U10" s="3">
        <v>35.130000000000003</v>
      </c>
      <c r="Y10" s="3">
        <f t="shared" si="0"/>
        <v>35.130000000000003</v>
      </c>
      <c r="AA10" s="3">
        <v>22</v>
      </c>
      <c r="AE10" s="3">
        <v>22</v>
      </c>
      <c r="AG10" s="3">
        <v>1.3340000000000001</v>
      </c>
      <c r="AI10" s="3">
        <v>0.3</v>
      </c>
      <c r="AK10" s="3">
        <v>0.51</v>
      </c>
      <c r="AO10" s="3">
        <v>8.31</v>
      </c>
      <c r="AP10" s="3">
        <v>3.22</v>
      </c>
      <c r="AQ10" s="3">
        <v>5.08</v>
      </c>
      <c r="AR10" s="3" t="s">
        <v>60</v>
      </c>
      <c r="AT10" s="3">
        <v>47.75</v>
      </c>
      <c r="AU10" s="3" t="s">
        <v>880</v>
      </c>
      <c r="AW10" s="3" t="s">
        <v>234</v>
      </c>
    </row>
    <row r="11" spans="1:49" x14ac:dyDescent="0.15">
      <c r="A11" s="2">
        <v>10</v>
      </c>
      <c r="B11" s="2" t="s">
        <v>242</v>
      </c>
      <c r="C11" s="2" t="s">
        <v>24</v>
      </c>
      <c r="D11" s="2" t="s">
        <v>222</v>
      </c>
      <c r="E11" s="2" t="s">
        <v>627</v>
      </c>
      <c r="H11" s="2" t="s">
        <v>31</v>
      </c>
      <c r="I11" s="2" t="s">
        <v>25</v>
      </c>
      <c r="J11" s="2">
        <v>2006</v>
      </c>
      <c r="K11" s="2">
        <v>6</v>
      </c>
      <c r="L11" s="2">
        <v>2006</v>
      </c>
      <c r="M11" s="2">
        <v>6</v>
      </c>
      <c r="N11" s="3">
        <v>625</v>
      </c>
      <c r="O11" s="3">
        <v>8</v>
      </c>
      <c r="U11" s="3">
        <v>33.24</v>
      </c>
      <c r="V11" s="3">
        <v>0.62</v>
      </c>
      <c r="Y11" s="3">
        <f t="shared" si="0"/>
        <v>33.86</v>
      </c>
      <c r="AA11" s="3">
        <v>32.659999999999997</v>
      </c>
      <c r="AB11" s="3">
        <v>7.33</v>
      </c>
      <c r="AE11" s="3">
        <v>40</v>
      </c>
      <c r="AG11" s="3">
        <v>2.4180000000000001</v>
      </c>
      <c r="AI11" s="3">
        <v>0.45400000000000001</v>
      </c>
      <c r="AK11" s="3">
        <v>0.79700000000000004</v>
      </c>
      <c r="AO11" s="3">
        <v>7.68</v>
      </c>
      <c r="AP11" s="3">
        <v>2.5099999999999998</v>
      </c>
      <c r="AQ11" s="3">
        <v>4.9000000000000004</v>
      </c>
      <c r="AR11" s="3" t="s">
        <v>60</v>
      </c>
      <c r="AT11" s="3">
        <v>47.75</v>
      </c>
      <c r="AU11" s="3" t="s">
        <v>880</v>
      </c>
      <c r="AW11" s="3" t="s">
        <v>234</v>
      </c>
    </row>
    <row r="12" spans="1:49" x14ac:dyDescent="0.15">
      <c r="A12" s="2">
        <v>11</v>
      </c>
      <c r="B12" s="2" t="s">
        <v>242</v>
      </c>
      <c r="C12" s="2" t="s">
        <v>24</v>
      </c>
      <c r="D12" s="2" t="s">
        <v>222</v>
      </c>
      <c r="E12" s="2" t="s">
        <v>627</v>
      </c>
      <c r="H12" s="2" t="s">
        <v>31</v>
      </c>
      <c r="I12" s="2" t="s">
        <v>25</v>
      </c>
      <c r="J12" s="2">
        <v>2006</v>
      </c>
      <c r="K12" s="2">
        <v>6</v>
      </c>
      <c r="L12" s="2">
        <v>2006</v>
      </c>
      <c r="M12" s="2">
        <v>6</v>
      </c>
      <c r="N12" s="3">
        <v>625</v>
      </c>
      <c r="O12" s="3">
        <v>8</v>
      </c>
      <c r="U12" s="3">
        <v>15.3</v>
      </c>
      <c r="V12" s="3">
        <v>8</v>
      </c>
      <c r="Y12" s="3">
        <f t="shared" si="0"/>
        <v>23.3</v>
      </c>
      <c r="AA12" s="3">
        <v>4</v>
      </c>
      <c r="AB12" s="3">
        <v>8</v>
      </c>
      <c r="AE12" s="3">
        <v>12</v>
      </c>
      <c r="AG12" s="3">
        <v>1.1359999999999999</v>
      </c>
      <c r="AI12" s="3">
        <v>0.317</v>
      </c>
      <c r="AK12" s="3">
        <v>0.47499999999999998</v>
      </c>
      <c r="AO12" s="3">
        <v>7.3</v>
      </c>
      <c r="AP12" s="3">
        <v>3.04</v>
      </c>
      <c r="AQ12" s="3">
        <v>4.97</v>
      </c>
      <c r="AR12" s="3" t="s">
        <v>60</v>
      </c>
      <c r="AT12" s="3">
        <v>47.75</v>
      </c>
      <c r="AU12" s="3" t="s">
        <v>880</v>
      </c>
      <c r="AW12" s="3" t="s">
        <v>234</v>
      </c>
    </row>
    <row r="13" spans="1:49" x14ac:dyDescent="0.15">
      <c r="A13" s="2">
        <v>12</v>
      </c>
      <c r="B13" s="2" t="s">
        <v>242</v>
      </c>
      <c r="C13" s="2" t="s">
        <v>24</v>
      </c>
      <c r="D13" s="2" t="s">
        <v>222</v>
      </c>
      <c r="E13" s="2" t="s">
        <v>627</v>
      </c>
      <c r="H13" s="2" t="s">
        <v>31</v>
      </c>
      <c r="I13" s="2" t="s">
        <v>25</v>
      </c>
      <c r="J13" s="2">
        <v>2006</v>
      </c>
      <c r="K13" s="2">
        <v>6</v>
      </c>
      <c r="L13" s="2">
        <v>2006</v>
      </c>
      <c r="M13" s="2">
        <v>6</v>
      </c>
      <c r="N13" s="3">
        <v>625</v>
      </c>
      <c r="O13" s="3">
        <v>8</v>
      </c>
      <c r="U13" s="3">
        <v>38.03</v>
      </c>
      <c r="V13" s="3">
        <v>0.56999999999999995</v>
      </c>
      <c r="Y13" s="3">
        <f t="shared" si="0"/>
        <v>38.6</v>
      </c>
      <c r="AA13" s="3">
        <v>10</v>
      </c>
      <c r="AB13" s="3">
        <v>7.33</v>
      </c>
      <c r="AE13" s="3">
        <v>17.329999999999998</v>
      </c>
      <c r="AG13" s="3">
        <v>2.012</v>
      </c>
      <c r="AI13" s="3">
        <v>0.48899999999999999</v>
      </c>
      <c r="AK13" s="3">
        <v>0.7</v>
      </c>
      <c r="AO13" s="3">
        <v>8.07</v>
      </c>
      <c r="AP13" s="3">
        <v>7.11</v>
      </c>
      <c r="AQ13" s="3">
        <v>5.8</v>
      </c>
      <c r="AR13" s="3" t="s">
        <v>60</v>
      </c>
      <c r="AT13" s="3">
        <v>47.75</v>
      </c>
      <c r="AU13" s="3" t="s">
        <v>880</v>
      </c>
      <c r="AW13" s="3" t="s">
        <v>234</v>
      </c>
    </row>
    <row r="14" spans="1:49" x14ac:dyDescent="0.15">
      <c r="A14" s="2">
        <v>13</v>
      </c>
      <c r="B14" s="2" t="s">
        <v>1008</v>
      </c>
      <c r="C14" s="2" t="s">
        <v>24</v>
      </c>
      <c r="D14" s="2" t="s">
        <v>222</v>
      </c>
      <c r="E14" s="2" t="s">
        <v>627</v>
      </c>
      <c r="H14" s="2" t="s">
        <v>31</v>
      </c>
      <c r="I14" s="2" t="s">
        <v>25</v>
      </c>
      <c r="J14" s="2">
        <v>2006</v>
      </c>
      <c r="K14" s="2">
        <v>6</v>
      </c>
      <c r="L14" s="2">
        <v>2006</v>
      </c>
      <c r="M14" s="2">
        <v>6</v>
      </c>
      <c r="N14" s="3">
        <v>625</v>
      </c>
      <c r="O14" s="3">
        <v>8</v>
      </c>
      <c r="U14" s="3">
        <v>16.13</v>
      </c>
      <c r="V14" s="3">
        <v>45.84</v>
      </c>
      <c r="W14" s="3">
        <v>0.93</v>
      </c>
      <c r="Y14" s="3">
        <f t="shared" si="0"/>
        <v>62.9</v>
      </c>
      <c r="AA14" s="3">
        <v>6</v>
      </c>
      <c r="AB14" s="3">
        <v>82</v>
      </c>
      <c r="AC14" s="3">
        <v>13.33</v>
      </c>
      <c r="AE14" s="3">
        <v>101.33</v>
      </c>
      <c r="AG14" s="3">
        <v>2.3260000000000001</v>
      </c>
      <c r="AI14" s="3">
        <v>0.34899999999999998</v>
      </c>
      <c r="AK14" s="3">
        <v>0.74299999999999999</v>
      </c>
      <c r="AO14" s="3">
        <v>6.82</v>
      </c>
      <c r="AP14" s="3">
        <v>10.76</v>
      </c>
      <c r="AQ14" s="3">
        <v>6.55</v>
      </c>
      <c r="AR14" s="3" t="s">
        <v>60</v>
      </c>
      <c r="AT14" s="3">
        <v>47.75</v>
      </c>
      <c r="AU14" s="3" t="s">
        <v>880</v>
      </c>
      <c r="AW14" s="3" t="s">
        <v>234</v>
      </c>
    </row>
    <row r="15" spans="1:49" x14ac:dyDescent="0.15">
      <c r="A15" s="2">
        <v>14</v>
      </c>
      <c r="B15" s="2" t="s">
        <v>242</v>
      </c>
      <c r="C15" s="2" t="s">
        <v>24</v>
      </c>
      <c r="D15" s="2" t="s">
        <v>222</v>
      </c>
      <c r="E15" s="2" t="s">
        <v>627</v>
      </c>
      <c r="H15" s="2" t="s">
        <v>31</v>
      </c>
      <c r="I15" s="2" t="s">
        <v>25</v>
      </c>
      <c r="J15" s="2">
        <v>2006</v>
      </c>
      <c r="K15" s="2">
        <v>6</v>
      </c>
      <c r="L15" s="2">
        <v>2006</v>
      </c>
      <c r="M15" s="2">
        <v>6</v>
      </c>
      <c r="N15" s="3">
        <v>625</v>
      </c>
      <c r="O15" s="3">
        <v>8</v>
      </c>
      <c r="U15" s="3">
        <v>88.34</v>
      </c>
      <c r="V15" s="3">
        <v>24.98</v>
      </c>
      <c r="Y15" s="3">
        <f t="shared" si="0"/>
        <v>113.32000000000001</v>
      </c>
      <c r="AA15" s="3">
        <v>60</v>
      </c>
      <c r="AB15" s="3">
        <v>68.67</v>
      </c>
      <c r="AE15" s="3">
        <v>128.33000000000001</v>
      </c>
      <c r="AG15" s="3">
        <v>2.0550000000000002</v>
      </c>
      <c r="AI15" s="3">
        <v>0.29299999999999998</v>
      </c>
      <c r="AK15" s="3">
        <v>0.68500000000000005</v>
      </c>
      <c r="AO15" s="3">
        <v>7.86</v>
      </c>
      <c r="AP15" s="3">
        <v>9.18</v>
      </c>
      <c r="AQ15" s="3">
        <v>6.38</v>
      </c>
      <c r="AR15" s="3" t="s">
        <v>60</v>
      </c>
      <c r="AT15" s="3">
        <v>47.75</v>
      </c>
      <c r="AU15" s="3" t="s">
        <v>880</v>
      </c>
      <c r="AW15" s="3" t="s">
        <v>234</v>
      </c>
    </row>
    <row r="16" spans="1:49" x14ac:dyDescent="0.15">
      <c r="A16" s="2">
        <v>15</v>
      </c>
      <c r="B16" s="2" t="s">
        <v>242</v>
      </c>
      <c r="C16" s="2" t="s">
        <v>24</v>
      </c>
      <c r="D16" s="2" t="s">
        <v>222</v>
      </c>
      <c r="E16" s="2" t="s">
        <v>627</v>
      </c>
      <c r="H16" s="2" t="s">
        <v>31</v>
      </c>
      <c r="I16" s="2" t="s">
        <v>25</v>
      </c>
      <c r="J16" s="2">
        <v>2006</v>
      </c>
      <c r="K16" s="2">
        <v>6</v>
      </c>
      <c r="L16" s="2">
        <v>2006</v>
      </c>
      <c r="M16" s="2">
        <v>6</v>
      </c>
      <c r="N16" s="3">
        <v>625</v>
      </c>
      <c r="O16" s="3">
        <v>8</v>
      </c>
      <c r="U16" s="3">
        <v>45.92</v>
      </c>
      <c r="V16" s="3">
        <v>63.03</v>
      </c>
      <c r="W16" s="3">
        <v>0.71</v>
      </c>
      <c r="Y16" s="3">
        <f t="shared" si="0"/>
        <v>109.66</v>
      </c>
      <c r="AA16" s="3">
        <v>32</v>
      </c>
      <c r="AB16" s="3">
        <v>341</v>
      </c>
      <c r="AC16" s="3">
        <v>23.67</v>
      </c>
      <c r="AE16" s="3">
        <v>396.67</v>
      </c>
      <c r="AG16" s="3">
        <v>2.2349999999999999</v>
      </c>
      <c r="AI16" s="3">
        <v>0.25900000000000001</v>
      </c>
      <c r="AK16" s="3">
        <v>0.68500000000000005</v>
      </c>
      <c r="AO16" s="3">
        <v>7.24</v>
      </c>
      <c r="AP16" s="3">
        <v>8.0500000000000007</v>
      </c>
      <c r="AQ16" s="3">
        <v>6.2</v>
      </c>
      <c r="AR16" s="3" t="s">
        <v>60</v>
      </c>
      <c r="AT16" s="3">
        <v>47.75</v>
      </c>
      <c r="AU16" s="3" t="s">
        <v>880</v>
      </c>
      <c r="AW16" s="3" t="s">
        <v>234</v>
      </c>
    </row>
    <row r="17" spans="1:49" x14ac:dyDescent="0.15">
      <c r="A17" s="2">
        <v>16</v>
      </c>
      <c r="B17" s="2" t="s">
        <v>242</v>
      </c>
      <c r="C17" s="2" t="s">
        <v>24</v>
      </c>
      <c r="D17" s="2" t="s">
        <v>222</v>
      </c>
      <c r="E17" s="2" t="s">
        <v>627</v>
      </c>
      <c r="H17" s="2" t="s">
        <v>31</v>
      </c>
      <c r="I17" s="2" t="s">
        <v>25</v>
      </c>
      <c r="J17" s="2">
        <v>2006</v>
      </c>
      <c r="K17" s="2">
        <v>6</v>
      </c>
      <c r="L17" s="2">
        <v>2006</v>
      </c>
      <c r="M17" s="2">
        <v>6</v>
      </c>
      <c r="N17" s="3">
        <v>625</v>
      </c>
      <c r="O17" s="3">
        <v>8</v>
      </c>
      <c r="U17" s="3">
        <v>54.32</v>
      </c>
      <c r="V17" s="3">
        <v>53.42</v>
      </c>
      <c r="W17" s="3">
        <v>2.89</v>
      </c>
      <c r="Y17" s="3">
        <f t="shared" si="0"/>
        <v>110.63000000000001</v>
      </c>
      <c r="AA17" s="3">
        <v>21.33</v>
      </c>
      <c r="AB17" s="3">
        <v>108.33</v>
      </c>
      <c r="AC17" s="3">
        <v>87.33</v>
      </c>
      <c r="AE17" s="3">
        <v>217</v>
      </c>
      <c r="AG17" s="3">
        <v>2.7829999999999999</v>
      </c>
      <c r="AI17" s="3">
        <v>0.35899999999999999</v>
      </c>
      <c r="AK17" s="3">
        <v>0.76500000000000001</v>
      </c>
      <c r="AO17" s="3">
        <v>7.38</v>
      </c>
      <c r="AP17" s="3">
        <v>8.4499999999999993</v>
      </c>
      <c r="AQ17" s="3">
        <v>5.97</v>
      </c>
      <c r="AR17" s="3" t="s">
        <v>60</v>
      </c>
      <c r="AT17" s="3">
        <v>47.75</v>
      </c>
      <c r="AU17" s="3" t="s">
        <v>880</v>
      </c>
      <c r="AW17" s="3" t="s">
        <v>234</v>
      </c>
    </row>
    <row r="18" spans="1:49" x14ac:dyDescent="0.15">
      <c r="A18" s="2">
        <v>17</v>
      </c>
      <c r="B18" s="2" t="s">
        <v>242</v>
      </c>
      <c r="C18" s="2" t="s">
        <v>24</v>
      </c>
      <c r="D18" s="2" t="s">
        <v>222</v>
      </c>
      <c r="E18" s="2" t="s">
        <v>627</v>
      </c>
      <c r="H18" s="2" t="s">
        <v>31</v>
      </c>
      <c r="I18" s="2" t="s">
        <v>25</v>
      </c>
      <c r="J18" s="2">
        <v>2006</v>
      </c>
      <c r="K18" s="2">
        <v>6</v>
      </c>
      <c r="L18" s="2">
        <v>2006</v>
      </c>
      <c r="M18" s="2">
        <v>6</v>
      </c>
      <c r="N18" s="3">
        <v>625</v>
      </c>
      <c r="O18" s="3">
        <v>8</v>
      </c>
      <c r="U18" s="3">
        <v>171.81</v>
      </c>
      <c r="V18" s="3">
        <v>31.52</v>
      </c>
      <c r="W18" s="3">
        <v>7.26</v>
      </c>
      <c r="Y18" s="3">
        <f t="shared" si="0"/>
        <v>210.59</v>
      </c>
      <c r="AA18" s="3">
        <v>108.67</v>
      </c>
      <c r="AB18" s="3">
        <v>60.67</v>
      </c>
      <c r="AC18" s="3">
        <v>199.33</v>
      </c>
      <c r="AE18" s="3">
        <v>368.67</v>
      </c>
      <c r="AG18" s="3">
        <v>2.1890000000000001</v>
      </c>
      <c r="AI18" s="3">
        <v>0.25700000000000001</v>
      </c>
      <c r="AK18" s="3">
        <v>0.66100000000000003</v>
      </c>
      <c r="AO18" s="3">
        <v>7.29</v>
      </c>
      <c r="AP18" s="3">
        <v>9.7100000000000009</v>
      </c>
      <c r="AQ18" s="3">
        <v>5.71</v>
      </c>
      <c r="AR18" s="3" t="s">
        <v>60</v>
      </c>
      <c r="AT18" s="3">
        <v>47.75</v>
      </c>
      <c r="AU18" s="3" t="s">
        <v>880</v>
      </c>
      <c r="AW18" s="3" t="s">
        <v>234</v>
      </c>
    </row>
    <row r="19" spans="1:49" x14ac:dyDescent="0.15">
      <c r="A19" s="2">
        <v>18</v>
      </c>
      <c r="B19" s="2" t="s">
        <v>242</v>
      </c>
      <c r="C19" s="2" t="s">
        <v>24</v>
      </c>
      <c r="D19" s="2" t="s">
        <v>222</v>
      </c>
      <c r="E19" s="2" t="s">
        <v>627</v>
      </c>
      <c r="H19" s="2" t="s">
        <v>31</v>
      </c>
      <c r="I19" s="2" t="s">
        <v>25</v>
      </c>
      <c r="J19" s="2">
        <v>2006</v>
      </c>
      <c r="K19" s="2">
        <v>6</v>
      </c>
      <c r="L19" s="2">
        <v>2006</v>
      </c>
      <c r="M19" s="2">
        <v>6</v>
      </c>
      <c r="N19" s="3">
        <v>625</v>
      </c>
      <c r="O19" s="3">
        <v>8</v>
      </c>
      <c r="U19" s="3">
        <v>92.55</v>
      </c>
      <c r="V19" s="3">
        <v>55.56</v>
      </c>
      <c r="W19" s="3">
        <v>0.95</v>
      </c>
      <c r="Y19" s="3">
        <f t="shared" si="0"/>
        <v>149.06</v>
      </c>
      <c r="AA19" s="3">
        <v>71.67</v>
      </c>
      <c r="AB19" s="3">
        <v>433.67</v>
      </c>
      <c r="AC19" s="3">
        <v>4.33</v>
      </c>
      <c r="AE19" s="3">
        <v>509.67</v>
      </c>
      <c r="AG19" s="3">
        <v>1.373</v>
      </c>
      <c r="AI19" s="3">
        <v>0.153</v>
      </c>
      <c r="AK19" s="3">
        <v>0.38800000000000001</v>
      </c>
      <c r="AO19" s="3">
        <v>7.38</v>
      </c>
      <c r="AP19" s="3">
        <v>3.83</v>
      </c>
      <c r="AQ19" s="3">
        <v>4.99</v>
      </c>
      <c r="AR19" s="3" t="s">
        <v>60</v>
      </c>
      <c r="AT19" s="3">
        <v>47.75</v>
      </c>
      <c r="AU19" s="3" t="s">
        <v>880</v>
      </c>
      <c r="AW19" s="3" t="s">
        <v>234</v>
      </c>
    </row>
    <row r="20" spans="1:49" x14ac:dyDescent="0.15">
      <c r="A20" s="2">
        <v>19</v>
      </c>
      <c r="B20" s="2" t="s">
        <v>242</v>
      </c>
      <c r="C20" s="2" t="s">
        <v>24</v>
      </c>
      <c r="D20" s="2" t="s">
        <v>222</v>
      </c>
      <c r="E20" s="2" t="s">
        <v>627</v>
      </c>
      <c r="H20" s="2" t="s">
        <v>31</v>
      </c>
      <c r="I20" s="2" t="s">
        <v>25</v>
      </c>
      <c r="J20" s="2">
        <v>2006</v>
      </c>
      <c r="K20" s="2">
        <v>6</v>
      </c>
      <c r="L20" s="2">
        <v>2006</v>
      </c>
      <c r="M20" s="2">
        <v>6</v>
      </c>
      <c r="N20" s="3">
        <v>625</v>
      </c>
      <c r="O20" s="3">
        <v>8</v>
      </c>
      <c r="U20" s="3">
        <v>47.43</v>
      </c>
      <c r="V20" s="3">
        <v>7.73</v>
      </c>
      <c r="W20" s="3">
        <v>0.72</v>
      </c>
      <c r="Y20" s="3">
        <f t="shared" si="0"/>
        <v>55.879999999999995</v>
      </c>
      <c r="AA20" s="3">
        <v>52.67</v>
      </c>
      <c r="AB20" s="3">
        <v>38.33</v>
      </c>
      <c r="AC20" s="3">
        <v>20</v>
      </c>
      <c r="AE20" s="3">
        <v>111</v>
      </c>
      <c r="AG20" s="3">
        <v>2.4060000000000001</v>
      </c>
      <c r="AI20" s="3">
        <v>0.35399999999999998</v>
      </c>
      <c r="AK20" s="3">
        <v>0.754</v>
      </c>
      <c r="AO20" s="3">
        <v>7.79</v>
      </c>
      <c r="AP20" s="3">
        <v>4.74</v>
      </c>
      <c r="AQ20" s="3">
        <v>4.78</v>
      </c>
      <c r="AR20" s="3" t="s">
        <v>60</v>
      </c>
      <c r="AT20" s="3">
        <v>47.75</v>
      </c>
      <c r="AU20" s="3" t="s">
        <v>880</v>
      </c>
      <c r="AW20" s="3" t="s">
        <v>234</v>
      </c>
    </row>
    <row r="21" spans="1:49" x14ac:dyDescent="0.15">
      <c r="A21" s="2">
        <v>20</v>
      </c>
      <c r="B21" s="2" t="s">
        <v>242</v>
      </c>
      <c r="C21" s="2" t="s">
        <v>24</v>
      </c>
      <c r="D21" s="2" t="s">
        <v>222</v>
      </c>
      <c r="E21" s="2" t="s">
        <v>627</v>
      </c>
      <c r="H21" s="2" t="s">
        <v>31</v>
      </c>
      <c r="I21" s="2" t="s">
        <v>25</v>
      </c>
      <c r="J21" s="2">
        <v>2006</v>
      </c>
      <c r="K21" s="2">
        <v>6</v>
      </c>
      <c r="L21" s="2">
        <v>2006</v>
      </c>
      <c r="M21" s="2">
        <v>6</v>
      </c>
      <c r="N21" s="3">
        <v>625</v>
      </c>
      <c r="O21" s="3">
        <v>8</v>
      </c>
      <c r="U21" s="3">
        <v>61.67</v>
      </c>
      <c r="V21" s="3">
        <v>38.43</v>
      </c>
      <c r="W21" s="3">
        <v>0.97</v>
      </c>
      <c r="Y21" s="3">
        <f t="shared" si="0"/>
        <v>101.07</v>
      </c>
      <c r="AA21" s="3">
        <v>20</v>
      </c>
      <c r="AB21" s="3">
        <v>47.33</v>
      </c>
      <c r="AC21" s="3">
        <v>7.67</v>
      </c>
      <c r="AE21" s="3">
        <v>75</v>
      </c>
      <c r="AG21" s="3">
        <v>2.6059999999999999</v>
      </c>
      <c r="AI21" s="3">
        <v>0.46700000000000003</v>
      </c>
      <c r="AK21" s="3">
        <v>0.79300000000000004</v>
      </c>
      <c r="AO21" s="3">
        <v>8.01</v>
      </c>
      <c r="AP21" s="3">
        <v>2.25</v>
      </c>
      <c r="AQ21" s="3">
        <v>5.24</v>
      </c>
      <c r="AR21" s="3" t="s">
        <v>60</v>
      </c>
      <c r="AT21" s="3">
        <v>47.75</v>
      </c>
      <c r="AU21" s="3" t="s">
        <v>880</v>
      </c>
      <c r="AW21" s="3" t="s">
        <v>234</v>
      </c>
    </row>
    <row r="22" spans="1:49" x14ac:dyDescent="0.15">
      <c r="A22" s="2">
        <v>21</v>
      </c>
      <c r="B22" s="2" t="s">
        <v>242</v>
      </c>
      <c r="C22" s="2" t="s">
        <v>24</v>
      </c>
      <c r="D22" s="2" t="s">
        <v>222</v>
      </c>
      <c r="E22" s="2" t="s">
        <v>627</v>
      </c>
      <c r="H22" s="2" t="s">
        <v>31</v>
      </c>
      <c r="I22" s="2" t="s">
        <v>25</v>
      </c>
      <c r="J22" s="2">
        <v>2006</v>
      </c>
      <c r="K22" s="2">
        <v>6</v>
      </c>
      <c r="L22" s="2">
        <v>2006</v>
      </c>
      <c r="M22" s="2">
        <v>6</v>
      </c>
      <c r="N22" s="3">
        <v>625</v>
      </c>
      <c r="O22" s="3">
        <v>8</v>
      </c>
      <c r="U22" s="3">
        <v>119.05</v>
      </c>
      <c r="V22" s="3">
        <v>1.59</v>
      </c>
      <c r="Y22" s="3">
        <f t="shared" si="0"/>
        <v>120.64</v>
      </c>
      <c r="AA22" s="3">
        <v>261.33</v>
      </c>
      <c r="AB22" s="3">
        <v>4</v>
      </c>
      <c r="AE22" s="3">
        <v>265.33</v>
      </c>
      <c r="AG22" s="3">
        <v>1.147</v>
      </c>
      <c r="AI22" s="3">
        <v>0.14199999999999999</v>
      </c>
      <c r="AK22" s="3">
        <v>0.45800000000000002</v>
      </c>
      <c r="AO22" s="3">
        <v>7.73</v>
      </c>
      <c r="AP22" s="3">
        <v>2.94</v>
      </c>
      <c r="AQ22" s="3">
        <v>4.99</v>
      </c>
      <c r="AR22" s="3" t="s">
        <v>60</v>
      </c>
      <c r="AT22" s="3">
        <v>47.75</v>
      </c>
      <c r="AU22" s="3" t="s">
        <v>880</v>
      </c>
      <c r="AW22" s="3" t="s">
        <v>234</v>
      </c>
    </row>
    <row r="23" spans="1:49" x14ac:dyDescent="0.15">
      <c r="A23" s="2">
        <v>22</v>
      </c>
      <c r="B23" s="2" t="s">
        <v>242</v>
      </c>
      <c r="C23" s="2" t="s">
        <v>24</v>
      </c>
      <c r="D23" s="2" t="s">
        <v>222</v>
      </c>
      <c r="E23" s="2" t="s">
        <v>627</v>
      </c>
      <c r="H23" s="2" t="s">
        <v>31</v>
      </c>
      <c r="I23" s="2" t="s">
        <v>25</v>
      </c>
      <c r="J23" s="2">
        <v>2006</v>
      </c>
      <c r="K23" s="2">
        <v>6</v>
      </c>
      <c r="L23" s="2">
        <v>2006</v>
      </c>
      <c r="M23" s="2">
        <v>6</v>
      </c>
      <c r="N23" s="3">
        <v>625</v>
      </c>
      <c r="O23" s="3">
        <v>8</v>
      </c>
      <c r="U23" s="3">
        <v>34.71</v>
      </c>
      <c r="V23" s="3">
        <v>6.59</v>
      </c>
      <c r="W23" s="3">
        <v>4.68</v>
      </c>
      <c r="Y23" s="3">
        <v>46.98</v>
      </c>
      <c r="AA23" s="3">
        <v>61.33</v>
      </c>
      <c r="AB23" s="3">
        <v>81.33</v>
      </c>
      <c r="AC23" s="3">
        <v>138</v>
      </c>
      <c r="AE23" s="3">
        <v>280.67</v>
      </c>
      <c r="AG23" s="3">
        <v>1.387</v>
      </c>
      <c r="AI23" s="3">
        <v>0.17100000000000001</v>
      </c>
      <c r="AK23" s="3">
        <v>0.66</v>
      </c>
      <c r="AO23" s="3">
        <v>7.7</v>
      </c>
      <c r="AP23" s="3">
        <v>1.67</v>
      </c>
      <c r="AQ23" s="3">
        <v>4.42</v>
      </c>
      <c r="AR23" s="3" t="s">
        <v>60</v>
      </c>
      <c r="AT23" s="3">
        <v>47.75</v>
      </c>
      <c r="AU23" s="3" t="s">
        <v>880</v>
      </c>
      <c r="AW23" s="3" t="s">
        <v>234</v>
      </c>
    </row>
    <row r="24" spans="1:49" x14ac:dyDescent="0.15">
      <c r="A24" s="2">
        <v>23</v>
      </c>
      <c r="B24" s="2" t="s">
        <v>243</v>
      </c>
      <c r="C24" s="2" t="s">
        <v>848</v>
      </c>
      <c r="D24" s="2" t="s">
        <v>231</v>
      </c>
      <c r="E24" s="2" t="s">
        <v>256</v>
      </c>
      <c r="F24" s="2" t="s">
        <v>122</v>
      </c>
      <c r="G24" s="2">
        <v>10</v>
      </c>
      <c r="H24" s="2" t="s">
        <v>31</v>
      </c>
      <c r="I24" s="2" t="s">
        <v>25</v>
      </c>
      <c r="J24" s="2">
        <v>2006</v>
      </c>
      <c r="K24" s="2">
        <v>2</v>
      </c>
      <c r="L24" s="2">
        <v>2006</v>
      </c>
      <c r="M24" s="2">
        <v>11</v>
      </c>
      <c r="N24" s="3">
        <v>1000</v>
      </c>
      <c r="O24" s="3">
        <v>80</v>
      </c>
      <c r="T24" s="3">
        <v>27</v>
      </c>
      <c r="AG24" s="3">
        <v>1.927</v>
      </c>
      <c r="AH24" s="3">
        <v>0.36</v>
      </c>
      <c r="AI24" s="3">
        <v>0.84499999999999997</v>
      </c>
      <c r="AJ24" s="3">
        <v>6.5000000000000002E-2</v>
      </c>
      <c r="AK24" s="3">
        <v>0.20799999999999999</v>
      </c>
      <c r="AL24" s="3">
        <v>8.8999999999999996E-2</v>
      </c>
      <c r="AR24" s="3" t="s">
        <v>63</v>
      </c>
      <c r="AT24" s="3">
        <v>47.75</v>
      </c>
      <c r="AU24" s="3" t="s">
        <v>880</v>
      </c>
      <c r="AW24" s="3" t="s">
        <v>235</v>
      </c>
    </row>
    <row r="25" spans="1:49" x14ac:dyDescent="0.15">
      <c r="A25" s="2">
        <v>24</v>
      </c>
      <c r="B25" s="2" t="s">
        <v>243</v>
      </c>
      <c r="C25" s="2" t="s">
        <v>848</v>
      </c>
      <c r="D25" s="2" t="s">
        <v>232</v>
      </c>
      <c r="E25" s="2" t="s">
        <v>627</v>
      </c>
      <c r="H25" s="2" t="s">
        <v>31</v>
      </c>
      <c r="I25" s="2" t="s">
        <v>25</v>
      </c>
      <c r="J25" s="2">
        <v>2006</v>
      </c>
      <c r="K25" s="2">
        <v>2</v>
      </c>
      <c r="L25" s="2">
        <v>2006</v>
      </c>
      <c r="M25" s="2">
        <v>11</v>
      </c>
      <c r="N25" s="3">
        <v>1000</v>
      </c>
      <c r="O25" s="3">
        <v>80</v>
      </c>
      <c r="P25" s="2">
        <v>13</v>
      </c>
      <c r="Q25" s="2">
        <v>12</v>
      </c>
      <c r="R25" s="2">
        <v>5</v>
      </c>
      <c r="T25" s="3">
        <v>32</v>
      </c>
      <c r="AG25" s="3">
        <v>2.173</v>
      </c>
      <c r="AH25" s="3">
        <v>0.44700000000000001</v>
      </c>
      <c r="AI25" s="3">
        <v>0.92600000000000005</v>
      </c>
      <c r="AJ25" s="3">
        <v>3.5999999999999997E-2</v>
      </c>
      <c r="AK25" s="3">
        <v>0.13900000000000001</v>
      </c>
      <c r="AL25" s="3">
        <v>6.0999999999999999E-2</v>
      </c>
      <c r="AR25" s="3" t="s">
        <v>63</v>
      </c>
      <c r="AT25" s="3">
        <v>47.75</v>
      </c>
      <c r="AU25" s="3" t="s">
        <v>880</v>
      </c>
      <c r="AW25" s="3" t="s">
        <v>235</v>
      </c>
    </row>
    <row r="26" spans="1:49" x14ac:dyDescent="0.15">
      <c r="A26" s="2">
        <v>25</v>
      </c>
      <c r="B26" s="2" t="s">
        <v>244</v>
      </c>
      <c r="C26" s="2" t="s">
        <v>41</v>
      </c>
      <c r="D26" s="2" t="s">
        <v>232</v>
      </c>
      <c r="E26" s="2" t="s">
        <v>627</v>
      </c>
      <c r="H26" s="2" t="s">
        <v>844</v>
      </c>
      <c r="I26" s="2" t="s">
        <v>25</v>
      </c>
      <c r="J26" s="2">
        <v>2003</v>
      </c>
      <c r="K26" s="2">
        <v>11</v>
      </c>
      <c r="L26" s="2">
        <v>2003</v>
      </c>
      <c r="M26" s="2">
        <v>11</v>
      </c>
      <c r="N26" s="3">
        <v>1000</v>
      </c>
      <c r="O26" s="3">
        <v>5</v>
      </c>
      <c r="T26" s="3">
        <v>9</v>
      </c>
      <c r="Y26" s="3">
        <v>36</v>
      </c>
      <c r="AE26" s="3">
        <v>186</v>
      </c>
      <c r="AG26" s="3">
        <v>1.51</v>
      </c>
      <c r="AI26" s="3">
        <v>0.71</v>
      </c>
      <c r="AK26" s="3">
        <v>0.3</v>
      </c>
      <c r="AR26" s="3" t="s">
        <v>64</v>
      </c>
      <c r="AT26" s="3">
        <v>47.75</v>
      </c>
      <c r="AU26" s="3" t="s">
        <v>880</v>
      </c>
      <c r="AW26" s="3" t="s">
        <v>234</v>
      </c>
    </row>
    <row r="27" spans="1:49" x14ac:dyDescent="0.15">
      <c r="A27" s="2">
        <v>26</v>
      </c>
      <c r="B27" s="2" t="s">
        <v>244</v>
      </c>
      <c r="C27" s="2" t="s">
        <v>41</v>
      </c>
      <c r="D27" s="2" t="s">
        <v>232</v>
      </c>
      <c r="E27" s="2" t="s">
        <v>627</v>
      </c>
      <c r="H27" s="2" t="s">
        <v>844</v>
      </c>
      <c r="I27" s="2" t="s">
        <v>25</v>
      </c>
      <c r="J27" s="2">
        <v>2004</v>
      </c>
      <c r="K27" s="2">
        <v>1</v>
      </c>
      <c r="L27" s="2">
        <v>2004</v>
      </c>
      <c r="M27" s="2">
        <v>1</v>
      </c>
      <c r="N27" s="3">
        <v>1000</v>
      </c>
      <c r="O27" s="3">
        <v>5</v>
      </c>
      <c r="T27" s="3">
        <v>7</v>
      </c>
      <c r="Y27" s="3">
        <v>50.19</v>
      </c>
      <c r="AE27" s="3">
        <v>124</v>
      </c>
      <c r="AG27" s="3">
        <v>2.17</v>
      </c>
      <c r="AI27" s="3">
        <v>0.85</v>
      </c>
      <c r="AK27" s="3">
        <v>0.15</v>
      </c>
      <c r="AR27" s="3" t="s">
        <v>64</v>
      </c>
      <c r="AT27" s="3">
        <v>47.75</v>
      </c>
      <c r="AU27" s="3" t="s">
        <v>880</v>
      </c>
      <c r="AW27" s="3" t="s">
        <v>234</v>
      </c>
    </row>
    <row r="28" spans="1:49" x14ac:dyDescent="0.15">
      <c r="A28" s="2">
        <v>27</v>
      </c>
      <c r="B28" s="2" t="s">
        <v>244</v>
      </c>
      <c r="C28" s="2" t="s">
        <v>41</v>
      </c>
      <c r="D28" s="2" t="s">
        <v>232</v>
      </c>
      <c r="E28" s="2" t="s">
        <v>627</v>
      </c>
      <c r="H28" s="2" t="s">
        <v>844</v>
      </c>
      <c r="I28" s="2" t="s">
        <v>25</v>
      </c>
      <c r="J28" s="2">
        <v>2004</v>
      </c>
      <c r="K28" s="2">
        <v>4</v>
      </c>
      <c r="L28" s="2">
        <v>2004</v>
      </c>
      <c r="M28" s="2">
        <v>4</v>
      </c>
      <c r="N28" s="3">
        <v>1000</v>
      </c>
      <c r="O28" s="3">
        <v>5</v>
      </c>
      <c r="T28" s="3">
        <v>6</v>
      </c>
      <c r="Y28" s="3">
        <v>51.16</v>
      </c>
      <c r="AE28" s="3">
        <v>128</v>
      </c>
      <c r="AG28" s="3">
        <v>2.37</v>
      </c>
      <c r="AI28" s="3">
        <v>0.85</v>
      </c>
      <c r="AK28" s="3">
        <v>0.14000000000000001</v>
      </c>
      <c r="AR28" s="3" t="s">
        <v>64</v>
      </c>
      <c r="AT28" s="3">
        <v>47.75</v>
      </c>
      <c r="AU28" s="3" t="s">
        <v>880</v>
      </c>
      <c r="AW28" s="3" t="s">
        <v>234</v>
      </c>
    </row>
    <row r="29" spans="1:49" x14ac:dyDescent="0.15">
      <c r="A29" s="2">
        <v>28</v>
      </c>
      <c r="B29" s="2" t="s">
        <v>244</v>
      </c>
      <c r="C29" s="2" t="s">
        <v>41</v>
      </c>
      <c r="D29" s="2" t="s">
        <v>232</v>
      </c>
      <c r="E29" s="2" t="s">
        <v>627</v>
      </c>
      <c r="H29" s="2" t="s">
        <v>844</v>
      </c>
      <c r="I29" s="2" t="s">
        <v>25</v>
      </c>
      <c r="J29" s="2">
        <v>2004</v>
      </c>
      <c r="K29" s="2">
        <v>8</v>
      </c>
      <c r="L29" s="2">
        <v>2004</v>
      </c>
      <c r="M29" s="2">
        <v>8</v>
      </c>
      <c r="N29" s="3">
        <v>1000</v>
      </c>
      <c r="O29" s="3">
        <v>5</v>
      </c>
      <c r="T29" s="3">
        <v>8</v>
      </c>
      <c r="Y29" s="3">
        <v>96.88</v>
      </c>
      <c r="AE29" s="3">
        <v>140</v>
      </c>
      <c r="AG29" s="3">
        <v>1.4</v>
      </c>
      <c r="AI29" s="3">
        <v>0.87</v>
      </c>
      <c r="AK29" s="3">
        <v>0.28000000000000003</v>
      </c>
      <c r="AR29" s="3" t="s">
        <v>64</v>
      </c>
      <c r="AT29" s="3">
        <v>47.75</v>
      </c>
      <c r="AU29" s="3" t="s">
        <v>880</v>
      </c>
      <c r="AW29" s="3" t="s">
        <v>234</v>
      </c>
    </row>
    <row r="30" spans="1:49" x14ac:dyDescent="0.15">
      <c r="A30" s="2">
        <v>29</v>
      </c>
      <c r="B30" s="2" t="s">
        <v>244</v>
      </c>
      <c r="C30" s="2" t="s">
        <v>41</v>
      </c>
      <c r="D30" s="2" t="s">
        <v>232</v>
      </c>
      <c r="E30" s="2" t="s">
        <v>627</v>
      </c>
      <c r="H30" s="2" t="s">
        <v>42</v>
      </c>
      <c r="I30" s="2" t="s">
        <v>25</v>
      </c>
      <c r="J30" s="2">
        <v>2003</v>
      </c>
      <c r="K30" s="2">
        <v>11</v>
      </c>
      <c r="L30" s="2">
        <v>2003</v>
      </c>
      <c r="M30" s="2">
        <v>11</v>
      </c>
      <c r="N30" s="3">
        <v>1000</v>
      </c>
      <c r="O30" s="3">
        <v>5</v>
      </c>
      <c r="T30" s="3">
        <v>13</v>
      </c>
      <c r="Y30" s="3">
        <v>32.08</v>
      </c>
      <c r="AE30" s="3">
        <v>212</v>
      </c>
      <c r="AG30" s="3">
        <v>1.41</v>
      </c>
      <c r="AI30" s="3">
        <v>0.72</v>
      </c>
      <c r="AK30" s="3">
        <v>0.35</v>
      </c>
      <c r="AR30" s="3" t="s">
        <v>64</v>
      </c>
      <c r="AT30" s="3">
        <v>47.75</v>
      </c>
      <c r="AU30" s="3" t="s">
        <v>880</v>
      </c>
      <c r="AW30" s="3" t="s">
        <v>234</v>
      </c>
    </row>
    <row r="31" spans="1:49" x14ac:dyDescent="0.15">
      <c r="A31" s="2">
        <v>30</v>
      </c>
      <c r="B31" s="2" t="s">
        <v>244</v>
      </c>
      <c r="C31" s="2" t="s">
        <v>41</v>
      </c>
      <c r="D31" s="2" t="s">
        <v>232</v>
      </c>
      <c r="E31" s="2" t="s">
        <v>627</v>
      </c>
      <c r="H31" s="2" t="s">
        <v>42</v>
      </c>
      <c r="I31" s="2" t="s">
        <v>25</v>
      </c>
      <c r="J31" s="2">
        <v>2004</v>
      </c>
      <c r="K31" s="2">
        <v>1</v>
      </c>
      <c r="L31" s="2">
        <v>2004</v>
      </c>
      <c r="M31" s="2">
        <v>1</v>
      </c>
      <c r="N31" s="3">
        <v>1000</v>
      </c>
      <c r="O31" s="3">
        <v>5</v>
      </c>
      <c r="T31" s="3">
        <v>10</v>
      </c>
      <c r="Y31" s="3">
        <v>20.58</v>
      </c>
      <c r="AE31" s="3">
        <v>132</v>
      </c>
      <c r="AG31" s="3">
        <v>1.9</v>
      </c>
      <c r="AI31" s="3">
        <v>0.82</v>
      </c>
      <c r="AK31" s="3">
        <v>0.2</v>
      </c>
      <c r="AR31" s="3" t="s">
        <v>64</v>
      </c>
      <c r="AT31" s="3">
        <v>47.75</v>
      </c>
      <c r="AU31" s="3" t="s">
        <v>880</v>
      </c>
      <c r="AW31" s="3" t="s">
        <v>234</v>
      </c>
    </row>
    <row r="32" spans="1:49" x14ac:dyDescent="0.15">
      <c r="A32" s="2">
        <v>31</v>
      </c>
      <c r="B32" s="2" t="s">
        <v>244</v>
      </c>
      <c r="C32" s="2" t="s">
        <v>41</v>
      </c>
      <c r="D32" s="2" t="s">
        <v>232</v>
      </c>
      <c r="E32" s="2" t="s">
        <v>627</v>
      </c>
      <c r="H32" s="2" t="s">
        <v>42</v>
      </c>
      <c r="I32" s="2" t="s">
        <v>25</v>
      </c>
      <c r="J32" s="2">
        <v>2004</v>
      </c>
      <c r="K32" s="2">
        <v>4</v>
      </c>
      <c r="L32" s="2">
        <v>2004</v>
      </c>
      <c r="M32" s="2">
        <v>4</v>
      </c>
      <c r="N32" s="3">
        <v>1000</v>
      </c>
      <c r="O32" s="3">
        <v>5</v>
      </c>
      <c r="T32" s="3">
        <v>9</v>
      </c>
      <c r="Y32" s="3">
        <v>32.130000000000003</v>
      </c>
      <c r="AE32" s="3">
        <v>164</v>
      </c>
      <c r="AG32" s="3">
        <v>2</v>
      </c>
      <c r="AI32" s="3">
        <v>0.87</v>
      </c>
      <c r="AK32" s="3">
        <v>0.17</v>
      </c>
      <c r="AR32" s="3" t="s">
        <v>64</v>
      </c>
      <c r="AT32" s="3">
        <v>47.75</v>
      </c>
      <c r="AU32" s="3" t="s">
        <v>880</v>
      </c>
      <c r="AW32" s="3" t="s">
        <v>234</v>
      </c>
    </row>
    <row r="33" spans="1:49" x14ac:dyDescent="0.15">
      <c r="A33" s="2">
        <v>32</v>
      </c>
      <c r="B33" s="2" t="s">
        <v>244</v>
      </c>
      <c r="C33" s="2" t="s">
        <v>41</v>
      </c>
      <c r="D33" s="2" t="s">
        <v>232</v>
      </c>
      <c r="E33" s="2" t="s">
        <v>627</v>
      </c>
      <c r="H33" s="2" t="s">
        <v>42</v>
      </c>
      <c r="I33" s="2" t="s">
        <v>25</v>
      </c>
      <c r="J33" s="2">
        <v>2004</v>
      </c>
      <c r="K33" s="2">
        <v>8</v>
      </c>
      <c r="L33" s="2">
        <v>2004</v>
      </c>
      <c r="M33" s="2">
        <v>8</v>
      </c>
      <c r="N33" s="3">
        <v>1000</v>
      </c>
      <c r="O33" s="3">
        <v>5</v>
      </c>
      <c r="T33" s="3">
        <v>10</v>
      </c>
      <c r="Y33" s="3">
        <v>77.48</v>
      </c>
      <c r="AE33" s="3">
        <v>176</v>
      </c>
      <c r="AG33" s="3">
        <v>1.53</v>
      </c>
      <c r="AI33" s="3">
        <v>0.95</v>
      </c>
      <c r="AK33" s="3">
        <v>0.24</v>
      </c>
      <c r="AR33" s="3" t="s">
        <v>64</v>
      </c>
      <c r="AT33" s="3">
        <v>47.75</v>
      </c>
      <c r="AU33" s="3" t="s">
        <v>880</v>
      </c>
      <c r="AW33" s="3" t="s">
        <v>234</v>
      </c>
    </row>
    <row r="34" spans="1:49" x14ac:dyDescent="0.15">
      <c r="A34" s="2">
        <v>33</v>
      </c>
      <c r="B34" s="2" t="s">
        <v>244</v>
      </c>
      <c r="C34" s="2" t="s">
        <v>41</v>
      </c>
      <c r="D34" s="2" t="s">
        <v>232</v>
      </c>
      <c r="E34" s="2" t="s">
        <v>627</v>
      </c>
      <c r="H34" s="2" t="s">
        <v>843</v>
      </c>
      <c r="I34" s="2" t="s">
        <v>25</v>
      </c>
      <c r="J34" s="2">
        <v>2003</v>
      </c>
      <c r="K34" s="2">
        <v>11</v>
      </c>
      <c r="L34" s="2">
        <v>2003</v>
      </c>
      <c r="M34" s="2">
        <v>11</v>
      </c>
      <c r="N34" s="3">
        <v>1000</v>
      </c>
      <c r="O34" s="3">
        <v>5</v>
      </c>
      <c r="T34" s="3">
        <v>16</v>
      </c>
      <c r="Y34" s="3">
        <v>35.25</v>
      </c>
      <c r="AE34" s="3">
        <v>122</v>
      </c>
      <c r="AG34" s="3">
        <v>1.23</v>
      </c>
      <c r="AI34" s="3">
        <v>0.69</v>
      </c>
      <c r="AK34" s="3">
        <v>0.32</v>
      </c>
      <c r="AR34" s="3" t="s">
        <v>64</v>
      </c>
      <c r="AT34" s="3">
        <v>47.75</v>
      </c>
      <c r="AU34" s="3" t="s">
        <v>880</v>
      </c>
      <c r="AW34" s="3" t="s">
        <v>234</v>
      </c>
    </row>
    <row r="35" spans="1:49" x14ac:dyDescent="0.15">
      <c r="A35" s="2">
        <v>34</v>
      </c>
      <c r="B35" s="2" t="s">
        <v>244</v>
      </c>
      <c r="C35" s="2" t="s">
        <v>41</v>
      </c>
      <c r="D35" s="2" t="s">
        <v>232</v>
      </c>
      <c r="E35" s="2" t="s">
        <v>627</v>
      </c>
      <c r="H35" s="2" t="s">
        <v>843</v>
      </c>
      <c r="I35" s="2" t="s">
        <v>25</v>
      </c>
      <c r="J35" s="2">
        <v>2004</v>
      </c>
      <c r="K35" s="2">
        <v>1</v>
      </c>
      <c r="L35" s="2">
        <v>2004</v>
      </c>
      <c r="M35" s="2">
        <v>1</v>
      </c>
      <c r="N35" s="3">
        <v>1000</v>
      </c>
      <c r="O35" s="3">
        <v>5</v>
      </c>
      <c r="T35" s="3">
        <v>10</v>
      </c>
      <c r="Y35" s="3">
        <v>31.04</v>
      </c>
      <c r="AE35" s="3">
        <v>108</v>
      </c>
      <c r="AG35" s="3">
        <v>1.85</v>
      </c>
      <c r="AI35" s="3">
        <v>0.84</v>
      </c>
      <c r="AK35" s="3">
        <v>0.21</v>
      </c>
      <c r="AR35" s="3" t="s">
        <v>64</v>
      </c>
      <c r="AT35" s="3">
        <v>47.75</v>
      </c>
      <c r="AU35" s="3" t="s">
        <v>880</v>
      </c>
      <c r="AW35" s="3" t="s">
        <v>234</v>
      </c>
    </row>
    <row r="36" spans="1:49" x14ac:dyDescent="0.15">
      <c r="A36" s="2">
        <v>35</v>
      </c>
      <c r="B36" s="2" t="s">
        <v>244</v>
      </c>
      <c r="C36" s="2" t="s">
        <v>41</v>
      </c>
      <c r="D36" s="2" t="s">
        <v>232</v>
      </c>
      <c r="E36" s="2" t="s">
        <v>627</v>
      </c>
      <c r="H36" s="2" t="s">
        <v>843</v>
      </c>
      <c r="I36" s="2" t="s">
        <v>25</v>
      </c>
      <c r="J36" s="2">
        <v>2004</v>
      </c>
      <c r="K36" s="2">
        <v>4</v>
      </c>
      <c r="L36" s="2">
        <v>2004</v>
      </c>
      <c r="M36" s="2">
        <v>4</v>
      </c>
      <c r="N36" s="3">
        <v>1000</v>
      </c>
      <c r="O36" s="3">
        <v>5</v>
      </c>
      <c r="T36" s="3">
        <v>14</v>
      </c>
      <c r="Y36" s="3">
        <v>58.44</v>
      </c>
      <c r="AE36" s="3">
        <v>262</v>
      </c>
      <c r="AG36" s="3">
        <v>2.33</v>
      </c>
      <c r="AI36" s="3">
        <v>0.88</v>
      </c>
      <c r="AK36" s="3">
        <v>0.12</v>
      </c>
      <c r="AR36" s="3" t="s">
        <v>64</v>
      </c>
      <c r="AT36" s="3">
        <v>47.75</v>
      </c>
      <c r="AU36" s="3" t="s">
        <v>880</v>
      </c>
      <c r="AW36" s="3" t="s">
        <v>234</v>
      </c>
    </row>
    <row r="37" spans="1:49" x14ac:dyDescent="0.15">
      <c r="A37" s="2">
        <v>36</v>
      </c>
      <c r="B37" s="2" t="s">
        <v>244</v>
      </c>
      <c r="C37" s="2" t="s">
        <v>41</v>
      </c>
      <c r="D37" s="2" t="s">
        <v>232</v>
      </c>
      <c r="E37" s="2" t="s">
        <v>627</v>
      </c>
      <c r="H37" s="2" t="s">
        <v>843</v>
      </c>
      <c r="I37" s="2" t="s">
        <v>25</v>
      </c>
      <c r="J37" s="2">
        <v>2004</v>
      </c>
      <c r="K37" s="2">
        <v>8</v>
      </c>
      <c r="L37" s="2">
        <v>2004</v>
      </c>
      <c r="M37" s="2">
        <v>8</v>
      </c>
      <c r="N37" s="3">
        <v>1000</v>
      </c>
      <c r="O37" s="3">
        <v>5</v>
      </c>
      <c r="T37" s="3">
        <v>15</v>
      </c>
      <c r="Y37" s="3">
        <v>76.319999999999993</v>
      </c>
      <c r="AE37" s="3">
        <v>238</v>
      </c>
      <c r="AG37" s="3">
        <v>1.96</v>
      </c>
      <c r="AI37" s="3">
        <v>0.89</v>
      </c>
      <c r="AK37" s="3">
        <v>0.16</v>
      </c>
      <c r="AR37" s="3" t="s">
        <v>64</v>
      </c>
      <c r="AT37" s="3">
        <v>47.75</v>
      </c>
      <c r="AU37" s="3" t="s">
        <v>880</v>
      </c>
      <c r="AW37" s="3" t="s">
        <v>234</v>
      </c>
    </row>
    <row r="38" spans="1:49" x14ac:dyDescent="0.15">
      <c r="A38" s="2">
        <v>37</v>
      </c>
      <c r="B38" s="2" t="s">
        <v>244</v>
      </c>
      <c r="C38" s="2" t="s">
        <v>41</v>
      </c>
      <c r="D38" s="2" t="s">
        <v>232</v>
      </c>
      <c r="E38" s="2" t="s">
        <v>627</v>
      </c>
      <c r="H38" s="2" t="s">
        <v>43</v>
      </c>
      <c r="I38" s="2" t="s">
        <v>25</v>
      </c>
      <c r="J38" s="2">
        <v>2003</v>
      </c>
      <c r="K38" s="2">
        <v>11</v>
      </c>
      <c r="L38" s="2">
        <v>2003</v>
      </c>
      <c r="M38" s="2">
        <v>11</v>
      </c>
      <c r="N38" s="3">
        <v>1000</v>
      </c>
      <c r="O38" s="3">
        <v>5</v>
      </c>
      <c r="T38" s="3">
        <v>5</v>
      </c>
      <c r="Y38" s="3">
        <v>5.31</v>
      </c>
      <c r="AE38" s="3">
        <v>44</v>
      </c>
      <c r="AG38" s="3">
        <v>1.66</v>
      </c>
      <c r="AI38" s="3">
        <v>0.8</v>
      </c>
      <c r="AK38" s="3">
        <v>0.27</v>
      </c>
      <c r="AR38" s="3" t="s">
        <v>64</v>
      </c>
      <c r="AT38" s="3">
        <v>47.75</v>
      </c>
      <c r="AU38" s="3" t="s">
        <v>880</v>
      </c>
      <c r="AW38" s="3" t="s">
        <v>234</v>
      </c>
    </row>
    <row r="39" spans="1:49" x14ac:dyDescent="0.15">
      <c r="A39" s="2">
        <v>38</v>
      </c>
      <c r="B39" s="2" t="s">
        <v>244</v>
      </c>
      <c r="C39" s="2" t="s">
        <v>41</v>
      </c>
      <c r="D39" s="2" t="s">
        <v>232</v>
      </c>
      <c r="E39" s="2" t="s">
        <v>627</v>
      </c>
      <c r="H39" s="2" t="s">
        <v>43</v>
      </c>
      <c r="I39" s="2" t="s">
        <v>25</v>
      </c>
      <c r="J39" s="2">
        <v>2004</v>
      </c>
      <c r="K39" s="2">
        <v>1</v>
      </c>
      <c r="L39" s="2">
        <v>2004</v>
      </c>
      <c r="M39" s="2">
        <v>1</v>
      </c>
      <c r="N39" s="3">
        <v>1000</v>
      </c>
      <c r="O39" s="3">
        <v>5</v>
      </c>
      <c r="T39" s="3">
        <v>5</v>
      </c>
      <c r="Y39" s="3">
        <v>4.07</v>
      </c>
      <c r="AE39" s="3">
        <v>144</v>
      </c>
      <c r="AG39" s="3">
        <v>2.0299999999999998</v>
      </c>
      <c r="AI39" s="3">
        <v>0.88</v>
      </c>
      <c r="AK39" s="3">
        <v>0.17</v>
      </c>
      <c r="AR39" s="3" t="s">
        <v>64</v>
      </c>
      <c r="AT39" s="3">
        <v>47.75</v>
      </c>
      <c r="AU39" s="3" t="s">
        <v>880</v>
      </c>
      <c r="AW39" s="3" t="s">
        <v>234</v>
      </c>
    </row>
    <row r="40" spans="1:49" x14ac:dyDescent="0.15">
      <c r="A40" s="2">
        <v>39</v>
      </c>
      <c r="B40" s="2" t="s">
        <v>244</v>
      </c>
      <c r="C40" s="2" t="s">
        <v>41</v>
      </c>
      <c r="D40" s="2" t="s">
        <v>232</v>
      </c>
      <c r="E40" s="2" t="s">
        <v>627</v>
      </c>
      <c r="H40" s="2" t="s">
        <v>43</v>
      </c>
      <c r="I40" s="2" t="s">
        <v>25</v>
      </c>
      <c r="J40" s="2">
        <v>2004</v>
      </c>
      <c r="K40" s="2">
        <v>4</v>
      </c>
      <c r="L40" s="2">
        <v>2004</v>
      </c>
      <c r="M40" s="2">
        <v>4</v>
      </c>
      <c r="N40" s="3">
        <v>1000</v>
      </c>
      <c r="O40" s="3">
        <v>5</v>
      </c>
      <c r="T40" s="3">
        <v>9</v>
      </c>
      <c r="Y40" s="3">
        <v>22.41</v>
      </c>
      <c r="AE40" s="3">
        <v>146</v>
      </c>
      <c r="AG40" s="3">
        <v>2.52</v>
      </c>
      <c r="AI40" s="3">
        <v>0.93</v>
      </c>
      <c r="AK40" s="3">
        <v>0.09</v>
      </c>
      <c r="AR40" s="3" t="s">
        <v>64</v>
      </c>
      <c r="AT40" s="3">
        <v>47.75</v>
      </c>
      <c r="AU40" s="3" t="s">
        <v>880</v>
      </c>
      <c r="AW40" s="3" t="s">
        <v>234</v>
      </c>
    </row>
    <row r="41" spans="1:49" x14ac:dyDescent="0.15">
      <c r="A41" s="2">
        <v>40</v>
      </c>
      <c r="B41" s="2" t="s">
        <v>244</v>
      </c>
      <c r="C41" s="2" t="s">
        <v>41</v>
      </c>
      <c r="D41" s="2" t="s">
        <v>232</v>
      </c>
      <c r="E41" s="2" t="s">
        <v>627</v>
      </c>
      <c r="H41" s="2" t="s">
        <v>43</v>
      </c>
      <c r="I41" s="2" t="s">
        <v>25</v>
      </c>
      <c r="J41" s="2">
        <v>2004</v>
      </c>
      <c r="K41" s="2">
        <v>8</v>
      </c>
      <c r="L41" s="2">
        <v>2004</v>
      </c>
      <c r="M41" s="2">
        <v>8</v>
      </c>
      <c r="N41" s="3">
        <v>1000</v>
      </c>
      <c r="O41" s="3">
        <v>5</v>
      </c>
      <c r="T41" s="3">
        <v>10</v>
      </c>
      <c r="Y41" s="3">
        <v>34.4</v>
      </c>
      <c r="AE41" s="3">
        <v>142</v>
      </c>
      <c r="AG41" s="3">
        <v>2.1800000000000002</v>
      </c>
      <c r="AI41" s="3">
        <v>0.95</v>
      </c>
      <c r="AK41" s="3">
        <v>0.12</v>
      </c>
      <c r="AR41" s="3" t="s">
        <v>64</v>
      </c>
      <c r="AT41" s="3">
        <v>47.75</v>
      </c>
      <c r="AU41" s="3" t="s">
        <v>880</v>
      </c>
      <c r="AW41" s="3" t="s">
        <v>234</v>
      </c>
    </row>
    <row r="42" spans="1:49" x14ac:dyDescent="0.15">
      <c r="A42" s="2">
        <v>41</v>
      </c>
      <c r="B42" s="2" t="s">
        <v>245</v>
      </c>
      <c r="C42" s="2" t="s">
        <v>51</v>
      </c>
      <c r="D42" s="2" t="s">
        <v>236</v>
      </c>
      <c r="E42" s="2" t="s">
        <v>238</v>
      </c>
      <c r="H42" s="2" t="s">
        <v>60</v>
      </c>
      <c r="I42" s="2" t="s">
        <v>52</v>
      </c>
      <c r="J42" s="2">
        <v>1995</v>
      </c>
      <c r="K42" s="2">
        <v>3</v>
      </c>
      <c r="L42" s="2">
        <v>1995</v>
      </c>
      <c r="M42" s="2">
        <v>8</v>
      </c>
      <c r="N42" s="3">
        <v>1000</v>
      </c>
      <c r="O42" s="3">
        <v>26</v>
      </c>
      <c r="P42" s="2">
        <v>7</v>
      </c>
      <c r="Q42" s="2">
        <v>4</v>
      </c>
      <c r="R42" s="2">
        <v>25</v>
      </c>
      <c r="T42" s="3">
        <v>40</v>
      </c>
      <c r="Y42" s="3">
        <v>29.4</v>
      </c>
      <c r="AE42" s="3">
        <v>279.2</v>
      </c>
      <c r="AG42" s="3">
        <v>1.82</v>
      </c>
      <c r="AH42" s="3">
        <v>0.91200000000000003</v>
      </c>
      <c r="AI42" s="3">
        <v>0.60199999999999998</v>
      </c>
      <c r="AJ42" s="3">
        <v>0.25900000000000001</v>
      </c>
      <c r="AM42" s="3">
        <v>1.788</v>
      </c>
      <c r="AN42" s="3">
        <v>0.99099999999999999</v>
      </c>
      <c r="AR42" s="3" t="s">
        <v>65</v>
      </c>
      <c r="AT42" s="3">
        <v>47.75</v>
      </c>
      <c r="AU42" s="3" t="s">
        <v>880</v>
      </c>
      <c r="AW42" s="3" t="s">
        <v>235</v>
      </c>
    </row>
    <row r="43" spans="1:49" x14ac:dyDescent="0.15">
      <c r="A43" s="2">
        <v>42</v>
      </c>
      <c r="B43" s="2" t="s">
        <v>245</v>
      </c>
      <c r="C43" s="2" t="s">
        <v>51</v>
      </c>
      <c r="D43" s="2" t="s">
        <v>236</v>
      </c>
      <c r="E43" s="2" t="s">
        <v>238</v>
      </c>
      <c r="H43" s="2" t="s">
        <v>239</v>
      </c>
      <c r="I43" s="2" t="s">
        <v>152</v>
      </c>
      <c r="J43" s="2">
        <v>1995</v>
      </c>
      <c r="K43" s="2">
        <v>3</v>
      </c>
      <c r="N43" s="3">
        <v>1000</v>
      </c>
      <c r="O43" s="3">
        <v>16</v>
      </c>
      <c r="Y43" s="3">
        <v>11.08</v>
      </c>
      <c r="AE43" s="3">
        <v>296.3</v>
      </c>
      <c r="AG43" s="3">
        <v>1.84</v>
      </c>
      <c r="AH43" s="3">
        <v>1.08</v>
      </c>
      <c r="AI43" s="3">
        <v>0.61799999999999999</v>
      </c>
      <c r="AJ43" s="3">
        <v>0.313</v>
      </c>
      <c r="AM43" s="3">
        <v>1.8080000000000001</v>
      </c>
      <c r="AN43" s="3">
        <v>1.071</v>
      </c>
      <c r="AR43" s="3" t="s">
        <v>65</v>
      </c>
      <c r="AT43" s="3">
        <v>47.75</v>
      </c>
      <c r="AU43" s="3" t="s">
        <v>880</v>
      </c>
      <c r="AW43" s="3" t="s">
        <v>235</v>
      </c>
    </row>
    <row r="44" spans="1:49" x14ac:dyDescent="0.15">
      <c r="A44" s="2">
        <v>43</v>
      </c>
      <c r="B44" s="2" t="s">
        <v>245</v>
      </c>
      <c r="C44" s="2" t="s">
        <v>51</v>
      </c>
      <c r="D44" s="2" t="s">
        <v>237</v>
      </c>
      <c r="E44" s="2" t="s">
        <v>238</v>
      </c>
      <c r="H44" s="2" t="s">
        <v>239</v>
      </c>
      <c r="I44" s="2" t="s">
        <v>152</v>
      </c>
      <c r="J44" s="2">
        <v>1995</v>
      </c>
      <c r="K44" s="2">
        <v>8</v>
      </c>
      <c r="N44" s="3">
        <v>1000</v>
      </c>
      <c r="O44" s="3">
        <v>10</v>
      </c>
      <c r="Y44" s="3">
        <v>47.97</v>
      </c>
      <c r="AE44" s="3">
        <v>262</v>
      </c>
      <c r="AG44" s="3">
        <v>1.8</v>
      </c>
      <c r="AH44" s="3">
        <v>0.67400000000000004</v>
      </c>
      <c r="AI44" s="3">
        <v>0.58699999999999997</v>
      </c>
      <c r="AJ44" s="3">
        <v>0.17</v>
      </c>
      <c r="AM44" s="3">
        <v>1.768</v>
      </c>
      <c r="AN44" s="3">
        <v>0.97</v>
      </c>
      <c r="AR44" s="3" t="s">
        <v>65</v>
      </c>
      <c r="AT44" s="3">
        <v>47.75</v>
      </c>
      <c r="AU44" s="3" t="s">
        <v>880</v>
      </c>
      <c r="AW44" s="3" t="s">
        <v>235</v>
      </c>
    </row>
    <row r="45" spans="1:49" x14ac:dyDescent="0.15">
      <c r="A45" s="2">
        <v>44</v>
      </c>
      <c r="B45" s="2" t="s">
        <v>246</v>
      </c>
      <c r="C45" s="2" t="s">
        <v>53</v>
      </c>
      <c r="D45" s="2" t="s">
        <v>247</v>
      </c>
      <c r="E45" s="2" t="s">
        <v>39</v>
      </c>
      <c r="H45" s="2" t="s">
        <v>60</v>
      </c>
      <c r="I45" s="2" t="s">
        <v>55</v>
      </c>
      <c r="J45" s="2">
        <v>1998</v>
      </c>
      <c r="K45" s="2">
        <v>11</v>
      </c>
      <c r="N45" s="3">
        <v>250</v>
      </c>
      <c r="O45" s="3">
        <v>27</v>
      </c>
      <c r="P45" s="2">
        <v>17</v>
      </c>
      <c r="Q45" s="2">
        <v>26</v>
      </c>
      <c r="R45" s="2">
        <v>35</v>
      </c>
      <c r="S45" s="2">
        <v>7</v>
      </c>
      <c r="T45" s="3">
        <v>97</v>
      </c>
      <c r="U45" s="3">
        <v>9.4499999999999993</v>
      </c>
      <c r="V45" s="3">
        <v>26.46</v>
      </c>
      <c r="W45" s="3">
        <v>3.78</v>
      </c>
      <c r="X45" s="3">
        <v>819.31500000000005</v>
      </c>
      <c r="Y45" s="3">
        <v>945</v>
      </c>
      <c r="AA45" s="3">
        <v>32.512</v>
      </c>
      <c r="AB45" s="3">
        <v>30.48</v>
      </c>
      <c r="AC45" s="3">
        <v>113.28399999999999</v>
      </c>
      <c r="AD45" s="3">
        <v>66.548000000000002</v>
      </c>
      <c r="AE45" s="3">
        <v>254</v>
      </c>
      <c r="AR45" s="3" t="s">
        <v>65</v>
      </c>
      <c r="AT45" s="3">
        <v>47.75</v>
      </c>
      <c r="AU45" s="3" t="s">
        <v>880</v>
      </c>
      <c r="AW45" s="3" t="s">
        <v>257</v>
      </c>
    </row>
    <row r="46" spans="1:49" x14ac:dyDescent="0.15">
      <c r="A46" s="2">
        <v>45</v>
      </c>
      <c r="B46" s="2" t="s">
        <v>246</v>
      </c>
      <c r="C46" s="2" t="s">
        <v>53</v>
      </c>
      <c r="D46" s="2" t="s">
        <v>247</v>
      </c>
      <c r="E46" s="2" t="s">
        <v>54</v>
      </c>
      <c r="G46" s="2">
        <v>7</v>
      </c>
      <c r="H46" s="2" t="s">
        <v>61</v>
      </c>
      <c r="I46" s="2" t="s">
        <v>56</v>
      </c>
      <c r="J46" s="2">
        <v>2005</v>
      </c>
      <c r="K46" s="2">
        <v>10</v>
      </c>
      <c r="N46" s="3">
        <v>250</v>
      </c>
      <c r="O46" s="3">
        <v>27</v>
      </c>
      <c r="P46" s="2">
        <v>18</v>
      </c>
      <c r="Q46" s="2">
        <v>22</v>
      </c>
      <c r="R46" s="2">
        <v>33</v>
      </c>
      <c r="S46" s="2">
        <v>2</v>
      </c>
      <c r="T46" s="3">
        <v>80</v>
      </c>
      <c r="U46" s="3">
        <v>2.1238200000000003</v>
      </c>
      <c r="V46" s="3">
        <v>5.6019600000000001</v>
      </c>
      <c r="W46" s="3">
        <v>2.33928</v>
      </c>
      <c r="X46" s="3">
        <v>4.6170000000000009</v>
      </c>
      <c r="Y46" s="3">
        <v>15.45</v>
      </c>
      <c r="AA46" s="3">
        <v>38.896000000000001</v>
      </c>
      <c r="AB46" s="3">
        <v>183.04</v>
      </c>
      <c r="AC46" s="3">
        <v>320.32</v>
      </c>
      <c r="AD46" s="3">
        <v>8.0079999999999991</v>
      </c>
      <c r="AE46" s="3">
        <v>572</v>
      </c>
      <c r="AR46" s="3" t="s">
        <v>66</v>
      </c>
      <c r="AT46" s="3">
        <v>47.75</v>
      </c>
      <c r="AU46" s="3" t="s">
        <v>880</v>
      </c>
      <c r="AW46" s="3" t="s">
        <v>257</v>
      </c>
    </row>
    <row r="47" spans="1:49" x14ac:dyDescent="0.15">
      <c r="A47" s="2">
        <v>46</v>
      </c>
      <c r="B47" s="2" t="s">
        <v>246</v>
      </c>
      <c r="C47" s="2" t="s">
        <v>53</v>
      </c>
      <c r="D47" s="2" t="s">
        <v>247</v>
      </c>
      <c r="E47" s="2" t="s">
        <v>54</v>
      </c>
      <c r="G47" s="2">
        <v>16</v>
      </c>
      <c r="H47" s="2" t="s">
        <v>70</v>
      </c>
      <c r="I47" s="2" t="s">
        <v>55</v>
      </c>
      <c r="J47" s="2">
        <v>2005</v>
      </c>
      <c r="K47" s="2">
        <v>10</v>
      </c>
      <c r="N47" s="3">
        <v>250</v>
      </c>
      <c r="O47" s="3">
        <v>84</v>
      </c>
      <c r="P47" s="2">
        <v>18</v>
      </c>
      <c r="Q47" s="2">
        <v>22</v>
      </c>
      <c r="R47" s="2">
        <v>33</v>
      </c>
      <c r="S47" s="2">
        <v>2</v>
      </c>
      <c r="T47" s="3">
        <v>80</v>
      </c>
      <c r="V47" s="3">
        <f>(25.956+15.716)/2</f>
        <v>20.835999999999999</v>
      </c>
      <c r="Y47" s="3">
        <v>29.637</v>
      </c>
      <c r="AB47" s="3">
        <f>(510+85)/2</f>
        <v>297.5</v>
      </c>
      <c r="AE47" s="3">
        <v>745</v>
      </c>
      <c r="AR47" s="3" t="s">
        <v>69</v>
      </c>
      <c r="AS47" s="3" t="s">
        <v>68</v>
      </c>
      <c r="AT47" s="3">
        <v>47.75</v>
      </c>
      <c r="AU47" s="3" t="s">
        <v>880</v>
      </c>
      <c r="AW47" s="3" t="s">
        <v>258</v>
      </c>
    </row>
    <row r="48" spans="1:49" x14ac:dyDescent="0.15">
      <c r="A48" s="2">
        <v>47</v>
      </c>
      <c r="B48" s="2" t="s">
        <v>246</v>
      </c>
      <c r="C48" s="2" t="s">
        <v>53</v>
      </c>
      <c r="D48" s="2" t="s">
        <v>247</v>
      </c>
      <c r="E48" s="2" t="s">
        <v>259</v>
      </c>
      <c r="G48" s="2">
        <v>16</v>
      </c>
      <c r="H48" s="2" t="s">
        <v>61</v>
      </c>
      <c r="I48" s="2" t="s">
        <v>55</v>
      </c>
      <c r="J48" s="2">
        <v>2005</v>
      </c>
      <c r="K48" s="2">
        <v>10</v>
      </c>
      <c r="N48" s="3">
        <v>250</v>
      </c>
      <c r="O48" s="3">
        <v>39</v>
      </c>
      <c r="T48" s="3">
        <v>51</v>
      </c>
      <c r="U48" s="3">
        <v>1.28651571</v>
      </c>
      <c r="V48" s="3">
        <v>17.022416449999998</v>
      </c>
      <c r="W48" s="3">
        <v>15.773207110000001</v>
      </c>
      <c r="X48" s="3">
        <v>0.44915391999999998</v>
      </c>
      <c r="Y48" s="3">
        <v>36.936999999999998</v>
      </c>
      <c r="AA48" s="3">
        <v>153.6</v>
      </c>
      <c r="AB48" s="3">
        <v>512</v>
      </c>
      <c r="AC48" s="3">
        <v>91.13600000000001</v>
      </c>
      <c r="AD48" s="3">
        <v>122.88</v>
      </c>
      <c r="AE48" s="3">
        <v>1024</v>
      </c>
      <c r="AG48" s="3">
        <f>AVERAGE(AG51:AG63)</f>
        <v>2.7853846153846149</v>
      </c>
      <c r="AH48" s="3">
        <f>STDEV(AG51:AG63)</f>
        <v>0.96251939707394674</v>
      </c>
      <c r="AI48" s="3">
        <f>AVERAGE(AI51:AI63)</f>
        <v>0.74584615384615383</v>
      </c>
      <c r="AJ48" s="3">
        <f>STDEV(AI51:AI63)</f>
        <v>0.21344431207922684</v>
      </c>
      <c r="AM48" s="3">
        <f>AVERAGE(AM51:AM63)</f>
        <v>1.3030769230769232</v>
      </c>
      <c r="AN48" s="3">
        <f>STDEV(AM51:AM63)</f>
        <v>0.56860039593409539</v>
      </c>
      <c r="AT48" s="3">
        <v>47.75</v>
      </c>
      <c r="AU48" s="3" t="s">
        <v>880</v>
      </c>
      <c r="AW48" s="3" t="s">
        <v>235</v>
      </c>
    </row>
    <row r="49" spans="1:49" x14ac:dyDescent="0.15">
      <c r="A49" s="2">
        <v>48</v>
      </c>
      <c r="B49" s="2" t="s">
        <v>246</v>
      </c>
      <c r="C49" s="2" t="s">
        <v>53</v>
      </c>
      <c r="D49" s="2" t="s">
        <v>247</v>
      </c>
      <c r="E49" s="2" t="s">
        <v>260</v>
      </c>
      <c r="G49" s="2">
        <v>16</v>
      </c>
      <c r="H49" s="2" t="s">
        <v>61</v>
      </c>
      <c r="I49" s="2" t="s">
        <v>55</v>
      </c>
      <c r="J49" s="2">
        <v>2005</v>
      </c>
      <c r="K49" s="2">
        <v>10</v>
      </c>
      <c r="N49" s="3">
        <v>250</v>
      </c>
      <c r="O49" s="3">
        <v>27</v>
      </c>
      <c r="T49" s="3">
        <v>49</v>
      </c>
      <c r="U49" s="3">
        <v>2.0239107299999999</v>
      </c>
      <c r="V49" s="3">
        <v>9.4838400000000007</v>
      </c>
      <c r="W49" s="3">
        <v>16.596720000000001</v>
      </c>
      <c r="X49" s="3">
        <v>0.41491799999999995</v>
      </c>
      <c r="Y49" s="3">
        <v>29.637</v>
      </c>
      <c r="AA49" s="3">
        <v>104.05200000000001</v>
      </c>
      <c r="AB49" s="3">
        <v>271.44</v>
      </c>
      <c r="AC49" s="3">
        <v>114.60799999999999</v>
      </c>
      <c r="AD49" s="3">
        <v>226.2</v>
      </c>
      <c r="AE49" s="3">
        <v>754</v>
      </c>
      <c r="AG49" s="3">
        <f>AVERAGE(AG64:AG69)</f>
        <v>3.0333333333333332</v>
      </c>
      <c r="AH49" s="3">
        <f>STDEV(AG64:AG69)</f>
        <v>0.61454590281497279</v>
      </c>
      <c r="AI49" s="3">
        <f>AVERAGE(AI64:AI69)</f>
        <v>0.84216666666666662</v>
      </c>
      <c r="AJ49" s="3">
        <f>STDEV(AI64:AI69)</f>
        <v>7.6003727978742358E-2</v>
      </c>
      <c r="AM49" s="3">
        <f>AVERAGE(AM64:AM69)</f>
        <v>1.4166666666666667</v>
      </c>
      <c r="AN49" s="3">
        <f>STDEV(AM64:AM69)</f>
        <v>0.59122471757079553</v>
      </c>
      <c r="AT49" s="3">
        <v>47.75</v>
      </c>
      <c r="AU49" s="3" t="s">
        <v>880</v>
      </c>
      <c r="AW49" s="3" t="s">
        <v>235</v>
      </c>
    </row>
    <row r="50" spans="1:49" x14ac:dyDescent="0.15">
      <c r="A50" s="2">
        <v>49</v>
      </c>
      <c r="B50" s="2" t="s">
        <v>246</v>
      </c>
      <c r="C50" s="2" t="s">
        <v>53</v>
      </c>
      <c r="D50" s="2" t="s">
        <v>247</v>
      </c>
      <c r="E50" s="2" t="s">
        <v>238</v>
      </c>
      <c r="G50" s="2">
        <v>16</v>
      </c>
      <c r="H50" s="2" t="s">
        <v>61</v>
      </c>
      <c r="I50" s="2" t="s">
        <v>55</v>
      </c>
      <c r="J50" s="2">
        <v>2005</v>
      </c>
      <c r="K50" s="2">
        <v>10</v>
      </c>
      <c r="N50" s="3">
        <v>250</v>
      </c>
      <c r="O50" s="3">
        <v>18</v>
      </c>
      <c r="T50" s="3">
        <v>40</v>
      </c>
      <c r="U50" s="3">
        <v>3.7426559999999993</v>
      </c>
      <c r="V50" s="3">
        <v>14.814679999999999</v>
      </c>
      <c r="W50" s="3">
        <v>19.882859999999997</v>
      </c>
      <c r="X50" s="3">
        <v>7.7972E-2</v>
      </c>
      <c r="Y50" s="3">
        <v>38.985999999999997</v>
      </c>
      <c r="AA50" s="3">
        <v>164.97</v>
      </c>
      <c r="AB50" s="3">
        <v>259.15499999999997</v>
      </c>
      <c r="AC50" s="3">
        <v>72.540000000000006</v>
      </c>
      <c r="AD50" s="3">
        <v>62.01</v>
      </c>
      <c r="AE50" s="3">
        <v>585</v>
      </c>
      <c r="AG50" s="3">
        <f>AVERAGE(AG70:AG78)</f>
        <v>3.1844444444444449</v>
      </c>
      <c r="AH50" s="3">
        <f>STDEV(AG70:AG78)</f>
        <v>0.32939759831816895</v>
      </c>
      <c r="AI50" s="3">
        <f>AVERAGE(AI70:AI78)</f>
        <v>0.86822222222222223</v>
      </c>
      <c r="AJ50" s="3">
        <f>STDEV(AI70:AI78)</f>
        <v>5.7592920089577358E-2</v>
      </c>
      <c r="AM50" s="3">
        <f>AVERAGE(AM70:AM78)</f>
        <v>1.401111111111111</v>
      </c>
      <c r="AN50" s="3">
        <f>STDEV(AM70:AM78)</f>
        <v>0.29573824762974305</v>
      </c>
      <c r="AT50" s="3">
        <v>47.75</v>
      </c>
      <c r="AU50" s="3" t="s">
        <v>880</v>
      </c>
      <c r="AW50" s="3" t="s">
        <v>235</v>
      </c>
    </row>
    <row r="51" spans="1:49" x14ac:dyDescent="0.15">
      <c r="A51" s="2">
        <v>50</v>
      </c>
      <c r="B51" s="2" t="s">
        <v>246</v>
      </c>
      <c r="C51" s="2" t="s">
        <v>53</v>
      </c>
      <c r="D51" s="2" t="s">
        <v>247</v>
      </c>
      <c r="E51" s="2" t="s">
        <v>261</v>
      </c>
      <c r="G51" s="2">
        <v>16</v>
      </c>
      <c r="H51" s="2" t="s">
        <v>63</v>
      </c>
      <c r="I51" s="2" t="s">
        <v>55</v>
      </c>
      <c r="J51" s="2">
        <v>2005</v>
      </c>
      <c r="K51" s="2">
        <v>10</v>
      </c>
      <c r="N51" s="3">
        <v>250</v>
      </c>
      <c r="O51" s="3">
        <v>3</v>
      </c>
      <c r="T51" s="3">
        <v>9</v>
      </c>
      <c r="Y51" s="3">
        <v>1.9</v>
      </c>
      <c r="AE51" s="3">
        <v>545</v>
      </c>
      <c r="AG51" s="3">
        <v>1.41</v>
      </c>
      <c r="AI51" s="3">
        <v>0.44400000000000001</v>
      </c>
      <c r="AM51" s="3">
        <v>0.88</v>
      </c>
      <c r="AR51" s="3" t="s">
        <v>64</v>
      </c>
      <c r="AT51" s="3">
        <v>47.75</v>
      </c>
      <c r="AU51" s="3" t="s">
        <v>880</v>
      </c>
      <c r="AW51" s="3" t="s">
        <v>235</v>
      </c>
    </row>
    <row r="52" spans="1:49" x14ac:dyDescent="0.15">
      <c r="A52" s="2">
        <v>51</v>
      </c>
      <c r="B52" s="2" t="s">
        <v>246</v>
      </c>
      <c r="C52" s="2" t="s">
        <v>53</v>
      </c>
      <c r="D52" s="2" t="s">
        <v>247</v>
      </c>
      <c r="E52" s="2" t="s">
        <v>261</v>
      </c>
      <c r="G52" s="2">
        <v>16</v>
      </c>
      <c r="H52" s="2" t="s">
        <v>63</v>
      </c>
      <c r="I52" s="2" t="s">
        <v>55</v>
      </c>
      <c r="J52" s="2">
        <v>2005</v>
      </c>
      <c r="K52" s="2">
        <v>10</v>
      </c>
      <c r="N52" s="3">
        <v>250</v>
      </c>
      <c r="O52" s="3">
        <v>3</v>
      </c>
      <c r="T52" s="3">
        <v>18</v>
      </c>
      <c r="Y52" s="3">
        <v>11.4</v>
      </c>
      <c r="AE52" s="3">
        <v>304</v>
      </c>
      <c r="AG52" s="3">
        <v>3.94</v>
      </c>
      <c r="AI52" s="3">
        <v>0.94399999999999995</v>
      </c>
      <c r="AM52" s="3">
        <v>2.06</v>
      </c>
      <c r="AR52" s="3" t="s">
        <v>64</v>
      </c>
      <c r="AT52" s="3">
        <v>47.75</v>
      </c>
      <c r="AU52" s="3" t="s">
        <v>880</v>
      </c>
      <c r="AW52" s="3" t="s">
        <v>235</v>
      </c>
    </row>
    <row r="53" spans="1:49" x14ac:dyDescent="0.15">
      <c r="A53" s="2">
        <v>52</v>
      </c>
      <c r="B53" s="2" t="s">
        <v>246</v>
      </c>
      <c r="C53" s="2" t="s">
        <v>53</v>
      </c>
      <c r="D53" s="2" t="s">
        <v>247</v>
      </c>
      <c r="E53" s="2" t="s">
        <v>261</v>
      </c>
      <c r="G53" s="2">
        <v>16</v>
      </c>
      <c r="H53" s="2" t="s">
        <v>63</v>
      </c>
      <c r="I53" s="2" t="s">
        <v>55</v>
      </c>
      <c r="J53" s="2">
        <v>2005</v>
      </c>
      <c r="K53" s="2">
        <v>10</v>
      </c>
      <c r="N53" s="3">
        <v>250</v>
      </c>
      <c r="O53" s="3">
        <v>3</v>
      </c>
      <c r="T53" s="3">
        <v>19</v>
      </c>
      <c r="Y53" s="3">
        <v>7.4</v>
      </c>
      <c r="AE53" s="3">
        <v>785</v>
      </c>
      <c r="AG53" s="3">
        <v>3.87</v>
      </c>
      <c r="AI53" s="3">
        <v>0.91100000000000003</v>
      </c>
      <c r="AM53" s="3">
        <v>1.87</v>
      </c>
      <c r="AR53" s="3" t="s">
        <v>64</v>
      </c>
      <c r="AT53" s="3">
        <v>47.75</v>
      </c>
      <c r="AU53" s="3" t="s">
        <v>880</v>
      </c>
      <c r="AW53" s="3" t="s">
        <v>235</v>
      </c>
    </row>
    <row r="54" spans="1:49" x14ac:dyDescent="0.15">
      <c r="A54" s="2">
        <v>53</v>
      </c>
      <c r="B54" s="2" t="s">
        <v>246</v>
      </c>
      <c r="C54" s="2" t="s">
        <v>53</v>
      </c>
      <c r="D54" s="2" t="s">
        <v>247</v>
      </c>
      <c r="E54" s="2" t="s">
        <v>261</v>
      </c>
      <c r="G54" s="2">
        <v>16</v>
      </c>
      <c r="H54" s="2" t="s">
        <v>63</v>
      </c>
      <c r="I54" s="2" t="s">
        <v>55</v>
      </c>
      <c r="J54" s="2">
        <v>2005</v>
      </c>
      <c r="K54" s="2">
        <v>10</v>
      </c>
      <c r="N54" s="3">
        <v>250</v>
      </c>
      <c r="O54" s="3">
        <v>3</v>
      </c>
      <c r="T54" s="3">
        <v>21</v>
      </c>
      <c r="Y54" s="3">
        <v>9.9</v>
      </c>
      <c r="AE54" s="3">
        <v>838</v>
      </c>
      <c r="AG54" s="3">
        <v>3.85</v>
      </c>
      <c r="AI54" s="3">
        <v>0.877</v>
      </c>
      <c r="AM54" s="3">
        <v>2.06</v>
      </c>
      <c r="AR54" s="3" t="s">
        <v>64</v>
      </c>
      <c r="AT54" s="3">
        <v>47.75</v>
      </c>
      <c r="AU54" s="3" t="s">
        <v>880</v>
      </c>
      <c r="AW54" s="3" t="s">
        <v>235</v>
      </c>
    </row>
    <row r="55" spans="1:49" x14ac:dyDescent="0.15">
      <c r="A55" s="2">
        <v>54</v>
      </c>
      <c r="B55" s="2" t="s">
        <v>246</v>
      </c>
      <c r="C55" s="2" t="s">
        <v>53</v>
      </c>
      <c r="D55" s="2" t="s">
        <v>247</v>
      </c>
      <c r="E55" s="2" t="s">
        <v>261</v>
      </c>
      <c r="G55" s="2">
        <v>16</v>
      </c>
      <c r="H55" s="2" t="s">
        <v>63</v>
      </c>
      <c r="I55" s="2" t="s">
        <v>55</v>
      </c>
      <c r="J55" s="2">
        <v>2005</v>
      </c>
      <c r="K55" s="2">
        <v>10</v>
      </c>
      <c r="N55" s="3">
        <v>250</v>
      </c>
      <c r="O55" s="3">
        <v>3</v>
      </c>
      <c r="T55" s="3">
        <v>14</v>
      </c>
      <c r="Y55" s="3">
        <v>29.2</v>
      </c>
      <c r="AE55" s="3">
        <v>479</v>
      </c>
      <c r="AG55" s="3">
        <v>3.41</v>
      </c>
      <c r="AI55" s="3">
        <v>0.89600000000000002</v>
      </c>
      <c r="AM55" s="3">
        <v>1.46</v>
      </c>
      <c r="AR55" s="3" t="s">
        <v>64</v>
      </c>
      <c r="AT55" s="3">
        <v>47.75</v>
      </c>
      <c r="AU55" s="3" t="s">
        <v>880</v>
      </c>
      <c r="AW55" s="3" t="s">
        <v>235</v>
      </c>
    </row>
    <row r="56" spans="1:49" x14ac:dyDescent="0.15">
      <c r="A56" s="2">
        <v>55</v>
      </c>
      <c r="B56" s="2" t="s">
        <v>246</v>
      </c>
      <c r="C56" s="2" t="s">
        <v>53</v>
      </c>
      <c r="D56" s="2" t="s">
        <v>247</v>
      </c>
      <c r="E56" s="2" t="s">
        <v>261</v>
      </c>
      <c r="G56" s="2">
        <v>16</v>
      </c>
      <c r="H56" s="2" t="s">
        <v>63</v>
      </c>
      <c r="I56" s="2" t="s">
        <v>55</v>
      </c>
      <c r="J56" s="2">
        <v>2005</v>
      </c>
      <c r="K56" s="2">
        <v>10</v>
      </c>
      <c r="N56" s="3">
        <v>250</v>
      </c>
      <c r="O56" s="3">
        <v>3</v>
      </c>
      <c r="T56" s="3">
        <v>9</v>
      </c>
      <c r="Y56" s="3">
        <v>24</v>
      </c>
      <c r="AE56" s="3">
        <v>200</v>
      </c>
      <c r="AG56" s="3">
        <v>3.06</v>
      </c>
      <c r="AI56" s="3">
        <v>0.96499999999999997</v>
      </c>
      <c r="AM56" s="3">
        <v>1.05</v>
      </c>
      <c r="AR56" s="3" t="s">
        <v>64</v>
      </c>
      <c r="AT56" s="3">
        <v>47.75</v>
      </c>
      <c r="AU56" s="3" t="s">
        <v>880</v>
      </c>
      <c r="AW56" s="3" t="s">
        <v>235</v>
      </c>
    </row>
    <row r="57" spans="1:49" x14ac:dyDescent="0.15">
      <c r="A57" s="2">
        <v>56</v>
      </c>
      <c r="B57" s="2" t="s">
        <v>246</v>
      </c>
      <c r="C57" s="2" t="s">
        <v>53</v>
      </c>
      <c r="D57" s="2" t="s">
        <v>247</v>
      </c>
      <c r="E57" s="2" t="s">
        <v>261</v>
      </c>
      <c r="G57" s="2">
        <v>16</v>
      </c>
      <c r="H57" s="2" t="s">
        <v>63</v>
      </c>
      <c r="I57" s="2" t="s">
        <v>55</v>
      </c>
      <c r="J57" s="2">
        <v>2005</v>
      </c>
      <c r="K57" s="2">
        <v>10</v>
      </c>
      <c r="N57" s="3">
        <v>250</v>
      </c>
      <c r="O57" s="3">
        <v>3</v>
      </c>
      <c r="T57" s="3">
        <v>9</v>
      </c>
      <c r="Y57" s="3">
        <v>1.3</v>
      </c>
      <c r="AE57" s="3">
        <v>319</v>
      </c>
      <c r="AG57" s="3">
        <v>2.64</v>
      </c>
      <c r="AI57" s="3">
        <v>0.83199999999999996</v>
      </c>
      <c r="AM57" s="3">
        <v>0.96</v>
      </c>
      <c r="AR57" s="3" t="s">
        <v>64</v>
      </c>
      <c r="AT57" s="3">
        <v>47.75</v>
      </c>
      <c r="AU57" s="3" t="s">
        <v>880</v>
      </c>
      <c r="AW57" s="3" t="s">
        <v>235</v>
      </c>
    </row>
    <row r="58" spans="1:49" x14ac:dyDescent="0.15">
      <c r="A58" s="2">
        <v>57</v>
      </c>
      <c r="B58" s="2" t="s">
        <v>246</v>
      </c>
      <c r="C58" s="2" t="s">
        <v>53</v>
      </c>
      <c r="D58" s="2" t="s">
        <v>247</v>
      </c>
      <c r="E58" s="2" t="s">
        <v>261</v>
      </c>
      <c r="G58" s="2">
        <v>16</v>
      </c>
      <c r="H58" s="2" t="s">
        <v>63</v>
      </c>
      <c r="I58" s="2" t="s">
        <v>55</v>
      </c>
      <c r="J58" s="2">
        <v>2005</v>
      </c>
      <c r="K58" s="2">
        <v>10</v>
      </c>
      <c r="N58" s="3">
        <v>250</v>
      </c>
      <c r="O58" s="3">
        <v>3</v>
      </c>
      <c r="T58" s="3">
        <v>12</v>
      </c>
      <c r="Y58" s="3">
        <v>2.6</v>
      </c>
      <c r="AE58" s="3">
        <v>466</v>
      </c>
      <c r="AG58" s="3">
        <v>2.9</v>
      </c>
      <c r="AI58" s="3">
        <v>0.80900000000000005</v>
      </c>
      <c r="AM58" s="3">
        <v>0.24</v>
      </c>
      <c r="AR58" s="3" t="s">
        <v>64</v>
      </c>
      <c r="AT58" s="3">
        <v>47.75</v>
      </c>
      <c r="AU58" s="3" t="s">
        <v>880</v>
      </c>
      <c r="AW58" s="3" t="s">
        <v>235</v>
      </c>
    </row>
    <row r="59" spans="1:49" x14ac:dyDescent="0.15">
      <c r="A59" s="2">
        <v>58</v>
      </c>
      <c r="B59" s="2" t="s">
        <v>246</v>
      </c>
      <c r="C59" s="2" t="s">
        <v>53</v>
      </c>
      <c r="D59" s="2" t="s">
        <v>247</v>
      </c>
      <c r="E59" s="2" t="s">
        <v>261</v>
      </c>
      <c r="G59" s="2">
        <v>16</v>
      </c>
      <c r="H59" s="2" t="s">
        <v>63</v>
      </c>
      <c r="I59" s="2" t="s">
        <v>55</v>
      </c>
      <c r="J59" s="2">
        <v>2005</v>
      </c>
      <c r="K59" s="2">
        <v>10</v>
      </c>
      <c r="N59" s="3">
        <v>250</v>
      </c>
      <c r="O59" s="3">
        <v>3</v>
      </c>
      <c r="T59" s="3">
        <v>20</v>
      </c>
      <c r="Y59" s="3">
        <v>8.1</v>
      </c>
      <c r="AE59" s="3">
        <v>971</v>
      </c>
      <c r="AG59" s="3">
        <v>3.37</v>
      </c>
      <c r="AI59" s="3">
        <v>0.77900000000000003</v>
      </c>
      <c r="AM59" s="3">
        <v>1.91</v>
      </c>
      <c r="AR59" s="3" t="s">
        <v>64</v>
      </c>
      <c r="AT59" s="3">
        <v>47.75</v>
      </c>
      <c r="AU59" s="3" t="s">
        <v>880</v>
      </c>
      <c r="AW59" s="3" t="s">
        <v>235</v>
      </c>
    </row>
    <row r="60" spans="1:49" x14ac:dyDescent="0.15">
      <c r="A60" s="2">
        <v>59</v>
      </c>
      <c r="B60" s="2" t="s">
        <v>246</v>
      </c>
      <c r="C60" s="2" t="s">
        <v>53</v>
      </c>
      <c r="D60" s="2" t="s">
        <v>247</v>
      </c>
      <c r="E60" s="2" t="s">
        <v>261</v>
      </c>
      <c r="G60" s="2">
        <v>16</v>
      </c>
      <c r="H60" s="2" t="s">
        <v>63</v>
      </c>
      <c r="I60" s="2" t="s">
        <v>55</v>
      </c>
      <c r="J60" s="2">
        <v>2005</v>
      </c>
      <c r="K60" s="2">
        <v>10</v>
      </c>
      <c r="N60" s="3">
        <v>250</v>
      </c>
      <c r="O60" s="3">
        <v>3</v>
      </c>
      <c r="T60" s="3">
        <v>16</v>
      </c>
      <c r="Y60" s="3">
        <v>315.89999999999998</v>
      </c>
      <c r="AE60" s="3">
        <v>5972</v>
      </c>
      <c r="AG60" s="3">
        <v>1.1599999999999999</v>
      </c>
      <c r="AI60" s="3">
        <v>0.28999999999999998</v>
      </c>
      <c r="AM60" s="3">
        <v>1.2</v>
      </c>
      <c r="AR60" s="3" t="s">
        <v>64</v>
      </c>
      <c r="AT60" s="3">
        <v>47.75</v>
      </c>
      <c r="AU60" s="3" t="s">
        <v>880</v>
      </c>
      <c r="AW60" s="3" t="s">
        <v>235</v>
      </c>
    </row>
    <row r="61" spans="1:49" x14ac:dyDescent="0.15">
      <c r="A61" s="2">
        <v>60</v>
      </c>
      <c r="B61" s="2" t="s">
        <v>246</v>
      </c>
      <c r="C61" s="2" t="s">
        <v>53</v>
      </c>
      <c r="D61" s="2" t="s">
        <v>247</v>
      </c>
      <c r="E61" s="2" t="s">
        <v>261</v>
      </c>
      <c r="G61" s="2">
        <v>16</v>
      </c>
      <c r="H61" s="2" t="s">
        <v>63</v>
      </c>
      <c r="I61" s="2" t="s">
        <v>55</v>
      </c>
      <c r="J61" s="2">
        <v>2005</v>
      </c>
      <c r="K61" s="2">
        <v>10</v>
      </c>
      <c r="N61" s="3">
        <v>250</v>
      </c>
      <c r="O61" s="3">
        <v>3</v>
      </c>
      <c r="T61" s="3">
        <v>11</v>
      </c>
      <c r="Y61" s="3">
        <v>28.9</v>
      </c>
      <c r="AE61" s="3">
        <v>466</v>
      </c>
      <c r="AG61" s="3">
        <v>2.9</v>
      </c>
      <c r="AI61" s="3">
        <v>0.83799999999999997</v>
      </c>
      <c r="AM61" s="3">
        <v>1.1299999999999999</v>
      </c>
      <c r="AR61" s="3" t="s">
        <v>64</v>
      </c>
      <c r="AT61" s="3">
        <v>47.75</v>
      </c>
      <c r="AU61" s="3" t="s">
        <v>880</v>
      </c>
      <c r="AW61" s="3" t="s">
        <v>235</v>
      </c>
    </row>
    <row r="62" spans="1:49" x14ac:dyDescent="0.15">
      <c r="A62" s="2">
        <v>61</v>
      </c>
      <c r="B62" s="2" t="s">
        <v>246</v>
      </c>
      <c r="C62" s="2" t="s">
        <v>53</v>
      </c>
      <c r="D62" s="2" t="s">
        <v>247</v>
      </c>
      <c r="E62" s="2" t="s">
        <v>261</v>
      </c>
      <c r="G62" s="2">
        <v>16</v>
      </c>
      <c r="H62" s="2" t="s">
        <v>63</v>
      </c>
      <c r="I62" s="2" t="s">
        <v>55</v>
      </c>
      <c r="J62" s="2">
        <v>2005</v>
      </c>
      <c r="K62" s="2">
        <v>10</v>
      </c>
      <c r="N62" s="3">
        <v>250</v>
      </c>
      <c r="O62" s="3">
        <v>3</v>
      </c>
      <c r="T62" s="3">
        <v>17</v>
      </c>
      <c r="Y62" s="3">
        <v>20.100000000000001</v>
      </c>
      <c r="AE62" s="3">
        <v>1716</v>
      </c>
      <c r="AG62" s="3">
        <v>2.2599999999999998</v>
      </c>
      <c r="AI62" s="3">
        <v>0.55300000000000005</v>
      </c>
      <c r="AM62" s="3">
        <v>1.49</v>
      </c>
      <c r="AR62" s="3" t="s">
        <v>64</v>
      </c>
      <c r="AT62" s="3">
        <v>47.75</v>
      </c>
      <c r="AU62" s="3" t="s">
        <v>880</v>
      </c>
      <c r="AW62" s="3" t="s">
        <v>235</v>
      </c>
    </row>
    <row r="63" spans="1:49" s="10" customFormat="1" x14ac:dyDescent="0.15">
      <c r="A63" s="2">
        <v>62</v>
      </c>
      <c r="B63" s="9" t="s">
        <v>246</v>
      </c>
      <c r="C63" s="9" t="s">
        <v>53</v>
      </c>
      <c r="D63" s="9" t="s">
        <v>247</v>
      </c>
      <c r="E63" s="9" t="s">
        <v>261</v>
      </c>
      <c r="F63" s="9"/>
      <c r="G63" s="9">
        <v>16</v>
      </c>
      <c r="H63" s="9" t="s">
        <v>63</v>
      </c>
      <c r="I63" s="9" t="s">
        <v>55</v>
      </c>
      <c r="J63" s="9">
        <v>2005</v>
      </c>
      <c r="K63" s="9">
        <v>10</v>
      </c>
      <c r="L63" s="9"/>
      <c r="M63" s="9"/>
      <c r="N63" s="10">
        <v>250</v>
      </c>
      <c r="O63" s="10">
        <v>3</v>
      </c>
      <c r="P63" s="9"/>
      <c r="Q63" s="9"/>
      <c r="R63" s="9"/>
      <c r="S63" s="9"/>
      <c r="T63" s="10">
        <v>6</v>
      </c>
      <c r="Y63" s="10">
        <v>19.5</v>
      </c>
      <c r="AE63" s="10">
        <v>253</v>
      </c>
      <c r="AG63" s="10">
        <v>1.44</v>
      </c>
      <c r="AI63" s="10">
        <v>0.55800000000000005</v>
      </c>
      <c r="AM63" s="10">
        <v>0.63</v>
      </c>
      <c r="AR63" s="10" t="s">
        <v>64</v>
      </c>
      <c r="AT63" s="3">
        <v>47.75</v>
      </c>
      <c r="AU63" s="3" t="s">
        <v>880</v>
      </c>
      <c r="AW63" s="3" t="s">
        <v>235</v>
      </c>
    </row>
    <row r="64" spans="1:49" x14ac:dyDescent="0.15">
      <c r="A64" s="2">
        <v>63</v>
      </c>
      <c r="B64" s="2" t="s">
        <v>246</v>
      </c>
      <c r="C64" s="2" t="s">
        <v>53</v>
      </c>
      <c r="D64" s="2" t="s">
        <v>247</v>
      </c>
      <c r="E64" s="2" t="s">
        <v>238</v>
      </c>
      <c r="G64" s="2">
        <v>20</v>
      </c>
      <c r="H64" s="2" t="s">
        <v>63</v>
      </c>
      <c r="I64" s="2" t="s">
        <v>55</v>
      </c>
      <c r="J64" s="2">
        <v>2005</v>
      </c>
      <c r="K64" s="2">
        <v>10</v>
      </c>
      <c r="N64" s="3">
        <v>250</v>
      </c>
      <c r="O64" s="3">
        <v>3</v>
      </c>
      <c r="T64" s="3">
        <v>16</v>
      </c>
      <c r="Y64" s="3">
        <v>111</v>
      </c>
      <c r="AE64" s="3">
        <v>1091</v>
      </c>
      <c r="AG64" s="3">
        <v>2.99</v>
      </c>
      <c r="AI64" s="3">
        <v>0.747</v>
      </c>
      <c r="AM64" s="3">
        <v>1.49</v>
      </c>
      <c r="AR64" s="3" t="s">
        <v>64</v>
      </c>
      <c r="AT64" s="3">
        <v>47.75</v>
      </c>
      <c r="AU64" s="3" t="s">
        <v>880</v>
      </c>
      <c r="AW64" s="3" t="s">
        <v>235</v>
      </c>
    </row>
    <row r="65" spans="1:49" x14ac:dyDescent="0.15">
      <c r="A65" s="2">
        <v>64</v>
      </c>
      <c r="B65" s="2" t="s">
        <v>246</v>
      </c>
      <c r="C65" s="2" t="s">
        <v>53</v>
      </c>
      <c r="D65" s="2" t="s">
        <v>247</v>
      </c>
      <c r="E65" s="2" t="s">
        <v>238</v>
      </c>
      <c r="G65" s="2">
        <v>20</v>
      </c>
      <c r="H65" s="2" t="s">
        <v>63</v>
      </c>
      <c r="I65" s="2" t="s">
        <v>55</v>
      </c>
      <c r="J65" s="2">
        <v>2005</v>
      </c>
      <c r="K65" s="2">
        <v>10</v>
      </c>
      <c r="N65" s="3">
        <v>250</v>
      </c>
      <c r="O65" s="3">
        <v>3</v>
      </c>
      <c r="T65" s="3">
        <v>8</v>
      </c>
      <c r="Y65" s="3">
        <v>0.87</v>
      </c>
      <c r="AE65" s="3">
        <v>213</v>
      </c>
      <c r="AG65" s="3">
        <v>2.52</v>
      </c>
      <c r="AI65" s="3">
        <v>0.84099999999999997</v>
      </c>
      <c r="AM65" s="3">
        <v>0.91</v>
      </c>
      <c r="AR65" s="3" t="s">
        <v>64</v>
      </c>
      <c r="AT65" s="3">
        <v>47.75</v>
      </c>
      <c r="AU65" s="3" t="s">
        <v>880</v>
      </c>
      <c r="AW65" s="3" t="s">
        <v>235</v>
      </c>
    </row>
    <row r="66" spans="1:49" x14ac:dyDescent="0.15">
      <c r="A66" s="2">
        <v>65</v>
      </c>
      <c r="B66" s="2" t="s">
        <v>246</v>
      </c>
      <c r="C66" s="2" t="s">
        <v>53</v>
      </c>
      <c r="D66" s="2" t="s">
        <v>247</v>
      </c>
      <c r="E66" s="2" t="s">
        <v>238</v>
      </c>
      <c r="G66" s="2">
        <v>20</v>
      </c>
      <c r="H66" s="2" t="s">
        <v>63</v>
      </c>
      <c r="I66" s="2" t="s">
        <v>55</v>
      </c>
      <c r="J66" s="2">
        <v>2005</v>
      </c>
      <c r="K66" s="2">
        <v>10</v>
      </c>
      <c r="N66" s="3">
        <v>250</v>
      </c>
      <c r="O66" s="3">
        <v>3</v>
      </c>
      <c r="T66" s="3">
        <v>18</v>
      </c>
      <c r="Y66" s="3">
        <v>6.2</v>
      </c>
      <c r="AE66" s="3">
        <v>545</v>
      </c>
      <c r="AG66" s="3">
        <v>3.68</v>
      </c>
      <c r="AI66" s="3">
        <v>0.88200000000000001</v>
      </c>
      <c r="AM66" s="3">
        <v>1.87</v>
      </c>
      <c r="AR66" s="3" t="s">
        <v>64</v>
      </c>
      <c r="AT66" s="3">
        <v>47.75</v>
      </c>
      <c r="AU66" s="3" t="s">
        <v>880</v>
      </c>
      <c r="AW66" s="3" t="s">
        <v>235</v>
      </c>
    </row>
    <row r="67" spans="1:49" x14ac:dyDescent="0.15">
      <c r="A67" s="2">
        <v>66</v>
      </c>
      <c r="B67" s="2" t="s">
        <v>246</v>
      </c>
      <c r="C67" s="2" t="s">
        <v>53</v>
      </c>
      <c r="D67" s="2" t="s">
        <v>247</v>
      </c>
      <c r="E67" s="2" t="s">
        <v>238</v>
      </c>
      <c r="G67" s="2">
        <v>20</v>
      </c>
      <c r="H67" s="2" t="s">
        <v>63</v>
      </c>
      <c r="I67" s="2" t="s">
        <v>55</v>
      </c>
      <c r="J67" s="2">
        <v>2005</v>
      </c>
      <c r="K67" s="2">
        <v>10</v>
      </c>
      <c r="N67" s="3">
        <v>250</v>
      </c>
      <c r="O67" s="3">
        <v>3</v>
      </c>
      <c r="T67" s="3">
        <v>14</v>
      </c>
      <c r="Y67" s="3">
        <v>12.8</v>
      </c>
      <c r="AE67" s="3">
        <v>585</v>
      </c>
      <c r="AG67" s="3">
        <v>2.98</v>
      </c>
      <c r="AI67" s="3">
        <v>0.78200000000000003</v>
      </c>
      <c r="AM67" s="3">
        <v>1.41</v>
      </c>
      <c r="AR67" s="3" t="s">
        <v>64</v>
      </c>
      <c r="AT67" s="3">
        <v>47.75</v>
      </c>
      <c r="AU67" s="3" t="s">
        <v>880</v>
      </c>
      <c r="AW67" s="3" t="s">
        <v>235</v>
      </c>
    </row>
    <row r="68" spans="1:49" x14ac:dyDescent="0.15">
      <c r="A68" s="2">
        <v>67</v>
      </c>
      <c r="B68" s="2" t="s">
        <v>246</v>
      </c>
      <c r="C68" s="2" t="s">
        <v>53</v>
      </c>
      <c r="D68" s="2" t="s">
        <v>247</v>
      </c>
      <c r="E68" s="2" t="s">
        <v>238</v>
      </c>
      <c r="G68" s="2">
        <v>20</v>
      </c>
      <c r="H68" s="2" t="s">
        <v>63</v>
      </c>
      <c r="I68" s="2" t="s">
        <v>55</v>
      </c>
      <c r="J68" s="2">
        <v>2005</v>
      </c>
      <c r="K68" s="2">
        <v>10</v>
      </c>
      <c r="N68" s="3">
        <v>250</v>
      </c>
      <c r="O68" s="3">
        <v>3</v>
      </c>
      <c r="T68" s="3">
        <v>5</v>
      </c>
      <c r="Y68" s="3">
        <v>0.24</v>
      </c>
      <c r="AE68" s="3">
        <v>93</v>
      </c>
      <c r="AG68" s="3">
        <v>2.2400000000000002</v>
      </c>
      <c r="AI68" s="3">
        <v>0.96299999999999997</v>
      </c>
      <c r="AM68" s="3">
        <v>0.61</v>
      </c>
      <c r="AR68" s="3" t="s">
        <v>64</v>
      </c>
      <c r="AT68" s="3">
        <v>47.75</v>
      </c>
      <c r="AU68" s="3" t="s">
        <v>880</v>
      </c>
      <c r="AW68" s="3" t="s">
        <v>235</v>
      </c>
    </row>
    <row r="69" spans="1:49" s="10" customFormat="1" x14ac:dyDescent="0.15">
      <c r="A69" s="2">
        <v>68</v>
      </c>
      <c r="B69" s="9" t="s">
        <v>246</v>
      </c>
      <c r="C69" s="9" t="s">
        <v>53</v>
      </c>
      <c r="D69" s="9" t="s">
        <v>247</v>
      </c>
      <c r="E69" s="9" t="s">
        <v>238</v>
      </c>
      <c r="F69" s="9"/>
      <c r="G69" s="9">
        <v>20</v>
      </c>
      <c r="H69" s="9" t="s">
        <v>63</v>
      </c>
      <c r="I69" s="9" t="s">
        <v>55</v>
      </c>
      <c r="J69" s="9">
        <v>2005</v>
      </c>
      <c r="K69" s="9">
        <v>10</v>
      </c>
      <c r="L69" s="9"/>
      <c r="M69" s="9"/>
      <c r="N69" s="10">
        <v>250</v>
      </c>
      <c r="O69" s="10">
        <v>3</v>
      </c>
      <c r="P69" s="9"/>
      <c r="Q69" s="9"/>
      <c r="R69" s="9"/>
      <c r="S69" s="9"/>
      <c r="T69" s="10">
        <v>23</v>
      </c>
      <c r="Y69" s="10">
        <v>102</v>
      </c>
      <c r="AE69" s="10">
        <v>984</v>
      </c>
      <c r="AG69" s="10">
        <v>3.79</v>
      </c>
      <c r="AI69" s="10">
        <v>0.83799999999999997</v>
      </c>
      <c r="AM69" s="10">
        <v>2.21</v>
      </c>
      <c r="AR69" s="10" t="s">
        <v>64</v>
      </c>
      <c r="AT69" s="3">
        <v>47.75</v>
      </c>
      <c r="AU69" s="3" t="s">
        <v>880</v>
      </c>
      <c r="AW69" s="10" t="s">
        <v>235</v>
      </c>
    </row>
    <row r="70" spans="1:49" x14ac:dyDescent="0.15">
      <c r="A70" s="2">
        <v>69</v>
      </c>
      <c r="B70" s="2" t="s">
        <v>246</v>
      </c>
      <c r="C70" s="2" t="s">
        <v>53</v>
      </c>
      <c r="D70" s="2" t="s">
        <v>247</v>
      </c>
      <c r="E70" s="2" t="s">
        <v>260</v>
      </c>
      <c r="G70" s="2">
        <v>20</v>
      </c>
      <c r="H70" s="2" t="s">
        <v>63</v>
      </c>
      <c r="I70" s="2" t="s">
        <v>55</v>
      </c>
      <c r="J70" s="2">
        <v>2005</v>
      </c>
      <c r="K70" s="2">
        <v>10</v>
      </c>
      <c r="N70" s="6">
        <v>250</v>
      </c>
      <c r="O70" s="6">
        <v>3</v>
      </c>
      <c r="T70" s="3">
        <v>12</v>
      </c>
      <c r="Y70" s="3">
        <v>1.1000000000000001</v>
      </c>
      <c r="AE70" s="3">
        <v>279</v>
      </c>
      <c r="AG70" s="3">
        <v>3.27</v>
      </c>
      <c r="AI70" s="3">
        <v>0.91200000000000003</v>
      </c>
      <c r="AM70" s="3">
        <v>1.35</v>
      </c>
      <c r="AR70" s="3" t="s">
        <v>64</v>
      </c>
      <c r="AT70" s="3">
        <v>47.75</v>
      </c>
      <c r="AU70" s="3" t="s">
        <v>880</v>
      </c>
      <c r="AW70" s="3" t="s">
        <v>235</v>
      </c>
    </row>
    <row r="71" spans="1:49" x14ac:dyDescent="0.15">
      <c r="A71" s="2">
        <v>70</v>
      </c>
      <c r="B71" s="2" t="s">
        <v>246</v>
      </c>
      <c r="C71" s="2" t="s">
        <v>53</v>
      </c>
      <c r="D71" s="2" t="s">
        <v>247</v>
      </c>
      <c r="E71" s="2" t="s">
        <v>260</v>
      </c>
      <c r="G71" s="2">
        <v>20</v>
      </c>
      <c r="H71" s="2" t="s">
        <v>63</v>
      </c>
      <c r="I71" s="2" t="s">
        <v>55</v>
      </c>
      <c r="J71" s="2">
        <v>2005</v>
      </c>
      <c r="K71" s="2">
        <v>10</v>
      </c>
      <c r="N71" s="6">
        <v>250</v>
      </c>
      <c r="O71" s="6">
        <v>3</v>
      </c>
      <c r="T71" s="3">
        <v>8</v>
      </c>
      <c r="Y71" s="3">
        <v>0.5</v>
      </c>
      <c r="AE71" s="3">
        <v>173</v>
      </c>
      <c r="AG71" s="3">
        <v>2.65</v>
      </c>
      <c r="AI71" s="3">
        <v>0.88500000000000001</v>
      </c>
      <c r="AM71" s="3">
        <v>0.94</v>
      </c>
      <c r="AR71" s="3" t="s">
        <v>64</v>
      </c>
      <c r="AT71" s="3">
        <v>47.75</v>
      </c>
      <c r="AU71" s="3" t="s">
        <v>880</v>
      </c>
      <c r="AW71" s="3" t="s">
        <v>235</v>
      </c>
    </row>
    <row r="72" spans="1:49" x14ac:dyDescent="0.15">
      <c r="A72" s="2">
        <v>71</v>
      </c>
      <c r="B72" s="2" t="s">
        <v>246</v>
      </c>
      <c r="C72" s="2" t="s">
        <v>53</v>
      </c>
      <c r="D72" s="2" t="s">
        <v>247</v>
      </c>
      <c r="E72" s="2" t="s">
        <v>260</v>
      </c>
      <c r="G72" s="2">
        <v>20</v>
      </c>
      <c r="H72" s="2" t="s">
        <v>63</v>
      </c>
      <c r="I72" s="2" t="s">
        <v>55</v>
      </c>
      <c r="J72" s="2">
        <v>2005</v>
      </c>
      <c r="K72" s="2">
        <v>10</v>
      </c>
      <c r="N72" s="6">
        <v>250</v>
      </c>
      <c r="O72" s="6">
        <v>3</v>
      </c>
      <c r="T72" s="3">
        <v>18</v>
      </c>
      <c r="Y72" s="3">
        <v>17.2</v>
      </c>
      <c r="AE72" s="3">
        <v>971</v>
      </c>
      <c r="AG72" s="3">
        <v>3.54</v>
      </c>
      <c r="AI72" s="3">
        <v>0.85</v>
      </c>
      <c r="AM72" s="3">
        <v>1.71</v>
      </c>
      <c r="AR72" s="3" t="s">
        <v>64</v>
      </c>
      <c r="AT72" s="3">
        <v>47.75</v>
      </c>
      <c r="AU72" s="3" t="s">
        <v>880</v>
      </c>
      <c r="AW72" s="3" t="s">
        <v>235</v>
      </c>
    </row>
    <row r="73" spans="1:49" x14ac:dyDescent="0.15">
      <c r="A73" s="2">
        <v>72</v>
      </c>
      <c r="B73" s="2" t="s">
        <v>246</v>
      </c>
      <c r="C73" s="2" t="s">
        <v>53</v>
      </c>
      <c r="D73" s="2" t="s">
        <v>247</v>
      </c>
      <c r="E73" s="2" t="s">
        <v>260</v>
      </c>
      <c r="G73" s="2">
        <v>20</v>
      </c>
      <c r="H73" s="2" t="s">
        <v>63</v>
      </c>
      <c r="I73" s="2" t="s">
        <v>55</v>
      </c>
      <c r="J73" s="2">
        <v>2005</v>
      </c>
      <c r="K73" s="2">
        <v>10</v>
      </c>
      <c r="N73" s="6">
        <v>250</v>
      </c>
      <c r="O73" s="6">
        <v>3</v>
      </c>
      <c r="T73" s="3">
        <v>11</v>
      </c>
      <c r="Y73" s="3">
        <v>30.3</v>
      </c>
      <c r="AE73" s="3">
        <v>426</v>
      </c>
      <c r="AG73" s="3">
        <v>2.79</v>
      </c>
      <c r="AI73" s="3">
        <v>0.80700000000000005</v>
      </c>
      <c r="AM73" s="3">
        <v>1.1499999999999999</v>
      </c>
      <c r="AR73" s="3" t="s">
        <v>64</v>
      </c>
      <c r="AT73" s="3">
        <v>47.75</v>
      </c>
      <c r="AU73" s="3" t="s">
        <v>880</v>
      </c>
      <c r="AW73" s="3" t="s">
        <v>235</v>
      </c>
    </row>
    <row r="74" spans="1:49" x14ac:dyDescent="0.15">
      <c r="A74" s="2">
        <v>73</v>
      </c>
      <c r="B74" s="2" t="s">
        <v>246</v>
      </c>
      <c r="C74" s="2" t="s">
        <v>53</v>
      </c>
      <c r="D74" s="2" t="s">
        <v>247</v>
      </c>
      <c r="E74" s="2" t="s">
        <v>260</v>
      </c>
      <c r="G74" s="2">
        <v>20</v>
      </c>
      <c r="H74" s="2" t="s">
        <v>63</v>
      </c>
      <c r="I74" s="2" t="s">
        <v>55</v>
      </c>
      <c r="J74" s="2">
        <v>2005</v>
      </c>
      <c r="K74" s="2">
        <v>10</v>
      </c>
      <c r="N74" s="6">
        <v>250</v>
      </c>
      <c r="O74" s="6">
        <v>3</v>
      </c>
      <c r="T74" s="3">
        <v>13</v>
      </c>
      <c r="Y74" s="3">
        <v>13.4</v>
      </c>
      <c r="AE74" s="3">
        <v>545</v>
      </c>
      <c r="AG74" s="3">
        <v>2.93</v>
      </c>
      <c r="AI74" s="3">
        <v>0.79200000000000004</v>
      </c>
      <c r="AM74" s="3">
        <v>1.32</v>
      </c>
      <c r="AR74" s="3" t="s">
        <v>64</v>
      </c>
      <c r="AT74" s="3">
        <v>47.75</v>
      </c>
      <c r="AU74" s="3" t="s">
        <v>880</v>
      </c>
      <c r="AW74" s="3" t="s">
        <v>235</v>
      </c>
    </row>
    <row r="75" spans="1:49" x14ac:dyDescent="0.15">
      <c r="A75" s="2">
        <v>74</v>
      </c>
      <c r="B75" s="2" t="s">
        <v>246</v>
      </c>
      <c r="C75" s="2" t="s">
        <v>53</v>
      </c>
      <c r="D75" s="2" t="s">
        <v>247</v>
      </c>
      <c r="E75" s="2" t="s">
        <v>260</v>
      </c>
      <c r="G75" s="2">
        <v>20</v>
      </c>
      <c r="H75" s="2" t="s">
        <v>63</v>
      </c>
      <c r="I75" s="2" t="s">
        <v>55</v>
      </c>
      <c r="J75" s="2">
        <v>2005</v>
      </c>
      <c r="K75" s="2">
        <v>10</v>
      </c>
      <c r="N75" s="6">
        <v>250</v>
      </c>
      <c r="O75" s="6">
        <v>3</v>
      </c>
      <c r="T75" s="3">
        <v>10</v>
      </c>
      <c r="Y75" s="3">
        <v>7.8</v>
      </c>
      <c r="AE75" s="3">
        <v>173</v>
      </c>
      <c r="AG75" s="3">
        <v>3.24</v>
      </c>
      <c r="AI75" s="3">
        <v>0.97499999999999998</v>
      </c>
      <c r="AM75" s="3">
        <v>1.21</v>
      </c>
      <c r="AR75" s="3" t="s">
        <v>64</v>
      </c>
      <c r="AT75" s="3">
        <v>47.75</v>
      </c>
      <c r="AU75" s="3" t="s">
        <v>880</v>
      </c>
      <c r="AW75" s="3" t="s">
        <v>235</v>
      </c>
    </row>
    <row r="76" spans="1:49" x14ac:dyDescent="0.15">
      <c r="A76" s="2">
        <v>75</v>
      </c>
      <c r="B76" s="2" t="s">
        <v>246</v>
      </c>
      <c r="C76" s="2" t="s">
        <v>53</v>
      </c>
      <c r="D76" s="2" t="s">
        <v>247</v>
      </c>
      <c r="E76" s="2" t="s">
        <v>260</v>
      </c>
      <c r="G76" s="2">
        <v>20</v>
      </c>
      <c r="H76" s="2" t="s">
        <v>63</v>
      </c>
      <c r="I76" s="2" t="s">
        <v>55</v>
      </c>
      <c r="J76" s="2">
        <v>2005</v>
      </c>
      <c r="K76" s="2">
        <v>10</v>
      </c>
      <c r="N76" s="6">
        <v>250</v>
      </c>
      <c r="O76" s="6">
        <v>3</v>
      </c>
      <c r="T76" s="3">
        <v>19</v>
      </c>
      <c r="Y76" s="3">
        <v>24.6</v>
      </c>
      <c r="AE76" s="3">
        <v>692</v>
      </c>
      <c r="AG76" s="3">
        <v>3.57</v>
      </c>
      <c r="AI76" s="3">
        <v>0.84</v>
      </c>
      <c r="AM76" s="3">
        <v>1.91</v>
      </c>
      <c r="AR76" s="3" t="s">
        <v>64</v>
      </c>
      <c r="AT76" s="3">
        <v>47.75</v>
      </c>
      <c r="AU76" s="3" t="s">
        <v>880</v>
      </c>
      <c r="AW76" s="3" t="s">
        <v>235</v>
      </c>
    </row>
    <row r="77" spans="1:49" x14ac:dyDescent="0.15">
      <c r="A77" s="2">
        <v>76</v>
      </c>
      <c r="B77" s="2" t="s">
        <v>246</v>
      </c>
      <c r="C77" s="2" t="s">
        <v>53</v>
      </c>
      <c r="D77" s="2" t="s">
        <v>247</v>
      </c>
      <c r="E77" s="2" t="s">
        <v>260</v>
      </c>
      <c r="G77" s="2">
        <v>20</v>
      </c>
      <c r="H77" s="2" t="s">
        <v>63</v>
      </c>
      <c r="I77" s="2" t="s">
        <v>55</v>
      </c>
      <c r="J77" s="2">
        <v>2005</v>
      </c>
      <c r="K77" s="2">
        <v>10</v>
      </c>
      <c r="N77" s="6">
        <v>250</v>
      </c>
      <c r="O77" s="6">
        <v>3</v>
      </c>
      <c r="T77" s="3">
        <v>14</v>
      </c>
      <c r="Y77" s="3">
        <v>1.3</v>
      </c>
      <c r="AE77" s="3">
        <v>412</v>
      </c>
      <c r="AG77" s="3">
        <v>3.21</v>
      </c>
      <c r="AI77" s="3">
        <v>0.84399999999999997</v>
      </c>
      <c r="AM77" s="3">
        <v>1.5</v>
      </c>
      <c r="AR77" s="3" t="s">
        <v>64</v>
      </c>
      <c r="AT77" s="3">
        <v>47.75</v>
      </c>
      <c r="AU77" s="3" t="s">
        <v>880</v>
      </c>
      <c r="AW77" s="3" t="s">
        <v>235</v>
      </c>
    </row>
    <row r="78" spans="1:49" x14ac:dyDescent="0.15">
      <c r="A78" s="2">
        <v>77</v>
      </c>
      <c r="B78" s="2" t="s">
        <v>246</v>
      </c>
      <c r="C78" s="2" t="s">
        <v>53</v>
      </c>
      <c r="D78" s="2" t="s">
        <v>247</v>
      </c>
      <c r="E78" s="2" t="s">
        <v>260</v>
      </c>
      <c r="G78" s="2">
        <v>20</v>
      </c>
      <c r="H78" s="2" t="s">
        <v>63</v>
      </c>
      <c r="I78" s="2" t="s">
        <v>55</v>
      </c>
      <c r="J78" s="2">
        <v>2005</v>
      </c>
      <c r="K78" s="2">
        <v>10</v>
      </c>
      <c r="N78" s="6">
        <v>250</v>
      </c>
      <c r="O78" s="6">
        <v>3</v>
      </c>
      <c r="T78" s="3">
        <v>14</v>
      </c>
      <c r="Y78" s="3">
        <v>19.5</v>
      </c>
      <c r="AE78" s="3">
        <v>372</v>
      </c>
      <c r="AG78" s="3">
        <v>3.46</v>
      </c>
      <c r="AI78" s="3">
        <v>0.90900000000000003</v>
      </c>
      <c r="AM78" s="3">
        <v>1.52</v>
      </c>
      <c r="AR78" s="3" t="s">
        <v>64</v>
      </c>
      <c r="AT78" s="3">
        <v>47.75</v>
      </c>
      <c r="AU78" s="3" t="s">
        <v>880</v>
      </c>
      <c r="AW78" s="3" t="s">
        <v>235</v>
      </c>
    </row>
    <row r="79" spans="1:49" x14ac:dyDescent="0.15">
      <c r="A79" s="2">
        <v>78</v>
      </c>
      <c r="B79" s="2" t="s">
        <v>262</v>
      </c>
      <c r="C79" s="2" t="s">
        <v>71</v>
      </c>
      <c r="D79" s="2" t="s">
        <v>231</v>
      </c>
      <c r="E79" s="2" t="s">
        <v>39</v>
      </c>
      <c r="H79" s="2" t="s">
        <v>60</v>
      </c>
      <c r="I79" s="2" t="s">
        <v>72</v>
      </c>
      <c r="J79" s="2">
        <v>1992</v>
      </c>
      <c r="K79" s="2">
        <v>5</v>
      </c>
      <c r="L79" s="2">
        <v>1993</v>
      </c>
      <c r="M79" s="2">
        <v>3</v>
      </c>
      <c r="N79" s="3">
        <v>625</v>
      </c>
      <c r="O79" s="3">
        <v>8</v>
      </c>
      <c r="P79" s="2">
        <v>52</v>
      </c>
      <c r="Q79" s="2">
        <v>143</v>
      </c>
      <c r="R79" s="2">
        <v>49</v>
      </c>
      <c r="S79" s="2">
        <v>11</v>
      </c>
      <c r="T79" s="3">
        <v>278</v>
      </c>
      <c r="U79" s="3">
        <v>3519.57</v>
      </c>
      <c r="V79" s="3">
        <v>1061.8699999999999</v>
      </c>
      <c r="Y79" s="3">
        <f>(U79+V79)/0.99</f>
        <v>4627.7171717171723</v>
      </c>
      <c r="AA79" s="3">
        <v>2180.5700000000002</v>
      </c>
      <c r="AB79" s="3">
        <v>1463.4</v>
      </c>
      <c r="AE79" s="3">
        <f>(AA79+AB79)/0.96</f>
        <v>3795.8020833333339</v>
      </c>
      <c r="AR79" s="3" t="s">
        <v>64</v>
      </c>
      <c r="AT79" s="3">
        <v>47.75</v>
      </c>
      <c r="AU79" s="3" t="s">
        <v>880</v>
      </c>
      <c r="AW79" s="3" t="s">
        <v>266</v>
      </c>
    </row>
    <row r="80" spans="1:49" x14ac:dyDescent="0.15">
      <c r="A80" s="2">
        <v>79</v>
      </c>
      <c r="B80" s="2" t="s">
        <v>262</v>
      </c>
      <c r="C80" s="2" t="s">
        <v>71</v>
      </c>
      <c r="D80" s="2" t="s">
        <v>231</v>
      </c>
      <c r="E80" s="2" t="s">
        <v>39</v>
      </c>
      <c r="H80" s="2" t="s">
        <v>60</v>
      </c>
      <c r="I80" s="2" t="s">
        <v>72</v>
      </c>
      <c r="J80" s="2">
        <v>1993</v>
      </c>
      <c r="K80" s="2">
        <v>3</v>
      </c>
      <c r="L80" s="2">
        <v>1993</v>
      </c>
      <c r="M80" s="2">
        <v>3</v>
      </c>
      <c r="N80" s="3">
        <v>625</v>
      </c>
      <c r="O80" s="3">
        <v>8</v>
      </c>
      <c r="P80" s="2">
        <v>52</v>
      </c>
      <c r="Q80" s="2">
        <v>143</v>
      </c>
      <c r="R80" s="2">
        <v>49</v>
      </c>
      <c r="S80" s="2">
        <v>11</v>
      </c>
      <c r="T80" s="3">
        <v>278</v>
      </c>
      <c r="U80" s="3">
        <v>3519.57</v>
      </c>
      <c r="V80" s="3">
        <v>1061.8699999999999</v>
      </c>
      <c r="Y80" s="3">
        <f>(U80+V80)/0.99</f>
        <v>4627.7171717171723</v>
      </c>
      <c r="AA80" s="3">
        <v>2180.5700000000002</v>
      </c>
      <c r="AB80" s="3">
        <v>1463.4</v>
      </c>
      <c r="AE80" s="3">
        <f>(AA80+AB80)/0.96</f>
        <v>3795.8020833333339</v>
      </c>
      <c r="AR80" s="3" t="s">
        <v>64</v>
      </c>
      <c r="AT80" s="3">
        <v>47.75</v>
      </c>
      <c r="AU80" s="3" t="s">
        <v>880</v>
      </c>
      <c r="AW80" s="3" t="s">
        <v>266</v>
      </c>
    </row>
    <row r="81" spans="1:49" x14ac:dyDescent="0.15">
      <c r="A81" s="2">
        <v>80</v>
      </c>
      <c r="B81" s="2" t="s">
        <v>263</v>
      </c>
      <c r="C81" s="2" t="s">
        <v>73</v>
      </c>
      <c r="D81" s="2" t="s">
        <v>231</v>
      </c>
      <c r="E81" s="2" t="s">
        <v>39</v>
      </c>
      <c r="H81" s="2" t="s">
        <v>60</v>
      </c>
      <c r="I81" s="2" t="s">
        <v>25</v>
      </c>
      <c r="J81" s="2">
        <v>2006</v>
      </c>
      <c r="K81" s="2">
        <v>10</v>
      </c>
      <c r="N81" s="3">
        <v>625</v>
      </c>
      <c r="O81" s="3">
        <v>72</v>
      </c>
      <c r="P81" s="2">
        <v>14</v>
      </c>
      <c r="Q81" s="2">
        <v>40</v>
      </c>
      <c r="R81" s="2">
        <v>1</v>
      </c>
      <c r="S81" s="2">
        <v>0</v>
      </c>
      <c r="T81" s="3">
        <v>66</v>
      </c>
      <c r="V81" s="3">
        <f>Y81*0.5</f>
        <v>564.61500000000001</v>
      </c>
      <c r="Y81" s="3">
        <v>1129.23</v>
      </c>
      <c r="AE81" s="3">
        <f>AVERAGE(AE83:AE86)</f>
        <v>707.75</v>
      </c>
      <c r="AF81" s="3">
        <f>STDEV(AE83:AE86)</f>
        <v>579.30727310009377</v>
      </c>
      <c r="AG81" s="3">
        <f>AVERAGE(AG83:AG86)</f>
        <v>1.7649999999999999</v>
      </c>
      <c r="AH81" s="3">
        <f>STDEV(AG83:AG86)</f>
        <v>0.38888730158406198</v>
      </c>
      <c r="AI81" s="3">
        <f>AVERAGE(AI83:AI86)</f>
        <v>0.61</v>
      </c>
      <c r="AJ81" s="3">
        <f>STDEV(AI83:AI86)</f>
        <v>0.16186414056238624</v>
      </c>
      <c r="AK81" s="3">
        <f>AVERAGE(AK83:AK86)</f>
        <v>0.70250000000000001</v>
      </c>
      <c r="AL81" s="3">
        <f>STDEV(AK83:AK86)</f>
        <v>0.15840349322747435</v>
      </c>
      <c r="AM81" s="3">
        <f>AVERAGE(AM83:AM86)</f>
        <v>2.4750000000000005</v>
      </c>
      <c r="AN81" s="3">
        <f>STDEV(AM83:AM86)</f>
        <v>0.36774085078126639</v>
      </c>
      <c r="AR81" s="3" t="s">
        <v>74</v>
      </c>
      <c r="AS81" s="3" t="s">
        <v>267</v>
      </c>
      <c r="AT81" s="3">
        <v>43.5</v>
      </c>
      <c r="AU81" s="3" t="s">
        <v>86</v>
      </c>
      <c r="AV81" s="4" t="s">
        <v>268</v>
      </c>
      <c r="AW81" s="3" t="s">
        <v>234</v>
      </c>
    </row>
    <row r="82" spans="1:49" x14ac:dyDescent="0.15">
      <c r="A82" s="2">
        <v>81</v>
      </c>
      <c r="B82" s="2" t="s">
        <v>263</v>
      </c>
      <c r="C82" s="2" t="s">
        <v>73</v>
      </c>
      <c r="D82" s="2" t="s">
        <v>231</v>
      </c>
      <c r="E82" s="2" t="s">
        <v>39</v>
      </c>
      <c r="H82" s="2" t="s">
        <v>60</v>
      </c>
      <c r="I82" s="2" t="s">
        <v>25</v>
      </c>
      <c r="J82" s="2">
        <v>2007</v>
      </c>
      <c r="K82" s="2">
        <v>4</v>
      </c>
      <c r="N82" s="3">
        <v>625</v>
      </c>
      <c r="O82" s="3">
        <v>72</v>
      </c>
      <c r="P82" s="2">
        <v>10</v>
      </c>
      <c r="Q82" s="2">
        <v>40</v>
      </c>
      <c r="R82" s="2">
        <v>2</v>
      </c>
      <c r="S82" s="2">
        <v>1</v>
      </c>
      <c r="T82" s="3">
        <v>63</v>
      </c>
      <c r="V82" s="3">
        <f t="shared" ref="V82:V90" si="1">Y82*0.5</f>
        <v>288.49</v>
      </c>
      <c r="Y82" s="3">
        <v>576.98</v>
      </c>
      <c r="AE82" s="3">
        <f>AVERAGE(AE87:AE90)</f>
        <v>460.75</v>
      </c>
      <c r="AF82" s="3">
        <f>STDEV(AE87:AE90)</f>
        <v>421.06402917687785</v>
      </c>
      <c r="AG82" s="3">
        <f>AVERAGE(AG87:AG90)</f>
        <v>1.7025000000000001</v>
      </c>
      <c r="AH82" s="3">
        <f>STDEV(AG87:AG90)</f>
        <v>0.59494397495338358</v>
      </c>
      <c r="AI82" s="3">
        <f>AVERAGE(AI87:AI90)</f>
        <v>0.63500000000000001</v>
      </c>
      <c r="AJ82" s="3">
        <f>STDEV(AI87:AI90)</f>
        <v>0.24117766618546299</v>
      </c>
      <c r="AK82" s="3">
        <f>AVERAGE(AK87:AK90)</f>
        <v>0.70499999999999996</v>
      </c>
      <c r="AL82" s="3">
        <f>STDEV(AK87:AK90)</f>
        <v>0.2335950912726264</v>
      </c>
      <c r="AM82" s="3">
        <f>AVERAGE(AM87:AM90)</f>
        <v>2.0525000000000002</v>
      </c>
      <c r="AN82" s="3">
        <f>STDEV(AM87:AM90)</f>
        <v>8.2613558209291504E-2</v>
      </c>
      <c r="AR82" s="3" t="s">
        <v>66</v>
      </c>
      <c r="AS82" s="3" t="s">
        <v>267</v>
      </c>
      <c r="AT82" s="3">
        <v>43.5</v>
      </c>
      <c r="AU82" s="3" t="s">
        <v>86</v>
      </c>
      <c r="AV82" s="4" t="s">
        <v>276</v>
      </c>
      <c r="AW82" s="3" t="s">
        <v>234</v>
      </c>
    </row>
    <row r="83" spans="1:49" x14ac:dyDescent="0.15">
      <c r="A83" s="2">
        <v>82</v>
      </c>
      <c r="B83" s="2" t="s">
        <v>263</v>
      </c>
      <c r="C83" s="2" t="s">
        <v>73</v>
      </c>
      <c r="D83" s="2" t="s">
        <v>231</v>
      </c>
      <c r="E83" s="2" t="s">
        <v>39</v>
      </c>
      <c r="H83" s="2" t="s">
        <v>264</v>
      </c>
      <c r="I83" s="2" t="s">
        <v>25</v>
      </c>
      <c r="J83" s="2">
        <v>2007</v>
      </c>
      <c r="K83" s="2">
        <v>4</v>
      </c>
      <c r="N83" s="3">
        <v>625</v>
      </c>
      <c r="O83" s="3">
        <v>18</v>
      </c>
      <c r="P83" s="2">
        <v>2</v>
      </c>
      <c r="Q83" s="2">
        <v>20</v>
      </c>
      <c r="R83" s="2">
        <v>1</v>
      </c>
      <c r="S83" s="2">
        <v>0</v>
      </c>
      <c r="T83" s="3">
        <v>23</v>
      </c>
      <c r="V83" s="3">
        <f t="shared" si="1"/>
        <v>49.1</v>
      </c>
      <c r="Y83" s="3">
        <v>98.2</v>
      </c>
      <c r="AE83" s="3">
        <v>153</v>
      </c>
      <c r="AG83" s="3">
        <v>2.09</v>
      </c>
      <c r="AI83" s="3">
        <v>0.76</v>
      </c>
      <c r="AK83" s="3">
        <v>0.83</v>
      </c>
      <c r="AM83" s="3">
        <v>2.5</v>
      </c>
      <c r="AR83" s="3" t="s">
        <v>66</v>
      </c>
      <c r="AS83" s="3" t="s">
        <v>267</v>
      </c>
      <c r="AT83" s="3">
        <v>43.5</v>
      </c>
      <c r="AU83" s="3" t="s">
        <v>86</v>
      </c>
      <c r="AV83" s="4" t="s">
        <v>277</v>
      </c>
      <c r="AW83" s="3" t="s">
        <v>234</v>
      </c>
    </row>
    <row r="84" spans="1:49" x14ac:dyDescent="0.15">
      <c r="A84" s="2">
        <v>83</v>
      </c>
      <c r="B84" s="2" t="s">
        <v>263</v>
      </c>
      <c r="C84" s="2" t="s">
        <v>73</v>
      </c>
      <c r="D84" s="2" t="s">
        <v>231</v>
      </c>
      <c r="E84" s="2" t="s">
        <v>39</v>
      </c>
      <c r="H84" s="2" t="s">
        <v>264</v>
      </c>
      <c r="I84" s="2" t="s">
        <v>25</v>
      </c>
      <c r="J84" s="2">
        <v>2007</v>
      </c>
      <c r="K84" s="2">
        <v>4</v>
      </c>
      <c r="N84" s="3">
        <v>625</v>
      </c>
      <c r="O84" s="3">
        <v>18</v>
      </c>
      <c r="P84" s="2">
        <v>6</v>
      </c>
      <c r="Q84" s="2">
        <v>24</v>
      </c>
      <c r="R84" s="2">
        <v>0</v>
      </c>
      <c r="S84" s="2">
        <v>1</v>
      </c>
      <c r="T84" s="3">
        <v>39</v>
      </c>
      <c r="V84" s="3">
        <f t="shared" si="1"/>
        <v>911.38</v>
      </c>
      <c r="Y84" s="3">
        <v>1822.76</v>
      </c>
      <c r="AE84" s="3">
        <v>1259</v>
      </c>
      <c r="AG84" s="3">
        <v>1.34</v>
      </c>
      <c r="AI84" s="3">
        <v>0.47</v>
      </c>
      <c r="AK84" s="3">
        <v>0.52</v>
      </c>
      <c r="AM84" s="3">
        <v>2.06</v>
      </c>
      <c r="AR84" s="3" t="s">
        <v>66</v>
      </c>
      <c r="AS84" s="3" t="s">
        <v>267</v>
      </c>
      <c r="AT84" s="3">
        <v>43.5</v>
      </c>
      <c r="AU84" s="3" t="s">
        <v>86</v>
      </c>
      <c r="AV84" s="4" t="s">
        <v>278</v>
      </c>
      <c r="AW84" s="3" t="s">
        <v>234</v>
      </c>
    </row>
    <row r="85" spans="1:49" x14ac:dyDescent="0.15">
      <c r="A85" s="2">
        <v>84</v>
      </c>
      <c r="B85" s="2" t="s">
        <v>263</v>
      </c>
      <c r="C85" s="2" t="s">
        <v>73</v>
      </c>
      <c r="D85" s="2" t="s">
        <v>231</v>
      </c>
      <c r="E85" s="2" t="s">
        <v>39</v>
      </c>
      <c r="H85" s="2" t="s">
        <v>264</v>
      </c>
      <c r="I85" s="2" t="s">
        <v>25</v>
      </c>
      <c r="J85" s="2">
        <v>2007</v>
      </c>
      <c r="K85" s="2">
        <v>4</v>
      </c>
      <c r="N85" s="3">
        <v>625</v>
      </c>
      <c r="O85" s="3">
        <v>18</v>
      </c>
      <c r="P85" s="2">
        <v>4</v>
      </c>
      <c r="Q85" s="2">
        <v>16</v>
      </c>
      <c r="R85" s="2">
        <v>0</v>
      </c>
      <c r="S85" s="2">
        <v>0</v>
      </c>
      <c r="T85" s="3">
        <v>20</v>
      </c>
      <c r="V85" s="3">
        <f t="shared" si="1"/>
        <v>187.52500000000001</v>
      </c>
      <c r="Y85" s="3">
        <v>375.05</v>
      </c>
      <c r="AE85" s="3">
        <v>265</v>
      </c>
      <c r="AG85" s="3">
        <v>2.1</v>
      </c>
      <c r="AI85" s="3">
        <v>0.74</v>
      </c>
      <c r="AK85" s="3">
        <v>0.84</v>
      </c>
      <c r="AM85" s="3">
        <v>2.39</v>
      </c>
      <c r="AR85" s="3" t="s">
        <v>66</v>
      </c>
      <c r="AS85" s="3" t="s">
        <v>267</v>
      </c>
      <c r="AT85" s="3">
        <v>43.5</v>
      </c>
      <c r="AU85" s="3" t="s">
        <v>86</v>
      </c>
      <c r="AV85" s="4" t="s">
        <v>279</v>
      </c>
      <c r="AW85" s="3" t="s">
        <v>234</v>
      </c>
    </row>
    <row r="86" spans="1:49" x14ac:dyDescent="0.15">
      <c r="A86" s="2">
        <v>85</v>
      </c>
      <c r="B86" s="2" t="s">
        <v>263</v>
      </c>
      <c r="C86" s="2" t="s">
        <v>73</v>
      </c>
      <c r="D86" s="2" t="s">
        <v>231</v>
      </c>
      <c r="E86" s="2" t="s">
        <v>39</v>
      </c>
      <c r="H86" s="2" t="s">
        <v>264</v>
      </c>
      <c r="I86" s="2" t="s">
        <v>25</v>
      </c>
      <c r="J86" s="2">
        <v>2007</v>
      </c>
      <c r="K86" s="2">
        <v>4</v>
      </c>
      <c r="N86" s="3">
        <v>625</v>
      </c>
      <c r="O86" s="3">
        <v>18</v>
      </c>
      <c r="P86" s="2">
        <v>9</v>
      </c>
      <c r="Q86" s="2">
        <v>19</v>
      </c>
      <c r="R86" s="2">
        <v>1</v>
      </c>
      <c r="S86" s="2">
        <v>0</v>
      </c>
      <c r="T86" s="3">
        <v>35</v>
      </c>
      <c r="V86" s="3">
        <f t="shared" si="1"/>
        <v>1110.46</v>
      </c>
      <c r="Y86" s="3">
        <v>2220.92</v>
      </c>
      <c r="AE86" s="3">
        <v>1154</v>
      </c>
      <c r="AG86" s="3">
        <v>1.53</v>
      </c>
      <c r="AI86" s="3">
        <v>0.47</v>
      </c>
      <c r="AK86" s="3">
        <v>0.62</v>
      </c>
      <c r="AM86" s="3">
        <v>2.95</v>
      </c>
      <c r="AR86" s="3" t="s">
        <v>66</v>
      </c>
      <c r="AS86" s="3" t="s">
        <v>267</v>
      </c>
      <c r="AT86" s="3">
        <v>43.5</v>
      </c>
      <c r="AU86" s="3" t="s">
        <v>86</v>
      </c>
      <c r="AV86" s="4" t="s">
        <v>280</v>
      </c>
      <c r="AW86" s="3" t="s">
        <v>234</v>
      </c>
    </row>
    <row r="87" spans="1:49" x14ac:dyDescent="0.15">
      <c r="A87" s="2">
        <v>86</v>
      </c>
      <c r="B87" s="2" t="s">
        <v>263</v>
      </c>
      <c r="C87" s="2" t="s">
        <v>73</v>
      </c>
      <c r="D87" s="2" t="s">
        <v>231</v>
      </c>
      <c r="E87" s="2" t="s">
        <v>39</v>
      </c>
      <c r="H87" s="2" t="s">
        <v>264</v>
      </c>
      <c r="I87" s="2" t="s">
        <v>25</v>
      </c>
      <c r="J87" s="3">
        <v>2006</v>
      </c>
      <c r="K87" s="3">
        <v>10</v>
      </c>
      <c r="N87" s="3">
        <v>625</v>
      </c>
      <c r="O87" s="3">
        <v>18</v>
      </c>
      <c r="P87" s="2">
        <v>6</v>
      </c>
      <c r="Q87" s="2">
        <v>16</v>
      </c>
      <c r="R87" s="2">
        <v>0</v>
      </c>
      <c r="S87" s="2">
        <v>0</v>
      </c>
      <c r="T87" s="3">
        <v>22</v>
      </c>
      <c r="V87" s="3">
        <f t="shared" si="1"/>
        <v>21.855</v>
      </c>
      <c r="Y87" s="3">
        <v>43.71</v>
      </c>
      <c r="AE87" s="3">
        <v>85</v>
      </c>
      <c r="AG87" s="3">
        <v>2.17</v>
      </c>
      <c r="AI87" s="3">
        <v>0.85</v>
      </c>
      <c r="AK87" s="3">
        <v>0.87</v>
      </c>
      <c r="AM87" s="3">
        <v>2.17</v>
      </c>
      <c r="AR87" s="3" t="s">
        <v>66</v>
      </c>
      <c r="AS87" s="3" t="s">
        <v>267</v>
      </c>
      <c r="AT87" s="3">
        <v>43.5</v>
      </c>
      <c r="AU87" s="3" t="s">
        <v>86</v>
      </c>
      <c r="AV87" s="4" t="s">
        <v>281</v>
      </c>
      <c r="AW87" s="3" t="s">
        <v>234</v>
      </c>
    </row>
    <row r="88" spans="1:49" x14ac:dyDescent="0.15">
      <c r="A88" s="2">
        <v>87</v>
      </c>
      <c r="B88" s="2" t="s">
        <v>263</v>
      </c>
      <c r="C88" s="2" t="s">
        <v>73</v>
      </c>
      <c r="D88" s="2" t="s">
        <v>231</v>
      </c>
      <c r="E88" s="2" t="s">
        <v>39</v>
      </c>
      <c r="H88" s="2" t="s">
        <v>264</v>
      </c>
      <c r="I88" s="2" t="s">
        <v>25</v>
      </c>
      <c r="J88" s="3">
        <v>2006</v>
      </c>
      <c r="K88" s="3">
        <v>10</v>
      </c>
      <c r="N88" s="3">
        <v>625</v>
      </c>
      <c r="O88" s="3">
        <v>18</v>
      </c>
      <c r="P88" s="2">
        <v>7</v>
      </c>
      <c r="Q88" s="2">
        <v>20</v>
      </c>
      <c r="R88" s="2">
        <v>9</v>
      </c>
      <c r="S88" s="2">
        <v>0</v>
      </c>
      <c r="T88" s="3">
        <v>36</v>
      </c>
      <c r="V88" s="3">
        <f t="shared" si="1"/>
        <v>487.22500000000002</v>
      </c>
      <c r="Y88" s="3">
        <v>974.45</v>
      </c>
      <c r="AE88" s="3">
        <v>1045</v>
      </c>
      <c r="AG88" s="3">
        <v>0.83</v>
      </c>
      <c r="AI88" s="3">
        <v>0.28999999999999998</v>
      </c>
      <c r="AK88" s="3">
        <v>0.36</v>
      </c>
      <c r="AM88" s="3">
        <v>1.99</v>
      </c>
      <c r="AR88" s="3" t="s">
        <v>66</v>
      </c>
      <c r="AS88" s="3" t="s">
        <v>267</v>
      </c>
      <c r="AT88" s="3">
        <v>43.5</v>
      </c>
      <c r="AU88" s="3" t="s">
        <v>86</v>
      </c>
      <c r="AV88" s="4" t="s">
        <v>282</v>
      </c>
      <c r="AW88" s="3" t="s">
        <v>234</v>
      </c>
    </row>
    <row r="89" spans="1:49" x14ac:dyDescent="0.15">
      <c r="A89" s="2">
        <v>88</v>
      </c>
      <c r="B89" s="2" t="s">
        <v>263</v>
      </c>
      <c r="C89" s="2" t="s">
        <v>73</v>
      </c>
      <c r="D89" s="2" t="s">
        <v>231</v>
      </c>
      <c r="E89" s="2" t="s">
        <v>39</v>
      </c>
      <c r="H89" s="2" t="s">
        <v>264</v>
      </c>
      <c r="I89" s="2" t="s">
        <v>25</v>
      </c>
      <c r="J89" s="3">
        <v>2006</v>
      </c>
      <c r="K89" s="3">
        <v>10</v>
      </c>
      <c r="N89" s="3">
        <v>625</v>
      </c>
      <c r="O89" s="3">
        <v>18</v>
      </c>
      <c r="P89" s="2">
        <v>9</v>
      </c>
      <c r="Q89" s="2">
        <v>27</v>
      </c>
      <c r="R89" s="2">
        <v>3</v>
      </c>
      <c r="S89" s="2">
        <v>0</v>
      </c>
      <c r="T89" s="3">
        <v>38</v>
      </c>
      <c r="V89" s="3">
        <f t="shared" si="1"/>
        <v>115.44</v>
      </c>
      <c r="Y89" s="3">
        <v>230.88</v>
      </c>
      <c r="AE89" s="3">
        <v>239</v>
      </c>
      <c r="AG89" s="3">
        <v>1.91</v>
      </c>
      <c r="AI89" s="3">
        <v>0.72</v>
      </c>
      <c r="AK89" s="3">
        <v>0.82</v>
      </c>
      <c r="AM89" s="3">
        <v>2</v>
      </c>
      <c r="AR89" s="3" t="s">
        <v>66</v>
      </c>
      <c r="AS89" s="3" t="s">
        <v>267</v>
      </c>
      <c r="AT89" s="3">
        <v>43.5</v>
      </c>
      <c r="AU89" s="3" t="s">
        <v>86</v>
      </c>
      <c r="AV89" s="4" t="s">
        <v>283</v>
      </c>
      <c r="AW89" s="3" t="s">
        <v>234</v>
      </c>
    </row>
    <row r="90" spans="1:49" x14ac:dyDescent="0.15">
      <c r="A90" s="2">
        <v>89</v>
      </c>
      <c r="B90" s="2" t="s">
        <v>263</v>
      </c>
      <c r="C90" s="2" t="s">
        <v>73</v>
      </c>
      <c r="D90" s="2" t="s">
        <v>231</v>
      </c>
      <c r="E90" s="2" t="s">
        <v>39</v>
      </c>
      <c r="H90" s="2" t="s">
        <v>264</v>
      </c>
      <c r="I90" s="2" t="s">
        <v>25</v>
      </c>
      <c r="J90" s="3">
        <v>2006</v>
      </c>
      <c r="K90" s="3">
        <v>10</v>
      </c>
      <c r="N90" s="3">
        <v>625</v>
      </c>
      <c r="O90" s="3">
        <v>18</v>
      </c>
      <c r="P90" s="2">
        <v>14</v>
      </c>
      <c r="Q90" s="2">
        <v>15</v>
      </c>
      <c r="R90" s="2">
        <v>4</v>
      </c>
      <c r="S90" s="2">
        <v>0</v>
      </c>
      <c r="T90" s="3">
        <v>25</v>
      </c>
      <c r="V90" s="3">
        <f t="shared" si="1"/>
        <v>529.43499999999995</v>
      </c>
      <c r="Y90" s="3">
        <v>1058.8699999999999</v>
      </c>
      <c r="AE90" s="3">
        <v>474</v>
      </c>
      <c r="AG90" s="3">
        <v>1.9</v>
      </c>
      <c r="AI90" s="3">
        <v>0.68</v>
      </c>
      <c r="AK90" s="3">
        <v>0.77</v>
      </c>
      <c r="AM90" s="3">
        <v>2.0499999999999998</v>
      </c>
      <c r="AR90" s="3" t="s">
        <v>66</v>
      </c>
      <c r="AS90" s="3" t="s">
        <v>267</v>
      </c>
      <c r="AT90" s="3">
        <v>43.5</v>
      </c>
      <c r="AU90" s="3" t="s">
        <v>86</v>
      </c>
      <c r="AV90" s="4" t="s">
        <v>284</v>
      </c>
      <c r="AW90" s="3" t="s">
        <v>234</v>
      </c>
    </row>
    <row r="91" spans="1:49" x14ac:dyDescent="0.15">
      <c r="A91" s="2">
        <v>90</v>
      </c>
      <c r="B91" s="2" t="s">
        <v>270</v>
      </c>
      <c r="C91" s="2" t="s">
        <v>75</v>
      </c>
      <c r="D91" s="2" t="s">
        <v>269</v>
      </c>
      <c r="E91" s="2" t="s">
        <v>39</v>
      </c>
      <c r="H91" s="2" t="s">
        <v>60</v>
      </c>
      <c r="I91" s="2" t="s">
        <v>55</v>
      </c>
      <c r="J91" s="2">
        <v>2008</v>
      </c>
      <c r="K91" s="2">
        <v>6</v>
      </c>
      <c r="N91" s="3">
        <v>625</v>
      </c>
      <c r="O91" s="3">
        <v>12</v>
      </c>
      <c r="P91" s="2">
        <v>1</v>
      </c>
      <c r="Q91" s="2">
        <v>3</v>
      </c>
      <c r="T91" s="3">
        <v>4</v>
      </c>
      <c r="V91" s="3">
        <f>Y91*0.9</f>
        <v>342</v>
      </c>
      <c r="Y91" s="3">
        <v>380</v>
      </c>
      <c r="AE91" s="3">
        <f>AVERAGE(AE93,AE97,AE99)</f>
        <v>624</v>
      </c>
      <c r="AF91" s="3">
        <f>STDEV(AE93,AE97,AE99)</f>
        <v>354.24708890829294</v>
      </c>
      <c r="AG91" s="3">
        <f>AVERAGE(AG93,AG97,AG99)</f>
        <v>0.91866666666666674</v>
      </c>
      <c r="AH91" s="3">
        <f>STDEV(AG93,AG97,AG99)</f>
        <v>0.12794660344586478</v>
      </c>
      <c r="AI91" s="3">
        <f>AVERAGE(AI93,AI97,AI99)</f>
        <v>0.55766666666666664</v>
      </c>
      <c r="AJ91" s="3">
        <f>STDEV(AI93,AI97,AI99)</f>
        <v>6.2931179341669197E-2</v>
      </c>
      <c r="AM91" s="3">
        <f>AVERAGE(AM93,AM97,AM99)</f>
        <v>0.92700000000000005</v>
      </c>
      <c r="AN91" s="3">
        <f>STDEV(AM93,AM97,AM99)</f>
        <v>0.1117273466972164</v>
      </c>
      <c r="AR91" s="3" t="s">
        <v>60</v>
      </c>
      <c r="AS91" s="4" t="s">
        <v>86</v>
      </c>
      <c r="AT91" s="4">
        <v>43.5</v>
      </c>
      <c r="AU91" s="4" t="s">
        <v>86</v>
      </c>
      <c r="AV91" s="3" t="s">
        <v>248</v>
      </c>
      <c r="AW91" s="3" t="s">
        <v>235</v>
      </c>
    </row>
    <row r="92" spans="1:49" x14ac:dyDescent="0.15">
      <c r="A92" s="2">
        <v>91</v>
      </c>
      <c r="B92" s="2" t="s">
        <v>270</v>
      </c>
      <c r="C92" s="2" t="s">
        <v>75</v>
      </c>
      <c r="D92" s="2" t="s">
        <v>269</v>
      </c>
      <c r="E92" s="2" t="s">
        <v>54</v>
      </c>
      <c r="G92" s="2">
        <v>1</v>
      </c>
      <c r="H92" s="2" t="s">
        <v>60</v>
      </c>
      <c r="I92" s="2" t="s">
        <v>55</v>
      </c>
      <c r="J92" s="2">
        <v>2008</v>
      </c>
      <c r="K92" s="2">
        <v>6</v>
      </c>
      <c r="N92" s="3">
        <v>625</v>
      </c>
      <c r="O92" s="3">
        <v>12</v>
      </c>
      <c r="P92" s="2">
        <v>1</v>
      </c>
      <c r="Q92" s="2">
        <v>3</v>
      </c>
      <c r="R92" s="2">
        <v>1</v>
      </c>
      <c r="T92" s="3">
        <v>5</v>
      </c>
      <c r="V92" s="3">
        <f t="shared" ref="V92:V100" si="2">Y92*0.9</f>
        <v>205.20000000000002</v>
      </c>
      <c r="Y92" s="3">
        <v>228</v>
      </c>
      <c r="AE92" s="3">
        <f>AVERAGE(AE94,AE98,AE100)</f>
        <v>998</v>
      </c>
      <c r="AF92" s="3">
        <f>STDEV(AE94,AE98,AE100)</f>
        <v>1373.858435210848</v>
      </c>
      <c r="AG92" s="3">
        <f>AVERAGE(AG94,AG98,AG100)</f>
        <v>1.1516666666666666</v>
      </c>
      <c r="AH92" s="3">
        <f>STDEV(AG94,AG98,AG100)</f>
        <v>0.35017471829550084</v>
      </c>
      <c r="AI92" s="3">
        <f>AVERAGE(AI94,AI98,AI100)</f>
        <v>0.56166666666666665</v>
      </c>
      <c r="AJ92" s="3">
        <f>STDEV(AI94,AI98,AI100)</f>
        <v>0.23782836948802666</v>
      </c>
      <c r="AM92" s="3">
        <f>AVERAGE(AM94,AM98,AM100)</f>
        <v>1.8213333333333332</v>
      </c>
      <c r="AN92" s="3">
        <f>STDEV(AM94,AM98,AM100)</f>
        <v>0.32736880323777551</v>
      </c>
      <c r="AR92" s="3" t="s">
        <v>60</v>
      </c>
      <c r="AS92" s="4" t="s">
        <v>86</v>
      </c>
      <c r="AT92" s="4">
        <v>43.5</v>
      </c>
      <c r="AU92" s="4" t="s">
        <v>86</v>
      </c>
      <c r="AV92" s="3" t="s">
        <v>248</v>
      </c>
      <c r="AW92" s="3" t="s">
        <v>286</v>
      </c>
    </row>
    <row r="93" spans="1:49" x14ac:dyDescent="0.15">
      <c r="A93" s="2">
        <v>92</v>
      </c>
      <c r="B93" s="2" t="s">
        <v>270</v>
      </c>
      <c r="C93" s="2" t="s">
        <v>75</v>
      </c>
      <c r="D93" s="2" t="s">
        <v>269</v>
      </c>
      <c r="E93" s="2" t="s">
        <v>271</v>
      </c>
      <c r="H93" s="2" t="s">
        <v>60</v>
      </c>
      <c r="I93" s="2" t="s">
        <v>55</v>
      </c>
      <c r="J93" s="2">
        <v>2008</v>
      </c>
      <c r="K93" s="2">
        <v>6</v>
      </c>
      <c r="N93" s="3">
        <v>625</v>
      </c>
      <c r="O93" s="3">
        <v>3</v>
      </c>
      <c r="P93" s="2">
        <v>1</v>
      </c>
      <c r="Q93" s="2">
        <v>3</v>
      </c>
      <c r="T93" s="3">
        <v>4</v>
      </c>
      <c r="V93" s="3">
        <f t="shared" si="2"/>
        <v>337.5</v>
      </c>
      <c r="Y93" s="3">
        <v>375</v>
      </c>
      <c r="Z93" s="3">
        <v>118</v>
      </c>
      <c r="AB93" s="3">
        <f>AE93*0.9</f>
        <v>193.5</v>
      </c>
      <c r="AE93" s="3">
        <v>215</v>
      </c>
      <c r="AF93" s="3">
        <v>63</v>
      </c>
      <c r="AG93" s="3">
        <v>0.82299999999999995</v>
      </c>
      <c r="AI93" s="3">
        <v>0.59399999999999997</v>
      </c>
      <c r="AM93" s="3">
        <v>0.79800000000000004</v>
      </c>
      <c r="AR93" s="6" t="s">
        <v>60</v>
      </c>
      <c r="AS93" s="6" t="s">
        <v>275</v>
      </c>
      <c r="AT93" s="6">
        <v>43.5</v>
      </c>
      <c r="AU93" s="6" t="s">
        <v>275</v>
      </c>
      <c r="AV93" s="6" t="s">
        <v>285</v>
      </c>
      <c r="AW93" s="6" t="s">
        <v>234</v>
      </c>
    </row>
    <row r="94" spans="1:49" x14ac:dyDescent="0.15">
      <c r="A94" s="2">
        <v>93</v>
      </c>
      <c r="B94" s="2" t="s">
        <v>270</v>
      </c>
      <c r="C94" s="2" t="s">
        <v>75</v>
      </c>
      <c r="D94" s="2" t="s">
        <v>269</v>
      </c>
      <c r="E94" s="2" t="s">
        <v>272</v>
      </c>
      <c r="G94" s="2">
        <v>1</v>
      </c>
      <c r="H94" s="2" t="s">
        <v>60</v>
      </c>
      <c r="I94" s="2" t="s">
        <v>55</v>
      </c>
      <c r="J94" s="2">
        <v>2008</v>
      </c>
      <c r="K94" s="2">
        <v>6</v>
      </c>
      <c r="N94" s="3">
        <v>625</v>
      </c>
      <c r="O94" s="3">
        <v>3</v>
      </c>
      <c r="P94" s="2">
        <v>1</v>
      </c>
      <c r="Q94" s="2">
        <v>3</v>
      </c>
      <c r="R94" s="2">
        <v>1</v>
      </c>
      <c r="T94" s="3">
        <v>5</v>
      </c>
      <c r="V94" s="3">
        <f t="shared" si="2"/>
        <v>182.70000000000002</v>
      </c>
      <c r="Y94" s="3">
        <v>203</v>
      </c>
      <c r="Z94" s="3">
        <v>118</v>
      </c>
      <c r="AB94" s="3">
        <f t="shared" ref="AB94:AB100" si="3">AE94*0.9</f>
        <v>68.400000000000006</v>
      </c>
      <c r="AE94" s="3">
        <v>76</v>
      </c>
      <c r="AF94" s="3">
        <v>38</v>
      </c>
      <c r="AG94" s="3">
        <v>1.2529999999999999</v>
      </c>
      <c r="AI94" s="3">
        <v>0.77800000000000002</v>
      </c>
      <c r="AM94" s="3">
        <v>1.516</v>
      </c>
      <c r="AR94" s="6" t="s">
        <v>60</v>
      </c>
      <c r="AS94" s="6" t="s">
        <v>275</v>
      </c>
      <c r="AT94" s="6">
        <v>43.5</v>
      </c>
      <c r="AU94" s="6" t="s">
        <v>275</v>
      </c>
      <c r="AV94" s="6" t="s">
        <v>285</v>
      </c>
      <c r="AW94" s="6" t="s">
        <v>234</v>
      </c>
    </row>
    <row r="95" spans="1:49" x14ac:dyDescent="0.15">
      <c r="A95" s="2">
        <v>94</v>
      </c>
      <c r="B95" s="2" t="s">
        <v>270</v>
      </c>
      <c r="C95" s="2" t="s">
        <v>75</v>
      </c>
      <c r="D95" s="2" t="s">
        <v>269</v>
      </c>
      <c r="E95" s="2" t="s">
        <v>273</v>
      </c>
      <c r="G95" s="2">
        <v>6</v>
      </c>
      <c r="H95" s="2" t="s">
        <v>60</v>
      </c>
      <c r="I95" s="2" t="s">
        <v>55</v>
      </c>
      <c r="J95" s="2">
        <v>2008</v>
      </c>
      <c r="K95" s="2">
        <v>6</v>
      </c>
      <c r="N95" s="3">
        <v>625</v>
      </c>
      <c r="O95" s="3">
        <v>3</v>
      </c>
      <c r="P95" s="2">
        <v>2</v>
      </c>
      <c r="Q95" s="2">
        <v>4</v>
      </c>
      <c r="R95" s="2">
        <v>1</v>
      </c>
      <c r="T95" s="3">
        <v>7</v>
      </c>
      <c r="V95" s="3">
        <f t="shared" si="2"/>
        <v>293.40000000000003</v>
      </c>
      <c r="Y95" s="3">
        <v>326</v>
      </c>
      <c r="Z95" s="3">
        <v>22</v>
      </c>
      <c r="AB95" s="3">
        <f t="shared" si="3"/>
        <v>238.5</v>
      </c>
      <c r="AE95" s="3">
        <v>265</v>
      </c>
      <c r="AF95" s="3">
        <v>63</v>
      </c>
      <c r="AG95" s="3">
        <v>1.6259999999999999</v>
      </c>
      <c r="AI95" s="3">
        <v>0.83599999999999997</v>
      </c>
      <c r="AM95" s="3">
        <v>1.6879999999999999</v>
      </c>
      <c r="AR95" s="6" t="s">
        <v>60</v>
      </c>
      <c r="AS95" s="6" t="s">
        <v>275</v>
      </c>
      <c r="AT95" s="6">
        <v>43.5</v>
      </c>
      <c r="AU95" s="6" t="s">
        <v>275</v>
      </c>
      <c r="AV95" s="6" t="s">
        <v>285</v>
      </c>
      <c r="AW95" s="6" t="s">
        <v>234</v>
      </c>
    </row>
    <row r="96" spans="1:49" x14ac:dyDescent="0.15">
      <c r="A96" s="2">
        <v>95</v>
      </c>
      <c r="B96" s="2" t="s">
        <v>270</v>
      </c>
      <c r="C96" s="2" t="s">
        <v>75</v>
      </c>
      <c r="D96" s="2" t="s">
        <v>269</v>
      </c>
      <c r="E96" s="2" t="s">
        <v>273</v>
      </c>
      <c r="G96" s="2">
        <v>20</v>
      </c>
      <c r="H96" s="2" t="s">
        <v>60</v>
      </c>
      <c r="I96" s="2" t="s">
        <v>55</v>
      </c>
      <c r="J96" s="2">
        <v>2008</v>
      </c>
      <c r="K96" s="2">
        <v>6</v>
      </c>
      <c r="N96" s="3">
        <v>625</v>
      </c>
      <c r="O96" s="3">
        <v>3</v>
      </c>
      <c r="Q96" s="2">
        <v>2</v>
      </c>
      <c r="R96" s="2">
        <v>1</v>
      </c>
      <c r="T96" s="3">
        <v>3</v>
      </c>
      <c r="V96" s="3">
        <f t="shared" si="2"/>
        <v>140.4</v>
      </c>
      <c r="Y96" s="3">
        <v>156</v>
      </c>
      <c r="Z96" s="3">
        <v>50</v>
      </c>
      <c r="AB96" s="3">
        <f t="shared" si="3"/>
        <v>250.20000000000002</v>
      </c>
      <c r="AE96" s="3">
        <v>278</v>
      </c>
      <c r="AF96" s="3">
        <v>63</v>
      </c>
      <c r="AG96" s="3">
        <v>0.60799999999999998</v>
      </c>
      <c r="AI96" s="3">
        <v>0.55300000000000005</v>
      </c>
      <c r="AM96" s="3">
        <v>0.501</v>
      </c>
      <c r="AR96" s="6" t="s">
        <v>60</v>
      </c>
      <c r="AS96" s="6" t="s">
        <v>275</v>
      </c>
      <c r="AT96" s="6">
        <v>43.5</v>
      </c>
      <c r="AU96" s="6" t="s">
        <v>275</v>
      </c>
      <c r="AV96" s="6" t="s">
        <v>285</v>
      </c>
      <c r="AW96" s="6" t="s">
        <v>234</v>
      </c>
    </row>
    <row r="97" spans="1:49" x14ac:dyDescent="0.15">
      <c r="A97" s="2">
        <v>96</v>
      </c>
      <c r="B97" s="2" t="s">
        <v>270</v>
      </c>
      <c r="C97" s="2" t="s">
        <v>75</v>
      </c>
      <c r="D97" s="2" t="s">
        <v>269</v>
      </c>
      <c r="E97" s="2" t="s">
        <v>271</v>
      </c>
      <c r="H97" s="2" t="s">
        <v>60</v>
      </c>
      <c r="I97" s="2" t="s">
        <v>55</v>
      </c>
      <c r="J97" s="2">
        <v>2008</v>
      </c>
      <c r="K97" s="2">
        <v>6</v>
      </c>
      <c r="N97" s="3">
        <v>625</v>
      </c>
      <c r="O97" s="3">
        <v>3</v>
      </c>
      <c r="P97" s="2">
        <v>1</v>
      </c>
      <c r="Q97" s="2">
        <v>5</v>
      </c>
      <c r="T97" s="3">
        <v>6</v>
      </c>
      <c r="V97" s="3">
        <f t="shared" si="2"/>
        <v>549</v>
      </c>
      <c r="Y97" s="3">
        <v>610</v>
      </c>
      <c r="Z97" s="3">
        <v>66</v>
      </c>
      <c r="AB97" s="3">
        <f t="shared" si="3"/>
        <v>750.6</v>
      </c>
      <c r="AE97" s="3">
        <v>834</v>
      </c>
      <c r="AF97" s="3">
        <v>164</v>
      </c>
      <c r="AG97" s="3">
        <v>1.0640000000000001</v>
      </c>
      <c r="AI97" s="3">
        <v>0.59399999999999997</v>
      </c>
      <c r="AM97" s="3">
        <v>0.99</v>
      </c>
      <c r="AR97" s="6" t="s">
        <v>60</v>
      </c>
      <c r="AS97" s="6" t="s">
        <v>275</v>
      </c>
      <c r="AT97" s="6">
        <v>43.5</v>
      </c>
      <c r="AU97" s="6" t="s">
        <v>275</v>
      </c>
      <c r="AV97" s="6" t="s">
        <v>285</v>
      </c>
      <c r="AW97" s="6" t="s">
        <v>234</v>
      </c>
    </row>
    <row r="98" spans="1:49" x14ac:dyDescent="0.15">
      <c r="A98" s="2">
        <v>97</v>
      </c>
      <c r="B98" s="2" t="s">
        <v>270</v>
      </c>
      <c r="C98" s="2" t="s">
        <v>75</v>
      </c>
      <c r="D98" s="2" t="s">
        <v>269</v>
      </c>
      <c r="E98" s="2" t="s">
        <v>272</v>
      </c>
      <c r="G98" s="2">
        <v>1</v>
      </c>
      <c r="H98" s="2" t="s">
        <v>60</v>
      </c>
      <c r="I98" s="2" t="s">
        <v>55</v>
      </c>
      <c r="J98" s="2">
        <v>2008</v>
      </c>
      <c r="K98" s="2">
        <v>6</v>
      </c>
      <c r="N98" s="3">
        <v>625</v>
      </c>
      <c r="O98" s="3">
        <v>3</v>
      </c>
      <c r="P98" s="2">
        <v>5</v>
      </c>
      <c r="Q98" s="2">
        <v>4</v>
      </c>
      <c r="R98" s="2">
        <v>1</v>
      </c>
      <c r="T98" s="3">
        <v>12</v>
      </c>
      <c r="V98" s="3">
        <f t="shared" si="2"/>
        <v>1503</v>
      </c>
      <c r="Y98" s="3">
        <v>1670</v>
      </c>
      <c r="Z98" s="3">
        <v>73</v>
      </c>
      <c r="AB98" s="3">
        <f t="shared" si="3"/>
        <v>2319.3000000000002</v>
      </c>
      <c r="AE98" s="3">
        <v>2577</v>
      </c>
      <c r="AF98" s="3">
        <v>834</v>
      </c>
      <c r="AG98" s="3">
        <v>0.76200000000000001</v>
      </c>
      <c r="AI98" s="3">
        <v>0.307</v>
      </c>
      <c r="AM98" s="3">
        <v>1.7809999999999999</v>
      </c>
      <c r="AR98" s="6" t="s">
        <v>60</v>
      </c>
      <c r="AS98" s="6" t="s">
        <v>275</v>
      </c>
      <c r="AT98" s="6">
        <v>43.5</v>
      </c>
      <c r="AU98" s="6" t="s">
        <v>275</v>
      </c>
      <c r="AV98" s="6" t="s">
        <v>285</v>
      </c>
      <c r="AW98" s="6" t="s">
        <v>234</v>
      </c>
    </row>
    <row r="99" spans="1:49" x14ac:dyDescent="0.15">
      <c r="A99" s="2">
        <v>98</v>
      </c>
      <c r="B99" s="2" t="s">
        <v>274</v>
      </c>
      <c r="C99" s="2" t="s">
        <v>75</v>
      </c>
      <c r="D99" s="2" t="s">
        <v>269</v>
      </c>
      <c r="E99" s="2" t="s">
        <v>39</v>
      </c>
      <c r="H99" s="2" t="s">
        <v>60</v>
      </c>
      <c r="I99" s="2" t="s">
        <v>55</v>
      </c>
      <c r="J99" s="2">
        <v>2008</v>
      </c>
      <c r="K99" s="2">
        <v>6</v>
      </c>
      <c r="N99" s="3">
        <v>625</v>
      </c>
      <c r="O99" s="3">
        <v>3</v>
      </c>
      <c r="P99" s="2">
        <v>1</v>
      </c>
      <c r="Q99" s="2">
        <v>4</v>
      </c>
      <c r="R99" s="2">
        <v>1</v>
      </c>
      <c r="T99" s="3">
        <v>6</v>
      </c>
      <c r="V99" s="3">
        <f t="shared" si="2"/>
        <v>850.5</v>
      </c>
      <c r="Y99" s="3">
        <v>945</v>
      </c>
      <c r="Z99" s="3">
        <v>125</v>
      </c>
      <c r="AB99" s="3">
        <f t="shared" si="3"/>
        <v>740.7</v>
      </c>
      <c r="AE99" s="3">
        <v>823</v>
      </c>
      <c r="AF99" s="3">
        <v>62</v>
      </c>
      <c r="AG99" s="3">
        <v>0.86899999999999999</v>
      </c>
      <c r="AI99" s="3">
        <v>0.48499999999999999</v>
      </c>
      <c r="AM99" s="3">
        <v>0.99299999999999999</v>
      </c>
      <c r="AR99" s="6" t="s">
        <v>60</v>
      </c>
      <c r="AS99" s="6" t="s">
        <v>275</v>
      </c>
      <c r="AT99" s="6">
        <v>43.5</v>
      </c>
      <c r="AU99" s="6" t="s">
        <v>275</v>
      </c>
      <c r="AV99" s="6" t="s">
        <v>285</v>
      </c>
      <c r="AW99" s="6" t="s">
        <v>234</v>
      </c>
    </row>
    <row r="100" spans="1:49" x14ac:dyDescent="0.15">
      <c r="A100" s="2">
        <v>99</v>
      </c>
      <c r="B100" s="2" t="s">
        <v>270</v>
      </c>
      <c r="C100" s="2" t="s">
        <v>75</v>
      </c>
      <c r="D100" s="2" t="s">
        <v>269</v>
      </c>
      <c r="E100" s="2" t="s">
        <v>273</v>
      </c>
      <c r="G100" s="2">
        <v>1</v>
      </c>
      <c r="H100" s="2" t="s">
        <v>60</v>
      </c>
      <c r="I100" s="2" t="s">
        <v>55</v>
      </c>
      <c r="J100" s="2">
        <v>2008</v>
      </c>
      <c r="K100" s="2">
        <v>6</v>
      </c>
      <c r="N100" s="3">
        <v>625</v>
      </c>
      <c r="O100" s="3">
        <v>3</v>
      </c>
      <c r="P100" s="2">
        <v>3</v>
      </c>
      <c r="Q100" s="2">
        <v>6</v>
      </c>
      <c r="R100" s="2">
        <v>1</v>
      </c>
      <c r="T100" s="3">
        <v>11</v>
      </c>
      <c r="V100" s="3">
        <f t="shared" si="2"/>
        <v>352.8</v>
      </c>
      <c r="Y100" s="3">
        <v>392</v>
      </c>
      <c r="Z100" s="3">
        <v>109</v>
      </c>
      <c r="AB100" s="3">
        <f t="shared" si="3"/>
        <v>306.90000000000003</v>
      </c>
      <c r="AE100" s="3">
        <v>341</v>
      </c>
      <c r="AF100" s="3">
        <v>102</v>
      </c>
      <c r="AG100" s="3">
        <v>1.44</v>
      </c>
      <c r="AI100" s="3">
        <v>0.6</v>
      </c>
      <c r="AM100" s="3">
        <v>2.1669999999999998</v>
      </c>
      <c r="AR100" s="6" t="s">
        <v>60</v>
      </c>
      <c r="AS100" s="6" t="s">
        <v>275</v>
      </c>
      <c r="AT100" s="6">
        <v>43.5</v>
      </c>
      <c r="AU100" s="6" t="s">
        <v>275</v>
      </c>
      <c r="AV100" s="6" t="s">
        <v>285</v>
      </c>
      <c r="AW100" s="6" t="s">
        <v>234</v>
      </c>
    </row>
    <row r="101" spans="1:49" x14ac:dyDescent="0.15">
      <c r="A101" s="2">
        <v>100</v>
      </c>
      <c r="B101" s="2" t="s">
        <v>288</v>
      </c>
      <c r="C101" s="2" t="s">
        <v>847</v>
      </c>
      <c r="D101" s="2" t="s">
        <v>231</v>
      </c>
      <c r="E101" s="2" t="s">
        <v>289</v>
      </c>
      <c r="H101" s="2" t="s">
        <v>239</v>
      </c>
      <c r="I101" s="2" t="s">
        <v>290</v>
      </c>
      <c r="J101" s="2">
        <v>2008</v>
      </c>
      <c r="K101" s="2">
        <v>1</v>
      </c>
      <c r="L101" s="2">
        <v>2008</v>
      </c>
      <c r="M101" s="2">
        <v>10</v>
      </c>
      <c r="N101" s="3">
        <v>1000</v>
      </c>
      <c r="O101" s="3">
        <v>30</v>
      </c>
      <c r="P101" s="2">
        <v>74</v>
      </c>
      <c r="Q101" s="2">
        <v>91</v>
      </c>
      <c r="R101" s="2">
        <v>94</v>
      </c>
      <c r="S101" s="2">
        <v>9</v>
      </c>
      <c r="T101" s="3">
        <v>283</v>
      </c>
      <c r="U101" s="3">
        <v>1.53</v>
      </c>
      <c r="V101" s="3">
        <v>15.97</v>
      </c>
      <c r="W101" s="3">
        <v>2.31</v>
      </c>
      <c r="X101" s="3">
        <v>0.05</v>
      </c>
      <c r="Y101" s="3">
        <v>20.07</v>
      </c>
      <c r="AA101" s="3">
        <v>87.4</v>
      </c>
      <c r="AB101" s="3">
        <v>149.80000000000001</v>
      </c>
      <c r="AC101" s="3">
        <v>392.7</v>
      </c>
      <c r="AD101" s="3">
        <v>0.7</v>
      </c>
      <c r="AE101" s="3">
        <v>645.9</v>
      </c>
      <c r="AG101" s="3">
        <v>3.6030000000000002</v>
      </c>
      <c r="AI101" s="3">
        <v>0.73099999999999998</v>
      </c>
      <c r="AM101" s="3">
        <v>4.298</v>
      </c>
      <c r="AR101" s="6" t="s">
        <v>291</v>
      </c>
      <c r="AS101" s="6" t="s">
        <v>275</v>
      </c>
      <c r="AT101" s="6">
        <v>43.5</v>
      </c>
      <c r="AU101" s="6" t="s">
        <v>275</v>
      </c>
      <c r="AV101" s="7" t="s">
        <v>293</v>
      </c>
      <c r="AW101" s="6" t="s">
        <v>234</v>
      </c>
    </row>
    <row r="102" spans="1:49" x14ac:dyDescent="0.15">
      <c r="A102" s="2">
        <v>101</v>
      </c>
      <c r="B102" s="2" t="s">
        <v>288</v>
      </c>
      <c r="C102" s="2" t="s">
        <v>847</v>
      </c>
      <c r="D102" s="2" t="s">
        <v>231</v>
      </c>
      <c r="E102" s="2" t="s">
        <v>289</v>
      </c>
      <c r="H102" s="2" t="s">
        <v>239</v>
      </c>
      <c r="I102" s="2" t="s">
        <v>290</v>
      </c>
      <c r="J102" s="2">
        <v>2008</v>
      </c>
      <c r="K102" s="2">
        <v>1</v>
      </c>
      <c r="N102" s="3">
        <v>1000</v>
      </c>
      <c r="O102" s="3">
        <v>15</v>
      </c>
      <c r="P102" s="2">
        <v>46</v>
      </c>
      <c r="Q102" s="2">
        <v>56</v>
      </c>
      <c r="R102" s="2">
        <v>68</v>
      </c>
      <c r="S102" s="2">
        <v>4</v>
      </c>
      <c r="T102" s="3">
        <v>186</v>
      </c>
      <c r="Y102" s="3">
        <v>15.12</v>
      </c>
      <c r="AE102" s="3">
        <v>644.4</v>
      </c>
      <c r="AG102" s="3">
        <v>3.5190000000000001</v>
      </c>
      <c r="AI102" s="3">
        <v>0.71899999999999997</v>
      </c>
      <c r="AM102" s="3">
        <v>4.1529999999999996</v>
      </c>
      <c r="AR102" s="6" t="s">
        <v>291</v>
      </c>
      <c r="AS102" s="6" t="s">
        <v>275</v>
      </c>
      <c r="AT102" s="6">
        <v>43.5</v>
      </c>
      <c r="AU102" s="6" t="s">
        <v>275</v>
      </c>
      <c r="AV102" s="7" t="s">
        <v>292</v>
      </c>
      <c r="AW102" s="6" t="s">
        <v>234</v>
      </c>
    </row>
    <row r="103" spans="1:49" x14ac:dyDescent="0.15">
      <c r="A103" s="2">
        <v>102</v>
      </c>
      <c r="B103" s="2" t="s">
        <v>288</v>
      </c>
      <c r="C103" s="2" t="s">
        <v>847</v>
      </c>
      <c r="D103" s="2" t="s">
        <v>231</v>
      </c>
      <c r="E103" s="2" t="s">
        <v>289</v>
      </c>
      <c r="H103" s="2" t="s">
        <v>239</v>
      </c>
      <c r="I103" s="2" t="s">
        <v>290</v>
      </c>
      <c r="J103" s="2">
        <v>2008</v>
      </c>
      <c r="K103" s="2">
        <v>10</v>
      </c>
      <c r="N103" s="3">
        <v>1000</v>
      </c>
      <c r="O103" s="3">
        <v>15</v>
      </c>
      <c r="P103" s="2">
        <v>59</v>
      </c>
      <c r="Q103" s="2">
        <v>75</v>
      </c>
      <c r="R103" s="2">
        <v>79</v>
      </c>
      <c r="S103" s="2">
        <v>5</v>
      </c>
      <c r="T103" s="3">
        <v>229</v>
      </c>
      <c r="Y103" s="3">
        <v>25.02</v>
      </c>
      <c r="AE103" s="3">
        <v>647.5</v>
      </c>
      <c r="AG103" s="3">
        <v>3.6880000000000002</v>
      </c>
      <c r="AI103" s="3">
        <v>0.74199999999999999</v>
      </c>
      <c r="AM103" s="3">
        <v>4.4420000000000002</v>
      </c>
      <c r="AR103" s="6" t="s">
        <v>291</v>
      </c>
      <c r="AS103" s="6" t="s">
        <v>275</v>
      </c>
      <c r="AT103" s="6">
        <v>43.5</v>
      </c>
      <c r="AU103" s="6" t="s">
        <v>275</v>
      </c>
      <c r="AV103" s="7" t="s">
        <v>292</v>
      </c>
      <c r="AW103" s="6" t="s">
        <v>234</v>
      </c>
    </row>
    <row r="104" spans="1:49" x14ac:dyDescent="0.15">
      <c r="A104" s="2">
        <v>103</v>
      </c>
      <c r="B104" s="2" t="s">
        <v>296</v>
      </c>
      <c r="C104" s="2" t="s">
        <v>77</v>
      </c>
      <c r="D104" s="2" t="s">
        <v>294</v>
      </c>
      <c r="E104" s="2" t="s">
        <v>39</v>
      </c>
      <c r="H104" s="2" t="s">
        <v>60</v>
      </c>
      <c r="I104" s="2" t="s">
        <v>55</v>
      </c>
      <c r="J104" s="2">
        <v>2007</v>
      </c>
      <c r="K104" s="2">
        <v>1</v>
      </c>
      <c r="N104" s="3">
        <v>1000</v>
      </c>
      <c r="O104" s="3">
        <f>29*2</f>
        <v>58</v>
      </c>
      <c r="P104" s="2">
        <v>24</v>
      </c>
      <c r="Q104" s="2">
        <v>10</v>
      </c>
      <c r="R104" s="2">
        <v>56</v>
      </c>
      <c r="S104" s="2">
        <v>5</v>
      </c>
      <c r="T104" s="3">
        <v>100</v>
      </c>
      <c r="U104" s="3">
        <v>1.1000000000000001</v>
      </c>
      <c r="V104" s="3">
        <v>1.9</v>
      </c>
      <c r="W104" s="3">
        <v>1.8</v>
      </c>
      <c r="X104" s="3">
        <v>0.8</v>
      </c>
      <c r="Y104" s="3">
        <v>6.3</v>
      </c>
      <c r="AA104" s="3">
        <v>62.9</v>
      </c>
      <c r="AB104" s="3">
        <v>21</v>
      </c>
      <c r="AC104" s="3">
        <v>150</v>
      </c>
      <c r="AD104" s="3">
        <v>31.4</v>
      </c>
      <c r="AE104" s="3">
        <v>268.10000000000002</v>
      </c>
      <c r="AG104" s="3">
        <v>3.23</v>
      </c>
      <c r="AH104" s="3">
        <v>0.58033101839303247</v>
      </c>
      <c r="AI104" s="3">
        <v>0.85</v>
      </c>
      <c r="AJ104" s="3">
        <v>0.10385304302452869</v>
      </c>
      <c r="AM104" s="3">
        <v>2.65</v>
      </c>
      <c r="AN104" s="3">
        <v>0.80568435055378318</v>
      </c>
      <c r="AR104" s="3" t="s">
        <v>66</v>
      </c>
      <c r="AS104" s="4" t="s">
        <v>295</v>
      </c>
      <c r="AT104" s="4">
        <v>47.75</v>
      </c>
      <c r="AU104" s="4" t="s">
        <v>806</v>
      </c>
      <c r="AW104" s="3" t="s">
        <v>235</v>
      </c>
    </row>
    <row r="105" spans="1:49" x14ac:dyDescent="0.15">
      <c r="A105" s="2">
        <v>104</v>
      </c>
      <c r="B105" s="2" t="s">
        <v>296</v>
      </c>
      <c r="C105" s="2" t="s">
        <v>77</v>
      </c>
      <c r="D105" s="2" t="s">
        <v>294</v>
      </c>
      <c r="E105" s="2" t="s">
        <v>39</v>
      </c>
      <c r="H105" s="2" t="s">
        <v>60</v>
      </c>
      <c r="I105" s="2" t="s">
        <v>55</v>
      </c>
      <c r="J105" s="2">
        <v>2007</v>
      </c>
      <c r="K105" s="2">
        <v>4</v>
      </c>
      <c r="N105" s="3">
        <v>1000</v>
      </c>
      <c r="O105" s="3">
        <f t="shared" ref="O105:O107" si="4">29*2</f>
        <v>58</v>
      </c>
      <c r="P105" s="2">
        <v>25</v>
      </c>
      <c r="Q105" s="2">
        <v>15</v>
      </c>
      <c r="R105" s="2">
        <v>45</v>
      </c>
      <c r="S105" s="2">
        <v>9</v>
      </c>
      <c r="T105" s="3">
        <v>99</v>
      </c>
      <c r="U105" s="3">
        <v>0.6</v>
      </c>
      <c r="V105" s="3">
        <v>3.3</v>
      </c>
      <c r="W105" s="3">
        <v>1.4</v>
      </c>
      <c r="X105" s="3">
        <v>7.6</v>
      </c>
      <c r="Y105" s="3">
        <v>13.2</v>
      </c>
      <c r="AA105" s="3">
        <v>41.9</v>
      </c>
      <c r="AB105" s="3">
        <v>33.299999999999997</v>
      </c>
      <c r="AC105" s="3">
        <v>140.30000000000001</v>
      </c>
      <c r="AD105" s="3">
        <v>20.8</v>
      </c>
      <c r="AE105" s="3">
        <v>238.9</v>
      </c>
      <c r="AG105" s="3">
        <v>3.16</v>
      </c>
      <c r="AH105" s="3">
        <v>0.42493760682831028</v>
      </c>
      <c r="AI105" s="3">
        <v>0.81</v>
      </c>
      <c r="AJ105" s="3">
        <v>0.10076600557126279</v>
      </c>
      <c r="AM105" s="3">
        <v>2.76</v>
      </c>
      <c r="AN105" s="3">
        <v>0.86048039788917818</v>
      </c>
      <c r="AR105" s="3" t="s">
        <v>66</v>
      </c>
      <c r="AS105" s="4" t="s">
        <v>295</v>
      </c>
      <c r="AT105" s="4">
        <v>47.75</v>
      </c>
      <c r="AU105" s="4" t="s">
        <v>806</v>
      </c>
      <c r="AW105" s="3" t="s">
        <v>235</v>
      </c>
    </row>
    <row r="106" spans="1:49" x14ac:dyDescent="0.15">
      <c r="A106" s="2">
        <v>105</v>
      </c>
      <c r="B106" s="2" t="s">
        <v>296</v>
      </c>
      <c r="C106" s="2" t="s">
        <v>77</v>
      </c>
      <c r="D106" s="2" t="s">
        <v>294</v>
      </c>
      <c r="E106" s="2" t="s">
        <v>39</v>
      </c>
      <c r="H106" s="2" t="s">
        <v>60</v>
      </c>
      <c r="I106" s="2" t="s">
        <v>55</v>
      </c>
      <c r="J106" s="2">
        <v>2007</v>
      </c>
      <c r="K106" s="2">
        <v>7</v>
      </c>
      <c r="N106" s="3">
        <v>1000</v>
      </c>
      <c r="O106" s="3">
        <f t="shared" si="4"/>
        <v>58</v>
      </c>
      <c r="P106" s="2">
        <v>40</v>
      </c>
      <c r="Q106" s="2">
        <v>24</v>
      </c>
      <c r="R106" s="2">
        <v>37</v>
      </c>
      <c r="S106" s="2">
        <v>6</v>
      </c>
      <c r="T106" s="3">
        <v>115</v>
      </c>
      <c r="U106" s="3">
        <v>0.4</v>
      </c>
      <c r="V106" s="3">
        <v>2</v>
      </c>
      <c r="W106" s="3">
        <v>2.4</v>
      </c>
      <c r="X106" s="3">
        <v>0.9</v>
      </c>
      <c r="Y106" s="3">
        <v>10.5</v>
      </c>
      <c r="AA106" s="3">
        <v>39.6</v>
      </c>
      <c r="AB106" s="3">
        <v>48.3</v>
      </c>
      <c r="AC106" s="3">
        <v>86.7</v>
      </c>
      <c r="AD106" s="3">
        <v>25.4</v>
      </c>
      <c r="AE106" s="3">
        <v>205.4</v>
      </c>
      <c r="AG106" s="3">
        <v>2.82</v>
      </c>
      <c r="AH106" s="3">
        <v>1.0901052909946556</v>
      </c>
      <c r="AI106" s="3">
        <v>0.82</v>
      </c>
      <c r="AJ106" s="3">
        <v>0.17926406795731795</v>
      </c>
      <c r="AM106" s="3">
        <v>2.2799999999999998</v>
      </c>
      <c r="AN106" s="3">
        <v>1.0360063179870527</v>
      </c>
      <c r="AR106" s="3" t="s">
        <v>66</v>
      </c>
      <c r="AS106" s="4" t="s">
        <v>295</v>
      </c>
      <c r="AT106" s="4">
        <v>47.75</v>
      </c>
      <c r="AU106" s="4" t="s">
        <v>806</v>
      </c>
      <c r="AW106" s="3" t="s">
        <v>235</v>
      </c>
    </row>
    <row r="107" spans="1:49" x14ac:dyDescent="0.15">
      <c r="A107" s="2">
        <v>106</v>
      </c>
      <c r="B107" s="2" t="s">
        <v>296</v>
      </c>
      <c r="C107" s="2" t="s">
        <v>77</v>
      </c>
      <c r="D107" s="2" t="s">
        <v>294</v>
      </c>
      <c r="E107" s="2" t="s">
        <v>39</v>
      </c>
      <c r="H107" s="2" t="s">
        <v>60</v>
      </c>
      <c r="I107" s="2" t="s">
        <v>55</v>
      </c>
      <c r="J107" s="2">
        <v>2007</v>
      </c>
      <c r="K107" s="2">
        <v>10</v>
      </c>
      <c r="N107" s="3">
        <v>1000</v>
      </c>
      <c r="O107" s="3">
        <f t="shared" si="4"/>
        <v>58</v>
      </c>
      <c r="P107" s="2">
        <v>15</v>
      </c>
      <c r="Q107" s="2">
        <v>21</v>
      </c>
      <c r="R107" s="2">
        <v>36</v>
      </c>
      <c r="S107" s="2">
        <v>4</v>
      </c>
      <c r="T107" s="3">
        <v>82</v>
      </c>
      <c r="U107" s="3">
        <v>0.2</v>
      </c>
      <c r="V107" s="3">
        <v>4.2</v>
      </c>
      <c r="W107" s="3">
        <v>1</v>
      </c>
      <c r="X107" s="3">
        <v>0.9</v>
      </c>
      <c r="Y107" s="3">
        <v>8.1</v>
      </c>
      <c r="AA107" s="3">
        <v>26.9</v>
      </c>
      <c r="AB107" s="3">
        <v>37.4</v>
      </c>
      <c r="AC107" s="3">
        <v>80</v>
      </c>
      <c r="AD107" s="3">
        <v>19.100000000000001</v>
      </c>
      <c r="AE107" s="3">
        <v>166.2</v>
      </c>
      <c r="AG107" s="3">
        <v>3.09</v>
      </c>
      <c r="AH107" s="3">
        <v>0.55380228393982656</v>
      </c>
      <c r="AI107" s="3">
        <v>0.86</v>
      </c>
      <c r="AJ107" s="3">
        <v>8.7295214905827159E-2</v>
      </c>
      <c r="AM107" s="3">
        <v>2.2799999999999998</v>
      </c>
      <c r="AN107" s="3">
        <v>0.78826429962329558</v>
      </c>
      <c r="AR107" s="3" t="s">
        <v>66</v>
      </c>
      <c r="AS107" s="4" t="s">
        <v>295</v>
      </c>
      <c r="AT107" s="4">
        <v>47.75</v>
      </c>
      <c r="AU107" s="4" t="s">
        <v>806</v>
      </c>
      <c r="AW107" s="3" t="s">
        <v>235</v>
      </c>
    </row>
    <row r="108" spans="1:49" x14ac:dyDescent="0.15">
      <c r="A108" s="2">
        <v>107</v>
      </c>
      <c r="B108" s="2" t="s">
        <v>296</v>
      </c>
      <c r="C108" s="2" t="s">
        <v>77</v>
      </c>
      <c r="D108" s="2" t="s">
        <v>294</v>
      </c>
      <c r="E108" s="2" t="s">
        <v>39</v>
      </c>
      <c r="H108" s="2" t="s">
        <v>304</v>
      </c>
      <c r="I108" s="2" t="s">
        <v>305</v>
      </c>
      <c r="J108" s="2">
        <v>2007</v>
      </c>
      <c r="N108" s="3">
        <v>1000</v>
      </c>
      <c r="O108" s="3">
        <f>58*4</f>
        <v>232</v>
      </c>
      <c r="P108" s="2">
        <v>77</v>
      </c>
      <c r="Q108" s="2">
        <v>43</v>
      </c>
      <c r="R108" s="2">
        <v>96</v>
      </c>
      <c r="S108" s="2">
        <v>13</v>
      </c>
      <c r="T108" s="3">
        <v>243</v>
      </c>
      <c r="U108" s="3">
        <v>0.6</v>
      </c>
      <c r="V108" s="3">
        <v>2.9</v>
      </c>
      <c r="W108" s="3">
        <v>1.7</v>
      </c>
      <c r="X108" s="3">
        <v>2.6</v>
      </c>
      <c r="Y108" s="3">
        <v>9.5</v>
      </c>
      <c r="Z108" s="3">
        <f>STDEV(Y104:Y107)</f>
        <v>2.9937434759845369</v>
      </c>
      <c r="AA108" s="3">
        <v>42.8</v>
      </c>
      <c r="AB108" s="3">
        <v>35</v>
      </c>
      <c r="AC108" s="3">
        <v>114.2</v>
      </c>
      <c r="AD108" s="3">
        <v>24.2</v>
      </c>
      <c r="AE108" s="3">
        <v>219.6</v>
      </c>
      <c r="AF108" s="3">
        <f>STDEV(AE104:AE107)</f>
        <v>43.885950675206793</v>
      </c>
      <c r="AG108" s="3">
        <v>3.0781249999999996</v>
      </c>
      <c r="AH108" s="3">
        <v>0.70406012874868873</v>
      </c>
      <c r="AI108" s="3">
        <v>0.83702127659574488</v>
      </c>
      <c r="AJ108" s="3">
        <v>0.1209188533797869</v>
      </c>
      <c r="AM108" s="3">
        <v>2.4943749999999998</v>
      </c>
      <c r="AN108" s="3">
        <v>0.87663987669068333</v>
      </c>
      <c r="AR108" s="3" t="s">
        <v>66</v>
      </c>
      <c r="AS108" s="4" t="s">
        <v>295</v>
      </c>
      <c r="AT108" s="4">
        <v>47.75</v>
      </c>
      <c r="AU108" s="4" t="s">
        <v>806</v>
      </c>
      <c r="AW108" s="3" t="s">
        <v>235</v>
      </c>
    </row>
    <row r="109" spans="1:49" x14ac:dyDescent="0.15">
      <c r="A109" s="2">
        <v>108</v>
      </c>
      <c r="B109" s="2" t="s">
        <v>310</v>
      </c>
      <c r="C109" s="2" t="s">
        <v>79</v>
      </c>
      <c r="D109" s="2" t="s">
        <v>306</v>
      </c>
      <c r="E109" s="2" t="s">
        <v>308</v>
      </c>
      <c r="F109" s="2" t="s">
        <v>307</v>
      </c>
      <c r="G109" s="2">
        <v>48</v>
      </c>
      <c r="H109" s="2" t="s">
        <v>60</v>
      </c>
      <c r="I109" s="2" t="s">
        <v>25</v>
      </c>
      <c r="J109" s="2">
        <v>2004</v>
      </c>
      <c r="K109" s="2">
        <v>5</v>
      </c>
      <c r="L109" s="2">
        <v>2004</v>
      </c>
      <c r="M109" s="2">
        <v>8</v>
      </c>
      <c r="N109" s="3">
        <v>625</v>
      </c>
      <c r="O109" s="3">
        <v>24</v>
      </c>
      <c r="P109" s="2">
        <v>11</v>
      </c>
      <c r="Q109" s="2">
        <v>20</v>
      </c>
      <c r="R109" s="2">
        <v>5</v>
      </c>
      <c r="T109" s="3">
        <v>42</v>
      </c>
      <c r="U109" s="3">
        <v>13.44</v>
      </c>
      <c r="V109" s="3">
        <v>38.08</v>
      </c>
      <c r="W109" s="3">
        <v>0.05</v>
      </c>
      <c r="Y109" s="3">
        <v>90.13</v>
      </c>
      <c r="AA109" s="3">
        <v>8</v>
      </c>
      <c r="AB109" s="3">
        <v>393</v>
      </c>
      <c r="AC109" s="3">
        <v>3</v>
      </c>
      <c r="AE109" s="3">
        <v>543</v>
      </c>
      <c r="AR109" s="3" t="s">
        <v>60</v>
      </c>
      <c r="AS109" s="3" t="s">
        <v>275</v>
      </c>
      <c r="AT109" s="3">
        <v>43.5</v>
      </c>
      <c r="AU109" s="3" t="s">
        <v>275</v>
      </c>
      <c r="AW109" s="3" t="s">
        <v>309</v>
      </c>
    </row>
    <row r="110" spans="1:49" x14ac:dyDescent="0.15">
      <c r="A110" s="2">
        <v>109</v>
      </c>
      <c r="B110" s="2" t="s">
        <v>310</v>
      </c>
      <c r="C110" s="2" t="s">
        <v>79</v>
      </c>
      <c r="D110" s="2" t="s">
        <v>306</v>
      </c>
      <c r="E110" s="2" t="s">
        <v>841</v>
      </c>
      <c r="F110" s="2" t="s">
        <v>307</v>
      </c>
      <c r="G110" s="2">
        <v>48</v>
      </c>
      <c r="H110" s="2" t="s">
        <v>60</v>
      </c>
      <c r="I110" s="2" t="s">
        <v>25</v>
      </c>
      <c r="J110" s="2">
        <v>2004</v>
      </c>
      <c r="K110" s="2">
        <v>8</v>
      </c>
      <c r="N110" s="3">
        <v>625</v>
      </c>
      <c r="O110" s="3">
        <v>24</v>
      </c>
      <c r="P110" s="2">
        <v>11</v>
      </c>
      <c r="Q110" s="2">
        <v>20</v>
      </c>
      <c r="R110" s="2">
        <v>5</v>
      </c>
      <c r="T110" s="3">
        <v>42</v>
      </c>
      <c r="U110" s="3">
        <v>11.86</v>
      </c>
      <c r="V110" s="3">
        <v>25.86</v>
      </c>
      <c r="W110" s="3">
        <v>0</v>
      </c>
      <c r="Y110" s="3">
        <v>58.39</v>
      </c>
      <c r="AA110" s="3">
        <v>14</v>
      </c>
      <c r="AB110" s="3">
        <v>52</v>
      </c>
      <c r="AC110" s="3">
        <v>0</v>
      </c>
      <c r="AE110" s="3">
        <v>134</v>
      </c>
      <c r="AR110" s="3" t="s">
        <v>60</v>
      </c>
      <c r="AS110" s="3" t="s">
        <v>275</v>
      </c>
      <c r="AT110" s="3">
        <v>43.5</v>
      </c>
      <c r="AU110" s="3" t="s">
        <v>275</v>
      </c>
      <c r="AW110" s="3" t="s">
        <v>309</v>
      </c>
    </row>
    <row r="111" spans="1:49" x14ac:dyDescent="0.15">
      <c r="A111" s="2">
        <v>110</v>
      </c>
      <c r="B111" s="2" t="s">
        <v>310</v>
      </c>
      <c r="C111" s="2" t="s">
        <v>79</v>
      </c>
      <c r="D111" s="2" t="s">
        <v>306</v>
      </c>
      <c r="E111" s="2" t="s">
        <v>841</v>
      </c>
      <c r="F111" s="2" t="s">
        <v>307</v>
      </c>
      <c r="G111" s="2">
        <v>48</v>
      </c>
      <c r="H111" s="2" t="s">
        <v>60</v>
      </c>
      <c r="I111" s="2" t="s">
        <v>25</v>
      </c>
      <c r="J111" s="2">
        <v>2004</v>
      </c>
      <c r="N111" s="3">
        <v>625</v>
      </c>
      <c r="O111" s="3">
        <v>48</v>
      </c>
      <c r="P111" s="2">
        <v>11</v>
      </c>
      <c r="Q111" s="2">
        <v>20</v>
      </c>
      <c r="R111" s="2">
        <v>5</v>
      </c>
      <c r="T111" s="3">
        <v>42</v>
      </c>
      <c r="U111" s="3">
        <v>12.65</v>
      </c>
      <c r="V111" s="3">
        <v>31.97</v>
      </c>
      <c r="W111" s="3">
        <v>0.03</v>
      </c>
      <c r="Y111" s="3">
        <v>74.260000000000005</v>
      </c>
      <c r="AA111" s="3">
        <v>11</v>
      </c>
      <c r="AB111" s="3">
        <v>223</v>
      </c>
      <c r="AC111" s="3">
        <v>2</v>
      </c>
      <c r="AE111" s="3">
        <v>339</v>
      </c>
      <c r="AG111" s="3">
        <v>1.55</v>
      </c>
      <c r="AI111" s="3">
        <v>0.48</v>
      </c>
      <c r="AR111" s="3" t="s">
        <v>239</v>
      </c>
      <c r="AS111" s="3" t="s">
        <v>275</v>
      </c>
      <c r="AT111" s="3">
        <v>43.5</v>
      </c>
      <c r="AU111" s="3" t="s">
        <v>275</v>
      </c>
      <c r="AW111" s="3" t="s">
        <v>309</v>
      </c>
    </row>
    <row r="112" spans="1:49" x14ac:dyDescent="0.15">
      <c r="A112" s="2">
        <v>111</v>
      </c>
      <c r="B112" s="2" t="s">
        <v>311</v>
      </c>
      <c r="C112" s="2" t="s">
        <v>80</v>
      </c>
      <c r="D112" s="2" t="s">
        <v>231</v>
      </c>
      <c r="E112" s="2" t="s">
        <v>39</v>
      </c>
      <c r="H112" s="2" t="s">
        <v>60</v>
      </c>
      <c r="I112" s="2" t="s">
        <v>25</v>
      </c>
      <c r="J112" s="2">
        <v>2003</v>
      </c>
      <c r="K112" s="2">
        <v>6</v>
      </c>
      <c r="N112" s="3">
        <v>625</v>
      </c>
      <c r="O112" s="3">
        <v>24</v>
      </c>
      <c r="P112" s="2">
        <v>26</v>
      </c>
      <c r="Q112" s="2">
        <v>24</v>
      </c>
      <c r="R112" s="2">
        <v>8</v>
      </c>
      <c r="S112" s="2">
        <v>1</v>
      </c>
      <c r="T112" s="3">
        <v>74</v>
      </c>
      <c r="U112" s="3">
        <f>Y112*0.15</f>
        <v>15.560999999999998</v>
      </c>
      <c r="V112" s="3">
        <f>Y112*0.72</f>
        <v>74.692799999999991</v>
      </c>
      <c r="W112" s="3">
        <v>7.08</v>
      </c>
      <c r="X112" s="3">
        <v>4.72</v>
      </c>
      <c r="Y112" s="3">
        <v>103.74</v>
      </c>
      <c r="AA112" s="3">
        <v>65</v>
      </c>
      <c r="AB112" s="3">
        <v>530</v>
      </c>
      <c r="AC112" s="3">
        <v>51</v>
      </c>
      <c r="AD112" s="3">
        <v>2</v>
      </c>
      <c r="AE112" s="3">
        <v>667</v>
      </c>
      <c r="AG112" s="3">
        <v>1.71</v>
      </c>
      <c r="AI112" s="3">
        <v>0.61</v>
      </c>
      <c r="AR112" s="3" t="s">
        <v>85</v>
      </c>
      <c r="AT112" s="3">
        <v>47.75</v>
      </c>
      <c r="AU112" s="3" t="s">
        <v>880</v>
      </c>
      <c r="AW112" s="3" t="s">
        <v>235</v>
      </c>
    </row>
    <row r="113" spans="1:49" x14ac:dyDescent="0.15">
      <c r="A113" s="2">
        <v>112</v>
      </c>
      <c r="B113" s="2" t="s">
        <v>317</v>
      </c>
      <c r="C113" s="2" t="s">
        <v>81</v>
      </c>
      <c r="D113" s="2" t="s">
        <v>315</v>
      </c>
      <c r="E113" s="2" t="s">
        <v>82</v>
      </c>
      <c r="H113" s="2" t="s">
        <v>60</v>
      </c>
      <c r="I113" s="2" t="s">
        <v>84</v>
      </c>
      <c r="J113" s="2">
        <v>2002</v>
      </c>
      <c r="K113" s="2">
        <v>6</v>
      </c>
      <c r="N113" s="3">
        <v>625</v>
      </c>
      <c r="O113" s="3">
        <v>56</v>
      </c>
      <c r="P113" s="2">
        <v>25</v>
      </c>
      <c r="Q113" s="2">
        <v>53</v>
      </c>
      <c r="R113" s="2">
        <v>13</v>
      </c>
      <c r="S113" s="2">
        <v>2</v>
      </c>
      <c r="T113" s="3">
        <v>98</v>
      </c>
      <c r="U113" s="3">
        <v>51.63</v>
      </c>
      <c r="V113" s="3">
        <v>201.19</v>
      </c>
      <c r="W113" s="3">
        <v>2.68</v>
      </c>
      <c r="X113" s="3">
        <v>0.04</v>
      </c>
      <c r="Y113" s="3">
        <v>257.27999999999997</v>
      </c>
      <c r="AA113" s="3">
        <v>194</v>
      </c>
      <c r="AB113" s="3">
        <v>727</v>
      </c>
      <c r="AC113" s="3">
        <v>25</v>
      </c>
      <c r="AD113" s="3">
        <v>1</v>
      </c>
      <c r="AE113" s="3">
        <v>953</v>
      </c>
      <c r="AG113" s="3">
        <v>2.2999999999999998</v>
      </c>
      <c r="AH113" s="3">
        <v>1.44</v>
      </c>
      <c r="AI113" s="3">
        <v>0.57999999999999996</v>
      </c>
      <c r="AJ113" s="3">
        <v>0.25</v>
      </c>
      <c r="AR113" s="3" t="s">
        <v>66</v>
      </c>
      <c r="AS113" s="3" t="s">
        <v>86</v>
      </c>
      <c r="AT113" s="3">
        <v>43.5</v>
      </c>
      <c r="AU113" s="3" t="s">
        <v>86</v>
      </c>
      <c r="AW113" s="3" t="s">
        <v>235</v>
      </c>
    </row>
    <row r="114" spans="1:49" x14ac:dyDescent="0.15">
      <c r="A114" s="2">
        <v>113</v>
      </c>
      <c r="B114" s="2" t="s">
        <v>318</v>
      </c>
      <c r="C114" s="2" t="s">
        <v>87</v>
      </c>
      <c r="D114" s="2" t="s">
        <v>231</v>
      </c>
      <c r="E114" s="2" t="s">
        <v>39</v>
      </c>
      <c r="H114" s="2" t="s">
        <v>63</v>
      </c>
      <c r="I114" s="2" t="s">
        <v>83</v>
      </c>
      <c r="J114" s="2">
        <v>2002</v>
      </c>
      <c r="K114" s="2">
        <v>11</v>
      </c>
      <c r="N114" s="3">
        <v>500</v>
      </c>
      <c r="O114" s="3">
        <f>17*2</f>
        <v>34</v>
      </c>
      <c r="P114" s="2">
        <v>2</v>
      </c>
      <c r="Q114" s="2">
        <v>11</v>
      </c>
      <c r="R114" s="2">
        <v>21</v>
      </c>
      <c r="S114" s="2">
        <v>9</v>
      </c>
      <c r="T114" s="3">
        <v>43</v>
      </c>
      <c r="U114" s="3">
        <v>19.43</v>
      </c>
      <c r="V114" s="3">
        <v>25.69</v>
      </c>
      <c r="W114" s="3">
        <v>0.86</v>
      </c>
      <c r="X114" s="3">
        <v>53.02</v>
      </c>
      <c r="Y114" s="3">
        <v>103.32</v>
      </c>
      <c r="AA114" s="3">
        <v>1</v>
      </c>
      <c r="AB114" s="3">
        <v>69</v>
      </c>
      <c r="AC114" s="3">
        <v>24</v>
      </c>
      <c r="AD114" s="3">
        <v>28</v>
      </c>
      <c r="AE114" s="3">
        <v>123</v>
      </c>
      <c r="AG114" s="3">
        <v>1.54</v>
      </c>
      <c r="AH114" s="3">
        <v>0.51</v>
      </c>
      <c r="AI114" s="3">
        <v>0.86</v>
      </c>
      <c r="AJ114" s="3">
        <v>0.15</v>
      </c>
      <c r="AK114" s="3">
        <v>0.54</v>
      </c>
      <c r="AL114" s="3">
        <v>0.12</v>
      </c>
      <c r="AR114" s="3" t="s">
        <v>90</v>
      </c>
      <c r="AS114" s="4" t="s">
        <v>319</v>
      </c>
      <c r="AT114" s="4">
        <v>47.75</v>
      </c>
      <c r="AU114" s="4" t="s">
        <v>880</v>
      </c>
      <c r="AW114" s="3" t="s">
        <v>235</v>
      </c>
    </row>
    <row r="115" spans="1:49" x14ac:dyDescent="0.15">
      <c r="A115" s="2">
        <v>114</v>
      </c>
      <c r="B115" s="2" t="s">
        <v>321</v>
      </c>
      <c r="C115" s="2" t="s">
        <v>89</v>
      </c>
      <c r="D115" s="2" t="s">
        <v>231</v>
      </c>
      <c r="E115" s="2" t="s">
        <v>322</v>
      </c>
      <c r="G115" s="2">
        <v>17</v>
      </c>
      <c r="H115" s="2" t="s">
        <v>60</v>
      </c>
      <c r="I115" s="2" t="s">
        <v>25</v>
      </c>
      <c r="J115" s="2">
        <v>2003</v>
      </c>
      <c r="K115" s="2">
        <v>11</v>
      </c>
      <c r="N115" s="3">
        <v>625</v>
      </c>
      <c r="O115" s="3">
        <v>15</v>
      </c>
      <c r="P115" s="2">
        <v>10</v>
      </c>
      <c r="Q115" s="2">
        <v>6</v>
      </c>
      <c r="R115" s="2">
        <v>1</v>
      </c>
      <c r="T115" s="3">
        <v>18</v>
      </c>
      <c r="Y115" s="3">
        <v>30.15</v>
      </c>
      <c r="AE115" s="3">
        <v>100</v>
      </c>
      <c r="AG115" s="3">
        <v>1.27</v>
      </c>
      <c r="AI115" s="3">
        <v>0.71</v>
      </c>
      <c r="AK115" s="3">
        <v>0.39</v>
      </c>
      <c r="AM115" s="3">
        <v>1.0900000000000001</v>
      </c>
      <c r="AR115" s="3" t="s">
        <v>66</v>
      </c>
      <c r="AS115" s="4" t="s">
        <v>91</v>
      </c>
      <c r="AT115" s="4">
        <v>47.75</v>
      </c>
      <c r="AU115" s="4" t="s">
        <v>880</v>
      </c>
      <c r="AW115" s="3" t="s">
        <v>235</v>
      </c>
    </row>
    <row r="116" spans="1:49" x14ac:dyDescent="0.15">
      <c r="A116" s="2">
        <v>115</v>
      </c>
      <c r="B116" s="2" t="s">
        <v>321</v>
      </c>
      <c r="C116" s="2" t="s">
        <v>89</v>
      </c>
      <c r="D116" s="2" t="s">
        <v>231</v>
      </c>
      <c r="E116" s="2" t="s">
        <v>322</v>
      </c>
      <c r="G116" s="2">
        <v>12</v>
      </c>
      <c r="H116" s="2" t="s">
        <v>60</v>
      </c>
      <c r="I116" s="2" t="s">
        <v>25</v>
      </c>
      <c r="J116" s="2">
        <v>2003</v>
      </c>
      <c r="K116" s="2">
        <v>11</v>
      </c>
      <c r="N116" s="3">
        <v>625</v>
      </c>
      <c r="O116" s="3">
        <v>15</v>
      </c>
      <c r="P116" s="2">
        <v>10</v>
      </c>
      <c r="Q116" s="2">
        <v>6</v>
      </c>
      <c r="R116" s="2">
        <v>1</v>
      </c>
      <c r="T116" s="3">
        <v>18</v>
      </c>
      <c r="Y116" s="3">
        <v>47.65</v>
      </c>
      <c r="AE116" s="3">
        <v>116</v>
      </c>
      <c r="AG116" s="3">
        <v>1.62</v>
      </c>
      <c r="AI116" s="3">
        <v>0.78</v>
      </c>
      <c r="AK116" s="3">
        <v>0.26</v>
      </c>
      <c r="AM116" s="3">
        <v>1.47</v>
      </c>
      <c r="AR116" s="3" t="s">
        <v>66</v>
      </c>
      <c r="AS116" s="4" t="s">
        <v>91</v>
      </c>
      <c r="AT116" s="4">
        <v>47.75</v>
      </c>
      <c r="AU116" s="4" t="s">
        <v>880</v>
      </c>
      <c r="AW116" s="3" t="s">
        <v>235</v>
      </c>
    </row>
    <row r="117" spans="1:49" x14ac:dyDescent="0.15">
      <c r="A117" s="2">
        <v>116</v>
      </c>
      <c r="B117" s="2" t="s">
        <v>321</v>
      </c>
      <c r="C117" s="2" t="s">
        <v>89</v>
      </c>
      <c r="D117" s="2" t="s">
        <v>231</v>
      </c>
      <c r="E117" s="2" t="s">
        <v>322</v>
      </c>
      <c r="G117" s="2">
        <v>7</v>
      </c>
      <c r="H117" s="2" t="s">
        <v>60</v>
      </c>
      <c r="I117" s="2" t="s">
        <v>25</v>
      </c>
      <c r="J117" s="2">
        <v>2003</v>
      </c>
      <c r="K117" s="2">
        <v>11</v>
      </c>
      <c r="N117" s="3">
        <v>625</v>
      </c>
      <c r="O117" s="3">
        <v>15</v>
      </c>
      <c r="P117" s="2">
        <v>10</v>
      </c>
      <c r="Q117" s="2">
        <v>6</v>
      </c>
      <c r="R117" s="2">
        <v>1</v>
      </c>
      <c r="T117" s="3">
        <v>18</v>
      </c>
      <c r="Y117" s="3">
        <v>56.57</v>
      </c>
      <c r="AE117" s="3">
        <v>164</v>
      </c>
      <c r="AG117" s="3">
        <v>1.57</v>
      </c>
      <c r="AI117" s="3">
        <v>0.76</v>
      </c>
      <c r="AK117" s="3">
        <v>0.31</v>
      </c>
      <c r="AM117" s="3">
        <v>1.37</v>
      </c>
      <c r="AR117" s="3" t="s">
        <v>69</v>
      </c>
      <c r="AS117" s="4" t="s">
        <v>91</v>
      </c>
      <c r="AT117" s="4">
        <v>47.75</v>
      </c>
      <c r="AU117" s="4" t="s">
        <v>880</v>
      </c>
      <c r="AW117" s="3" t="s">
        <v>235</v>
      </c>
    </row>
    <row r="118" spans="1:49" x14ac:dyDescent="0.15">
      <c r="A118" s="2">
        <v>117</v>
      </c>
      <c r="B118" s="2" t="s">
        <v>321</v>
      </c>
      <c r="C118" s="2" t="s">
        <v>89</v>
      </c>
      <c r="D118" s="2" t="s">
        <v>231</v>
      </c>
      <c r="E118" s="2" t="s">
        <v>627</v>
      </c>
      <c r="H118" s="2" t="s">
        <v>90</v>
      </c>
      <c r="I118" s="2" t="s">
        <v>25</v>
      </c>
      <c r="J118" s="2">
        <v>2003</v>
      </c>
      <c r="K118" s="2">
        <v>11</v>
      </c>
      <c r="N118" s="3">
        <v>625</v>
      </c>
      <c r="O118" s="3">
        <v>15</v>
      </c>
      <c r="P118" s="2">
        <v>6</v>
      </c>
      <c r="Q118" s="2">
        <v>9</v>
      </c>
      <c r="R118" s="2">
        <v>5</v>
      </c>
      <c r="T118" s="3">
        <v>23</v>
      </c>
      <c r="Y118" s="3">
        <v>58.81</v>
      </c>
      <c r="AE118" s="3">
        <v>160</v>
      </c>
      <c r="AG118" s="3">
        <v>1.76</v>
      </c>
      <c r="AI118" s="3">
        <v>0.8</v>
      </c>
      <c r="AK118" s="3">
        <v>0.23</v>
      </c>
      <c r="AM118" s="3">
        <v>1.64</v>
      </c>
      <c r="AR118" s="3" t="s">
        <v>66</v>
      </c>
      <c r="AS118" s="3" t="s">
        <v>86</v>
      </c>
      <c r="AT118" s="3">
        <v>43.5</v>
      </c>
      <c r="AU118" s="3" t="s">
        <v>86</v>
      </c>
      <c r="AW118" s="3" t="s">
        <v>235</v>
      </c>
    </row>
    <row r="119" spans="1:49" x14ac:dyDescent="0.15">
      <c r="A119" s="2">
        <v>118</v>
      </c>
      <c r="B119" s="2" t="s">
        <v>326</v>
      </c>
      <c r="C119" s="2" t="s">
        <v>92</v>
      </c>
      <c r="D119" s="2" t="s">
        <v>327</v>
      </c>
      <c r="E119" s="2" t="s">
        <v>39</v>
      </c>
      <c r="H119" s="2" t="s">
        <v>60</v>
      </c>
      <c r="I119" s="2" t="s">
        <v>76</v>
      </c>
      <c r="J119" s="2">
        <v>2009</v>
      </c>
      <c r="K119" s="2">
        <v>5</v>
      </c>
      <c r="N119" s="3">
        <v>500</v>
      </c>
      <c r="O119" s="3">
        <v>48</v>
      </c>
      <c r="P119" s="2">
        <v>4</v>
      </c>
      <c r="Q119" s="2">
        <v>12</v>
      </c>
      <c r="R119" s="2">
        <v>8</v>
      </c>
      <c r="S119" s="2">
        <v>3</v>
      </c>
      <c r="T119" s="3">
        <v>31</v>
      </c>
      <c r="V119" s="3">
        <v>37.83</v>
      </c>
      <c r="Y119" s="3">
        <v>83.06</v>
      </c>
      <c r="AA119" s="3">
        <v>10</v>
      </c>
      <c r="AB119" s="3">
        <v>57.5</v>
      </c>
      <c r="AE119" s="3">
        <v>91.2</v>
      </c>
      <c r="AR119" s="3" t="s">
        <v>74</v>
      </c>
      <c r="AT119" s="3">
        <v>47.75</v>
      </c>
      <c r="AU119" s="3" t="s">
        <v>880</v>
      </c>
      <c r="AW119" s="3" t="s">
        <v>309</v>
      </c>
    </row>
    <row r="120" spans="1:49" x14ac:dyDescent="0.15">
      <c r="A120" s="2">
        <v>119</v>
      </c>
      <c r="B120" s="2" t="s">
        <v>328</v>
      </c>
      <c r="C120" s="2" t="s">
        <v>87</v>
      </c>
      <c r="D120" s="2" t="s">
        <v>231</v>
      </c>
      <c r="E120" s="2" t="s">
        <v>329</v>
      </c>
      <c r="G120" s="2">
        <v>1</v>
      </c>
      <c r="H120" s="2" t="s">
        <v>239</v>
      </c>
      <c r="I120" s="2" t="s">
        <v>290</v>
      </c>
      <c r="J120" s="2">
        <v>2006</v>
      </c>
      <c r="K120" s="2">
        <v>7</v>
      </c>
      <c r="L120" s="2">
        <v>2008</v>
      </c>
      <c r="M120" s="2">
        <v>8</v>
      </c>
      <c r="N120" s="3">
        <v>500</v>
      </c>
      <c r="O120" s="3">
        <f>13*12</f>
        <v>156</v>
      </c>
      <c r="Y120" s="3">
        <v>122.92307692307692</v>
      </c>
      <c r="Z120" s="3">
        <v>188.52429619656522</v>
      </c>
      <c r="AE120" s="3">
        <v>28.384615384615383</v>
      </c>
      <c r="AF120" s="3">
        <v>27.816477315727997</v>
      </c>
      <c r="AG120" s="3">
        <v>1.4446153846153846</v>
      </c>
      <c r="AH120" s="3">
        <v>0.41298941440460157</v>
      </c>
      <c r="AI120" s="3">
        <v>0.86153846153846159</v>
      </c>
      <c r="AJ120" s="3">
        <v>0.19095576075128579</v>
      </c>
      <c r="AK120" s="3">
        <v>0.52</v>
      </c>
      <c r="AL120" s="3">
        <v>0.15286159317064141</v>
      </c>
      <c r="AM120" s="3">
        <v>0.58153846153846156</v>
      </c>
      <c r="AN120" s="3">
        <v>0.23147520219403475</v>
      </c>
      <c r="AR120" s="3" t="s">
        <v>337</v>
      </c>
      <c r="AS120" s="4"/>
      <c r="AT120" s="3">
        <v>47.75</v>
      </c>
      <c r="AU120" s="3" t="s">
        <v>880</v>
      </c>
      <c r="AW120" s="3" t="s">
        <v>338</v>
      </c>
    </row>
    <row r="121" spans="1:49" s="6" customFormat="1" x14ac:dyDescent="0.15">
      <c r="A121" s="2">
        <v>120</v>
      </c>
      <c r="B121" s="5" t="s">
        <v>328</v>
      </c>
      <c r="C121" s="5" t="s">
        <v>87</v>
      </c>
      <c r="D121" s="5" t="s">
        <v>115</v>
      </c>
      <c r="E121" s="5" t="s">
        <v>238</v>
      </c>
      <c r="F121" s="5"/>
      <c r="G121" s="5">
        <v>1</v>
      </c>
      <c r="H121" s="5" t="s">
        <v>60</v>
      </c>
      <c r="I121" s="5" t="s">
        <v>25</v>
      </c>
      <c r="J121" s="5">
        <v>2007</v>
      </c>
      <c r="K121" s="5">
        <v>7</v>
      </c>
      <c r="L121" s="5"/>
      <c r="M121" s="5"/>
      <c r="N121" s="6">
        <v>500</v>
      </c>
      <c r="O121" s="6">
        <f>13*12</f>
        <v>156</v>
      </c>
      <c r="P121" s="5"/>
      <c r="Q121" s="5"/>
      <c r="R121" s="5"/>
      <c r="S121" s="5"/>
      <c r="Y121" s="6">
        <v>122.92307692307692</v>
      </c>
      <c r="Z121" s="6">
        <v>188.52429619656522</v>
      </c>
      <c r="AE121" s="6">
        <v>28.384615384615383</v>
      </c>
      <c r="AF121" s="6">
        <v>27.816477315727997</v>
      </c>
      <c r="AG121" s="6">
        <v>1.4446153846153846</v>
      </c>
      <c r="AH121" s="6">
        <v>0.41298941440460157</v>
      </c>
      <c r="AI121" s="6">
        <v>0.86153846153846159</v>
      </c>
      <c r="AJ121" s="6">
        <v>0.19095576075128579</v>
      </c>
      <c r="AK121" s="6">
        <v>0.52</v>
      </c>
      <c r="AL121" s="6">
        <v>0.15286159317064141</v>
      </c>
      <c r="AM121" s="6">
        <v>0.58153846153846156</v>
      </c>
      <c r="AN121" s="6">
        <v>0.23147520219403475</v>
      </c>
      <c r="AR121" s="6" t="s">
        <v>64</v>
      </c>
      <c r="AS121" s="7"/>
      <c r="AT121" s="3">
        <v>47.75</v>
      </c>
      <c r="AU121" s="3" t="s">
        <v>880</v>
      </c>
      <c r="AW121" s="6" t="s">
        <v>235</v>
      </c>
    </row>
    <row r="122" spans="1:49" s="6" customFormat="1" x14ac:dyDescent="0.15">
      <c r="A122" s="2">
        <v>121</v>
      </c>
      <c r="B122" s="5" t="s">
        <v>328</v>
      </c>
      <c r="C122" s="5" t="s">
        <v>87</v>
      </c>
      <c r="D122" s="5" t="s">
        <v>115</v>
      </c>
      <c r="E122" s="5" t="s">
        <v>238</v>
      </c>
      <c r="F122" s="5"/>
      <c r="G122" s="5">
        <v>1</v>
      </c>
      <c r="H122" s="5" t="s">
        <v>60</v>
      </c>
      <c r="I122" s="5" t="s">
        <v>25</v>
      </c>
      <c r="J122" s="5">
        <v>2008</v>
      </c>
      <c r="K122" s="5">
        <v>7</v>
      </c>
      <c r="L122" s="5"/>
      <c r="M122" s="5"/>
      <c r="N122" s="6">
        <v>500</v>
      </c>
      <c r="O122" s="6">
        <f>13*12</f>
        <v>156</v>
      </c>
      <c r="P122" s="5"/>
      <c r="Q122" s="5"/>
      <c r="R122" s="5"/>
      <c r="S122" s="5"/>
      <c r="Y122" s="6">
        <v>122.92307692307692</v>
      </c>
      <c r="Z122" s="6">
        <v>188.52429619656522</v>
      </c>
      <c r="AE122" s="6">
        <v>28.384615384615383</v>
      </c>
      <c r="AF122" s="6">
        <v>27.816477315727997</v>
      </c>
      <c r="AG122" s="6">
        <v>1.4446153846153846</v>
      </c>
      <c r="AH122" s="6">
        <v>0.41298941440460157</v>
      </c>
      <c r="AI122" s="6">
        <v>0.86153846153846159</v>
      </c>
      <c r="AJ122" s="6">
        <v>0.19095576075128579</v>
      </c>
      <c r="AK122" s="6">
        <v>0.52</v>
      </c>
      <c r="AL122" s="6">
        <v>0.15286159317064141</v>
      </c>
      <c r="AM122" s="6">
        <v>0.58153846153846156</v>
      </c>
      <c r="AN122" s="6">
        <v>0.23147520219403475</v>
      </c>
      <c r="AR122" s="6" t="s">
        <v>64</v>
      </c>
      <c r="AS122" s="7"/>
      <c r="AT122" s="3">
        <v>47.75</v>
      </c>
      <c r="AU122" s="3" t="s">
        <v>880</v>
      </c>
      <c r="AW122" s="6" t="s">
        <v>235</v>
      </c>
    </row>
    <row r="123" spans="1:49" ht="13.5" x14ac:dyDescent="0.15">
      <c r="A123" s="2">
        <v>122</v>
      </c>
      <c r="B123" s="2" t="s">
        <v>341</v>
      </c>
      <c r="C123" s="2" t="s">
        <v>76</v>
      </c>
      <c r="D123" s="2" t="s">
        <v>339</v>
      </c>
      <c r="E123" s="2" t="s">
        <v>39</v>
      </c>
      <c r="H123" s="2" t="s">
        <v>60</v>
      </c>
      <c r="I123" s="2" t="s">
        <v>76</v>
      </c>
      <c r="J123" s="2">
        <v>1997</v>
      </c>
      <c r="K123" s="2">
        <v>6</v>
      </c>
      <c r="N123" s="3">
        <v>1000</v>
      </c>
      <c r="O123" s="3">
        <v>15</v>
      </c>
      <c r="P123" s="2">
        <v>51</v>
      </c>
      <c r="Q123" s="2">
        <v>34</v>
      </c>
      <c r="R123" s="2">
        <v>63</v>
      </c>
      <c r="S123" s="2">
        <v>4</v>
      </c>
      <c r="T123" s="3">
        <v>159</v>
      </c>
      <c r="Y123" s="3">
        <f>AVERAGE(Y127:Y131)</f>
        <v>35.191999999999993</v>
      </c>
      <c r="Z123" s="3">
        <f>STDEV(Y127:Y131)</f>
        <v>26.767588983694449</v>
      </c>
      <c r="AE123" s="3">
        <f>AVERAGE(AE127:AE131)</f>
        <v>3188</v>
      </c>
      <c r="AF123" s="3">
        <f>STDEV(AE127:AE131)</f>
        <v>1673.9861110534937</v>
      </c>
      <c r="AG123" s="3">
        <f>AVERAGE(AG127:AG131)</f>
        <v>2.2293924856155352</v>
      </c>
      <c r="AH123" s="3">
        <f>STDEV(AG127:AG131)</f>
        <v>0.18720765345603452</v>
      </c>
      <c r="AI123" s="3">
        <f>AVERAGE(AI127:AI131)</f>
        <v>0.5470884793680908</v>
      </c>
      <c r="AJ123" s="3">
        <f>STDEV(AI127:AI131)</f>
        <v>2.0009909458211187E-2</v>
      </c>
      <c r="AM123" s="3">
        <f>AVERAGE(AM127:AM131)</f>
        <v>5.194983609204856</v>
      </c>
      <c r="AN123" s="3">
        <f>STDEV(AM127:AM131)</f>
        <v>1.4330248077595857</v>
      </c>
      <c r="AR123" s="3" t="s">
        <v>90</v>
      </c>
      <c r="AS123" s="4" t="s">
        <v>78</v>
      </c>
      <c r="AT123" s="3">
        <v>47.75</v>
      </c>
      <c r="AU123" s="3" t="s">
        <v>880</v>
      </c>
      <c r="AV123" s="4" t="s">
        <v>249</v>
      </c>
      <c r="AW123" s="3" t="s">
        <v>370</v>
      </c>
    </row>
    <row r="124" spans="1:49" ht="13.5" x14ac:dyDescent="0.15">
      <c r="A124" s="2">
        <v>123</v>
      </c>
      <c r="B124" s="2" t="s">
        <v>341</v>
      </c>
      <c r="C124" s="2" t="s">
        <v>76</v>
      </c>
      <c r="D124" s="2" t="s">
        <v>340</v>
      </c>
      <c r="E124" s="2" t="s">
        <v>39</v>
      </c>
      <c r="H124" s="2" t="s">
        <v>60</v>
      </c>
      <c r="I124" s="2" t="s">
        <v>76</v>
      </c>
      <c r="J124" s="2">
        <v>1998</v>
      </c>
      <c r="K124" s="2">
        <v>9</v>
      </c>
      <c r="N124" s="3">
        <v>1000</v>
      </c>
      <c r="O124" s="3">
        <v>60</v>
      </c>
      <c r="P124" s="2">
        <v>76</v>
      </c>
      <c r="Q124" s="2">
        <v>71</v>
      </c>
      <c r="R124" s="2">
        <v>81</v>
      </c>
      <c r="S124" s="2">
        <v>10</v>
      </c>
      <c r="T124" s="3">
        <v>253</v>
      </c>
      <c r="Y124" s="3">
        <f>AVERAGE(Y132:Y151)</f>
        <v>50.32</v>
      </c>
      <c r="Z124" s="3">
        <f>STDEV(Y132:Y151)</f>
        <v>52.161476307005671</v>
      </c>
      <c r="AE124" s="3">
        <f>AVERAGE(AE132:AE151)</f>
        <v>2508.15</v>
      </c>
      <c r="AF124" s="3">
        <f>STDEV(AE132:AE151)</f>
        <v>2768.8043263055665</v>
      </c>
      <c r="AG124" s="3">
        <f>AVERAGE(AG132:AG151)</f>
        <v>1.9798336252854376</v>
      </c>
      <c r="AH124" s="3">
        <f>STDEV(AG132:AG151)</f>
        <v>0.31215039497562974</v>
      </c>
      <c r="AI124" s="3">
        <f>AVERAGE(AI132:AI151)</f>
        <v>0.50379694929138363</v>
      </c>
      <c r="AJ124" s="3">
        <f>STDEV(AI132:AI151)</f>
        <v>8.4170693655013479E-2</v>
      </c>
      <c r="AM124" s="3">
        <f>AVERAGE(AM132:AM151)</f>
        <v>4.5374653341406983</v>
      </c>
      <c r="AN124" s="3">
        <f>STDEV(AM132:AM151)</f>
        <v>0.93345891435544359</v>
      </c>
      <c r="AR124" s="3" t="s">
        <v>90</v>
      </c>
      <c r="AS124" s="4" t="s">
        <v>78</v>
      </c>
      <c r="AT124" s="3">
        <v>47.75</v>
      </c>
      <c r="AU124" s="3" t="s">
        <v>880</v>
      </c>
      <c r="AV124" s="4" t="s">
        <v>249</v>
      </c>
      <c r="AW124" s="3" t="s">
        <v>370</v>
      </c>
    </row>
    <row r="125" spans="1:49" ht="13.5" x14ac:dyDescent="0.15">
      <c r="A125" s="2">
        <v>124</v>
      </c>
      <c r="B125" s="2" t="s">
        <v>341</v>
      </c>
      <c r="C125" s="2" t="s">
        <v>76</v>
      </c>
      <c r="D125" s="2" t="s">
        <v>340</v>
      </c>
      <c r="E125" s="2" t="s">
        <v>39</v>
      </c>
      <c r="H125" s="2" t="s">
        <v>60</v>
      </c>
      <c r="I125" s="2" t="s">
        <v>76</v>
      </c>
      <c r="J125" s="2">
        <v>1999</v>
      </c>
      <c r="K125" s="2">
        <v>4</v>
      </c>
      <c r="N125" s="3">
        <v>1000</v>
      </c>
      <c r="O125" s="3">
        <v>60</v>
      </c>
      <c r="P125" s="2">
        <v>75</v>
      </c>
      <c r="Q125" s="2">
        <v>70</v>
      </c>
      <c r="R125" s="2">
        <v>81</v>
      </c>
      <c r="S125" s="2">
        <v>9</v>
      </c>
      <c r="T125" s="3">
        <v>247</v>
      </c>
      <c r="Y125" s="3">
        <f>AVERAGE(Y152:Y171)</f>
        <v>40.9315</v>
      </c>
      <c r="Z125" s="3">
        <f>STDEV(Y152:Y171)</f>
        <v>59.107141724961927</v>
      </c>
      <c r="AE125" s="3">
        <f>AVERAGE(AE152:AE171)</f>
        <v>2490.4499999999998</v>
      </c>
      <c r="AF125" s="3">
        <f>STDEV(AE152:AE171)</f>
        <v>1607.052138642611</v>
      </c>
      <c r="AG125" s="3">
        <f>AVERAGE(AG152:AG171)</f>
        <v>2.114664731769337</v>
      </c>
      <c r="AH125" s="3">
        <f>STDEV(AG152:AG171)</f>
        <v>0.24491935746575835</v>
      </c>
      <c r="AI125" s="3">
        <f>AVERAGE(AI152:AI171)</f>
        <v>0.5174533647038918</v>
      </c>
      <c r="AJ125" s="3">
        <f>STDEV(AI152:AI171)</f>
        <v>6.6547689716441163E-2</v>
      </c>
      <c r="AM125" s="3">
        <f>AVERAGE(AM152:AM171)</f>
        <v>5.1689878945871373</v>
      </c>
      <c r="AN125" s="3">
        <f>STDEV(AM152:AM171)</f>
        <v>0.92043498182041195</v>
      </c>
      <c r="AR125" s="3" t="s">
        <v>90</v>
      </c>
      <c r="AS125" s="4" t="s">
        <v>78</v>
      </c>
      <c r="AT125" s="3">
        <v>47.75</v>
      </c>
      <c r="AU125" s="3" t="s">
        <v>880</v>
      </c>
      <c r="AV125" s="4" t="s">
        <v>249</v>
      </c>
      <c r="AW125" s="3" t="s">
        <v>370</v>
      </c>
    </row>
    <row r="126" spans="1:49" x14ac:dyDescent="0.15">
      <c r="A126" s="2">
        <v>125</v>
      </c>
      <c r="B126" s="2" t="s">
        <v>341</v>
      </c>
      <c r="C126" s="2" t="s">
        <v>342</v>
      </c>
      <c r="D126" s="2" t="s">
        <v>340</v>
      </c>
      <c r="E126" s="2" t="s">
        <v>39</v>
      </c>
      <c r="H126" s="2" t="s">
        <v>60</v>
      </c>
      <c r="I126" s="2" t="s">
        <v>76</v>
      </c>
      <c r="J126" s="2">
        <v>1997</v>
      </c>
      <c r="K126" s="2">
        <v>6</v>
      </c>
      <c r="L126" s="2">
        <v>1999</v>
      </c>
      <c r="M126" s="2">
        <v>4</v>
      </c>
      <c r="N126" s="3">
        <v>1000</v>
      </c>
      <c r="O126" s="3">
        <v>135</v>
      </c>
      <c r="P126" s="2">
        <v>97</v>
      </c>
      <c r="Q126" s="2">
        <v>88</v>
      </c>
      <c r="R126" s="2">
        <v>95</v>
      </c>
      <c r="S126" s="2">
        <v>11</v>
      </c>
      <c r="T126" s="3">
        <v>306</v>
      </c>
      <c r="U126" s="3">
        <v>5.88</v>
      </c>
      <c r="V126" s="3">
        <v>4.83</v>
      </c>
      <c r="W126" s="3">
        <v>4.54</v>
      </c>
      <c r="X126" s="3">
        <v>22.51</v>
      </c>
      <c r="Y126" s="3">
        <f>AVERAGE(Y127:Y171)</f>
        <v>44.466444444444448</v>
      </c>
      <c r="Z126" s="3">
        <f>STDEV(Y127:Y171)</f>
        <v>52.722751090257539</v>
      </c>
      <c r="AA126" s="3">
        <v>313</v>
      </c>
      <c r="AB126" s="3">
        <v>1341</v>
      </c>
      <c r="AC126" s="3">
        <v>739</v>
      </c>
      <c r="AD126" s="3">
        <v>136</v>
      </c>
      <c r="AE126" s="3">
        <f>AVERAGE(AE127:AE171)</f>
        <v>2575.8222222222221</v>
      </c>
      <c r="AF126" s="3">
        <f>STDEV(AE127:AE171)</f>
        <v>2174.4856788851862</v>
      </c>
      <c r="AG126" s="3">
        <f>AVERAGE(AG127:AG171)</f>
        <v>2.0674873237594045</v>
      </c>
      <c r="AH126" s="3">
        <f>STDEV(AG127:AG171)</f>
        <v>0.28044099432188968</v>
      </c>
      <c r="AI126" s="3">
        <f>AVERAGE(AI127:AI171)</f>
        <v>0.51467663726102153</v>
      </c>
      <c r="AJ126" s="3">
        <f>STDEV(AI127:AI171)</f>
        <v>7.200512810406004E-2</v>
      </c>
      <c r="AM126" s="3">
        <f>AVERAGE(AM127:AM171)</f>
        <v>4.8911996137906888</v>
      </c>
      <c r="AN126" s="3">
        <f>STDEV(AM127:AM171)</f>
        <v>1.0154927742383422</v>
      </c>
      <c r="AR126" s="3" t="s">
        <v>60</v>
      </c>
      <c r="AS126" s="4" t="s">
        <v>78</v>
      </c>
      <c r="AT126" s="3">
        <v>47.75</v>
      </c>
      <c r="AU126" s="3" t="s">
        <v>880</v>
      </c>
      <c r="AW126" s="3" t="s">
        <v>370</v>
      </c>
    </row>
    <row r="127" spans="1:49" s="10" customFormat="1" x14ac:dyDescent="0.15">
      <c r="A127" s="2">
        <v>126</v>
      </c>
      <c r="B127" s="2" t="s">
        <v>341</v>
      </c>
      <c r="C127" s="2" t="s">
        <v>342</v>
      </c>
      <c r="D127" s="2" t="s">
        <v>340</v>
      </c>
      <c r="E127" s="2" t="s">
        <v>39</v>
      </c>
      <c r="F127" s="2"/>
      <c r="G127" s="2"/>
      <c r="H127" s="2" t="s">
        <v>60</v>
      </c>
      <c r="I127" s="2" t="s">
        <v>76</v>
      </c>
      <c r="J127" s="9">
        <v>1997</v>
      </c>
      <c r="K127" s="9">
        <v>6</v>
      </c>
      <c r="L127" s="9"/>
      <c r="M127" s="9"/>
      <c r="N127" s="10">
        <v>1000</v>
      </c>
      <c r="O127" s="10">
        <v>3</v>
      </c>
      <c r="P127" s="9"/>
      <c r="Q127" s="9"/>
      <c r="R127" s="9"/>
      <c r="S127" s="9"/>
      <c r="T127" s="10">
        <v>58</v>
      </c>
      <c r="Y127" s="10">
        <v>15.97</v>
      </c>
      <c r="AE127" s="10">
        <v>2447</v>
      </c>
      <c r="AG127" s="10">
        <v>2.2183009807119753</v>
      </c>
      <c r="AI127" s="10">
        <v>0.5476430546132689</v>
      </c>
      <c r="AM127" s="10">
        <v>5.067431302813918</v>
      </c>
      <c r="AT127" s="3">
        <v>47.75</v>
      </c>
      <c r="AU127" s="3" t="s">
        <v>880</v>
      </c>
      <c r="AW127" s="10" t="s">
        <v>371</v>
      </c>
    </row>
    <row r="128" spans="1:49" s="10" customFormat="1" x14ac:dyDescent="0.15">
      <c r="A128" s="2">
        <v>127</v>
      </c>
      <c r="B128" s="2" t="s">
        <v>341</v>
      </c>
      <c r="C128" s="2" t="s">
        <v>342</v>
      </c>
      <c r="D128" s="2" t="s">
        <v>340</v>
      </c>
      <c r="E128" s="2" t="s">
        <v>39</v>
      </c>
      <c r="F128" s="2"/>
      <c r="G128" s="2"/>
      <c r="H128" s="2" t="s">
        <v>60</v>
      </c>
      <c r="I128" s="2" t="s">
        <v>76</v>
      </c>
      <c r="J128" s="9">
        <v>1997</v>
      </c>
      <c r="K128" s="9">
        <v>6</v>
      </c>
      <c r="L128" s="9"/>
      <c r="M128" s="9"/>
      <c r="N128" s="10">
        <v>1000</v>
      </c>
      <c r="O128" s="10">
        <v>3</v>
      </c>
      <c r="P128" s="9"/>
      <c r="Q128" s="9"/>
      <c r="R128" s="9"/>
      <c r="S128" s="9"/>
      <c r="T128" s="10">
        <v>42</v>
      </c>
      <c r="Y128" s="10">
        <v>80.41</v>
      </c>
      <c r="AE128" s="10">
        <v>1780</v>
      </c>
      <c r="AG128" s="10">
        <v>2.0935215505469262</v>
      </c>
      <c r="AI128" s="10">
        <v>0.56150743574271866</v>
      </c>
      <c r="AM128" s="10">
        <v>3.7988404294692577</v>
      </c>
      <c r="AT128" s="3">
        <v>47.75</v>
      </c>
      <c r="AU128" s="3" t="s">
        <v>880</v>
      </c>
      <c r="AW128" s="10" t="s">
        <v>371</v>
      </c>
    </row>
    <row r="129" spans="1:49" s="10" customFormat="1" x14ac:dyDescent="0.15">
      <c r="A129" s="2">
        <v>128</v>
      </c>
      <c r="B129" s="2" t="s">
        <v>341</v>
      </c>
      <c r="C129" s="2" t="s">
        <v>342</v>
      </c>
      <c r="D129" s="2" t="s">
        <v>340</v>
      </c>
      <c r="E129" s="2" t="s">
        <v>39</v>
      </c>
      <c r="F129" s="2"/>
      <c r="G129" s="2"/>
      <c r="H129" s="2" t="s">
        <v>60</v>
      </c>
      <c r="I129" s="2" t="s">
        <v>76</v>
      </c>
      <c r="J129" s="9">
        <v>1997</v>
      </c>
      <c r="K129" s="9">
        <v>6</v>
      </c>
      <c r="L129" s="9"/>
      <c r="M129" s="9"/>
      <c r="N129" s="10">
        <v>1000</v>
      </c>
      <c r="O129" s="10">
        <v>3</v>
      </c>
      <c r="P129" s="9"/>
      <c r="Q129" s="9"/>
      <c r="R129" s="9"/>
      <c r="S129" s="9"/>
      <c r="T129" s="10">
        <v>57</v>
      </c>
      <c r="Y129" s="10">
        <v>23.73</v>
      </c>
      <c r="AE129" s="10">
        <v>1810</v>
      </c>
      <c r="AG129" s="10">
        <v>2.2806906957944992</v>
      </c>
      <c r="AI129" s="10">
        <v>0.56150743574271866</v>
      </c>
      <c r="AM129" s="10">
        <v>5.1783463518495161</v>
      </c>
      <c r="AT129" s="3">
        <v>47.75</v>
      </c>
      <c r="AU129" s="3" t="s">
        <v>880</v>
      </c>
      <c r="AW129" s="10" t="s">
        <v>371</v>
      </c>
    </row>
    <row r="130" spans="1:49" s="10" customFormat="1" x14ac:dyDescent="0.15">
      <c r="A130" s="2">
        <v>129</v>
      </c>
      <c r="B130" s="2" t="s">
        <v>341</v>
      </c>
      <c r="C130" s="2" t="s">
        <v>342</v>
      </c>
      <c r="D130" s="2" t="s">
        <v>340</v>
      </c>
      <c r="E130" s="2" t="s">
        <v>39</v>
      </c>
      <c r="F130" s="2"/>
      <c r="G130" s="2"/>
      <c r="H130" s="2" t="s">
        <v>60</v>
      </c>
      <c r="I130" s="2" t="s">
        <v>76</v>
      </c>
      <c r="J130" s="9">
        <v>1997</v>
      </c>
      <c r="K130" s="9">
        <v>6</v>
      </c>
      <c r="L130" s="9"/>
      <c r="M130" s="9"/>
      <c r="N130" s="10">
        <v>1000</v>
      </c>
      <c r="O130" s="10">
        <v>3</v>
      </c>
      <c r="P130" s="9"/>
      <c r="Q130" s="9"/>
      <c r="R130" s="9"/>
      <c r="S130" s="9"/>
      <c r="T130" s="10">
        <v>54</v>
      </c>
      <c r="Y130" s="10">
        <v>17.559999999999999</v>
      </c>
      <c r="AE130" s="10">
        <v>4423</v>
      </c>
      <c r="AG130" s="10">
        <v>2.0380640260291272</v>
      </c>
      <c r="AI130" s="10">
        <v>0.51298210178964421</v>
      </c>
      <c r="AM130" s="10">
        <v>4.3742122463414255</v>
      </c>
      <c r="AT130" s="3">
        <v>47.75</v>
      </c>
      <c r="AU130" s="3" t="s">
        <v>880</v>
      </c>
      <c r="AW130" s="10" t="s">
        <v>371</v>
      </c>
    </row>
    <row r="131" spans="1:49" s="10" customFormat="1" x14ac:dyDescent="0.15">
      <c r="A131" s="2">
        <v>130</v>
      </c>
      <c r="B131" s="2" t="s">
        <v>341</v>
      </c>
      <c r="C131" s="2" t="s">
        <v>342</v>
      </c>
      <c r="D131" s="2" t="s">
        <v>340</v>
      </c>
      <c r="E131" s="2" t="s">
        <v>39</v>
      </c>
      <c r="F131" s="2"/>
      <c r="G131" s="2"/>
      <c r="H131" s="2" t="s">
        <v>60</v>
      </c>
      <c r="I131" s="2" t="s">
        <v>76</v>
      </c>
      <c r="J131" s="9">
        <v>1997</v>
      </c>
      <c r="K131" s="9">
        <v>6</v>
      </c>
      <c r="L131" s="9"/>
      <c r="M131" s="9"/>
      <c r="N131" s="10">
        <v>1000</v>
      </c>
      <c r="O131" s="10">
        <v>3</v>
      </c>
      <c r="P131" s="9"/>
      <c r="Q131" s="9"/>
      <c r="R131" s="9"/>
      <c r="S131" s="9"/>
      <c r="T131" s="10">
        <v>95</v>
      </c>
      <c r="Y131" s="10">
        <v>38.29</v>
      </c>
      <c r="AE131" s="10">
        <v>5480</v>
      </c>
      <c r="AG131" s="10">
        <v>2.5163851749951465</v>
      </c>
      <c r="AI131" s="10">
        <v>0.55180236895210377</v>
      </c>
      <c r="AM131" s="10">
        <v>7.5560877155501647</v>
      </c>
      <c r="AT131" s="3">
        <v>47.75</v>
      </c>
      <c r="AU131" s="3" t="s">
        <v>880</v>
      </c>
      <c r="AW131" s="10" t="s">
        <v>371</v>
      </c>
    </row>
    <row r="132" spans="1:49" s="6" customFormat="1" x14ac:dyDescent="0.15">
      <c r="A132" s="2">
        <v>131</v>
      </c>
      <c r="B132" s="2" t="s">
        <v>341</v>
      </c>
      <c r="C132" s="2" t="s">
        <v>342</v>
      </c>
      <c r="D132" s="2" t="s">
        <v>340</v>
      </c>
      <c r="E132" s="2" t="s">
        <v>39</v>
      </c>
      <c r="F132" s="2"/>
      <c r="G132" s="2"/>
      <c r="H132" s="2" t="s">
        <v>60</v>
      </c>
      <c r="I132" s="2" t="s">
        <v>76</v>
      </c>
      <c r="J132" s="5">
        <v>1998</v>
      </c>
      <c r="K132" s="5">
        <v>9</v>
      </c>
      <c r="L132" s="5"/>
      <c r="M132" s="5"/>
      <c r="N132" s="6">
        <v>1000</v>
      </c>
      <c r="O132" s="6">
        <v>3</v>
      </c>
      <c r="P132" s="5"/>
      <c r="Q132" s="5"/>
      <c r="R132" s="5"/>
      <c r="S132" s="5"/>
      <c r="T132" s="6">
        <v>63</v>
      </c>
      <c r="Y132" s="6">
        <v>124.66</v>
      </c>
      <c r="AE132" s="6">
        <v>3060</v>
      </c>
      <c r="AG132" s="6">
        <v>2.1975044090178</v>
      </c>
      <c r="AI132" s="6">
        <v>0.52684648291909408</v>
      </c>
      <c r="AM132" s="6">
        <v>5.3516511159676394</v>
      </c>
      <c r="AT132" s="3">
        <v>47.75</v>
      </c>
      <c r="AU132" s="3" t="s">
        <v>880</v>
      </c>
      <c r="AW132" s="10" t="s">
        <v>371</v>
      </c>
    </row>
    <row r="133" spans="1:49" s="6" customFormat="1" x14ac:dyDescent="0.15">
      <c r="A133" s="2">
        <v>132</v>
      </c>
      <c r="B133" s="2" t="s">
        <v>341</v>
      </c>
      <c r="C133" s="2" t="s">
        <v>342</v>
      </c>
      <c r="D133" s="2" t="s">
        <v>340</v>
      </c>
      <c r="E133" s="2" t="s">
        <v>39</v>
      </c>
      <c r="F133" s="2"/>
      <c r="G133" s="2"/>
      <c r="H133" s="2" t="s">
        <v>60</v>
      </c>
      <c r="I133" s="2" t="s">
        <v>76</v>
      </c>
      <c r="J133" s="5">
        <v>1998</v>
      </c>
      <c r="K133" s="5">
        <v>9</v>
      </c>
      <c r="L133" s="5"/>
      <c r="M133" s="5"/>
      <c r="N133" s="6">
        <v>1000</v>
      </c>
      <c r="O133" s="6">
        <v>3</v>
      </c>
      <c r="P133" s="5"/>
      <c r="Q133" s="5"/>
      <c r="R133" s="5"/>
      <c r="S133" s="5"/>
      <c r="T133" s="6">
        <v>37</v>
      </c>
      <c r="Y133" s="6">
        <v>181.67</v>
      </c>
      <c r="AE133" s="6">
        <v>4697</v>
      </c>
      <c r="AG133" s="6">
        <v>2.2737585052297744</v>
      </c>
      <c r="AI133" s="6">
        <v>0.43672800557767011</v>
      </c>
      <c r="AM133" s="6">
        <v>2.9531131805728168</v>
      </c>
      <c r="AT133" s="3">
        <v>47.75</v>
      </c>
      <c r="AU133" s="3" t="s">
        <v>880</v>
      </c>
      <c r="AW133" s="10" t="s">
        <v>371</v>
      </c>
    </row>
    <row r="134" spans="1:49" s="6" customFormat="1" x14ac:dyDescent="0.15">
      <c r="A134" s="2">
        <v>133</v>
      </c>
      <c r="B134" s="2" t="s">
        <v>341</v>
      </c>
      <c r="C134" s="2" t="s">
        <v>342</v>
      </c>
      <c r="D134" s="2" t="s">
        <v>340</v>
      </c>
      <c r="E134" s="2" t="s">
        <v>39</v>
      </c>
      <c r="F134" s="2"/>
      <c r="G134" s="2"/>
      <c r="H134" s="2" t="s">
        <v>60</v>
      </c>
      <c r="I134" s="2" t="s">
        <v>76</v>
      </c>
      <c r="J134" s="5">
        <v>1998</v>
      </c>
      <c r="K134" s="5">
        <v>9</v>
      </c>
      <c r="L134" s="5"/>
      <c r="M134" s="5"/>
      <c r="N134" s="6">
        <v>1000</v>
      </c>
      <c r="O134" s="6">
        <v>3</v>
      </c>
      <c r="P134" s="5"/>
      <c r="Q134" s="5"/>
      <c r="R134" s="5"/>
      <c r="S134" s="5"/>
      <c r="T134" s="6">
        <v>63</v>
      </c>
      <c r="Y134" s="6">
        <v>154.88</v>
      </c>
      <c r="AE134" s="6">
        <v>2417</v>
      </c>
      <c r="AG134" s="6">
        <v>2.0796571694174766</v>
      </c>
      <c r="AI134" s="6">
        <v>0.50258381594255686</v>
      </c>
      <c r="AM134" s="6">
        <v>5.5180236895210379</v>
      </c>
      <c r="AT134" s="3">
        <v>47.75</v>
      </c>
      <c r="AU134" s="3" t="s">
        <v>880</v>
      </c>
      <c r="AW134" s="10" t="s">
        <v>371</v>
      </c>
    </row>
    <row r="135" spans="1:49" s="6" customFormat="1" x14ac:dyDescent="0.15">
      <c r="A135" s="2">
        <v>134</v>
      </c>
      <c r="B135" s="2" t="s">
        <v>341</v>
      </c>
      <c r="C135" s="2" t="s">
        <v>342</v>
      </c>
      <c r="D135" s="2" t="s">
        <v>340</v>
      </c>
      <c r="E135" s="2" t="s">
        <v>39</v>
      </c>
      <c r="F135" s="2"/>
      <c r="G135" s="2"/>
      <c r="H135" s="2" t="s">
        <v>60</v>
      </c>
      <c r="I135" s="2" t="s">
        <v>76</v>
      </c>
      <c r="J135" s="5">
        <v>1998</v>
      </c>
      <c r="K135" s="5">
        <v>9</v>
      </c>
      <c r="L135" s="5"/>
      <c r="M135" s="5"/>
      <c r="N135" s="6">
        <v>1000</v>
      </c>
      <c r="O135" s="6">
        <v>3</v>
      </c>
      <c r="P135" s="5"/>
      <c r="Q135" s="5"/>
      <c r="R135" s="5"/>
      <c r="S135" s="5"/>
      <c r="T135" s="6">
        <v>21</v>
      </c>
      <c r="Y135" s="6">
        <v>3.81</v>
      </c>
      <c r="AE135" s="6">
        <v>160</v>
      </c>
      <c r="AG135" s="6">
        <v>1.961809929817153</v>
      </c>
      <c r="AI135" s="6">
        <v>0.64330728440647278</v>
      </c>
      <c r="AM135" s="6">
        <v>2.7312830825016192</v>
      </c>
      <c r="AT135" s="3">
        <v>47.75</v>
      </c>
      <c r="AU135" s="3" t="s">
        <v>880</v>
      </c>
      <c r="AW135" s="10" t="s">
        <v>371</v>
      </c>
    </row>
    <row r="136" spans="1:49" s="6" customFormat="1" x14ac:dyDescent="0.15">
      <c r="A136" s="2">
        <v>135</v>
      </c>
      <c r="B136" s="2" t="s">
        <v>341</v>
      </c>
      <c r="C136" s="2" t="s">
        <v>342</v>
      </c>
      <c r="D136" s="2" t="s">
        <v>340</v>
      </c>
      <c r="E136" s="2" t="s">
        <v>39</v>
      </c>
      <c r="F136" s="2"/>
      <c r="G136" s="2"/>
      <c r="H136" s="2" t="s">
        <v>60</v>
      </c>
      <c r="I136" s="2" t="s">
        <v>76</v>
      </c>
      <c r="J136" s="5">
        <v>1998</v>
      </c>
      <c r="K136" s="5">
        <v>9</v>
      </c>
      <c r="L136" s="5"/>
      <c r="M136" s="5"/>
      <c r="N136" s="6">
        <v>1000</v>
      </c>
      <c r="O136" s="6">
        <v>3</v>
      </c>
      <c r="P136" s="5"/>
      <c r="Q136" s="5"/>
      <c r="R136" s="5"/>
      <c r="S136" s="5"/>
      <c r="T136" s="6">
        <v>43</v>
      </c>
      <c r="Y136" s="6">
        <v>13.88</v>
      </c>
      <c r="AE136" s="6">
        <v>1133</v>
      </c>
      <c r="AG136" s="6">
        <v>1.9063524052993535</v>
      </c>
      <c r="AI136" s="6">
        <v>0.50674313028139173</v>
      </c>
      <c r="AM136" s="6">
        <v>4.1385177671407778</v>
      </c>
      <c r="AT136" s="3">
        <v>47.75</v>
      </c>
      <c r="AU136" s="3" t="s">
        <v>880</v>
      </c>
      <c r="AW136" s="10" t="s">
        <v>371</v>
      </c>
    </row>
    <row r="137" spans="1:49" s="6" customFormat="1" x14ac:dyDescent="0.15">
      <c r="A137" s="2">
        <v>136</v>
      </c>
      <c r="B137" s="2" t="s">
        <v>341</v>
      </c>
      <c r="C137" s="2" t="s">
        <v>342</v>
      </c>
      <c r="D137" s="2" t="s">
        <v>340</v>
      </c>
      <c r="E137" s="2" t="s">
        <v>39</v>
      </c>
      <c r="F137" s="2"/>
      <c r="G137" s="2"/>
      <c r="H137" s="2" t="s">
        <v>60</v>
      </c>
      <c r="I137" s="2" t="s">
        <v>76</v>
      </c>
      <c r="J137" s="5">
        <v>1998</v>
      </c>
      <c r="K137" s="5">
        <v>9</v>
      </c>
      <c r="L137" s="5"/>
      <c r="M137" s="5"/>
      <c r="N137" s="6">
        <v>1000</v>
      </c>
      <c r="O137" s="6">
        <v>3</v>
      </c>
      <c r="P137" s="5"/>
      <c r="Q137" s="5"/>
      <c r="R137" s="5"/>
      <c r="S137" s="5"/>
      <c r="T137" s="6">
        <v>74</v>
      </c>
      <c r="Y137" s="6">
        <v>85.72</v>
      </c>
      <c r="AE137" s="6">
        <v>4660</v>
      </c>
      <c r="AG137" s="6">
        <v>2.1351146939352761</v>
      </c>
      <c r="AI137" s="6">
        <v>0.49634484443430438</v>
      </c>
      <c r="AM137" s="6">
        <v>5.9894126479223333</v>
      </c>
      <c r="AT137" s="3">
        <v>47.75</v>
      </c>
      <c r="AU137" s="3" t="s">
        <v>880</v>
      </c>
      <c r="AW137" s="10" t="s">
        <v>371</v>
      </c>
    </row>
    <row r="138" spans="1:49" s="6" customFormat="1" x14ac:dyDescent="0.15">
      <c r="A138" s="2">
        <v>137</v>
      </c>
      <c r="B138" s="2" t="s">
        <v>341</v>
      </c>
      <c r="C138" s="2" t="s">
        <v>342</v>
      </c>
      <c r="D138" s="2" t="s">
        <v>340</v>
      </c>
      <c r="E138" s="2" t="s">
        <v>39</v>
      </c>
      <c r="F138" s="2"/>
      <c r="G138" s="2"/>
      <c r="H138" s="2" t="s">
        <v>60</v>
      </c>
      <c r="I138" s="2" t="s">
        <v>76</v>
      </c>
      <c r="J138" s="5">
        <v>1998</v>
      </c>
      <c r="K138" s="5">
        <v>9</v>
      </c>
      <c r="L138" s="5"/>
      <c r="M138" s="5"/>
      <c r="N138" s="6">
        <v>1000</v>
      </c>
      <c r="O138" s="6">
        <v>3</v>
      </c>
      <c r="P138" s="5"/>
      <c r="Q138" s="5"/>
      <c r="R138" s="5"/>
      <c r="S138" s="5"/>
      <c r="T138" s="6">
        <v>48</v>
      </c>
      <c r="Y138" s="6">
        <v>42.62</v>
      </c>
      <c r="AE138" s="6">
        <v>877</v>
      </c>
      <c r="AG138" s="6">
        <v>2.2252331712766997</v>
      </c>
      <c r="AI138" s="6">
        <v>0.57537181687216854</v>
      </c>
      <c r="AM138" s="6">
        <v>4.8109402519190958</v>
      </c>
      <c r="AT138" s="3">
        <v>47.75</v>
      </c>
      <c r="AU138" s="3" t="s">
        <v>880</v>
      </c>
      <c r="AW138" s="10" t="s">
        <v>371</v>
      </c>
    </row>
    <row r="139" spans="1:49" s="6" customFormat="1" x14ac:dyDescent="0.15">
      <c r="A139" s="2">
        <v>138</v>
      </c>
      <c r="B139" s="2" t="s">
        <v>341</v>
      </c>
      <c r="C139" s="2" t="s">
        <v>342</v>
      </c>
      <c r="D139" s="2" t="s">
        <v>340</v>
      </c>
      <c r="E139" s="2" t="s">
        <v>39</v>
      </c>
      <c r="F139" s="2"/>
      <c r="G139" s="2"/>
      <c r="H139" s="2" t="s">
        <v>60</v>
      </c>
      <c r="I139" s="2" t="s">
        <v>76</v>
      </c>
      <c r="J139" s="5">
        <v>1998</v>
      </c>
      <c r="K139" s="5">
        <v>9</v>
      </c>
      <c r="L139" s="5"/>
      <c r="M139" s="5"/>
      <c r="N139" s="6">
        <v>1000</v>
      </c>
      <c r="O139" s="6">
        <v>3</v>
      </c>
      <c r="P139" s="5"/>
      <c r="Q139" s="5"/>
      <c r="R139" s="5"/>
      <c r="S139" s="5"/>
      <c r="T139" s="6">
        <v>44</v>
      </c>
      <c r="Y139" s="6">
        <v>38.97</v>
      </c>
      <c r="AE139" s="6">
        <v>1000</v>
      </c>
      <c r="AG139" s="6">
        <v>2.1073859316763763</v>
      </c>
      <c r="AI139" s="6">
        <v>0.55596168329093876</v>
      </c>
      <c r="AM139" s="6">
        <v>4.3118225312589011</v>
      </c>
      <c r="AT139" s="3">
        <v>47.75</v>
      </c>
      <c r="AU139" s="3" t="s">
        <v>880</v>
      </c>
      <c r="AW139" s="10" t="s">
        <v>371</v>
      </c>
    </row>
    <row r="140" spans="1:49" s="6" customFormat="1" x14ac:dyDescent="0.15">
      <c r="A140" s="2">
        <v>139</v>
      </c>
      <c r="B140" s="2" t="s">
        <v>341</v>
      </c>
      <c r="C140" s="2" t="s">
        <v>342</v>
      </c>
      <c r="D140" s="2" t="s">
        <v>340</v>
      </c>
      <c r="E140" s="2" t="s">
        <v>39</v>
      </c>
      <c r="F140" s="2"/>
      <c r="G140" s="2"/>
      <c r="H140" s="2" t="s">
        <v>60</v>
      </c>
      <c r="I140" s="2" t="s">
        <v>76</v>
      </c>
      <c r="J140" s="5">
        <v>1998</v>
      </c>
      <c r="K140" s="5">
        <v>9</v>
      </c>
      <c r="L140" s="5"/>
      <c r="M140" s="5"/>
      <c r="N140" s="6">
        <v>1000</v>
      </c>
      <c r="O140" s="6">
        <v>3</v>
      </c>
      <c r="P140" s="5"/>
      <c r="Q140" s="5"/>
      <c r="R140" s="5"/>
      <c r="S140" s="5"/>
      <c r="T140" s="6">
        <v>43</v>
      </c>
      <c r="Y140" s="6">
        <v>9.84</v>
      </c>
      <c r="AE140" s="6">
        <v>1030</v>
      </c>
      <c r="AG140" s="6">
        <v>1.9964708826407773</v>
      </c>
      <c r="AI140" s="6">
        <v>0.5303125782014565</v>
      </c>
      <c r="AM140" s="6">
        <v>4.1939752916585773</v>
      </c>
      <c r="AT140" s="3">
        <v>47.75</v>
      </c>
      <c r="AU140" s="3" t="s">
        <v>880</v>
      </c>
      <c r="AW140" s="10" t="s">
        <v>371</v>
      </c>
    </row>
    <row r="141" spans="1:49" s="6" customFormat="1" x14ac:dyDescent="0.15">
      <c r="A141" s="2">
        <v>140</v>
      </c>
      <c r="B141" s="2" t="s">
        <v>341</v>
      </c>
      <c r="C141" s="2" t="s">
        <v>342</v>
      </c>
      <c r="D141" s="2" t="s">
        <v>340</v>
      </c>
      <c r="E141" s="2" t="s">
        <v>39</v>
      </c>
      <c r="F141" s="2"/>
      <c r="G141" s="2"/>
      <c r="H141" s="2" t="s">
        <v>60</v>
      </c>
      <c r="I141" s="2" t="s">
        <v>76</v>
      </c>
      <c r="J141" s="5">
        <v>1998</v>
      </c>
      <c r="K141" s="5">
        <v>9</v>
      </c>
      <c r="L141" s="5"/>
      <c r="M141" s="5"/>
      <c r="N141" s="6">
        <v>1000</v>
      </c>
      <c r="O141" s="6">
        <v>3</v>
      </c>
      <c r="P141" s="5"/>
      <c r="Q141" s="5"/>
      <c r="R141" s="5"/>
      <c r="S141" s="5"/>
      <c r="T141" s="6">
        <v>58</v>
      </c>
      <c r="Y141" s="6">
        <v>92.84</v>
      </c>
      <c r="AE141" s="6">
        <v>4443</v>
      </c>
      <c r="AG141" s="6">
        <v>1.8508948807815542</v>
      </c>
      <c r="AI141" s="6">
        <v>0.45544492010242738</v>
      </c>
      <c r="AM141" s="6">
        <v>4.7069573934482216</v>
      </c>
      <c r="AT141" s="3">
        <v>47.75</v>
      </c>
      <c r="AU141" s="3" t="s">
        <v>880</v>
      </c>
      <c r="AW141" s="10" t="s">
        <v>371</v>
      </c>
    </row>
    <row r="142" spans="1:49" s="6" customFormat="1" x14ac:dyDescent="0.15">
      <c r="A142" s="2">
        <v>141</v>
      </c>
      <c r="B142" s="2" t="s">
        <v>341</v>
      </c>
      <c r="C142" s="2" t="s">
        <v>342</v>
      </c>
      <c r="D142" s="2" t="s">
        <v>340</v>
      </c>
      <c r="E142" s="2" t="s">
        <v>39</v>
      </c>
      <c r="F142" s="2"/>
      <c r="G142" s="2"/>
      <c r="H142" s="2" t="s">
        <v>60</v>
      </c>
      <c r="I142" s="2" t="s">
        <v>76</v>
      </c>
      <c r="J142" s="5">
        <v>1998</v>
      </c>
      <c r="K142" s="5">
        <v>9</v>
      </c>
      <c r="L142" s="5"/>
      <c r="M142" s="5"/>
      <c r="N142" s="6">
        <v>1000</v>
      </c>
      <c r="O142" s="6">
        <v>3</v>
      </c>
      <c r="P142" s="5"/>
      <c r="Q142" s="5"/>
      <c r="R142" s="5"/>
      <c r="S142" s="5"/>
      <c r="T142" s="6">
        <v>39</v>
      </c>
      <c r="Y142" s="6">
        <v>73.87</v>
      </c>
      <c r="AE142" s="6">
        <v>1267</v>
      </c>
      <c r="AG142" s="6">
        <v>1.6775901166634311</v>
      </c>
      <c r="AI142" s="6">
        <v>0.45821779632831738</v>
      </c>
      <c r="AM142" s="6">
        <v>3.6879253804336587</v>
      </c>
      <c r="AT142" s="3">
        <v>47.75</v>
      </c>
      <c r="AU142" s="3" t="s">
        <v>880</v>
      </c>
      <c r="AW142" s="10" t="s">
        <v>371</v>
      </c>
    </row>
    <row r="143" spans="1:49" s="6" customFormat="1" x14ac:dyDescent="0.15">
      <c r="A143" s="2">
        <v>142</v>
      </c>
      <c r="B143" s="2" t="s">
        <v>341</v>
      </c>
      <c r="C143" s="2" t="s">
        <v>342</v>
      </c>
      <c r="D143" s="2" t="s">
        <v>340</v>
      </c>
      <c r="E143" s="2" t="s">
        <v>39</v>
      </c>
      <c r="F143" s="2"/>
      <c r="G143" s="2"/>
      <c r="H143" s="2" t="s">
        <v>60</v>
      </c>
      <c r="I143" s="2" t="s">
        <v>76</v>
      </c>
      <c r="J143" s="5">
        <v>1998</v>
      </c>
      <c r="K143" s="5">
        <v>9</v>
      </c>
      <c r="L143" s="5"/>
      <c r="M143" s="5"/>
      <c r="N143" s="6">
        <v>1000</v>
      </c>
      <c r="O143" s="6">
        <v>3</v>
      </c>
      <c r="P143" s="5"/>
      <c r="Q143" s="5"/>
      <c r="R143" s="5"/>
      <c r="S143" s="5"/>
      <c r="T143" s="6">
        <v>47</v>
      </c>
      <c r="Y143" s="6">
        <v>32.03</v>
      </c>
      <c r="AE143" s="6">
        <v>1580</v>
      </c>
      <c r="AG143" s="6">
        <v>1.7607764034401301</v>
      </c>
      <c r="AI143" s="6">
        <v>0.45683135821537235</v>
      </c>
      <c r="AM143" s="6">
        <v>4.3326191029530765</v>
      </c>
      <c r="AT143" s="3">
        <v>47.75</v>
      </c>
      <c r="AU143" s="3" t="s">
        <v>880</v>
      </c>
      <c r="AW143" s="10" t="s">
        <v>371</v>
      </c>
    </row>
    <row r="144" spans="1:49" s="6" customFormat="1" x14ac:dyDescent="0.15">
      <c r="A144" s="2">
        <v>143</v>
      </c>
      <c r="B144" s="2" t="s">
        <v>341</v>
      </c>
      <c r="C144" s="2" t="s">
        <v>342</v>
      </c>
      <c r="D144" s="2" t="s">
        <v>340</v>
      </c>
      <c r="E144" s="2" t="s">
        <v>39</v>
      </c>
      <c r="F144" s="2"/>
      <c r="G144" s="2"/>
      <c r="H144" s="2" t="s">
        <v>60</v>
      </c>
      <c r="I144" s="2" t="s">
        <v>76</v>
      </c>
      <c r="J144" s="5">
        <v>1998</v>
      </c>
      <c r="K144" s="5">
        <v>9</v>
      </c>
      <c r="L144" s="5"/>
      <c r="M144" s="5"/>
      <c r="N144" s="6">
        <v>1000</v>
      </c>
      <c r="O144" s="6">
        <v>3</v>
      </c>
      <c r="P144" s="5"/>
      <c r="Q144" s="5"/>
      <c r="R144" s="5"/>
      <c r="S144" s="5"/>
      <c r="T144" s="6">
        <v>38</v>
      </c>
      <c r="Y144" s="6">
        <v>26.74</v>
      </c>
      <c r="AE144" s="6">
        <v>1190</v>
      </c>
      <c r="AG144" s="6">
        <v>1.8093017373932045</v>
      </c>
      <c r="AI144" s="6">
        <v>0.49703806349077689</v>
      </c>
      <c r="AM144" s="6">
        <v>3.6186034747864091</v>
      </c>
      <c r="AT144" s="3">
        <v>47.75</v>
      </c>
      <c r="AU144" s="3" t="s">
        <v>880</v>
      </c>
      <c r="AW144" s="10" t="s">
        <v>371</v>
      </c>
    </row>
    <row r="145" spans="1:49" s="6" customFormat="1" x14ac:dyDescent="0.15">
      <c r="A145" s="2">
        <v>144</v>
      </c>
      <c r="B145" s="2" t="s">
        <v>341</v>
      </c>
      <c r="C145" s="2" t="s">
        <v>342</v>
      </c>
      <c r="D145" s="2" t="s">
        <v>340</v>
      </c>
      <c r="E145" s="2" t="s">
        <v>39</v>
      </c>
      <c r="F145" s="2"/>
      <c r="G145" s="2"/>
      <c r="H145" s="2" t="s">
        <v>60</v>
      </c>
      <c r="I145" s="2" t="s">
        <v>76</v>
      </c>
      <c r="J145" s="5">
        <v>1998</v>
      </c>
      <c r="K145" s="5">
        <v>9</v>
      </c>
      <c r="L145" s="5"/>
      <c r="M145" s="5"/>
      <c r="N145" s="6">
        <v>1000</v>
      </c>
      <c r="O145" s="6">
        <v>3</v>
      </c>
      <c r="P145" s="5"/>
      <c r="Q145" s="5"/>
      <c r="R145" s="5"/>
      <c r="S145" s="5"/>
      <c r="T145" s="6">
        <v>49</v>
      </c>
      <c r="Y145" s="6">
        <v>6.37</v>
      </c>
      <c r="AE145" s="6">
        <v>1133</v>
      </c>
      <c r="AG145" s="6">
        <v>2.0519284071585768</v>
      </c>
      <c r="AI145" s="6">
        <v>0.52753970197556654</v>
      </c>
      <c r="AM145" s="6">
        <v>4.7346861557071218</v>
      </c>
      <c r="AT145" s="3">
        <v>47.75</v>
      </c>
      <c r="AU145" s="3" t="s">
        <v>880</v>
      </c>
      <c r="AW145" s="10" t="s">
        <v>371</v>
      </c>
    </row>
    <row r="146" spans="1:49" s="6" customFormat="1" x14ac:dyDescent="0.15">
      <c r="A146" s="2">
        <v>145</v>
      </c>
      <c r="B146" s="2" t="s">
        <v>341</v>
      </c>
      <c r="C146" s="2" t="s">
        <v>342</v>
      </c>
      <c r="D146" s="2" t="s">
        <v>340</v>
      </c>
      <c r="E146" s="2" t="s">
        <v>39</v>
      </c>
      <c r="F146" s="2"/>
      <c r="G146" s="2"/>
      <c r="H146" s="2" t="s">
        <v>60</v>
      </c>
      <c r="I146" s="2" t="s">
        <v>76</v>
      </c>
      <c r="J146" s="5">
        <v>1998</v>
      </c>
      <c r="K146" s="5">
        <v>9</v>
      </c>
      <c r="L146" s="5"/>
      <c r="M146" s="5"/>
      <c r="N146" s="6">
        <v>1000</v>
      </c>
      <c r="O146" s="6">
        <v>3</v>
      </c>
      <c r="P146" s="5"/>
      <c r="Q146" s="5"/>
      <c r="R146" s="5"/>
      <c r="S146" s="5"/>
      <c r="T146" s="6">
        <v>52</v>
      </c>
      <c r="Y146" s="6">
        <v>5.89</v>
      </c>
      <c r="AE146" s="6">
        <v>1380</v>
      </c>
      <c r="AG146" s="6">
        <v>2.2390975524061498</v>
      </c>
      <c r="AI146" s="6">
        <v>0.56705318819449857</v>
      </c>
      <c r="AM146" s="6">
        <v>4.8871943481310698</v>
      </c>
      <c r="AT146" s="3">
        <v>47.75</v>
      </c>
      <c r="AU146" s="3" t="s">
        <v>880</v>
      </c>
      <c r="AW146" s="10" t="s">
        <v>371</v>
      </c>
    </row>
    <row r="147" spans="1:49" s="6" customFormat="1" x14ac:dyDescent="0.15">
      <c r="A147" s="2">
        <v>146</v>
      </c>
      <c r="B147" s="2" t="s">
        <v>341</v>
      </c>
      <c r="C147" s="2" t="s">
        <v>342</v>
      </c>
      <c r="D147" s="2" t="s">
        <v>340</v>
      </c>
      <c r="E147" s="2" t="s">
        <v>39</v>
      </c>
      <c r="F147" s="2"/>
      <c r="G147" s="2"/>
      <c r="H147" s="2" t="s">
        <v>60</v>
      </c>
      <c r="I147" s="2" t="s">
        <v>76</v>
      </c>
      <c r="J147" s="5">
        <v>1998</v>
      </c>
      <c r="K147" s="5">
        <v>9</v>
      </c>
      <c r="L147" s="5"/>
      <c r="M147" s="5"/>
      <c r="N147" s="6">
        <v>1000</v>
      </c>
      <c r="O147" s="6">
        <v>3</v>
      </c>
      <c r="P147" s="5"/>
      <c r="Q147" s="5"/>
      <c r="R147" s="5"/>
      <c r="S147" s="5"/>
      <c r="T147" s="6">
        <v>62</v>
      </c>
      <c r="Y147" s="6">
        <v>27.08</v>
      </c>
      <c r="AE147" s="6">
        <v>12623</v>
      </c>
      <c r="AG147" s="6">
        <v>0.88732039228478998</v>
      </c>
      <c r="AI147" s="6">
        <v>0.21559112656294507</v>
      </c>
      <c r="AM147" s="6">
        <v>4.4781951048122997</v>
      </c>
      <c r="AT147" s="3">
        <v>47.75</v>
      </c>
      <c r="AU147" s="3" t="s">
        <v>880</v>
      </c>
      <c r="AW147" s="10" t="s">
        <v>371</v>
      </c>
    </row>
    <row r="148" spans="1:49" s="6" customFormat="1" x14ac:dyDescent="0.15">
      <c r="A148" s="2">
        <v>147</v>
      </c>
      <c r="B148" s="2" t="s">
        <v>341</v>
      </c>
      <c r="C148" s="2" t="s">
        <v>342</v>
      </c>
      <c r="D148" s="2" t="s">
        <v>340</v>
      </c>
      <c r="E148" s="2" t="s">
        <v>39</v>
      </c>
      <c r="F148" s="2"/>
      <c r="G148" s="2"/>
      <c r="H148" s="2" t="s">
        <v>60</v>
      </c>
      <c r="I148" s="2" t="s">
        <v>76</v>
      </c>
      <c r="J148" s="5">
        <v>1998</v>
      </c>
      <c r="K148" s="5">
        <v>9</v>
      </c>
      <c r="L148" s="5"/>
      <c r="M148" s="5"/>
      <c r="N148" s="6">
        <v>1000</v>
      </c>
      <c r="O148" s="6">
        <v>3</v>
      </c>
      <c r="P148" s="5"/>
      <c r="Q148" s="5"/>
      <c r="R148" s="5"/>
      <c r="S148" s="5"/>
      <c r="T148" s="6">
        <v>36</v>
      </c>
      <c r="Y148" s="6">
        <v>5.04</v>
      </c>
      <c r="AE148" s="6">
        <v>873</v>
      </c>
      <c r="AG148" s="6">
        <v>1.9548777392524279</v>
      </c>
      <c r="AI148" s="6">
        <v>0.54625661650032387</v>
      </c>
      <c r="AM148" s="6">
        <v>3.5839425219627845</v>
      </c>
      <c r="AT148" s="3">
        <v>47.75</v>
      </c>
      <c r="AU148" s="3" t="s">
        <v>880</v>
      </c>
      <c r="AW148" s="10" t="s">
        <v>371</v>
      </c>
    </row>
    <row r="149" spans="1:49" s="6" customFormat="1" x14ac:dyDescent="0.15">
      <c r="A149" s="2">
        <v>148</v>
      </c>
      <c r="B149" s="2" t="s">
        <v>341</v>
      </c>
      <c r="C149" s="2" t="s">
        <v>342</v>
      </c>
      <c r="D149" s="2" t="s">
        <v>340</v>
      </c>
      <c r="E149" s="2" t="s">
        <v>39</v>
      </c>
      <c r="F149" s="2"/>
      <c r="G149" s="2"/>
      <c r="H149" s="2" t="s">
        <v>60</v>
      </c>
      <c r="I149" s="2" t="s">
        <v>76</v>
      </c>
      <c r="J149" s="5">
        <v>1998</v>
      </c>
      <c r="K149" s="5">
        <v>9</v>
      </c>
      <c r="L149" s="5"/>
      <c r="M149" s="5"/>
      <c r="N149" s="6">
        <v>1000</v>
      </c>
      <c r="O149" s="6">
        <v>3</v>
      </c>
      <c r="P149" s="5"/>
      <c r="Q149" s="5"/>
      <c r="R149" s="5"/>
      <c r="S149" s="5"/>
      <c r="T149" s="6">
        <v>57</v>
      </c>
      <c r="Y149" s="6">
        <v>24.53</v>
      </c>
      <c r="AE149" s="6">
        <v>1507</v>
      </c>
      <c r="AG149" s="6">
        <v>2.3292160297475735</v>
      </c>
      <c r="AI149" s="6">
        <v>0.4949584063213594</v>
      </c>
      <c r="AM149" s="6">
        <v>5.3031257820145656</v>
      </c>
      <c r="AT149" s="3">
        <v>47.75</v>
      </c>
      <c r="AU149" s="3" t="s">
        <v>880</v>
      </c>
      <c r="AW149" s="10" t="s">
        <v>371</v>
      </c>
    </row>
    <row r="150" spans="1:49" s="6" customFormat="1" x14ac:dyDescent="0.15">
      <c r="A150" s="2">
        <v>149</v>
      </c>
      <c r="B150" s="2" t="s">
        <v>341</v>
      </c>
      <c r="C150" s="2" t="s">
        <v>342</v>
      </c>
      <c r="D150" s="2" t="s">
        <v>340</v>
      </c>
      <c r="E150" s="2" t="s">
        <v>39</v>
      </c>
      <c r="F150" s="2"/>
      <c r="G150" s="2"/>
      <c r="H150" s="2" t="s">
        <v>60</v>
      </c>
      <c r="I150" s="2" t="s">
        <v>76</v>
      </c>
      <c r="J150" s="5">
        <v>1998</v>
      </c>
      <c r="K150" s="5">
        <v>9</v>
      </c>
      <c r="L150" s="5"/>
      <c r="M150" s="5"/>
      <c r="N150" s="6">
        <v>1000</v>
      </c>
      <c r="O150" s="6">
        <v>3</v>
      </c>
      <c r="P150" s="5"/>
      <c r="Q150" s="5"/>
      <c r="R150" s="5"/>
      <c r="S150" s="5"/>
      <c r="T150" s="6">
        <v>76</v>
      </c>
      <c r="Y150" s="6">
        <v>27.67</v>
      </c>
      <c r="AE150" s="6">
        <v>4043</v>
      </c>
      <c r="AG150" s="6">
        <v>2.1420468845000009</v>
      </c>
      <c r="AI150" s="6">
        <v>0.50604991122491927</v>
      </c>
      <c r="AM150" s="6">
        <v>6.2597680799466042</v>
      </c>
      <c r="AT150" s="3">
        <v>47.75</v>
      </c>
      <c r="AU150" s="3" t="s">
        <v>880</v>
      </c>
      <c r="AW150" s="10" t="s">
        <v>371</v>
      </c>
    </row>
    <row r="151" spans="1:49" s="6" customFormat="1" x14ac:dyDescent="0.15">
      <c r="A151" s="2">
        <v>150</v>
      </c>
      <c r="B151" s="2" t="s">
        <v>341</v>
      </c>
      <c r="C151" s="2" t="s">
        <v>342</v>
      </c>
      <c r="D151" s="2" t="s">
        <v>340</v>
      </c>
      <c r="E151" s="2" t="s">
        <v>39</v>
      </c>
      <c r="F151" s="2"/>
      <c r="G151" s="2"/>
      <c r="H151" s="2" t="s">
        <v>60</v>
      </c>
      <c r="I151" s="2" t="s">
        <v>76</v>
      </c>
      <c r="J151" s="5">
        <v>1998</v>
      </c>
      <c r="K151" s="5">
        <v>9</v>
      </c>
      <c r="L151" s="5"/>
      <c r="M151" s="5"/>
      <c r="N151" s="6">
        <v>1000</v>
      </c>
      <c r="O151" s="6">
        <v>3</v>
      </c>
      <c r="P151" s="5"/>
      <c r="Q151" s="5"/>
      <c r="R151" s="5"/>
      <c r="S151" s="5"/>
      <c r="T151" s="6">
        <v>53</v>
      </c>
      <c r="Y151" s="6">
        <v>28.29</v>
      </c>
      <c r="AE151" s="6">
        <v>1090</v>
      </c>
      <c r="AG151" s="6">
        <v>2.0103352637702274</v>
      </c>
      <c r="AI151" s="6">
        <v>0.57675825498511346</v>
      </c>
      <c r="AM151" s="6">
        <v>5.1575497801553425</v>
      </c>
      <c r="AT151" s="3">
        <v>47.75</v>
      </c>
      <c r="AU151" s="3" t="s">
        <v>880</v>
      </c>
      <c r="AW151" s="10" t="s">
        <v>371</v>
      </c>
    </row>
    <row r="152" spans="1:49" s="14" customFormat="1" x14ac:dyDescent="0.15">
      <c r="A152" s="2">
        <v>151</v>
      </c>
      <c r="B152" s="2" t="s">
        <v>341</v>
      </c>
      <c r="C152" s="2" t="s">
        <v>342</v>
      </c>
      <c r="D152" s="2" t="s">
        <v>340</v>
      </c>
      <c r="E152" s="2" t="s">
        <v>39</v>
      </c>
      <c r="F152" s="2"/>
      <c r="G152" s="2"/>
      <c r="H152" s="2" t="s">
        <v>60</v>
      </c>
      <c r="I152" s="2" t="s">
        <v>76</v>
      </c>
      <c r="J152" s="5">
        <v>1994</v>
      </c>
      <c r="K152" s="5">
        <v>4</v>
      </c>
      <c r="L152" s="5"/>
      <c r="M152" s="5"/>
      <c r="N152" s="6">
        <v>1000</v>
      </c>
      <c r="O152" s="6">
        <v>3</v>
      </c>
      <c r="P152" s="13"/>
      <c r="Q152" s="13"/>
      <c r="R152" s="13"/>
      <c r="S152" s="13"/>
      <c r="Y152" s="14">
        <v>55.81</v>
      </c>
      <c r="AE152" s="14">
        <v>5620</v>
      </c>
      <c r="AG152" s="14">
        <v>1.7399798317459552</v>
      </c>
      <c r="AI152" s="14">
        <v>0.41177211954466036</v>
      </c>
      <c r="AM152" s="14">
        <v>5.3793798782265396</v>
      </c>
      <c r="AT152" s="3">
        <v>47.75</v>
      </c>
      <c r="AU152" s="3" t="s">
        <v>880</v>
      </c>
      <c r="AW152" s="10" t="s">
        <v>371</v>
      </c>
    </row>
    <row r="153" spans="1:49" s="14" customFormat="1" x14ac:dyDescent="0.15">
      <c r="A153" s="2">
        <v>152</v>
      </c>
      <c r="B153" s="2" t="s">
        <v>341</v>
      </c>
      <c r="C153" s="2" t="s">
        <v>342</v>
      </c>
      <c r="D153" s="2" t="s">
        <v>340</v>
      </c>
      <c r="E153" s="2" t="s">
        <v>39</v>
      </c>
      <c r="F153" s="2"/>
      <c r="G153" s="2"/>
      <c r="H153" s="2" t="s">
        <v>60</v>
      </c>
      <c r="I153" s="2" t="s">
        <v>76</v>
      </c>
      <c r="J153" s="5">
        <v>1994</v>
      </c>
      <c r="K153" s="5">
        <v>4</v>
      </c>
      <c r="L153" s="5"/>
      <c r="M153" s="5"/>
      <c r="N153" s="6">
        <v>1000</v>
      </c>
      <c r="O153" s="6">
        <v>3</v>
      </c>
      <c r="P153" s="13"/>
      <c r="Q153" s="13"/>
      <c r="R153" s="13"/>
      <c r="S153" s="13"/>
      <c r="Y153" s="14">
        <v>268.94</v>
      </c>
      <c r="AE153" s="14">
        <v>5150</v>
      </c>
      <c r="AG153" s="14">
        <v>1.7469120223106804</v>
      </c>
      <c r="AI153" s="14">
        <v>0.42078396727880274</v>
      </c>
      <c r="AM153" s="14">
        <v>5.0258381594255681</v>
      </c>
      <c r="AT153" s="3">
        <v>47.75</v>
      </c>
      <c r="AU153" s="3" t="s">
        <v>880</v>
      </c>
      <c r="AW153" s="10" t="s">
        <v>371</v>
      </c>
    </row>
    <row r="154" spans="1:49" s="14" customFormat="1" x14ac:dyDescent="0.15">
      <c r="A154" s="2">
        <v>153</v>
      </c>
      <c r="B154" s="2" t="s">
        <v>341</v>
      </c>
      <c r="C154" s="2" t="s">
        <v>342</v>
      </c>
      <c r="D154" s="2" t="s">
        <v>340</v>
      </c>
      <c r="E154" s="2" t="s">
        <v>39</v>
      </c>
      <c r="F154" s="2"/>
      <c r="G154" s="2"/>
      <c r="H154" s="2" t="s">
        <v>60</v>
      </c>
      <c r="I154" s="2" t="s">
        <v>76</v>
      </c>
      <c r="J154" s="5">
        <v>1994</v>
      </c>
      <c r="K154" s="5">
        <v>4</v>
      </c>
      <c r="L154" s="5"/>
      <c r="M154" s="5"/>
      <c r="N154" s="6">
        <v>1000</v>
      </c>
      <c r="O154" s="6">
        <v>3</v>
      </c>
      <c r="P154" s="13"/>
      <c r="Q154" s="13"/>
      <c r="R154" s="13"/>
      <c r="S154" s="13"/>
      <c r="Y154" s="14">
        <v>27.95</v>
      </c>
      <c r="AE154" s="14">
        <v>2113</v>
      </c>
      <c r="AG154" s="14">
        <v>2.3430804108770236</v>
      </c>
      <c r="AI154" s="14">
        <v>0.56150743574271866</v>
      </c>
      <c r="AM154" s="14">
        <v>5.7953113121100346</v>
      </c>
      <c r="AT154" s="3">
        <v>47.75</v>
      </c>
      <c r="AU154" s="3" t="s">
        <v>880</v>
      </c>
      <c r="AW154" s="10" t="s">
        <v>371</v>
      </c>
    </row>
    <row r="155" spans="1:49" s="14" customFormat="1" x14ac:dyDescent="0.15">
      <c r="A155" s="2">
        <v>154</v>
      </c>
      <c r="B155" s="2" t="s">
        <v>341</v>
      </c>
      <c r="C155" s="2" t="s">
        <v>342</v>
      </c>
      <c r="D155" s="2" t="s">
        <v>340</v>
      </c>
      <c r="E155" s="2" t="s">
        <v>39</v>
      </c>
      <c r="F155" s="2"/>
      <c r="G155" s="2"/>
      <c r="H155" s="2" t="s">
        <v>60</v>
      </c>
      <c r="I155" s="2" t="s">
        <v>76</v>
      </c>
      <c r="J155" s="5">
        <v>1994</v>
      </c>
      <c r="K155" s="5">
        <v>4</v>
      </c>
      <c r="L155" s="5"/>
      <c r="M155" s="5"/>
      <c r="N155" s="6">
        <v>1000</v>
      </c>
      <c r="O155" s="6">
        <v>3</v>
      </c>
      <c r="P155" s="13"/>
      <c r="Q155" s="13"/>
      <c r="R155" s="13"/>
      <c r="S155" s="13"/>
      <c r="Y155" s="14">
        <v>13.43</v>
      </c>
      <c r="AE155" s="14">
        <v>2163</v>
      </c>
      <c r="AG155" s="14">
        <v>1.7191832600517807</v>
      </c>
      <c r="AI155" s="14">
        <v>0.4540584819894824</v>
      </c>
      <c r="AM155" s="14">
        <v>3.8820267162459561</v>
      </c>
      <c r="AT155" s="3">
        <v>47.75</v>
      </c>
      <c r="AU155" s="3" t="s">
        <v>880</v>
      </c>
      <c r="AW155" s="10" t="s">
        <v>371</v>
      </c>
    </row>
    <row r="156" spans="1:49" s="14" customFormat="1" x14ac:dyDescent="0.15">
      <c r="A156" s="2">
        <v>155</v>
      </c>
      <c r="B156" s="2" t="s">
        <v>341</v>
      </c>
      <c r="C156" s="2" t="s">
        <v>342</v>
      </c>
      <c r="D156" s="2" t="s">
        <v>340</v>
      </c>
      <c r="E156" s="2" t="s">
        <v>39</v>
      </c>
      <c r="F156" s="2"/>
      <c r="G156" s="2"/>
      <c r="H156" s="2" t="s">
        <v>60</v>
      </c>
      <c r="I156" s="2" t="s">
        <v>76</v>
      </c>
      <c r="J156" s="5">
        <v>1994</v>
      </c>
      <c r="K156" s="5">
        <v>4</v>
      </c>
      <c r="L156" s="5"/>
      <c r="M156" s="5"/>
      <c r="N156" s="6">
        <v>1000</v>
      </c>
      <c r="O156" s="6">
        <v>3</v>
      </c>
      <c r="P156" s="13"/>
      <c r="Q156" s="13"/>
      <c r="R156" s="13"/>
      <c r="S156" s="13"/>
      <c r="Y156" s="14">
        <v>7.4</v>
      </c>
      <c r="AE156" s="14">
        <v>3353</v>
      </c>
      <c r="AG156" s="14">
        <v>2.2183009807119753</v>
      </c>
      <c r="AI156" s="14">
        <v>0.52199394952378664</v>
      </c>
      <c r="AM156" s="14">
        <v>5.8923619800161839</v>
      </c>
      <c r="AT156" s="3">
        <v>47.75</v>
      </c>
      <c r="AU156" s="3" t="s">
        <v>880</v>
      </c>
      <c r="AW156" s="10" t="s">
        <v>371</v>
      </c>
    </row>
    <row r="157" spans="1:49" s="14" customFormat="1" x14ac:dyDescent="0.15">
      <c r="A157" s="2">
        <v>156</v>
      </c>
      <c r="B157" s="2" t="s">
        <v>341</v>
      </c>
      <c r="C157" s="2" t="s">
        <v>342</v>
      </c>
      <c r="D157" s="2" t="s">
        <v>340</v>
      </c>
      <c r="E157" s="2" t="s">
        <v>39</v>
      </c>
      <c r="F157" s="2"/>
      <c r="G157" s="2"/>
      <c r="H157" s="2" t="s">
        <v>60</v>
      </c>
      <c r="I157" s="2" t="s">
        <v>76</v>
      </c>
      <c r="J157" s="5">
        <v>1994</v>
      </c>
      <c r="K157" s="5">
        <v>4</v>
      </c>
      <c r="L157" s="5"/>
      <c r="M157" s="5"/>
      <c r="N157" s="6">
        <v>1000</v>
      </c>
      <c r="O157" s="6">
        <v>3</v>
      </c>
      <c r="P157" s="13"/>
      <c r="Q157" s="13"/>
      <c r="R157" s="13"/>
      <c r="S157" s="13"/>
      <c r="Y157" s="14">
        <v>20.2</v>
      </c>
      <c r="AE157" s="14">
        <v>1920</v>
      </c>
      <c r="AG157" s="14">
        <v>2.4817242221715219</v>
      </c>
      <c r="AI157" s="14">
        <v>0.58161078838042091</v>
      </c>
      <c r="AM157" s="14">
        <v>6.4192084629352779</v>
      </c>
      <c r="AT157" s="3">
        <v>47.75</v>
      </c>
      <c r="AU157" s="3" t="s">
        <v>880</v>
      </c>
      <c r="AW157" s="10" t="s">
        <v>371</v>
      </c>
    </row>
    <row r="158" spans="1:49" s="14" customFormat="1" x14ac:dyDescent="0.15">
      <c r="A158" s="2">
        <v>157</v>
      </c>
      <c r="B158" s="2" t="s">
        <v>341</v>
      </c>
      <c r="C158" s="2" t="s">
        <v>342</v>
      </c>
      <c r="D158" s="2" t="s">
        <v>340</v>
      </c>
      <c r="E158" s="2" t="s">
        <v>39</v>
      </c>
      <c r="F158" s="2"/>
      <c r="G158" s="2"/>
      <c r="H158" s="2" t="s">
        <v>60</v>
      </c>
      <c r="I158" s="2" t="s">
        <v>76</v>
      </c>
      <c r="J158" s="5">
        <v>1994</v>
      </c>
      <c r="K158" s="5">
        <v>4</v>
      </c>
      <c r="L158" s="5"/>
      <c r="M158" s="5"/>
      <c r="N158" s="6">
        <v>1000</v>
      </c>
      <c r="O158" s="6">
        <v>3</v>
      </c>
      <c r="P158" s="13"/>
      <c r="Q158" s="13"/>
      <c r="R158" s="13"/>
      <c r="S158" s="13"/>
      <c r="Y158" s="14">
        <v>40.71</v>
      </c>
      <c r="AE158" s="14">
        <v>610</v>
      </c>
      <c r="AG158" s="14">
        <v>2.308419458053399</v>
      </c>
      <c r="AI158" s="14">
        <v>0.61765817931699052</v>
      </c>
      <c r="AM158" s="14">
        <v>6.5093269402767024</v>
      </c>
      <c r="AT158" s="3">
        <v>47.75</v>
      </c>
      <c r="AU158" s="3" t="s">
        <v>880</v>
      </c>
      <c r="AW158" s="10" t="s">
        <v>371</v>
      </c>
    </row>
    <row r="159" spans="1:49" s="14" customFormat="1" x14ac:dyDescent="0.15">
      <c r="A159" s="2">
        <v>158</v>
      </c>
      <c r="B159" s="2" t="s">
        <v>341</v>
      </c>
      <c r="C159" s="2" t="s">
        <v>342</v>
      </c>
      <c r="D159" s="2" t="s">
        <v>340</v>
      </c>
      <c r="E159" s="2" t="s">
        <v>39</v>
      </c>
      <c r="F159" s="2"/>
      <c r="G159" s="2"/>
      <c r="H159" s="2" t="s">
        <v>60</v>
      </c>
      <c r="I159" s="2" t="s">
        <v>76</v>
      </c>
      <c r="J159" s="5">
        <v>1994</v>
      </c>
      <c r="K159" s="5">
        <v>4</v>
      </c>
      <c r="L159" s="5"/>
      <c r="M159" s="5"/>
      <c r="N159" s="6">
        <v>1000</v>
      </c>
      <c r="O159" s="6">
        <v>3</v>
      </c>
      <c r="P159" s="13"/>
      <c r="Q159" s="13"/>
      <c r="R159" s="13"/>
      <c r="S159" s="13"/>
      <c r="Y159" s="14">
        <v>58.4</v>
      </c>
      <c r="AE159" s="14">
        <v>1780</v>
      </c>
      <c r="AG159" s="14">
        <v>2.0935215505469262</v>
      </c>
      <c r="AI159" s="14">
        <v>0.51090244462022671</v>
      </c>
      <c r="AM159" s="14">
        <v>5.4625661650032384</v>
      </c>
      <c r="AT159" s="3">
        <v>47.75</v>
      </c>
      <c r="AU159" s="3" t="s">
        <v>880</v>
      </c>
      <c r="AW159" s="10" t="s">
        <v>371</v>
      </c>
    </row>
    <row r="160" spans="1:49" s="14" customFormat="1" x14ac:dyDescent="0.15">
      <c r="A160" s="2">
        <v>159</v>
      </c>
      <c r="B160" s="2" t="s">
        <v>341</v>
      </c>
      <c r="C160" s="2" t="s">
        <v>342</v>
      </c>
      <c r="D160" s="2" t="s">
        <v>340</v>
      </c>
      <c r="E160" s="2" t="s">
        <v>39</v>
      </c>
      <c r="F160" s="2"/>
      <c r="G160" s="2"/>
      <c r="H160" s="2" t="s">
        <v>60</v>
      </c>
      <c r="I160" s="2" t="s">
        <v>76</v>
      </c>
      <c r="J160" s="5">
        <v>1994</v>
      </c>
      <c r="K160" s="5">
        <v>4</v>
      </c>
      <c r="L160" s="5"/>
      <c r="M160" s="5"/>
      <c r="N160" s="6">
        <v>1000</v>
      </c>
      <c r="O160" s="6">
        <v>3</v>
      </c>
      <c r="P160" s="13"/>
      <c r="Q160" s="13"/>
      <c r="R160" s="13"/>
      <c r="S160" s="13"/>
      <c r="Y160" s="14">
        <v>12.13</v>
      </c>
      <c r="AE160" s="14">
        <v>4300</v>
      </c>
      <c r="AG160" s="14">
        <v>2.0034030732055026</v>
      </c>
      <c r="AI160" s="14">
        <v>0.47832114896601957</v>
      </c>
      <c r="AM160" s="14">
        <v>5.3863120687912645</v>
      </c>
      <c r="AT160" s="3">
        <v>47.75</v>
      </c>
      <c r="AU160" s="3" t="s">
        <v>880</v>
      </c>
      <c r="AW160" s="10" t="s">
        <v>371</v>
      </c>
    </row>
    <row r="161" spans="1:49" s="14" customFormat="1" x14ac:dyDescent="0.15">
      <c r="A161" s="2">
        <v>160</v>
      </c>
      <c r="B161" s="2" t="s">
        <v>341</v>
      </c>
      <c r="C161" s="2" t="s">
        <v>342</v>
      </c>
      <c r="D161" s="2" t="s">
        <v>340</v>
      </c>
      <c r="E161" s="2" t="s">
        <v>39</v>
      </c>
      <c r="F161" s="2"/>
      <c r="G161" s="2"/>
      <c r="H161" s="2" t="s">
        <v>60</v>
      </c>
      <c r="I161" s="2" t="s">
        <v>76</v>
      </c>
      <c r="J161" s="5">
        <v>1994</v>
      </c>
      <c r="K161" s="5">
        <v>4</v>
      </c>
      <c r="L161" s="5"/>
      <c r="M161" s="5"/>
      <c r="N161" s="6">
        <v>1000</v>
      </c>
      <c r="O161" s="6">
        <v>3</v>
      </c>
      <c r="P161" s="13"/>
      <c r="Q161" s="13"/>
      <c r="R161" s="13"/>
      <c r="S161" s="13"/>
      <c r="Y161" s="14">
        <v>19.989999999999998</v>
      </c>
      <c r="AE161" s="14">
        <v>5603</v>
      </c>
      <c r="AG161" s="14">
        <v>2.1073859316763763</v>
      </c>
      <c r="AI161" s="14">
        <v>0.4949584063213594</v>
      </c>
      <c r="AM161" s="14">
        <v>5.5388202612152124</v>
      </c>
      <c r="AT161" s="3">
        <v>47.75</v>
      </c>
      <c r="AU161" s="3" t="s">
        <v>880</v>
      </c>
      <c r="AW161" s="10" t="s">
        <v>371</v>
      </c>
    </row>
    <row r="162" spans="1:49" s="14" customFormat="1" x14ac:dyDescent="0.15">
      <c r="A162" s="2">
        <v>161</v>
      </c>
      <c r="B162" s="2" t="s">
        <v>341</v>
      </c>
      <c r="C162" s="2" t="s">
        <v>342</v>
      </c>
      <c r="D162" s="2" t="s">
        <v>340</v>
      </c>
      <c r="E162" s="2" t="s">
        <v>39</v>
      </c>
      <c r="F162" s="2"/>
      <c r="G162" s="2"/>
      <c r="H162" s="2" t="s">
        <v>60</v>
      </c>
      <c r="I162" s="2" t="s">
        <v>76</v>
      </c>
      <c r="J162" s="5">
        <v>1994</v>
      </c>
      <c r="K162" s="5">
        <v>4</v>
      </c>
      <c r="L162" s="5"/>
      <c r="M162" s="5"/>
      <c r="N162" s="6">
        <v>1000</v>
      </c>
      <c r="O162" s="6">
        <v>3</v>
      </c>
      <c r="P162" s="13"/>
      <c r="Q162" s="13"/>
      <c r="R162" s="13"/>
      <c r="S162" s="13"/>
      <c r="Y162" s="14">
        <v>96.99</v>
      </c>
      <c r="AE162" s="14">
        <v>1697</v>
      </c>
      <c r="AG162" s="14">
        <v>2.0311318354644023</v>
      </c>
      <c r="AI162" s="14">
        <v>0.52753970197556654</v>
      </c>
      <c r="AM162" s="14">
        <v>4.2910259595647267</v>
      </c>
      <c r="AT162" s="3">
        <v>47.75</v>
      </c>
      <c r="AU162" s="3" t="s">
        <v>880</v>
      </c>
      <c r="AW162" s="10" t="s">
        <v>371</v>
      </c>
    </row>
    <row r="163" spans="1:49" s="14" customFormat="1" x14ac:dyDescent="0.15">
      <c r="A163" s="2">
        <v>162</v>
      </c>
      <c r="B163" s="2" t="s">
        <v>341</v>
      </c>
      <c r="C163" s="2" t="s">
        <v>342</v>
      </c>
      <c r="D163" s="2" t="s">
        <v>340</v>
      </c>
      <c r="E163" s="2" t="s">
        <v>39</v>
      </c>
      <c r="F163" s="2"/>
      <c r="G163" s="2"/>
      <c r="H163" s="2" t="s">
        <v>60</v>
      </c>
      <c r="I163" s="2" t="s">
        <v>76</v>
      </c>
      <c r="J163" s="5">
        <v>1994</v>
      </c>
      <c r="K163" s="5">
        <v>4</v>
      </c>
      <c r="L163" s="5"/>
      <c r="M163" s="5"/>
      <c r="N163" s="6">
        <v>1000</v>
      </c>
      <c r="O163" s="6">
        <v>3</v>
      </c>
      <c r="P163" s="13"/>
      <c r="Q163" s="13"/>
      <c r="R163" s="13"/>
      <c r="S163" s="13"/>
      <c r="Y163" s="14">
        <v>17.86</v>
      </c>
      <c r="AE163" s="14">
        <v>2173</v>
      </c>
      <c r="AG163" s="14">
        <v>1.7815729751343048</v>
      </c>
      <c r="AI163" s="14">
        <v>0.45267204387653742</v>
      </c>
      <c r="AM163" s="14">
        <v>4.5128560576359238</v>
      </c>
      <c r="AT163" s="3">
        <v>47.75</v>
      </c>
      <c r="AU163" s="3" t="s">
        <v>880</v>
      </c>
      <c r="AW163" s="10" t="s">
        <v>371</v>
      </c>
    </row>
    <row r="164" spans="1:49" s="14" customFormat="1" x14ac:dyDescent="0.15">
      <c r="A164" s="2">
        <v>163</v>
      </c>
      <c r="B164" s="2" t="s">
        <v>341</v>
      </c>
      <c r="C164" s="2" t="s">
        <v>342</v>
      </c>
      <c r="D164" s="2" t="s">
        <v>340</v>
      </c>
      <c r="E164" s="2" t="s">
        <v>39</v>
      </c>
      <c r="F164" s="2"/>
      <c r="G164" s="2"/>
      <c r="H164" s="2" t="s">
        <v>60</v>
      </c>
      <c r="I164" s="2" t="s">
        <v>76</v>
      </c>
      <c r="J164" s="5">
        <v>1994</v>
      </c>
      <c r="K164" s="5">
        <v>4</v>
      </c>
      <c r="L164" s="5"/>
      <c r="M164" s="5"/>
      <c r="N164" s="6">
        <v>1000</v>
      </c>
      <c r="O164" s="6">
        <v>3</v>
      </c>
      <c r="P164" s="13"/>
      <c r="Q164" s="13"/>
      <c r="R164" s="13"/>
      <c r="S164" s="13"/>
      <c r="Y164" s="14">
        <v>24.33</v>
      </c>
      <c r="AE164" s="14">
        <v>1447</v>
      </c>
      <c r="AG164" s="14">
        <v>1.8162339279579296</v>
      </c>
      <c r="AI164" s="14">
        <v>0.47762792990954706</v>
      </c>
      <c r="AM164" s="14">
        <v>4.1939752916585773</v>
      </c>
      <c r="AT164" s="3">
        <v>47.75</v>
      </c>
      <c r="AU164" s="3" t="s">
        <v>880</v>
      </c>
      <c r="AW164" s="10" t="s">
        <v>371</v>
      </c>
    </row>
    <row r="165" spans="1:49" s="14" customFormat="1" x14ac:dyDescent="0.15">
      <c r="A165" s="2">
        <v>164</v>
      </c>
      <c r="B165" s="2" t="s">
        <v>341</v>
      </c>
      <c r="C165" s="2" t="s">
        <v>342</v>
      </c>
      <c r="D165" s="2" t="s">
        <v>340</v>
      </c>
      <c r="E165" s="2" t="s">
        <v>39</v>
      </c>
      <c r="F165" s="2"/>
      <c r="G165" s="2"/>
      <c r="H165" s="2" t="s">
        <v>60</v>
      </c>
      <c r="I165" s="2" t="s">
        <v>76</v>
      </c>
      <c r="J165" s="5">
        <v>1994</v>
      </c>
      <c r="K165" s="5">
        <v>4</v>
      </c>
      <c r="L165" s="5"/>
      <c r="M165" s="5"/>
      <c r="N165" s="6">
        <v>1000</v>
      </c>
      <c r="O165" s="6">
        <v>3</v>
      </c>
      <c r="P165" s="13"/>
      <c r="Q165" s="13"/>
      <c r="R165" s="13"/>
      <c r="S165" s="13"/>
      <c r="Y165" s="14">
        <v>2.98</v>
      </c>
      <c r="AE165" s="14">
        <v>660</v>
      </c>
      <c r="AG165" s="14">
        <v>2.2945550769239493</v>
      </c>
      <c r="AI165" s="14">
        <v>0.62597680799466049</v>
      </c>
      <c r="AM165" s="14">
        <v>4.055331480364079</v>
      </c>
      <c r="AT165" s="3">
        <v>47.75</v>
      </c>
      <c r="AU165" s="3" t="s">
        <v>880</v>
      </c>
      <c r="AW165" s="10" t="s">
        <v>371</v>
      </c>
    </row>
    <row r="166" spans="1:49" s="14" customFormat="1" x14ac:dyDescent="0.15">
      <c r="A166" s="2">
        <v>165</v>
      </c>
      <c r="B166" s="2" t="s">
        <v>341</v>
      </c>
      <c r="C166" s="2" t="s">
        <v>342</v>
      </c>
      <c r="D166" s="2" t="s">
        <v>340</v>
      </c>
      <c r="E166" s="2" t="s">
        <v>39</v>
      </c>
      <c r="F166" s="2"/>
      <c r="G166" s="2"/>
      <c r="H166" s="2" t="s">
        <v>60</v>
      </c>
      <c r="I166" s="2" t="s">
        <v>76</v>
      </c>
      <c r="J166" s="5">
        <v>1994</v>
      </c>
      <c r="K166" s="5">
        <v>4</v>
      </c>
      <c r="L166" s="5"/>
      <c r="M166" s="5"/>
      <c r="N166" s="6">
        <v>1000</v>
      </c>
      <c r="O166" s="6">
        <v>3</v>
      </c>
      <c r="P166" s="13"/>
      <c r="Q166" s="13"/>
      <c r="R166" s="13"/>
      <c r="S166" s="13"/>
      <c r="Y166" s="14">
        <v>4.38</v>
      </c>
      <c r="AE166" s="14">
        <v>1213</v>
      </c>
      <c r="AG166" s="14">
        <v>2.1073859316763763</v>
      </c>
      <c r="AI166" s="14">
        <v>0.55388202612152126</v>
      </c>
      <c r="AM166" s="14">
        <v>4.2979581501294515</v>
      </c>
      <c r="AT166" s="3">
        <v>47.75</v>
      </c>
      <c r="AU166" s="3" t="s">
        <v>880</v>
      </c>
      <c r="AW166" s="10" t="s">
        <v>371</v>
      </c>
    </row>
    <row r="167" spans="1:49" s="14" customFormat="1" x14ac:dyDescent="0.15">
      <c r="A167" s="2">
        <v>166</v>
      </c>
      <c r="B167" s="2" t="s">
        <v>341</v>
      </c>
      <c r="C167" s="2" t="s">
        <v>342</v>
      </c>
      <c r="D167" s="2" t="s">
        <v>340</v>
      </c>
      <c r="E167" s="2" t="s">
        <v>39</v>
      </c>
      <c r="F167" s="2"/>
      <c r="G167" s="2"/>
      <c r="H167" s="2" t="s">
        <v>60</v>
      </c>
      <c r="I167" s="2" t="s">
        <v>76</v>
      </c>
      <c r="J167" s="5">
        <v>1994</v>
      </c>
      <c r="K167" s="5">
        <v>4</v>
      </c>
      <c r="L167" s="5"/>
      <c r="M167" s="5"/>
      <c r="N167" s="6">
        <v>1000</v>
      </c>
      <c r="O167" s="6">
        <v>3</v>
      </c>
      <c r="P167" s="13"/>
      <c r="Q167" s="13"/>
      <c r="R167" s="13"/>
      <c r="S167" s="13"/>
      <c r="Y167" s="14">
        <v>37.229999999999997</v>
      </c>
      <c r="AE167" s="14">
        <v>3930</v>
      </c>
      <c r="AG167" s="14">
        <v>2.3361482203122987</v>
      </c>
      <c r="AI167" s="14">
        <v>0.53100579725792907</v>
      </c>
      <c r="AM167" s="14">
        <v>6.7866145628656982</v>
      </c>
      <c r="AT167" s="3">
        <v>47.75</v>
      </c>
      <c r="AU167" s="3" t="s">
        <v>880</v>
      </c>
      <c r="AW167" s="10" t="s">
        <v>371</v>
      </c>
    </row>
    <row r="168" spans="1:49" s="14" customFormat="1" x14ac:dyDescent="0.15">
      <c r="A168" s="2">
        <v>167</v>
      </c>
      <c r="B168" s="2" t="s">
        <v>341</v>
      </c>
      <c r="C168" s="2" t="s">
        <v>342</v>
      </c>
      <c r="D168" s="2" t="s">
        <v>340</v>
      </c>
      <c r="E168" s="2" t="s">
        <v>39</v>
      </c>
      <c r="F168" s="2"/>
      <c r="G168" s="2"/>
      <c r="H168" s="2" t="s">
        <v>60</v>
      </c>
      <c r="I168" s="2" t="s">
        <v>76</v>
      </c>
      <c r="J168" s="5">
        <v>1994</v>
      </c>
      <c r="K168" s="5">
        <v>4</v>
      </c>
      <c r="L168" s="5"/>
      <c r="M168" s="5"/>
      <c r="N168" s="6">
        <v>1000</v>
      </c>
      <c r="O168" s="6">
        <v>3</v>
      </c>
      <c r="P168" s="13"/>
      <c r="Q168" s="13"/>
      <c r="R168" s="13"/>
      <c r="S168" s="13"/>
      <c r="Y168" s="14">
        <v>11.11</v>
      </c>
      <c r="AE168" s="14">
        <v>943</v>
      </c>
      <c r="AG168" s="14">
        <v>2.1143181222411012</v>
      </c>
      <c r="AI168" s="14">
        <v>0.58507688366278343</v>
      </c>
      <c r="AM168" s="14">
        <v>3.639400046480584</v>
      </c>
      <c r="AT168" s="3">
        <v>47.75</v>
      </c>
      <c r="AU168" s="3" t="s">
        <v>880</v>
      </c>
      <c r="AW168" s="10" t="s">
        <v>371</v>
      </c>
    </row>
    <row r="169" spans="1:49" s="14" customFormat="1" x14ac:dyDescent="0.15">
      <c r="A169" s="2">
        <v>168</v>
      </c>
      <c r="B169" s="2" t="s">
        <v>341</v>
      </c>
      <c r="C169" s="2" t="s">
        <v>342</v>
      </c>
      <c r="D169" s="2" t="s">
        <v>340</v>
      </c>
      <c r="E169" s="2" t="s">
        <v>39</v>
      </c>
      <c r="F169" s="2"/>
      <c r="G169" s="2"/>
      <c r="H169" s="2" t="s">
        <v>60</v>
      </c>
      <c r="I169" s="2" t="s">
        <v>76</v>
      </c>
      <c r="J169" s="5">
        <v>1994</v>
      </c>
      <c r="K169" s="5">
        <v>4</v>
      </c>
      <c r="L169" s="5"/>
      <c r="M169" s="5"/>
      <c r="N169" s="6">
        <v>1000</v>
      </c>
      <c r="O169" s="6">
        <v>3</v>
      </c>
      <c r="P169" s="13"/>
      <c r="Q169" s="13"/>
      <c r="R169" s="13"/>
      <c r="S169" s="13"/>
      <c r="Y169" s="14">
        <v>72.05</v>
      </c>
      <c r="AE169" s="14">
        <v>2297</v>
      </c>
      <c r="AG169" s="14">
        <v>2.2945550769239493</v>
      </c>
      <c r="AI169" s="14">
        <v>0.56566675008155354</v>
      </c>
      <c r="AM169" s="14">
        <v>5.1090244462022678</v>
      </c>
      <c r="AT169" s="3">
        <v>47.75</v>
      </c>
      <c r="AU169" s="3" t="s">
        <v>880</v>
      </c>
      <c r="AW169" s="10" t="s">
        <v>371</v>
      </c>
    </row>
    <row r="170" spans="1:49" s="14" customFormat="1" x14ac:dyDescent="0.15">
      <c r="A170" s="2">
        <v>169</v>
      </c>
      <c r="B170" s="2" t="s">
        <v>341</v>
      </c>
      <c r="C170" s="2" t="s">
        <v>342</v>
      </c>
      <c r="D170" s="2" t="s">
        <v>340</v>
      </c>
      <c r="E170" s="2" t="s">
        <v>39</v>
      </c>
      <c r="F170" s="2"/>
      <c r="G170" s="2"/>
      <c r="H170" s="2" t="s">
        <v>60</v>
      </c>
      <c r="I170" s="2" t="s">
        <v>76</v>
      </c>
      <c r="J170" s="5">
        <v>1994</v>
      </c>
      <c r="K170" s="5">
        <v>4</v>
      </c>
      <c r="L170" s="5"/>
      <c r="M170" s="5"/>
      <c r="N170" s="6">
        <v>1000</v>
      </c>
      <c r="O170" s="6">
        <v>3</v>
      </c>
      <c r="P170" s="13"/>
      <c r="Q170" s="13"/>
      <c r="R170" s="13"/>
      <c r="S170" s="13"/>
      <c r="Y170" s="14">
        <v>13.85</v>
      </c>
      <c r="AE170" s="14">
        <v>1790</v>
      </c>
      <c r="AG170" s="14">
        <v>2.3916057448300982</v>
      </c>
      <c r="AI170" s="14">
        <v>0.57051928347686109</v>
      </c>
      <c r="AM170" s="14">
        <v>6.0171414101812317</v>
      </c>
      <c r="AT170" s="3">
        <v>47.75</v>
      </c>
      <c r="AU170" s="3" t="s">
        <v>880</v>
      </c>
      <c r="AW170" s="10" t="s">
        <v>371</v>
      </c>
    </row>
    <row r="171" spans="1:49" s="14" customFormat="1" x14ac:dyDescent="0.15">
      <c r="A171" s="2">
        <v>170</v>
      </c>
      <c r="B171" s="2" t="s">
        <v>341</v>
      </c>
      <c r="C171" s="2" t="s">
        <v>342</v>
      </c>
      <c r="D171" s="2" t="s">
        <v>340</v>
      </c>
      <c r="E171" s="2" t="s">
        <v>39</v>
      </c>
      <c r="F171" s="2"/>
      <c r="G171" s="2"/>
      <c r="H171" s="2" t="s">
        <v>60</v>
      </c>
      <c r="I171" s="2" t="s">
        <v>76</v>
      </c>
      <c r="J171" s="5">
        <v>1994</v>
      </c>
      <c r="K171" s="5">
        <v>4</v>
      </c>
      <c r="L171" s="5"/>
      <c r="M171" s="5"/>
      <c r="N171" s="6">
        <v>1000</v>
      </c>
      <c r="O171" s="6">
        <v>3</v>
      </c>
      <c r="P171" s="13"/>
      <c r="Q171" s="13"/>
      <c r="R171" s="13"/>
      <c r="S171" s="13"/>
      <c r="Y171" s="14">
        <v>12.89</v>
      </c>
      <c r="AE171" s="14">
        <v>1047</v>
      </c>
      <c r="AG171" s="14">
        <v>2.3638769825711985</v>
      </c>
      <c r="AI171" s="14">
        <v>0.40553314803640789</v>
      </c>
      <c r="AM171" s="14">
        <v>5.1852785424142418</v>
      </c>
      <c r="AT171" s="3">
        <v>47.75</v>
      </c>
      <c r="AU171" s="3" t="s">
        <v>880</v>
      </c>
      <c r="AW171" s="10" t="s">
        <v>371</v>
      </c>
    </row>
    <row r="172" spans="1:49" x14ac:dyDescent="0.15">
      <c r="A172" s="2">
        <v>171</v>
      </c>
      <c r="B172" s="2" t="s">
        <v>345</v>
      </c>
      <c r="C172" s="2" t="s">
        <v>94</v>
      </c>
      <c r="D172" s="2" t="s">
        <v>294</v>
      </c>
      <c r="E172" s="2" t="s">
        <v>39</v>
      </c>
      <c r="H172" s="2" t="s">
        <v>60</v>
      </c>
      <c r="I172" s="2" t="s">
        <v>95</v>
      </c>
      <c r="J172" s="2">
        <v>2009</v>
      </c>
      <c r="K172" s="2">
        <v>11</v>
      </c>
      <c r="L172" s="2">
        <v>2010</v>
      </c>
      <c r="M172" s="2">
        <v>8</v>
      </c>
      <c r="N172" s="3">
        <v>2500</v>
      </c>
      <c r="O172" s="3">
        <v>5</v>
      </c>
      <c r="P172" s="2">
        <v>23</v>
      </c>
      <c r="Q172" s="2">
        <v>17</v>
      </c>
      <c r="R172" s="2">
        <v>28</v>
      </c>
      <c r="T172" s="3">
        <v>70</v>
      </c>
      <c r="U172" s="3">
        <v>10.8</v>
      </c>
      <c r="V172" s="3">
        <v>19.34</v>
      </c>
      <c r="W172" s="3">
        <v>1.81</v>
      </c>
      <c r="Y172" s="3">
        <v>32.659999999999997</v>
      </c>
      <c r="AA172" s="3">
        <v>651</v>
      </c>
      <c r="AB172" s="3">
        <v>35.83</v>
      </c>
      <c r="AC172" s="3">
        <v>385.33</v>
      </c>
      <c r="AE172" s="3">
        <v>1073.67</v>
      </c>
      <c r="AR172" s="3" t="s">
        <v>96</v>
      </c>
      <c r="AS172" s="4" t="s">
        <v>78</v>
      </c>
      <c r="AT172" s="3">
        <v>47.75</v>
      </c>
      <c r="AU172" s="3" t="s">
        <v>880</v>
      </c>
      <c r="AW172" s="10" t="s">
        <v>371</v>
      </c>
    </row>
    <row r="173" spans="1:49" x14ac:dyDescent="0.15">
      <c r="A173" s="2">
        <v>172</v>
      </c>
      <c r="B173" s="2" t="s">
        <v>345</v>
      </c>
      <c r="C173" s="2" t="s">
        <v>94</v>
      </c>
      <c r="D173" s="2" t="s">
        <v>294</v>
      </c>
      <c r="E173" s="2" t="s">
        <v>39</v>
      </c>
      <c r="H173" s="2" t="s">
        <v>60</v>
      </c>
      <c r="I173" s="2" t="s">
        <v>95</v>
      </c>
      <c r="J173" s="2">
        <v>2009</v>
      </c>
      <c r="K173" s="2">
        <v>11</v>
      </c>
      <c r="L173" s="2">
        <v>2010</v>
      </c>
      <c r="M173" s="2">
        <v>8</v>
      </c>
      <c r="N173" s="3">
        <v>2500</v>
      </c>
      <c r="O173" s="3">
        <v>5</v>
      </c>
      <c r="P173" s="2">
        <v>11</v>
      </c>
      <c r="Q173" s="2">
        <v>8</v>
      </c>
      <c r="R173" s="2">
        <v>14</v>
      </c>
      <c r="T173" s="3">
        <v>34</v>
      </c>
      <c r="U173" s="3">
        <v>1.63</v>
      </c>
      <c r="V173" s="3">
        <v>10.27</v>
      </c>
      <c r="W173" s="3">
        <v>0.62</v>
      </c>
      <c r="Y173" s="3">
        <v>12.62</v>
      </c>
      <c r="AA173" s="3">
        <v>24</v>
      </c>
      <c r="AB173" s="3">
        <v>11.17</v>
      </c>
      <c r="AC173" s="3">
        <v>44.86</v>
      </c>
      <c r="AE173" s="3">
        <v>80.17</v>
      </c>
      <c r="AR173" s="3" t="s">
        <v>96</v>
      </c>
      <c r="AS173" s="4" t="s">
        <v>78</v>
      </c>
      <c r="AT173" s="3">
        <v>47.75</v>
      </c>
      <c r="AU173" s="3" t="s">
        <v>880</v>
      </c>
      <c r="AW173" s="10" t="s">
        <v>371</v>
      </c>
    </row>
    <row r="174" spans="1:49" x14ac:dyDescent="0.15">
      <c r="A174" s="2">
        <v>173</v>
      </c>
      <c r="B174" s="2" t="s">
        <v>345</v>
      </c>
      <c r="C174" s="2" t="s">
        <v>94</v>
      </c>
      <c r="D174" s="2" t="s">
        <v>294</v>
      </c>
      <c r="E174" s="2" t="s">
        <v>39</v>
      </c>
      <c r="H174" s="2" t="s">
        <v>60</v>
      </c>
      <c r="I174" s="2" t="s">
        <v>95</v>
      </c>
      <c r="J174" s="2">
        <v>2009</v>
      </c>
      <c r="K174" s="2">
        <v>11</v>
      </c>
      <c r="L174" s="2">
        <v>2010</v>
      </c>
      <c r="M174" s="2">
        <v>8</v>
      </c>
      <c r="N174" s="3">
        <v>2500</v>
      </c>
      <c r="O174" s="3">
        <v>5</v>
      </c>
      <c r="P174" s="2">
        <v>14</v>
      </c>
      <c r="Q174" s="2">
        <v>8</v>
      </c>
      <c r="R174" s="2">
        <v>13</v>
      </c>
      <c r="T174" s="3">
        <v>36</v>
      </c>
      <c r="U174" s="3">
        <v>3.11</v>
      </c>
      <c r="V174" s="3">
        <v>98.95</v>
      </c>
      <c r="W174" s="3">
        <v>1.73</v>
      </c>
      <c r="Y174" s="3">
        <v>103.87</v>
      </c>
      <c r="AA174" s="3">
        <v>10.83</v>
      </c>
      <c r="AB174" s="3">
        <v>280.67</v>
      </c>
      <c r="AC174" s="3">
        <v>79.17</v>
      </c>
      <c r="AE174" s="3">
        <v>372</v>
      </c>
      <c r="AR174" s="3" t="s">
        <v>96</v>
      </c>
      <c r="AS174" s="4" t="s">
        <v>78</v>
      </c>
      <c r="AT174" s="3">
        <v>47.75</v>
      </c>
      <c r="AU174" s="3" t="s">
        <v>880</v>
      </c>
      <c r="AW174" s="10" t="s">
        <v>371</v>
      </c>
    </row>
    <row r="175" spans="1:49" x14ac:dyDescent="0.15">
      <c r="A175" s="2">
        <v>174</v>
      </c>
      <c r="B175" s="2" t="s">
        <v>345</v>
      </c>
      <c r="C175" s="2" t="s">
        <v>94</v>
      </c>
      <c r="D175" s="2" t="s">
        <v>294</v>
      </c>
      <c r="E175" s="2" t="s">
        <v>39</v>
      </c>
      <c r="H175" s="2" t="s">
        <v>60</v>
      </c>
      <c r="I175" s="2" t="s">
        <v>76</v>
      </c>
      <c r="J175" s="2">
        <v>2010</v>
      </c>
      <c r="K175" s="2">
        <v>8</v>
      </c>
      <c r="N175" s="3">
        <v>2500</v>
      </c>
      <c r="O175" s="3">
        <v>5</v>
      </c>
      <c r="P175" s="2">
        <v>23</v>
      </c>
      <c r="Q175" s="2">
        <v>17</v>
      </c>
      <c r="R175" s="2">
        <v>28</v>
      </c>
      <c r="T175" s="3">
        <v>70</v>
      </c>
      <c r="U175" s="3">
        <v>10.8</v>
      </c>
      <c r="V175" s="3">
        <v>19.34</v>
      </c>
      <c r="W175" s="3">
        <v>1.81</v>
      </c>
      <c r="Y175" s="3">
        <v>32.659999999999997</v>
      </c>
      <c r="AA175" s="3">
        <v>651</v>
      </c>
      <c r="AB175" s="3">
        <v>35.83</v>
      </c>
      <c r="AC175" s="3">
        <v>385.33</v>
      </c>
      <c r="AE175" s="3">
        <v>1073.67</v>
      </c>
      <c r="AR175" s="3" t="s">
        <v>64</v>
      </c>
      <c r="AS175" s="4" t="s">
        <v>78</v>
      </c>
      <c r="AT175" s="3">
        <v>47.75</v>
      </c>
      <c r="AU175" s="3" t="s">
        <v>880</v>
      </c>
      <c r="AW175" s="10" t="s">
        <v>235</v>
      </c>
    </row>
    <row r="176" spans="1:49" x14ac:dyDescent="0.15">
      <c r="A176" s="2">
        <v>175</v>
      </c>
      <c r="B176" s="2" t="s">
        <v>345</v>
      </c>
      <c r="C176" s="2" t="s">
        <v>94</v>
      </c>
      <c r="D176" s="2" t="s">
        <v>294</v>
      </c>
      <c r="E176" s="2" t="s">
        <v>39</v>
      </c>
      <c r="H176" s="2" t="s">
        <v>60</v>
      </c>
      <c r="I176" s="2" t="s">
        <v>76</v>
      </c>
      <c r="J176" s="2">
        <v>2010</v>
      </c>
      <c r="K176" s="2">
        <v>8</v>
      </c>
      <c r="N176" s="3">
        <v>2500</v>
      </c>
      <c r="O176" s="3">
        <v>5</v>
      </c>
      <c r="P176" s="2">
        <v>11</v>
      </c>
      <c r="Q176" s="2">
        <v>8</v>
      </c>
      <c r="R176" s="2">
        <v>14</v>
      </c>
      <c r="T176" s="3">
        <v>34</v>
      </c>
      <c r="U176" s="3">
        <v>1.63</v>
      </c>
      <c r="V176" s="3">
        <v>10.27</v>
      </c>
      <c r="W176" s="3">
        <v>0.62</v>
      </c>
      <c r="Y176" s="3">
        <v>12.62</v>
      </c>
      <c r="AA176" s="3">
        <v>24</v>
      </c>
      <c r="AB176" s="3">
        <v>11.17</v>
      </c>
      <c r="AC176" s="3">
        <v>44.86</v>
      </c>
      <c r="AE176" s="3">
        <v>80.17</v>
      </c>
      <c r="AR176" s="3" t="s">
        <v>64</v>
      </c>
      <c r="AS176" s="4" t="s">
        <v>78</v>
      </c>
      <c r="AT176" s="3">
        <v>47.75</v>
      </c>
      <c r="AU176" s="3" t="s">
        <v>880</v>
      </c>
      <c r="AW176" s="10" t="s">
        <v>235</v>
      </c>
    </row>
    <row r="177" spans="1:49" x14ac:dyDescent="0.15">
      <c r="A177" s="2">
        <v>176</v>
      </c>
      <c r="B177" s="2" t="s">
        <v>345</v>
      </c>
      <c r="C177" s="2" t="s">
        <v>94</v>
      </c>
      <c r="D177" s="2" t="s">
        <v>294</v>
      </c>
      <c r="E177" s="2" t="s">
        <v>39</v>
      </c>
      <c r="H177" s="2" t="s">
        <v>60</v>
      </c>
      <c r="I177" s="2" t="s">
        <v>76</v>
      </c>
      <c r="J177" s="2">
        <v>2010</v>
      </c>
      <c r="K177" s="2">
        <v>8</v>
      </c>
      <c r="N177" s="3">
        <v>2500</v>
      </c>
      <c r="O177" s="3">
        <v>5</v>
      </c>
      <c r="P177" s="2">
        <v>14</v>
      </c>
      <c r="Q177" s="2">
        <v>8</v>
      </c>
      <c r="R177" s="2">
        <v>13</v>
      </c>
      <c r="T177" s="3">
        <v>36</v>
      </c>
      <c r="U177" s="3">
        <v>3.11</v>
      </c>
      <c r="V177" s="3">
        <v>98.95</v>
      </c>
      <c r="W177" s="3">
        <v>1.73</v>
      </c>
      <c r="Y177" s="3">
        <v>103.87</v>
      </c>
      <c r="AA177" s="3">
        <v>10.83</v>
      </c>
      <c r="AB177" s="3">
        <v>280.67</v>
      </c>
      <c r="AC177" s="3">
        <v>79.17</v>
      </c>
      <c r="AE177" s="3">
        <v>372</v>
      </c>
      <c r="AR177" s="3" t="s">
        <v>64</v>
      </c>
      <c r="AS177" s="4" t="s">
        <v>78</v>
      </c>
      <c r="AT177" s="3">
        <v>47.75</v>
      </c>
      <c r="AU177" s="3" t="s">
        <v>880</v>
      </c>
      <c r="AW177" s="10" t="s">
        <v>235</v>
      </c>
    </row>
    <row r="178" spans="1:49" x14ac:dyDescent="0.15">
      <c r="A178" s="2">
        <v>177</v>
      </c>
      <c r="B178" s="2" t="s">
        <v>346</v>
      </c>
      <c r="C178" s="2" t="s">
        <v>97</v>
      </c>
      <c r="D178" s="2" t="s">
        <v>294</v>
      </c>
      <c r="E178" s="2" t="s">
        <v>39</v>
      </c>
      <c r="H178" s="2" t="s">
        <v>60</v>
      </c>
      <c r="I178" s="2" t="s">
        <v>55</v>
      </c>
      <c r="J178" s="2">
        <v>2010</v>
      </c>
      <c r="K178" s="2">
        <v>7</v>
      </c>
      <c r="N178" s="3">
        <v>2500</v>
      </c>
      <c r="O178" s="3">
        <v>5</v>
      </c>
      <c r="P178" s="2">
        <v>26</v>
      </c>
      <c r="Q178" s="2">
        <v>23</v>
      </c>
      <c r="R178" s="2">
        <v>24</v>
      </c>
      <c r="S178" s="2">
        <v>8</v>
      </c>
      <c r="T178" s="3">
        <v>51</v>
      </c>
      <c r="U178" s="3">
        <v>2.2400000000000002</v>
      </c>
      <c r="V178" s="3">
        <v>97.53</v>
      </c>
      <c r="W178" s="3">
        <v>10.4</v>
      </c>
      <c r="X178" s="3">
        <v>1.63</v>
      </c>
      <c r="Y178" s="3">
        <v>134.72999999999999</v>
      </c>
      <c r="AA178" s="3">
        <v>136</v>
      </c>
      <c r="AB178" s="3">
        <v>62</v>
      </c>
      <c r="AC178" s="3">
        <v>630</v>
      </c>
      <c r="AD178" s="3">
        <v>11</v>
      </c>
      <c r="AE178" s="3">
        <v>854</v>
      </c>
      <c r="AR178" s="3" t="s">
        <v>85</v>
      </c>
      <c r="AS178" s="4" t="s">
        <v>98</v>
      </c>
      <c r="AT178" s="3">
        <v>47.75</v>
      </c>
      <c r="AU178" s="3" t="s">
        <v>880</v>
      </c>
      <c r="AW178" s="10" t="s">
        <v>371</v>
      </c>
    </row>
    <row r="179" spans="1:49" x14ac:dyDescent="0.15">
      <c r="A179" s="2">
        <v>178</v>
      </c>
      <c r="B179" s="2" t="s">
        <v>348</v>
      </c>
      <c r="C179" s="2" t="s">
        <v>99</v>
      </c>
      <c r="D179" s="2" t="s">
        <v>347</v>
      </c>
      <c r="E179" s="2" t="s">
        <v>238</v>
      </c>
      <c r="F179" s="2" t="s">
        <v>101</v>
      </c>
      <c r="G179" s="2">
        <v>1</v>
      </c>
      <c r="H179" s="2" t="s">
        <v>60</v>
      </c>
      <c r="I179" s="2" t="s">
        <v>634</v>
      </c>
      <c r="J179" s="2">
        <v>2001</v>
      </c>
      <c r="K179" s="2">
        <v>4</v>
      </c>
      <c r="L179" s="2">
        <v>2001</v>
      </c>
      <c r="M179" s="2">
        <v>8</v>
      </c>
      <c r="N179" s="3">
        <v>2500</v>
      </c>
      <c r="O179" s="3">
        <v>48</v>
      </c>
      <c r="P179" s="2">
        <v>18</v>
      </c>
      <c r="Q179" s="2">
        <v>38</v>
      </c>
      <c r="R179" s="2">
        <v>5</v>
      </c>
      <c r="T179" s="3">
        <v>70</v>
      </c>
      <c r="V179" s="3">
        <f>Y179*0.8</f>
        <v>31.080000000000002</v>
      </c>
      <c r="Y179" s="3">
        <f>(7.4+36+37+75)/4</f>
        <v>38.85</v>
      </c>
      <c r="AB179" s="3">
        <f>AE179*0.8</f>
        <v>108</v>
      </c>
      <c r="AE179" s="3">
        <f>(32+161+30+317)/4</f>
        <v>135</v>
      </c>
      <c r="AG179" s="3">
        <v>2.0124999999999997</v>
      </c>
      <c r="AH179" s="3">
        <v>1.0821698880798098</v>
      </c>
      <c r="AI179" s="3">
        <v>0.41249999999999998</v>
      </c>
      <c r="AJ179" s="3">
        <v>0.15986973864159956</v>
      </c>
      <c r="AM179" s="3">
        <v>1.42</v>
      </c>
      <c r="AN179" s="3">
        <v>0.57008771254956936</v>
      </c>
      <c r="AR179" s="3" t="s">
        <v>74</v>
      </c>
      <c r="AS179" s="3" t="s">
        <v>102</v>
      </c>
      <c r="AT179" s="3">
        <v>43.5</v>
      </c>
      <c r="AU179" s="3" t="s">
        <v>102</v>
      </c>
      <c r="AV179" s="4" t="s">
        <v>103</v>
      </c>
      <c r="AW179" s="10" t="s">
        <v>371</v>
      </c>
    </row>
    <row r="180" spans="1:49" x14ac:dyDescent="0.15">
      <c r="A180" s="2">
        <v>179</v>
      </c>
      <c r="B180" s="2" t="s">
        <v>348</v>
      </c>
      <c r="C180" s="2" t="s">
        <v>99</v>
      </c>
      <c r="D180" s="2" t="s">
        <v>347</v>
      </c>
      <c r="E180" s="2" t="s">
        <v>238</v>
      </c>
      <c r="F180" s="2" t="s">
        <v>101</v>
      </c>
      <c r="G180" s="2">
        <v>1</v>
      </c>
      <c r="H180" s="2" t="s">
        <v>60</v>
      </c>
      <c r="I180" s="2" t="s">
        <v>634</v>
      </c>
      <c r="J180" s="2">
        <v>2001</v>
      </c>
      <c r="K180" s="2">
        <v>8</v>
      </c>
      <c r="L180" s="2">
        <v>2001</v>
      </c>
      <c r="M180" s="2">
        <v>8</v>
      </c>
      <c r="N180" s="3">
        <v>2500</v>
      </c>
      <c r="O180" s="3">
        <v>48</v>
      </c>
      <c r="P180" s="2">
        <v>18</v>
      </c>
      <c r="Q180" s="2">
        <v>38</v>
      </c>
      <c r="R180" s="2">
        <v>5</v>
      </c>
      <c r="T180" s="3">
        <v>70</v>
      </c>
      <c r="V180" s="3">
        <f>Y180*0.8</f>
        <v>42.6</v>
      </c>
      <c r="Y180" s="3">
        <f>(15+18+57+123)/4</f>
        <v>53.25</v>
      </c>
      <c r="AB180" s="3">
        <f>AE180*0.8</f>
        <v>155.80000000000001</v>
      </c>
      <c r="AE180" s="3">
        <f>(25+165+435+154)/4</f>
        <v>194.75</v>
      </c>
      <c r="AG180" s="3">
        <v>1.9949999999999999</v>
      </c>
      <c r="AH180" s="3">
        <v>0.69130311730817517</v>
      </c>
      <c r="AI180" s="3">
        <v>0.41249999999999998</v>
      </c>
      <c r="AJ180" s="3">
        <v>0.17461863207191464</v>
      </c>
      <c r="AM180" s="3">
        <v>1.2524999999999999</v>
      </c>
      <c r="AN180" s="3">
        <v>0.40672472263190523</v>
      </c>
      <c r="AR180" s="3" t="s">
        <v>69</v>
      </c>
      <c r="AS180" s="3" t="s">
        <v>102</v>
      </c>
      <c r="AT180" s="3">
        <v>43.5</v>
      </c>
      <c r="AU180" s="3" t="s">
        <v>102</v>
      </c>
      <c r="AW180" s="10" t="s">
        <v>371</v>
      </c>
    </row>
    <row r="181" spans="1:49" x14ac:dyDescent="0.15">
      <c r="A181" s="2">
        <v>180</v>
      </c>
      <c r="B181" s="2" t="s">
        <v>357</v>
      </c>
      <c r="C181" s="2" t="s">
        <v>849</v>
      </c>
      <c r="D181" s="2" t="s">
        <v>358</v>
      </c>
      <c r="E181" s="2" t="s">
        <v>39</v>
      </c>
      <c r="H181" s="2" t="s">
        <v>60</v>
      </c>
      <c r="I181" s="2" t="s">
        <v>25</v>
      </c>
      <c r="J181" s="2">
        <v>1980</v>
      </c>
      <c r="K181" s="2">
        <v>11</v>
      </c>
      <c r="L181" s="2">
        <v>1981</v>
      </c>
      <c r="M181" s="2">
        <v>8</v>
      </c>
      <c r="N181" s="3">
        <v>1000</v>
      </c>
      <c r="O181" s="3">
        <f>26*4</f>
        <v>104</v>
      </c>
      <c r="P181" s="2">
        <v>79</v>
      </c>
      <c r="Q181" s="2">
        <v>67</v>
      </c>
      <c r="R181" s="2">
        <v>125</v>
      </c>
      <c r="S181" s="2">
        <v>27</v>
      </c>
      <c r="T181" s="3">
        <v>333</v>
      </c>
      <c r="U181" s="3">
        <v>1.96</v>
      </c>
      <c r="V181" s="3">
        <v>22.06</v>
      </c>
      <c r="W181" s="3">
        <v>7.17</v>
      </c>
      <c r="X181" s="3">
        <v>9.31</v>
      </c>
      <c r="Y181" s="3">
        <v>46.53</v>
      </c>
      <c r="AB181" s="3">
        <v>422</v>
      </c>
      <c r="AC181" s="3">
        <v>218</v>
      </c>
      <c r="AE181" s="3">
        <v>699</v>
      </c>
      <c r="AR181" s="3" t="s">
        <v>104</v>
      </c>
      <c r="AS181" s="4" t="s">
        <v>105</v>
      </c>
      <c r="AT181" s="4">
        <v>47.75</v>
      </c>
      <c r="AU181" s="4" t="s">
        <v>806</v>
      </c>
      <c r="AW181" s="10" t="s">
        <v>371</v>
      </c>
    </row>
    <row r="182" spans="1:49" x14ac:dyDescent="0.15">
      <c r="A182" s="2">
        <v>181</v>
      </c>
      <c r="B182" s="2" t="s">
        <v>357</v>
      </c>
      <c r="C182" s="2" t="s">
        <v>849</v>
      </c>
      <c r="D182" s="2" t="s">
        <v>358</v>
      </c>
      <c r="E182" s="2" t="s">
        <v>39</v>
      </c>
      <c r="H182" s="2" t="s">
        <v>60</v>
      </c>
      <c r="I182" s="2" t="s">
        <v>25</v>
      </c>
      <c r="J182" s="2">
        <v>1981</v>
      </c>
      <c r="K182" s="2">
        <v>5</v>
      </c>
      <c r="N182" s="3">
        <v>1000</v>
      </c>
      <c r="O182" s="3">
        <v>26</v>
      </c>
      <c r="P182" s="2">
        <v>33</v>
      </c>
      <c r="Q182" s="2">
        <v>38</v>
      </c>
      <c r="R182" s="2">
        <v>80</v>
      </c>
      <c r="S182" s="3">
        <v>15</v>
      </c>
      <c r="T182" s="3">
        <v>184</v>
      </c>
      <c r="U182" s="2">
        <v>2.8</v>
      </c>
      <c r="V182" s="2">
        <v>23.4</v>
      </c>
      <c r="W182" s="2">
        <v>13.9</v>
      </c>
      <c r="X182" s="3">
        <v>6.9</v>
      </c>
      <c r="Y182" s="3">
        <v>51.35</v>
      </c>
      <c r="AA182" s="2">
        <v>52</v>
      </c>
      <c r="AB182" s="2">
        <v>502</v>
      </c>
      <c r="AC182" s="2">
        <v>460</v>
      </c>
      <c r="AD182" s="3">
        <v>32</v>
      </c>
      <c r="AE182" s="3">
        <v>1073</v>
      </c>
      <c r="AR182" s="3" t="s">
        <v>65</v>
      </c>
      <c r="AS182" s="4" t="s">
        <v>105</v>
      </c>
      <c r="AT182" s="4">
        <v>47.75</v>
      </c>
      <c r="AU182" s="4" t="s">
        <v>806</v>
      </c>
      <c r="AW182" s="10" t="s">
        <v>371</v>
      </c>
    </row>
    <row r="183" spans="1:49" x14ac:dyDescent="0.15">
      <c r="A183" s="2">
        <v>182</v>
      </c>
      <c r="B183" s="2" t="s">
        <v>357</v>
      </c>
      <c r="C183" s="2" t="s">
        <v>849</v>
      </c>
      <c r="D183" s="2" t="s">
        <v>358</v>
      </c>
      <c r="E183" s="2" t="s">
        <v>39</v>
      </c>
      <c r="H183" s="2" t="s">
        <v>60</v>
      </c>
      <c r="I183" s="2" t="s">
        <v>25</v>
      </c>
      <c r="J183" s="2">
        <v>1981</v>
      </c>
      <c r="K183" s="2">
        <v>8</v>
      </c>
      <c r="N183" s="3">
        <v>1000</v>
      </c>
      <c r="O183" s="3">
        <v>26</v>
      </c>
      <c r="P183" s="3">
        <v>24</v>
      </c>
      <c r="Q183" s="3">
        <v>23</v>
      </c>
      <c r="R183" s="3">
        <v>55</v>
      </c>
      <c r="S183" s="3">
        <v>12</v>
      </c>
      <c r="T183" s="3">
        <v>137</v>
      </c>
      <c r="U183" s="3">
        <v>1.57</v>
      </c>
      <c r="V183" s="3">
        <v>27.6</v>
      </c>
      <c r="W183" s="3">
        <v>7.44</v>
      </c>
      <c r="X183" s="3">
        <v>17.5</v>
      </c>
      <c r="Y183" s="3">
        <v>60.78</v>
      </c>
      <c r="AA183" s="3">
        <v>22</v>
      </c>
      <c r="AB183" s="3">
        <v>490</v>
      </c>
      <c r="AC183" s="3">
        <v>143</v>
      </c>
      <c r="AD183" s="3">
        <v>22</v>
      </c>
      <c r="AE183" s="3">
        <v>681</v>
      </c>
      <c r="AR183" s="3" t="s">
        <v>65</v>
      </c>
      <c r="AS183" s="4" t="s">
        <v>105</v>
      </c>
      <c r="AT183" s="4">
        <v>47.75</v>
      </c>
      <c r="AU183" s="4" t="s">
        <v>806</v>
      </c>
      <c r="AW183" s="10" t="s">
        <v>371</v>
      </c>
    </row>
    <row r="184" spans="1:49" x14ac:dyDescent="0.15">
      <c r="A184" s="2">
        <v>183</v>
      </c>
      <c r="B184" s="2" t="s">
        <v>357</v>
      </c>
      <c r="C184" s="2" t="s">
        <v>849</v>
      </c>
      <c r="D184" s="2" t="s">
        <v>358</v>
      </c>
      <c r="E184" s="2" t="s">
        <v>39</v>
      </c>
      <c r="H184" s="2" t="s">
        <v>60</v>
      </c>
      <c r="I184" s="2" t="s">
        <v>25</v>
      </c>
      <c r="J184" s="2">
        <v>1980</v>
      </c>
      <c r="K184" s="2">
        <v>11</v>
      </c>
      <c r="N184" s="3">
        <v>1000</v>
      </c>
      <c r="O184" s="3">
        <v>26</v>
      </c>
      <c r="P184" s="3">
        <v>25</v>
      </c>
      <c r="Q184" s="3">
        <v>24</v>
      </c>
      <c r="R184" s="3">
        <v>42</v>
      </c>
      <c r="S184" s="3">
        <v>8</v>
      </c>
      <c r="T184" s="3">
        <v>118</v>
      </c>
      <c r="U184" s="3">
        <v>1.73</v>
      </c>
      <c r="V184" s="3">
        <v>19.78</v>
      </c>
      <c r="W184" s="3">
        <v>3.9</v>
      </c>
      <c r="X184" s="3">
        <v>3.04</v>
      </c>
      <c r="Y184" s="3">
        <v>36.25</v>
      </c>
      <c r="AA184" s="3">
        <v>11</v>
      </c>
      <c r="AB184" s="3">
        <v>118</v>
      </c>
      <c r="AC184" s="3">
        <v>82</v>
      </c>
      <c r="AD184" s="3">
        <v>3</v>
      </c>
      <c r="AE184" s="3">
        <v>219</v>
      </c>
      <c r="AR184" s="3" t="s">
        <v>65</v>
      </c>
      <c r="AS184" s="4" t="s">
        <v>105</v>
      </c>
      <c r="AT184" s="4">
        <v>47.75</v>
      </c>
      <c r="AU184" s="4" t="s">
        <v>806</v>
      </c>
      <c r="AW184" s="10" t="s">
        <v>371</v>
      </c>
    </row>
    <row r="185" spans="1:49" x14ac:dyDescent="0.15">
      <c r="A185" s="2">
        <v>184</v>
      </c>
      <c r="B185" s="2" t="s">
        <v>357</v>
      </c>
      <c r="C185" s="2" t="s">
        <v>849</v>
      </c>
      <c r="D185" s="2" t="s">
        <v>358</v>
      </c>
      <c r="E185" s="2" t="s">
        <v>39</v>
      </c>
      <c r="H185" s="2" t="s">
        <v>60</v>
      </c>
      <c r="I185" s="2" t="s">
        <v>25</v>
      </c>
      <c r="J185" s="2">
        <v>1981</v>
      </c>
      <c r="K185" s="2">
        <v>2</v>
      </c>
      <c r="N185" s="3">
        <v>1000</v>
      </c>
      <c r="O185" s="3">
        <v>26</v>
      </c>
      <c r="P185" s="3">
        <v>49</v>
      </c>
      <c r="Q185" s="3">
        <v>38</v>
      </c>
      <c r="R185" s="3">
        <v>63</v>
      </c>
      <c r="S185" s="3">
        <v>16</v>
      </c>
      <c r="T185" s="3">
        <v>192</v>
      </c>
      <c r="U185" s="3">
        <v>1.01</v>
      </c>
      <c r="V185" s="3">
        <v>16.78</v>
      </c>
      <c r="W185" s="3">
        <v>2.81</v>
      </c>
      <c r="X185" s="3">
        <v>10.96</v>
      </c>
      <c r="Y185" s="3">
        <v>37.75</v>
      </c>
      <c r="AA185" s="3">
        <v>35</v>
      </c>
      <c r="AB185" s="3">
        <v>555</v>
      </c>
      <c r="AC185" s="3">
        <v>184</v>
      </c>
      <c r="AD185" s="3">
        <v>25</v>
      </c>
      <c r="AE185" s="3">
        <v>826</v>
      </c>
      <c r="AR185" s="3" t="s">
        <v>65</v>
      </c>
      <c r="AS185" s="4" t="s">
        <v>105</v>
      </c>
      <c r="AT185" s="4">
        <v>47.75</v>
      </c>
      <c r="AU185" s="4" t="s">
        <v>806</v>
      </c>
      <c r="AW185" s="10" t="s">
        <v>371</v>
      </c>
    </row>
    <row r="186" spans="1:49" x14ac:dyDescent="0.15">
      <c r="A186" s="2">
        <v>185</v>
      </c>
      <c r="B186" s="2" t="s">
        <v>372</v>
      </c>
      <c r="C186" s="2" t="s">
        <v>373</v>
      </c>
      <c r="D186" s="2" t="s">
        <v>358</v>
      </c>
      <c r="E186" s="2" t="s">
        <v>627</v>
      </c>
      <c r="F186" s="2" t="s">
        <v>307</v>
      </c>
      <c r="H186" s="2" t="s">
        <v>374</v>
      </c>
      <c r="I186" s="2" t="s">
        <v>375</v>
      </c>
      <c r="J186" s="2">
        <v>1987</v>
      </c>
      <c r="K186" s="2">
        <v>2</v>
      </c>
      <c r="L186" s="2">
        <v>1987</v>
      </c>
      <c r="M186" s="2">
        <v>10</v>
      </c>
      <c r="N186" s="3">
        <v>625</v>
      </c>
      <c r="O186" s="3">
        <v>160</v>
      </c>
      <c r="P186" s="2">
        <v>57</v>
      </c>
      <c r="Q186" s="2">
        <v>51</v>
      </c>
      <c r="R186" s="2">
        <v>41</v>
      </c>
      <c r="S186" s="2">
        <v>3</v>
      </c>
      <c r="T186" s="3">
        <v>172</v>
      </c>
      <c r="U186" s="3">
        <v>31.21</v>
      </c>
      <c r="V186" s="3">
        <v>7.99</v>
      </c>
      <c r="W186" s="3">
        <f>Y186-U186-V186-0.1</f>
        <v>8.73</v>
      </c>
      <c r="Y186" s="3">
        <v>48.03</v>
      </c>
      <c r="AA186" s="3">
        <v>223.6</v>
      </c>
      <c r="AB186" s="3">
        <v>34</v>
      </c>
      <c r="AC186" s="3">
        <v>53.6</v>
      </c>
      <c r="AE186" s="3">
        <v>311.39999999999998</v>
      </c>
      <c r="AR186" s="3" t="s">
        <v>378</v>
      </c>
      <c r="AS186" s="3" t="s">
        <v>380</v>
      </c>
      <c r="AT186" s="3">
        <v>43.5</v>
      </c>
      <c r="AU186" s="3" t="s">
        <v>86</v>
      </c>
      <c r="AW186" s="3" t="s">
        <v>379</v>
      </c>
    </row>
    <row r="187" spans="1:49" x14ac:dyDescent="0.15">
      <c r="A187" s="2">
        <v>186</v>
      </c>
      <c r="B187" s="2" t="s">
        <v>372</v>
      </c>
      <c r="C187" s="2" t="s">
        <v>373</v>
      </c>
      <c r="D187" s="2" t="s">
        <v>358</v>
      </c>
      <c r="E187" s="2" t="s">
        <v>627</v>
      </c>
      <c r="F187" s="2" t="s">
        <v>307</v>
      </c>
      <c r="H187" s="2" t="s">
        <v>374</v>
      </c>
      <c r="I187" s="2" t="s">
        <v>375</v>
      </c>
      <c r="J187" s="2">
        <v>1987</v>
      </c>
      <c r="K187" s="2">
        <v>4</v>
      </c>
      <c r="N187" s="3">
        <v>625</v>
      </c>
      <c r="O187" s="3">
        <v>40</v>
      </c>
      <c r="P187" s="3"/>
      <c r="Q187" s="3"/>
      <c r="R187" s="3"/>
      <c r="S187" s="3"/>
      <c r="T187" s="3">
        <v>71</v>
      </c>
      <c r="Y187" s="3">
        <v>33.24</v>
      </c>
      <c r="AE187" s="3">
        <v>202.8</v>
      </c>
      <c r="AR187" s="3" t="s">
        <v>378</v>
      </c>
      <c r="AS187" s="3" t="s">
        <v>380</v>
      </c>
      <c r="AT187" s="3">
        <v>43.5</v>
      </c>
      <c r="AU187" s="3" t="s">
        <v>86</v>
      </c>
      <c r="AW187" s="3" t="s">
        <v>379</v>
      </c>
    </row>
    <row r="188" spans="1:49" x14ac:dyDescent="0.15">
      <c r="A188" s="2">
        <v>187</v>
      </c>
      <c r="B188" s="2" t="s">
        <v>372</v>
      </c>
      <c r="C188" s="2" t="s">
        <v>373</v>
      </c>
      <c r="D188" s="2" t="s">
        <v>358</v>
      </c>
      <c r="E188" s="2" t="s">
        <v>627</v>
      </c>
      <c r="F188" s="2" t="s">
        <v>307</v>
      </c>
      <c r="H188" s="2" t="s">
        <v>374</v>
      </c>
      <c r="I188" s="2" t="s">
        <v>375</v>
      </c>
      <c r="J188" s="2">
        <v>1987</v>
      </c>
      <c r="K188" s="2">
        <v>7</v>
      </c>
      <c r="N188" s="3">
        <v>625</v>
      </c>
      <c r="O188" s="3">
        <v>40</v>
      </c>
      <c r="P188" s="3"/>
      <c r="Q188" s="3"/>
      <c r="R188" s="3"/>
      <c r="S188" s="3"/>
      <c r="T188" s="3">
        <v>81</v>
      </c>
      <c r="Y188" s="3">
        <v>45.17</v>
      </c>
      <c r="AE188" s="3">
        <v>225</v>
      </c>
      <c r="AR188" s="3" t="s">
        <v>378</v>
      </c>
      <c r="AS188" s="3" t="s">
        <v>380</v>
      </c>
      <c r="AT188" s="3">
        <v>43.5</v>
      </c>
      <c r="AU188" s="3" t="s">
        <v>86</v>
      </c>
      <c r="AW188" s="3" t="s">
        <v>379</v>
      </c>
    </row>
    <row r="189" spans="1:49" x14ac:dyDescent="0.15">
      <c r="A189" s="2">
        <v>188</v>
      </c>
      <c r="B189" s="2" t="s">
        <v>372</v>
      </c>
      <c r="C189" s="2" t="s">
        <v>373</v>
      </c>
      <c r="D189" s="2" t="s">
        <v>358</v>
      </c>
      <c r="E189" s="2" t="s">
        <v>627</v>
      </c>
      <c r="F189" s="2" t="s">
        <v>307</v>
      </c>
      <c r="H189" s="2" t="s">
        <v>374</v>
      </c>
      <c r="I189" s="2" t="s">
        <v>375</v>
      </c>
      <c r="J189" s="2">
        <v>1987</v>
      </c>
      <c r="K189" s="2">
        <v>10</v>
      </c>
      <c r="N189" s="3">
        <v>625</v>
      </c>
      <c r="O189" s="3">
        <v>40</v>
      </c>
      <c r="P189" s="3"/>
      <c r="Q189" s="3"/>
      <c r="R189" s="3"/>
      <c r="S189" s="3"/>
      <c r="T189" s="3">
        <v>92</v>
      </c>
      <c r="Y189" s="3">
        <v>66.45</v>
      </c>
      <c r="AE189" s="3">
        <v>458.3</v>
      </c>
      <c r="AR189" s="3" t="s">
        <v>378</v>
      </c>
      <c r="AS189" s="3" t="s">
        <v>380</v>
      </c>
      <c r="AT189" s="3">
        <v>43.5</v>
      </c>
      <c r="AU189" s="3" t="s">
        <v>86</v>
      </c>
      <c r="AW189" s="3" t="s">
        <v>379</v>
      </c>
    </row>
    <row r="190" spans="1:49" x14ac:dyDescent="0.15">
      <c r="A190" s="2">
        <v>189</v>
      </c>
      <c r="B190" s="2" t="s">
        <v>372</v>
      </c>
      <c r="C190" s="2" t="s">
        <v>373</v>
      </c>
      <c r="D190" s="2" t="s">
        <v>358</v>
      </c>
      <c r="E190" s="2" t="s">
        <v>627</v>
      </c>
      <c r="F190" s="2" t="s">
        <v>307</v>
      </c>
      <c r="H190" s="2" t="s">
        <v>374</v>
      </c>
      <c r="I190" s="2" t="s">
        <v>375</v>
      </c>
      <c r="J190" s="2">
        <v>1988</v>
      </c>
      <c r="K190" s="2">
        <v>2</v>
      </c>
      <c r="N190" s="3">
        <v>625</v>
      </c>
      <c r="O190" s="3">
        <v>40</v>
      </c>
      <c r="P190" s="3"/>
      <c r="Q190" s="3"/>
      <c r="R190" s="3"/>
      <c r="S190" s="3"/>
      <c r="T190" s="3">
        <v>90</v>
      </c>
      <c r="Y190" s="3">
        <v>47.28</v>
      </c>
      <c r="AE190" s="3">
        <v>225</v>
      </c>
      <c r="AR190" s="3" t="s">
        <v>378</v>
      </c>
      <c r="AS190" s="3" t="s">
        <v>380</v>
      </c>
      <c r="AT190" s="3">
        <v>43.5</v>
      </c>
      <c r="AU190" s="3" t="s">
        <v>86</v>
      </c>
      <c r="AW190" s="3" t="s">
        <v>379</v>
      </c>
    </row>
    <row r="191" spans="1:49" x14ac:dyDescent="0.15">
      <c r="A191" s="2">
        <v>190</v>
      </c>
      <c r="B191" s="2" t="s">
        <v>372</v>
      </c>
      <c r="C191" s="2" t="s">
        <v>373</v>
      </c>
      <c r="D191" s="2" t="s">
        <v>358</v>
      </c>
      <c r="E191" s="2" t="s">
        <v>627</v>
      </c>
      <c r="F191" s="2" t="s">
        <v>307</v>
      </c>
      <c r="H191" s="2" t="s">
        <v>376</v>
      </c>
      <c r="I191" s="2" t="s">
        <v>375</v>
      </c>
      <c r="J191" s="2">
        <v>1987</v>
      </c>
      <c r="K191" s="2">
        <v>2</v>
      </c>
      <c r="L191" s="2">
        <v>1987</v>
      </c>
      <c r="M191" s="2">
        <v>10</v>
      </c>
      <c r="N191" s="3">
        <v>625</v>
      </c>
      <c r="O191" s="3">
        <v>40</v>
      </c>
      <c r="U191" s="2">
        <v>24.42</v>
      </c>
      <c r="V191" s="2">
        <v>11.39</v>
      </c>
      <c r="W191" s="2">
        <v>2.41</v>
      </c>
      <c r="X191" s="2">
        <v>0</v>
      </c>
      <c r="Y191" s="3">
        <v>46.25</v>
      </c>
      <c r="AA191" s="3">
        <v>61.3</v>
      </c>
      <c r="AB191" s="3">
        <v>24.2</v>
      </c>
      <c r="AC191" s="3">
        <v>19</v>
      </c>
      <c r="AD191" s="3">
        <v>0</v>
      </c>
      <c r="AE191" s="3">
        <v>112.2</v>
      </c>
      <c r="AR191" s="3" t="s">
        <v>378</v>
      </c>
      <c r="AS191" s="3" t="s">
        <v>380</v>
      </c>
      <c r="AT191" s="3">
        <v>43.5</v>
      </c>
      <c r="AU191" s="3" t="s">
        <v>86</v>
      </c>
      <c r="AW191" s="3" t="s">
        <v>379</v>
      </c>
    </row>
    <row r="192" spans="1:49" x14ac:dyDescent="0.15">
      <c r="A192" s="2">
        <v>191</v>
      </c>
      <c r="B192" s="2" t="s">
        <v>372</v>
      </c>
      <c r="C192" s="2" t="s">
        <v>373</v>
      </c>
      <c r="D192" s="2" t="s">
        <v>358</v>
      </c>
      <c r="E192" s="2" t="s">
        <v>627</v>
      </c>
      <c r="F192" s="2" t="s">
        <v>307</v>
      </c>
      <c r="H192" s="2" t="s">
        <v>843</v>
      </c>
      <c r="I192" s="2" t="s">
        <v>375</v>
      </c>
      <c r="J192" s="2">
        <v>1987</v>
      </c>
      <c r="K192" s="2">
        <v>2</v>
      </c>
      <c r="L192" s="2">
        <v>1987</v>
      </c>
      <c r="M192" s="2">
        <v>10</v>
      </c>
      <c r="N192" s="3">
        <v>625</v>
      </c>
      <c r="O192" s="3">
        <v>40</v>
      </c>
      <c r="U192" s="2">
        <v>36.130000000000003</v>
      </c>
      <c r="V192" s="2">
        <v>7.63</v>
      </c>
      <c r="W192" s="2">
        <v>2.46</v>
      </c>
      <c r="X192" s="2">
        <v>0.34</v>
      </c>
      <c r="Y192" s="3">
        <v>53.11</v>
      </c>
      <c r="AA192" s="3">
        <v>267.8</v>
      </c>
      <c r="AB192" s="3">
        <v>30.7</v>
      </c>
      <c r="AC192" s="3">
        <v>76.7</v>
      </c>
      <c r="AD192" s="3">
        <v>1.3</v>
      </c>
      <c r="AE192" s="3">
        <v>386.6</v>
      </c>
      <c r="AR192" s="3" t="s">
        <v>378</v>
      </c>
      <c r="AS192" s="3" t="s">
        <v>380</v>
      </c>
      <c r="AT192" s="3">
        <v>43.5</v>
      </c>
      <c r="AU192" s="3" t="s">
        <v>86</v>
      </c>
      <c r="AW192" s="3" t="s">
        <v>379</v>
      </c>
    </row>
    <row r="193" spans="1:49" x14ac:dyDescent="0.15">
      <c r="A193" s="2">
        <v>192</v>
      </c>
      <c r="B193" s="2" t="s">
        <v>372</v>
      </c>
      <c r="C193" s="2" t="s">
        <v>373</v>
      </c>
      <c r="D193" s="2" t="s">
        <v>358</v>
      </c>
      <c r="E193" s="2" t="s">
        <v>627</v>
      </c>
      <c r="F193" s="2" t="s">
        <v>307</v>
      </c>
      <c r="H193" s="2" t="s">
        <v>377</v>
      </c>
      <c r="I193" s="2" t="s">
        <v>375</v>
      </c>
      <c r="J193" s="2">
        <v>1987</v>
      </c>
      <c r="K193" s="2">
        <v>2</v>
      </c>
      <c r="L193" s="2">
        <v>1987</v>
      </c>
      <c r="M193" s="2">
        <v>10</v>
      </c>
      <c r="N193" s="3">
        <v>625</v>
      </c>
      <c r="O193" s="3">
        <v>40</v>
      </c>
      <c r="U193" s="2">
        <v>23.22</v>
      </c>
      <c r="V193" s="2">
        <v>5.64</v>
      </c>
      <c r="W193" s="2">
        <v>2.09</v>
      </c>
      <c r="X193" s="2">
        <v>0.7</v>
      </c>
      <c r="Y193" s="3">
        <v>34.65</v>
      </c>
      <c r="AA193" s="2">
        <v>252.3</v>
      </c>
      <c r="AB193" s="2">
        <v>9</v>
      </c>
      <c r="AC193" s="2">
        <v>18.8</v>
      </c>
      <c r="AD193" s="2">
        <v>0.7</v>
      </c>
      <c r="AE193" s="3">
        <v>284.5</v>
      </c>
      <c r="AR193" s="3" t="s">
        <v>378</v>
      </c>
      <c r="AS193" s="3" t="s">
        <v>380</v>
      </c>
      <c r="AT193" s="3">
        <v>43.5</v>
      </c>
      <c r="AU193" s="3" t="s">
        <v>86</v>
      </c>
      <c r="AW193" s="3" t="s">
        <v>379</v>
      </c>
    </row>
    <row r="194" spans="1:49" x14ac:dyDescent="0.15">
      <c r="A194" s="2">
        <v>193</v>
      </c>
      <c r="B194" s="2" t="s">
        <v>381</v>
      </c>
      <c r="C194" s="2" t="s">
        <v>106</v>
      </c>
      <c r="D194" s="2" t="s">
        <v>358</v>
      </c>
      <c r="E194" s="2" t="s">
        <v>107</v>
      </c>
      <c r="H194" s="2" t="s">
        <v>60</v>
      </c>
      <c r="I194" s="2" t="s">
        <v>25</v>
      </c>
      <c r="J194" s="2">
        <v>1995</v>
      </c>
      <c r="K194" s="2">
        <v>10</v>
      </c>
      <c r="N194" s="3">
        <v>625</v>
      </c>
      <c r="O194" s="3">
        <v>52</v>
      </c>
      <c r="P194" s="2">
        <v>36</v>
      </c>
      <c r="Q194" s="2">
        <v>10</v>
      </c>
      <c r="R194" s="2">
        <v>55</v>
      </c>
      <c r="S194" s="2">
        <v>9</v>
      </c>
      <c r="T194" s="3">
        <v>116</v>
      </c>
      <c r="U194" s="3">
        <v>7.8</v>
      </c>
      <c r="V194" s="3">
        <v>3.57</v>
      </c>
      <c r="W194" s="3">
        <v>7.1</v>
      </c>
      <c r="X194" s="3">
        <v>2.4500000000000002</v>
      </c>
      <c r="Y194" s="3">
        <v>31.03</v>
      </c>
      <c r="AA194" s="3">
        <v>105</v>
      </c>
      <c r="AB194" s="3">
        <v>6</v>
      </c>
      <c r="AC194" s="3">
        <v>117</v>
      </c>
      <c r="AD194" s="3">
        <v>64</v>
      </c>
      <c r="AE194" s="3">
        <v>300</v>
      </c>
      <c r="AR194" s="3" t="s">
        <v>90</v>
      </c>
      <c r="AS194" s="4" t="s">
        <v>108</v>
      </c>
      <c r="AT194" s="4">
        <v>47.75</v>
      </c>
      <c r="AU194" s="4" t="s">
        <v>806</v>
      </c>
      <c r="AW194" s="3" t="s">
        <v>379</v>
      </c>
    </row>
    <row r="195" spans="1:49" x14ac:dyDescent="0.15">
      <c r="A195" s="2">
        <v>194</v>
      </c>
      <c r="B195" s="2" t="s">
        <v>382</v>
      </c>
      <c r="C195" s="2" t="s">
        <v>53</v>
      </c>
      <c r="D195" s="2" t="s">
        <v>247</v>
      </c>
      <c r="E195" s="2" t="s">
        <v>238</v>
      </c>
      <c r="H195" s="2" t="s">
        <v>90</v>
      </c>
      <c r="I195" s="2" t="s">
        <v>842</v>
      </c>
      <c r="J195" s="2">
        <v>2005</v>
      </c>
      <c r="K195" s="2">
        <v>10</v>
      </c>
      <c r="N195" s="3">
        <v>250</v>
      </c>
      <c r="O195" s="3">
        <v>18</v>
      </c>
      <c r="P195" s="2">
        <v>10</v>
      </c>
      <c r="Q195" s="2">
        <v>14</v>
      </c>
      <c r="R195" s="2">
        <v>21</v>
      </c>
      <c r="S195" s="2">
        <v>1</v>
      </c>
      <c r="T195" s="3">
        <v>49</v>
      </c>
      <c r="V195" s="3">
        <f>39*0.4435</f>
        <v>17.296500000000002</v>
      </c>
      <c r="Y195" s="3">
        <f>AVERAGE(Y196:Y201)</f>
        <v>38.986166666666669</v>
      </c>
      <c r="Z195" s="3">
        <f>STDEV(Y196:Y201)</f>
        <v>52.885036123337066</v>
      </c>
      <c r="AB195" s="3">
        <f>585.2*0.3815</f>
        <v>223.25380000000001</v>
      </c>
      <c r="AC195" s="3">
        <f>585.2*0.5135</f>
        <v>300.50020000000001</v>
      </c>
      <c r="AE195" s="3">
        <f>AVERAGE(AE196:AE201)</f>
        <v>585.19999999999993</v>
      </c>
      <c r="AF195" s="3">
        <f>STDEV(AE196:AE201)</f>
        <v>399.26591139239525</v>
      </c>
      <c r="AG195" s="3">
        <f>AVERAGE(AG196:AG201)</f>
        <v>3.0333333333333332</v>
      </c>
      <c r="AH195" s="3">
        <f>STDEV(AG196:AG201)</f>
        <v>0.61454590281497279</v>
      </c>
      <c r="AI195" s="3">
        <f>AVERAGE(AI196:AI201)</f>
        <v>0.84216666666666662</v>
      </c>
      <c r="AJ195" s="3">
        <f>STDEV(AI196:AI201)</f>
        <v>7.6003727978742358E-2</v>
      </c>
      <c r="AM195" s="3">
        <f>AVERAGE(AM196:AM201)</f>
        <v>1.4161666666666666</v>
      </c>
      <c r="AN195" s="3">
        <f>STDEV(AM196:AM201)</f>
        <v>0.59154050298070582</v>
      </c>
      <c r="AR195" s="3" t="s">
        <v>66</v>
      </c>
      <c r="AS195" s="4" t="s">
        <v>109</v>
      </c>
      <c r="AT195" s="4">
        <v>47.75</v>
      </c>
      <c r="AU195" s="4" t="s">
        <v>806</v>
      </c>
      <c r="AV195" s="3" t="s">
        <v>250</v>
      </c>
      <c r="AW195" s="3" t="s">
        <v>371</v>
      </c>
    </row>
    <row r="196" spans="1:49" x14ac:dyDescent="0.15">
      <c r="A196" s="2">
        <v>195</v>
      </c>
      <c r="B196" s="2" t="s">
        <v>382</v>
      </c>
      <c r="C196" s="2" t="s">
        <v>53</v>
      </c>
      <c r="D196" s="2" t="s">
        <v>247</v>
      </c>
      <c r="E196" s="2" t="s">
        <v>238</v>
      </c>
      <c r="H196" s="2" t="s">
        <v>60</v>
      </c>
      <c r="I196" s="2" t="s">
        <v>842</v>
      </c>
      <c r="J196" s="2">
        <v>2005</v>
      </c>
      <c r="K196" s="2">
        <v>10</v>
      </c>
      <c r="N196" s="3">
        <v>250</v>
      </c>
      <c r="O196" s="3">
        <v>3</v>
      </c>
      <c r="T196" s="3">
        <v>16</v>
      </c>
      <c r="Y196" s="3">
        <v>111.8</v>
      </c>
      <c r="AA196" s="2"/>
      <c r="AE196" s="3">
        <v>1090.5999999999999</v>
      </c>
      <c r="AG196" s="3">
        <v>2.99</v>
      </c>
      <c r="AI196" s="3">
        <v>0.747</v>
      </c>
      <c r="AM196" s="3">
        <v>1.49</v>
      </c>
      <c r="AR196" s="3" t="s">
        <v>65</v>
      </c>
      <c r="AS196" s="4" t="s">
        <v>109</v>
      </c>
      <c r="AT196" s="4">
        <v>47.75</v>
      </c>
      <c r="AU196" s="4" t="s">
        <v>806</v>
      </c>
      <c r="AV196" s="3" t="s">
        <v>250</v>
      </c>
      <c r="AW196" s="3" t="s">
        <v>371</v>
      </c>
    </row>
    <row r="197" spans="1:49" x14ac:dyDescent="0.15">
      <c r="A197" s="2">
        <v>196</v>
      </c>
      <c r="B197" s="2" t="s">
        <v>382</v>
      </c>
      <c r="C197" s="2" t="s">
        <v>53</v>
      </c>
      <c r="D197" s="2" t="s">
        <v>247</v>
      </c>
      <c r="E197" s="2" t="s">
        <v>238</v>
      </c>
      <c r="H197" s="2" t="s">
        <v>60</v>
      </c>
      <c r="I197" s="2" t="s">
        <v>842</v>
      </c>
      <c r="J197" s="2">
        <v>2005</v>
      </c>
      <c r="K197" s="2">
        <v>10</v>
      </c>
      <c r="N197" s="3">
        <v>250</v>
      </c>
      <c r="O197" s="3">
        <v>3</v>
      </c>
      <c r="T197" s="3">
        <v>8</v>
      </c>
      <c r="Y197" s="3">
        <v>0.86499999999999999</v>
      </c>
      <c r="AE197" s="3">
        <v>212.8</v>
      </c>
      <c r="AG197" s="3">
        <v>2.52</v>
      </c>
      <c r="AI197" s="3">
        <v>0.84099999999999997</v>
      </c>
      <c r="AM197" s="3">
        <v>0.90500000000000003</v>
      </c>
      <c r="AR197" s="3" t="s">
        <v>65</v>
      </c>
      <c r="AS197" s="4" t="s">
        <v>109</v>
      </c>
      <c r="AT197" s="4">
        <v>47.75</v>
      </c>
      <c r="AU197" s="4" t="s">
        <v>806</v>
      </c>
      <c r="AV197" s="3" t="s">
        <v>250</v>
      </c>
      <c r="AW197" s="3" t="s">
        <v>371</v>
      </c>
    </row>
    <row r="198" spans="1:49" x14ac:dyDescent="0.15">
      <c r="A198" s="2">
        <v>197</v>
      </c>
      <c r="B198" s="2" t="s">
        <v>382</v>
      </c>
      <c r="C198" s="2" t="s">
        <v>53</v>
      </c>
      <c r="D198" s="2" t="s">
        <v>247</v>
      </c>
      <c r="E198" s="2" t="s">
        <v>238</v>
      </c>
      <c r="H198" s="2" t="s">
        <v>60</v>
      </c>
      <c r="I198" s="2" t="s">
        <v>842</v>
      </c>
      <c r="J198" s="2">
        <v>2005</v>
      </c>
      <c r="K198" s="2">
        <v>10</v>
      </c>
      <c r="N198" s="3">
        <v>250</v>
      </c>
      <c r="O198" s="3">
        <v>3</v>
      </c>
      <c r="T198" s="3">
        <v>18</v>
      </c>
      <c r="Y198" s="3">
        <v>6.1820000000000004</v>
      </c>
      <c r="AE198" s="3">
        <v>545.29999999999995</v>
      </c>
      <c r="AG198" s="3">
        <v>3.68</v>
      </c>
      <c r="AI198" s="3">
        <v>0.88200000000000001</v>
      </c>
      <c r="AM198" s="3">
        <v>1.87</v>
      </c>
      <c r="AR198" s="3" t="s">
        <v>65</v>
      </c>
      <c r="AS198" s="4" t="s">
        <v>109</v>
      </c>
      <c r="AT198" s="4">
        <v>47.75</v>
      </c>
      <c r="AU198" s="4" t="s">
        <v>806</v>
      </c>
      <c r="AV198" s="3" t="s">
        <v>250</v>
      </c>
      <c r="AW198" s="3" t="s">
        <v>371</v>
      </c>
    </row>
    <row r="199" spans="1:49" x14ac:dyDescent="0.15">
      <c r="A199" s="2">
        <v>198</v>
      </c>
      <c r="B199" s="2" t="s">
        <v>382</v>
      </c>
      <c r="C199" s="2" t="s">
        <v>53</v>
      </c>
      <c r="D199" s="2" t="s">
        <v>247</v>
      </c>
      <c r="E199" s="2" t="s">
        <v>238</v>
      </c>
      <c r="H199" s="2" t="s">
        <v>60</v>
      </c>
      <c r="I199" s="2" t="s">
        <v>842</v>
      </c>
      <c r="J199" s="2">
        <v>2005</v>
      </c>
      <c r="K199" s="2">
        <v>10</v>
      </c>
      <c r="N199" s="3">
        <v>250</v>
      </c>
      <c r="O199" s="3">
        <v>3</v>
      </c>
      <c r="T199" s="3">
        <v>14</v>
      </c>
      <c r="Y199" s="3">
        <v>12.848000000000001</v>
      </c>
      <c r="AE199" s="3">
        <v>585.20000000000005</v>
      </c>
      <c r="AG199" s="3">
        <v>2.98</v>
      </c>
      <c r="AI199" s="3">
        <v>0.78200000000000003</v>
      </c>
      <c r="AM199" s="3">
        <v>1.41</v>
      </c>
      <c r="AR199" s="3" t="s">
        <v>65</v>
      </c>
      <c r="AS199" s="4" t="s">
        <v>109</v>
      </c>
      <c r="AT199" s="4">
        <v>47.75</v>
      </c>
      <c r="AU199" s="4" t="s">
        <v>806</v>
      </c>
      <c r="AV199" s="3" t="s">
        <v>250</v>
      </c>
      <c r="AW199" s="3" t="s">
        <v>371</v>
      </c>
    </row>
    <row r="200" spans="1:49" x14ac:dyDescent="0.15">
      <c r="A200" s="2">
        <v>199</v>
      </c>
      <c r="B200" s="2" t="s">
        <v>382</v>
      </c>
      <c r="C200" s="2" t="s">
        <v>53</v>
      </c>
      <c r="D200" s="2" t="s">
        <v>247</v>
      </c>
      <c r="E200" s="2" t="s">
        <v>238</v>
      </c>
      <c r="H200" s="2" t="s">
        <v>60</v>
      </c>
      <c r="I200" s="2" t="s">
        <v>842</v>
      </c>
      <c r="J200" s="2">
        <v>2005</v>
      </c>
      <c r="K200" s="2">
        <v>10</v>
      </c>
      <c r="N200" s="3">
        <v>250</v>
      </c>
      <c r="O200" s="3">
        <v>3</v>
      </c>
      <c r="T200" s="3">
        <v>5</v>
      </c>
      <c r="Y200" s="3">
        <v>0.24</v>
      </c>
      <c r="AE200" s="3">
        <v>93.1</v>
      </c>
      <c r="AG200" s="3">
        <v>2.2400000000000002</v>
      </c>
      <c r="AI200" s="3">
        <v>0.96299999999999997</v>
      </c>
      <c r="AM200" s="3">
        <v>0.61199999999999999</v>
      </c>
      <c r="AR200" s="3" t="s">
        <v>65</v>
      </c>
      <c r="AS200" s="4" t="s">
        <v>109</v>
      </c>
      <c r="AT200" s="4">
        <v>47.75</v>
      </c>
      <c r="AU200" s="4" t="s">
        <v>806</v>
      </c>
      <c r="AV200" s="3" t="s">
        <v>250</v>
      </c>
      <c r="AW200" s="3" t="s">
        <v>371</v>
      </c>
    </row>
    <row r="201" spans="1:49" x14ac:dyDescent="0.15">
      <c r="A201" s="2">
        <v>200</v>
      </c>
      <c r="B201" s="2" t="s">
        <v>382</v>
      </c>
      <c r="C201" s="2" t="s">
        <v>53</v>
      </c>
      <c r="D201" s="2" t="s">
        <v>247</v>
      </c>
      <c r="E201" s="2" t="s">
        <v>238</v>
      </c>
      <c r="H201" s="2" t="s">
        <v>60</v>
      </c>
      <c r="I201" s="2" t="s">
        <v>842</v>
      </c>
      <c r="J201" s="2">
        <v>2005</v>
      </c>
      <c r="K201" s="2">
        <v>10</v>
      </c>
      <c r="N201" s="3">
        <v>250</v>
      </c>
      <c r="O201" s="3">
        <v>3</v>
      </c>
      <c r="T201" s="3">
        <v>23</v>
      </c>
      <c r="Y201" s="3">
        <v>101.982</v>
      </c>
      <c r="AE201" s="3">
        <v>984.2</v>
      </c>
      <c r="AG201" s="3">
        <v>3.79</v>
      </c>
      <c r="AI201" s="3">
        <v>0.83799999999999997</v>
      </c>
      <c r="AM201" s="3">
        <v>2.21</v>
      </c>
      <c r="AR201" s="3" t="s">
        <v>65</v>
      </c>
      <c r="AS201" s="4" t="s">
        <v>109</v>
      </c>
      <c r="AT201" s="4">
        <v>47.75</v>
      </c>
      <c r="AU201" s="4" t="s">
        <v>806</v>
      </c>
      <c r="AV201" s="3" t="s">
        <v>250</v>
      </c>
      <c r="AW201" s="3" t="s">
        <v>371</v>
      </c>
    </row>
    <row r="202" spans="1:49" x14ac:dyDescent="0.15">
      <c r="A202" s="2">
        <v>201</v>
      </c>
      <c r="B202" s="2" t="s">
        <v>385</v>
      </c>
      <c r="C202" s="2" t="s">
        <v>110</v>
      </c>
      <c r="D202" s="2" t="s">
        <v>386</v>
      </c>
      <c r="E202" s="2" t="s">
        <v>39</v>
      </c>
      <c r="H202" s="2" t="s">
        <v>60</v>
      </c>
      <c r="I202" s="2" t="s">
        <v>25</v>
      </c>
      <c r="J202" s="2">
        <v>2006</v>
      </c>
      <c r="K202" s="2">
        <v>4</v>
      </c>
      <c r="L202" s="2">
        <v>2006</v>
      </c>
      <c r="M202" s="2">
        <v>7</v>
      </c>
      <c r="N202" s="3">
        <v>625</v>
      </c>
      <c r="O202" s="3">
        <v>18</v>
      </c>
      <c r="P202" s="2">
        <v>24</v>
      </c>
      <c r="Q202" s="2">
        <v>41</v>
      </c>
      <c r="R202" s="2">
        <v>8</v>
      </c>
      <c r="S202" s="2">
        <v>2</v>
      </c>
      <c r="T202" s="3">
        <v>96</v>
      </c>
      <c r="U202" s="3">
        <v>1283.8900000000001</v>
      </c>
      <c r="V202" s="3">
        <v>197.84</v>
      </c>
      <c r="W202" s="3">
        <v>2.91</v>
      </c>
      <c r="Y202" s="3">
        <v>2556.8200000000002</v>
      </c>
      <c r="AA202" s="3">
        <v>21149</v>
      </c>
      <c r="AB202" s="3">
        <v>348</v>
      </c>
      <c r="AC202" s="3">
        <v>36</v>
      </c>
      <c r="AE202" s="3">
        <v>21579</v>
      </c>
      <c r="AR202" s="3" t="s">
        <v>66</v>
      </c>
      <c r="AS202" s="4" t="s">
        <v>111</v>
      </c>
      <c r="AT202" s="4">
        <v>47.75</v>
      </c>
      <c r="AU202" s="4" t="s">
        <v>806</v>
      </c>
      <c r="AW202" s="3" t="s">
        <v>379</v>
      </c>
    </row>
    <row r="203" spans="1:49" x14ac:dyDescent="0.15">
      <c r="A203" s="2">
        <v>202</v>
      </c>
      <c r="B203" s="2" t="s">
        <v>387</v>
      </c>
      <c r="C203" s="2" t="s">
        <v>76</v>
      </c>
      <c r="D203" s="2" t="s">
        <v>76</v>
      </c>
      <c r="E203" s="2" t="s">
        <v>39</v>
      </c>
      <c r="H203" s="2" t="s">
        <v>70</v>
      </c>
      <c r="I203" s="2" t="s">
        <v>76</v>
      </c>
      <c r="J203" s="2">
        <v>1997</v>
      </c>
      <c r="K203" s="2">
        <v>6</v>
      </c>
      <c r="L203" s="2">
        <v>1998</v>
      </c>
      <c r="M203" s="2">
        <v>7</v>
      </c>
      <c r="N203" s="3">
        <v>1000</v>
      </c>
      <c r="O203" s="3">
        <f>63*2</f>
        <v>126</v>
      </c>
      <c r="P203" s="2">
        <v>38</v>
      </c>
      <c r="Q203" s="2">
        <v>30</v>
      </c>
      <c r="R203" s="2">
        <v>31</v>
      </c>
      <c r="S203" s="2">
        <v>16</v>
      </c>
      <c r="T203" s="3">
        <v>138</v>
      </c>
      <c r="U203" s="3">
        <v>3.17</v>
      </c>
      <c r="V203" s="3">
        <v>17.920000000000002</v>
      </c>
      <c r="W203" s="3">
        <v>11.44</v>
      </c>
      <c r="X203" s="3">
        <v>17.14</v>
      </c>
      <c r="Y203" s="3">
        <v>53.15</v>
      </c>
      <c r="AA203" s="3">
        <v>16</v>
      </c>
      <c r="AB203" s="3">
        <v>48.2</v>
      </c>
      <c r="AC203" s="3">
        <v>99.3</v>
      </c>
      <c r="AD203" s="3">
        <v>68.7</v>
      </c>
      <c r="AE203" s="3">
        <v>236.9</v>
      </c>
      <c r="AR203" s="3" t="s">
        <v>85</v>
      </c>
      <c r="AS203" s="3" t="s">
        <v>112</v>
      </c>
      <c r="AT203" s="3">
        <v>43.5</v>
      </c>
      <c r="AU203" s="3" t="s">
        <v>112</v>
      </c>
      <c r="AW203" s="3" t="s">
        <v>379</v>
      </c>
    </row>
    <row r="204" spans="1:49" x14ac:dyDescent="0.15">
      <c r="A204" s="2">
        <v>203</v>
      </c>
      <c r="B204" s="2" t="s">
        <v>387</v>
      </c>
      <c r="C204" s="2" t="s">
        <v>76</v>
      </c>
      <c r="D204" s="2" t="s">
        <v>76</v>
      </c>
      <c r="E204" s="2" t="s">
        <v>39</v>
      </c>
      <c r="H204" s="2" t="s">
        <v>60</v>
      </c>
      <c r="I204" s="2" t="s">
        <v>76</v>
      </c>
      <c r="J204" s="2">
        <v>1998</v>
      </c>
      <c r="K204" s="2">
        <v>7</v>
      </c>
      <c r="N204" s="3">
        <v>1000</v>
      </c>
      <c r="O204" s="3">
        <f t="shared" ref="O204:O208" si="5">63*2</f>
        <v>126</v>
      </c>
      <c r="P204" s="2">
        <v>38</v>
      </c>
      <c r="Q204" s="2">
        <v>30</v>
      </c>
      <c r="R204" s="2">
        <v>31</v>
      </c>
      <c r="S204" s="2">
        <v>16</v>
      </c>
      <c r="T204" s="3">
        <v>138</v>
      </c>
      <c r="U204" s="3">
        <v>3.17</v>
      </c>
      <c r="V204" s="3">
        <v>17.920000000000002</v>
      </c>
      <c r="W204" s="3">
        <v>11.44</v>
      </c>
      <c r="X204" s="3">
        <v>17.14</v>
      </c>
      <c r="Y204" s="3">
        <v>53.15</v>
      </c>
      <c r="AA204" s="3">
        <v>16</v>
      </c>
      <c r="AB204" s="3">
        <v>48.2</v>
      </c>
      <c r="AC204" s="3">
        <v>99.3</v>
      </c>
      <c r="AD204" s="3">
        <v>68.7</v>
      </c>
      <c r="AE204" s="3">
        <v>236.9</v>
      </c>
      <c r="AR204" s="3" t="s">
        <v>85</v>
      </c>
      <c r="AS204" s="3" t="s">
        <v>86</v>
      </c>
      <c r="AT204" s="3">
        <v>43.5</v>
      </c>
      <c r="AU204" s="3" t="s">
        <v>86</v>
      </c>
      <c r="AW204" s="3" t="s">
        <v>379</v>
      </c>
    </row>
    <row r="205" spans="1:49" x14ac:dyDescent="0.15">
      <c r="A205" s="2">
        <v>204</v>
      </c>
      <c r="B205" s="2" t="s">
        <v>387</v>
      </c>
      <c r="C205" s="2" t="s">
        <v>55</v>
      </c>
      <c r="D205" s="2" t="s">
        <v>55</v>
      </c>
      <c r="E205" s="2" t="s">
        <v>39</v>
      </c>
      <c r="H205" s="2" t="s">
        <v>60</v>
      </c>
      <c r="I205" s="2" t="s">
        <v>55</v>
      </c>
      <c r="J205" s="2">
        <v>1997</v>
      </c>
      <c r="K205" s="2">
        <v>6</v>
      </c>
      <c r="L205" s="2">
        <v>1998</v>
      </c>
      <c r="M205" s="2">
        <v>7</v>
      </c>
      <c r="N205" s="3">
        <v>1000</v>
      </c>
      <c r="O205" s="3">
        <f t="shared" si="5"/>
        <v>126</v>
      </c>
      <c r="P205" s="2">
        <v>27</v>
      </c>
      <c r="Q205" s="2">
        <v>18</v>
      </c>
      <c r="R205" s="2">
        <v>25</v>
      </c>
      <c r="S205" s="2">
        <v>15</v>
      </c>
      <c r="T205" s="3">
        <v>107</v>
      </c>
      <c r="U205" s="3">
        <v>6.27</v>
      </c>
      <c r="V205" s="3">
        <v>9.2200000000000006</v>
      </c>
      <c r="W205" s="3">
        <v>29.51</v>
      </c>
      <c r="X205" s="3">
        <v>58.37</v>
      </c>
      <c r="Y205" s="3">
        <v>106.1</v>
      </c>
      <c r="AA205" s="3">
        <v>28.1</v>
      </c>
      <c r="AB205" s="3">
        <v>26.3</v>
      </c>
      <c r="AC205" s="3">
        <v>427.5</v>
      </c>
      <c r="AD205" s="3">
        <v>27.2</v>
      </c>
      <c r="AE205" s="3">
        <v>511</v>
      </c>
      <c r="AR205" s="3" t="s">
        <v>85</v>
      </c>
      <c r="AS205" s="4" t="s">
        <v>113</v>
      </c>
      <c r="AT205" s="4">
        <v>43.5</v>
      </c>
      <c r="AU205" s="4" t="s">
        <v>86</v>
      </c>
      <c r="AW205" s="3" t="s">
        <v>379</v>
      </c>
    </row>
    <row r="206" spans="1:49" x14ac:dyDescent="0.15">
      <c r="A206" s="2">
        <v>205</v>
      </c>
      <c r="B206" s="2" t="s">
        <v>387</v>
      </c>
      <c r="C206" s="2" t="s">
        <v>55</v>
      </c>
      <c r="D206" s="2" t="s">
        <v>55</v>
      </c>
      <c r="E206" s="2" t="s">
        <v>39</v>
      </c>
      <c r="H206" s="2" t="s">
        <v>60</v>
      </c>
      <c r="I206" s="2" t="s">
        <v>55</v>
      </c>
      <c r="J206" s="2">
        <v>1998</v>
      </c>
      <c r="K206" s="2">
        <v>7</v>
      </c>
      <c r="N206" s="3">
        <v>1000</v>
      </c>
      <c r="O206" s="3">
        <f t="shared" si="5"/>
        <v>126</v>
      </c>
      <c r="P206" s="2">
        <v>27</v>
      </c>
      <c r="Q206" s="2">
        <v>18</v>
      </c>
      <c r="R206" s="2">
        <v>25</v>
      </c>
      <c r="S206" s="2">
        <v>15</v>
      </c>
      <c r="T206" s="3">
        <v>107</v>
      </c>
      <c r="U206" s="3">
        <v>6.27</v>
      </c>
      <c r="V206" s="3">
        <v>9.2200000000000006</v>
      </c>
      <c r="W206" s="3">
        <v>29.51</v>
      </c>
      <c r="X206" s="3">
        <v>58.37</v>
      </c>
      <c r="Y206" s="3">
        <v>106.1</v>
      </c>
      <c r="AA206" s="3">
        <v>28.1</v>
      </c>
      <c r="AB206" s="3">
        <v>26.3</v>
      </c>
      <c r="AC206" s="3">
        <v>427.5</v>
      </c>
      <c r="AD206" s="3">
        <v>27.2</v>
      </c>
      <c r="AE206" s="3">
        <v>511</v>
      </c>
      <c r="AR206" s="3" t="s">
        <v>85</v>
      </c>
      <c r="AS206" s="3" t="s">
        <v>251</v>
      </c>
      <c r="AT206" s="4">
        <v>43.5</v>
      </c>
      <c r="AU206" s="4" t="s">
        <v>86</v>
      </c>
      <c r="AW206" s="3" t="s">
        <v>379</v>
      </c>
    </row>
    <row r="207" spans="1:49" x14ac:dyDescent="0.15">
      <c r="A207" s="2">
        <v>206</v>
      </c>
      <c r="B207" s="2" t="s">
        <v>387</v>
      </c>
      <c r="C207" s="2" t="s">
        <v>55</v>
      </c>
      <c r="D207" s="2" t="s">
        <v>55</v>
      </c>
      <c r="E207" s="2" t="s">
        <v>39</v>
      </c>
      <c r="H207" s="2" t="s">
        <v>60</v>
      </c>
      <c r="I207" s="2" t="s">
        <v>55</v>
      </c>
      <c r="J207" s="2">
        <v>1997</v>
      </c>
      <c r="K207" s="2">
        <v>6</v>
      </c>
      <c r="L207" s="2">
        <v>1998</v>
      </c>
      <c r="M207" s="2">
        <v>7</v>
      </c>
      <c r="N207" s="3">
        <v>1000</v>
      </c>
      <c r="O207" s="3">
        <f t="shared" si="5"/>
        <v>126</v>
      </c>
      <c r="P207" s="2">
        <v>52</v>
      </c>
      <c r="Q207" s="2">
        <v>29</v>
      </c>
      <c r="R207" s="2">
        <v>17</v>
      </c>
      <c r="S207" s="2">
        <v>10</v>
      </c>
      <c r="T207" s="3">
        <v>136</v>
      </c>
      <c r="U207" s="3">
        <v>3.21</v>
      </c>
      <c r="V207" s="3">
        <v>3.31</v>
      </c>
      <c r="W207" s="3">
        <v>5.92</v>
      </c>
      <c r="X207" s="3">
        <v>0.59</v>
      </c>
      <c r="Y207" s="3">
        <v>13.36</v>
      </c>
      <c r="AA207" s="3">
        <v>38.1</v>
      </c>
      <c r="AB207" s="3">
        <v>14.4</v>
      </c>
      <c r="AC207" s="3">
        <v>72.5</v>
      </c>
      <c r="AD207" s="3">
        <v>3.1</v>
      </c>
      <c r="AE207" s="3">
        <v>129.4</v>
      </c>
      <c r="AR207" s="3" t="s">
        <v>85</v>
      </c>
      <c r="AS207" s="4" t="s">
        <v>114</v>
      </c>
      <c r="AT207" s="4">
        <v>43.5</v>
      </c>
      <c r="AU207" s="4" t="s">
        <v>86</v>
      </c>
      <c r="AW207" s="3" t="s">
        <v>379</v>
      </c>
    </row>
    <row r="208" spans="1:49" x14ac:dyDescent="0.15">
      <c r="A208" s="2">
        <v>207</v>
      </c>
      <c r="B208" s="2" t="s">
        <v>387</v>
      </c>
      <c r="C208" s="2" t="s">
        <v>55</v>
      </c>
      <c r="D208" s="2" t="s">
        <v>55</v>
      </c>
      <c r="E208" s="2" t="s">
        <v>39</v>
      </c>
      <c r="H208" s="2" t="s">
        <v>60</v>
      </c>
      <c r="I208" s="2" t="s">
        <v>55</v>
      </c>
      <c r="J208" s="2">
        <v>1998</v>
      </c>
      <c r="K208" s="2">
        <v>7</v>
      </c>
      <c r="N208" s="3">
        <v>1000</v>
      </c>
      <c r="O208" s="3">
        <f t="shared" si="5"/>
        <v>126</v>
      </c>
      <c r="P208" s="2">
        <v>52</v>
      </c>
      <c r="Q208" s="2">
        <v>29</v>
      </c>
      <c r="R208" s="2">
        <v>17</v>
      </c>
      <c r="S208" s="2">
        <v>10</v>
      </c>
      <c r="T208" s="3">
        <v>136</v>
      </c>
      <c r="U208" s="3">
        <v>3.21</v>
      </c>
      <c r="V208" s="3">
        <v>3.31</v>
      </c>
      <c r="W208" s="3">
        <v>5.92</v>
      </c>
      <c r="X208" s="3">
        <v>0.59</v>
      </c>
      <c r="Y208" s="3">
        <v>13.36</v>
      </c>
      <c r="AA208" s="3">
        <v>38.1</v>
      </c>
      <c r="AB208" s="3">
        <v>14.4</v>
      </c>
      <c r="AC208" s="3">
        <v>72.5</v>
      </c>
      <c r="AD208" s="3">
        <v>3.1</v>
      </c>
      <c r="AE208" s="3">
        <v>129.4</v>
      </c>
      <c r="AR208" s="3" t="s">
        <v>85</v>
      </c>
      <c r="AS208" s="4" t="s">
        <v>114</v>
      </c>
      <c r="AT208" s="4">
        <v>43.5</v>
      </c>
      <c r="AU208" s="4" t="s">
        <v>86</v>
      </c>
      <c r="AW208" s="3" t="s">
        <v>379</v>
      </c>
    </row>
    <row r="209" spans="1:49" x14ac:dyDescent="0.15">
      <c r="A209" s="2">
        <v>208</v>
      </c>
      <c r="B209" s="2" t="s">
        <v>388</v>
      </c>
      <c r="C209" s="2" t="s">
        <v>116</v>
      </c>
      <c r="D209" s="2" t="s">
        <v>115</v>
      </c>
      <c r="E209" s="2" t="s">
        <v>39</v>
      </c>
      <c r="H209" s="2" t="s">
        <v>60</v>
      </c>
      <c r="I209" s="2" t="s">
        <v>25</v>
      </c>
      <c r="J209" s="2">
        <v>2003</v>
      </c>
      <c r="K209" s="2">
        <v>4</v>
      </c>
      <c r="N209" s="3">
        <v>1000</v>
      </c>
      <c r="O209" s="3">
        <v>18</v>
      </c>
      <c r="P209" s="2">
        <v>7</v>
      </c>
      <c r="Q209" s="2">
        <v>1</v>
      </c>
      <c r="R209" s="2">
        <v>2</v>
      </c>
      <c r="S209" s="2">
        <v>2</v>
      </c>
      <c r="T209" s="3">
        <v>18</v>
      </c>
      <c r="V209" s="3">
        <v>0.44</v>
      </c>
      <c r="W209" s="3">
        <v>0.06</v>
      </c>
      <c r="X209" s="3">
        <v>0</v>
      </c>
      <c r="Y209" s="3">
        <v>0.5</v>
      </c>
      <c r="AA209" s="3">
        <v>0</v>
      </c>
      <c r="AB209" s="3">
        <v>0</v>
      </c>
      <c r="AC209" s="3">
        <v>8</v>
      </c>
      <c r="AD209" s="3">
        <v>0</v>
      </c>
      <c r="AE209" s="3">
        <v>28</v>
      </c>
      <c r="AG209" s="3">
        <v>1</v>
      </c>
      <c r="AR209" s="3" t="s">
        <v>60</v>
      </c>
      <c r="AS209" s="4" t="s">
        <v>109</v>
      </c>
      <c r="AT209" s="4">
        <v>47.75</v>
      </c>
      <c r="AU209" s="4" t="s">
        <v>806</v>
      </c>
      <c r="AW209" s="3" t="s">
        <v>371</v>
      </c>
    </row>
    <row r="210" spans="1:49" x14ac:dyDescent="0.15">
      <c r="A210" s="2">
        <v>209</v>
      </c>
      <c r="B210" s="2" t="s">
        <v>388</v>
      </c>
      <c r="C210" s="2" t="s">
        <v>117</v>
      </c>
      <c r="D210" s="2" t="s">
        <v>115</v>
      </c>
      <c r="E210" s="2" t="s">
        <v>39</v>
      </c>
      <c r="H210" s="2" t="s">
        <v>60</v>
      </c>
      <c r="I210" s="2" t="s">
        <v>25</v>
      </c>
      <c r="J210" s="2">
        <v>2003</v>
      </c>
      <c r="K210" s="2">
        <v>4</v>
      </c>
      <c r="N210" s="3">
        <v>1000</v>
      </c>
      <c r="O210" s="3">
        <v>51</v>
      </c>
      <c r="P210" s="2">
        <v>28</v>
      </c>
      <c r="Q210" s="2">
        <v>18</v>
      </c>
      <c r="R210" s="2">
        <v>17</v>
      </c>
      <c r="S210" s="2">
        <v>6</v>
      </c>
      <c r="T210" s="3">
        <v>94</v>
      </c>
      <c r="U210" s="3">
        <v>1.52</v>
      </c>
      <c r="V210" s="3">
        <v>1.71</v>
      </c>
      <c r="W210" s="3">
        <v>2.3199999999999998</v>
      </c>
      <c r="X210" s="3">
        <v>6.41</v>
      </c>
      <c r="Y210" s="3">
        <v>27.47</v>
      </c>
      <c r="AA210" s="3">
        <v>3.1</v>
      </c>
      <c r="AB210" s="3">
        <v>3.6</v>
      </c>
      <c r="AC210" s="3">
        <v>66.900000000000006</v>
      </c>
      <c r="AD210" s="3">
        <v>6.3</v>
      </c>
      <c r="AE210" s="3">
        <v>87.5</v>
      </c>
      <c r="AG210" s="3">
        <v>1.84</v>
      </c>
      <c r="AH210" s="3">
        <v>0.66</v>
      </c>
      <c r="AR210" s="3" t="s">
        <v>60</v>
      </c>
      <c r="AS210" s="4" t="s">
        <v>120</v>
      </c>
      <c r="AT210" s="4">
        <v>47.75</v>
      </c>
      <c r="AU210" s="4" t="s">
        <v>806</v>
      </c>
      <c r="AW210" s="3" t="s">
        <v>371</v>
      </c>
    </row>
    <row r="211" spans="1:49" x14ac:dyDescent="0.15">
      <c r="A211" s="2">
        <v>210</v>
      </c>
      <c r="B211" s="2" t="s">
        <v>388</v>
      </c>
      <c r="C211" s="2" t="s">
        <v>118</v>
      </c>
      <c r="D211" s="2" t="s">
        <v>115</v>
      </c>
      <c r="E211" s="2" t="s">
        <v>39</v>
      </c>
      <c r="H211" s="2" t="s">
        <v>60</v>
      </c>
      <c r="I211" s="2" t="s">
        <v>25</v>
      </c>
      <c r="J211" s="2">
        <v>2003</v>
      </c>
      <c r="K211" s="2">
        <v>4</v>
      </c>
      <c r="N211" s="3">
        <v>1000</v>
      </c>
      <c r="O211" s="3">
        <v>18</v>
      </c>
      <c r="P211" s="2">
        <v>15</v>
      </c>
      <c r="Q211" s="2">
        <v>11</v>
      </c>
      <c r="R211" s="2">
        <v>13</v>
      </c>
      <c r="S211" s="2">
        <v>3</v>
      </c>
      <c r="T211" s="3">
        <v>50</v>
      </c>
      <c r="U211" s="3">
        <v>0.3</v>
      </c>
      <c r="V211" s="3">
        <v>0.06</v>
      </c>
      <c r="W211" s="3">
        <v>1.24</v>
      </c>
      <c r="X211" s="3">
        <v>3.33</v>
      </c>
      <c r="Y211" s="3">
        <v>4.93</v>
      </c>
      <c r="AA211" s="3">
        <v>0</v>
      </c>
      <c r="AB211" s="3">
        <v>0</v>
      </c>
      <c r="AC211" s="3">
        <v>71.400000000000006</v>
      </c>
      <c r="AD211" s="3">
        <v>2.9</v>
      </c>
      <c r="AE211" s="3">
        <v>78.599999999999994</v>
      </c>
      <c r="AG211" s="3">
        <v>1.93</v>
      </c>
      <c r="AH211" s="3">
        <v>0.57999999999999996</v>
      </c>
      <c r="AR211" s="3" t="s">
        <v>60</v>
      </c>
      <c r="AS211" s="3" t="s">
        <v>252</v>
      </c>
      <c r="AT211" s="3">
        <v>43.5</v>
      </c>
      <c r="AU211" s="3" t="s">
        <v>86</v>
      </c>
      <c r="AW211" s="3" t="s">
        <v>371</v>
      </c>
    </row>
    <row r="212" spans="1:49" x14ac:dyDescent="0.15">
      <c r="A212" s="2">
        <v>211</v>
      </c>
      <c r="B212" s="2" t="s">
        <v>388</v>
      </c>
      <c r="C212" s="2" t="s">
        <v>119</v>
      </c>
      <c r="D212" s="2" t="s">
        <v>115</v>
      </c>
      <c r="E212" s="2" t="s">
        <v>39</v>
      </c>
      <c r="H212" s="2" t="s">
        <v>60</v>
      </c>
      <c r="I212" s="2" t="s">
        <v>25</v>
      </c>
      <c r="J212" s="2">
        <v>2003</v>
      </c>
      <c r="K212" s="2">
        <v>4</v>
      </c>
      <c r="N212" s="3">
        <v>1000</v>
      </c>
      <c r="O212" s="3">
        <v>18</v>
      </c>
      <c r="P212" s="2">
        <v>22</v>
      </c>
      <c r="Q212" s="2">
        <v>21</v>
      </c>
      <c r="R212" s="2">
        <v>10</v>
      </c>
      <c r="S212" s="2">
        <v>6</v>
      </c>
      <c r="T212" s="3">
        <v>75</v>
      </c>
      <c r="U212" s="3">
        <v>0.4</v>
      </c>
      <c r="V212" s="3">
        <v>7.01</v>
      </c>
      <c r="W212" s="3">
        <v>2.15</v>
      </c>
      <c r="X212" s="3">
        <v>11.1</v>
      </c>
      <c r="Y212" s="3">
        <v>28.92</v>
      </c>
      <c r="AA212" s="3">
        <v>13.8</v>
      </c>
      <c r="AB212" s="3">
        <v>9.6</v>
      </c>
      <c r="AC212" s="3">
        <v>113</v>
      </c>
      <c r="AD212" s="3">
        <v>5</v>
      </c>
      <c r="AE212" s="3">
        <v>144.30000000000001</v>
      </c>
      <c r="AG212" s="3">
        <v>1.91</v>
      </c>
      <c r="AH212" s="3">
        <v>0.7</v>
      </c>
      <c r="AR212" s="3" t="s">
        <v>60</v>
      </c>
      <c r="AS212" s="3" t="s">
        <v>86</v>
      </c>
      <c r="AT212" s="3">
        <v>43.5</v>
      </c>
      <c r="AU212" s="3" t="s">
        <v>86</v>
      </c>
      <c r="AW212" s="3" t="s">
        <v>371</v>
      </c>
    </row>
    <row r="213" spans="1:49" x14ac:dyDescent="0.15">
      <c r="A213" s="2">
        <v>212</v>
      </c>
      <c r="B213" s="2" t="s">
        <v>388</v>
      </c>
      <c r="C213" s="2" t="s">
        <v>115</v>
      </c>
      <c r="D213" s="2" t="s">
        <v>115</v>
      </c>
      <c r="E213" s="2" t="s">
        <v>39</v>
      </c>
      <c r="H213" s="2" t="s">
        <v>60</v>
      </c>
      <c r="I213" s="2" t="s">
        <v>25</v>
      </c>
      <c r="J213" s="2">
        <v>2003</v>
      </c>
      <c r="K213" s="2">
        <v>4</v>
      </c>
      <c r="N213" s="3">
        <v>1000</v>
      </c>
      <c r="O213" s="3">
        <v>105</v>
      </c>
      <c r="P213" s="2">
        <v>36</v>
      </c>
      <c r="Q213" s="2">
        <v>29</v>
      </c>
      <c r="R213" s="2">
        <v>22</v>
      </c>
      <c r="S213" s="2">
        <v>9</v>
      </c>
      <c r="T213" s="3">
        <v>126</v>
      </c>
      <c r="U213" s="3">
        <v>0.34</v>
      </c>
      <c r="V213" s="3">
        <v>2.39</v>
      </c>
      <c r="W213" s="3">
        <v>1.05</v>
      </c>
      <c r="X213" s="3">
        <v>5.98</v>
      </c>
      <c r="Y213" s="3">
        <v>18.46</v>
      </c>
      <c r="AA213" s="3">
        <v>5</v>
      </c>
      <c r="AB213" s="3">
        <v>8.6</v>
      </c>
      <c r="AC213" s="3">
        <v>69.7</v>
      </c>
      <c r="AD213" s="3">
        <v>4.4000000000000004</v>
      </c>
      <c r="AE213" s="3">
        <v>89.1</v>
      </c>
      <c r="AG213" s="3">
        <v>1.88</v>
      </c>
      <c r="AH213" s="3">
        <v>0.63</v>
      </c>
      <c r="AR213" s="3" t="s">
        <v>60</v>
      </c>
      <c r="AS213" s="4" t="s">
        <v>109</v>
      </c>
      <c r="AT213" s="4">
        <v>47.75</v>
      </c>
      <c r="AU213" s="4" t="s">
        <v>806</v>
      </c>
      <c r="AW213" s="3" t="s">
        <v>371</v>
      </c>
    </row>
    <row r="214" spans="1:49" x14ac:dyDescent="0.15">
      <c r="A214" s="2">
        <v>213</v>
      </c>
      <c r="B214" s="2" t="s">
        <v>389</v>
      </c>
      <c r="C214" s="2" t="s">
        <v>89</v>
      </c>
      <c r="D214" s="2" t="s">
        <v>115</v>
      </c>
      <c r="E214" s="2" t="s">
        <v>122</v>
      </c>
      <c r="G214" s="2">
        <v>10</v>
      </c>
      <c r="H214" s="2" t="s">
        <v>90</v>
      </c>
      <c r="I214" s="2" t="s">
        <v>72</v>
      </c>
      <c r="J214" s="2">
        <v>2006</v>
      </c>
      <c r="K214" s="2">
        <v>2</v>
      </c>
      <c r="L214" s="2">
        <v>2006</v>
      </c>
      <c r="M214" s="2">
        <v>10</v>
      </c>
      <c r="N214" s="3">
        <v>1000</v>
      </c>
      <c r="O214" s="3">
        <v>80</v>
      </c>
      <c r="P214" s="2">
        <v>7</v>
      </c>
      <c r="Q214" s="2">
        <v>10</v>
      </c>
      <c r="R214" s="2">
        <v>3</v>
      </c>
      <c r="T214" s="3">
        <v>23</v>
      </c>
      <c r="AG214" s="3">
        <v>2.0499999999999998</v>
      </c>
      <c r="AH214" s="3">
        <v>0.28999999999999998</v>
      </c>
      <c r="AI214" s="3">
        <v>0.83</v>
      </c>
      <c r="AJ214" s="3">
        <v>0.06</v>
      </c>
      <c r="AK214" s="3">
        <v>0.19</v>
      </c>
      <c r="AL214" s="3">
        <v>0.05</v>
      </c>
      <c r="AR214" s="3" t="s">
        <v>60</v>
      </c>
      <c r="AT214" s="4">
        <v>47.75</v>
      </c>
      <c r="AU214" s="4" t="s">
        <v>806</v>
      </c>
      <c r="AW214" s="3" t="s">
        <v>371</v>
      </c>
    </row>
    <row r="215" spans="1:49" x14ac:dyDescent="0.15">
      <c r="A215" s="2">
        <v>214</v>
      </c>
      <c r="B215" s="2" t="s">
        <v>389</v>
      </c>
      <c r="C215" s="2" t="s">
        <v>89</v>
      </c>
      <c r="D215" s="2" t="s">
        <v>115</v>
      </c>
      <c r="E215" s="2" t="s">
        <v>39</v>
      </c>
      <c r="H215" s="2" t="s">
        <v>90</v>
      </c>
      <c r="I215" s="2" t="s">
        <v>25</v>
      </c>
      <c r="J215" s="2">
        <v>2006</v>
      </c>
      <c r="K215" s="2">
        <v>2</v>
      </c>
      <c r="L215" s="2">
        <v>2006</v>
      </c>
      <c r="M215" s="2">
        <v>10</v>
      </c>
      <c r="N215" s="3">
        <v>1000</v>
      </c>
      <c r="O215" s="3">
        <v>80</v>
      </c>
      <c r="P215" s="2">
        <v>7</v>
      </c>
      <c r="Q215" s="2">
        <v>10</v>
      </c>
      <c r="R215" s="2">
        <v>5</v>
      </c>
      <c r="T215" s="3">
        <v>26</v>
      </c>
      <c r="AG215" s="3">
        <v>2.3199999999999998</v>
      </c>
      <c r="AH215" s="3">
        <v>0.48</v>
      </c>
      <c r="AI215" s="3">
        <v>0.89</v>
      </c>
      <c r="AJ215" s="3">
        <v>0.05</v>
      </c>
      <c r="AK215" s="3">
        <v>0.11</v>
      </c>
      <c r="AL215" s="3">
        <v>0.06</v>
      </c>
      <c r="AR215" s="3" t="s">
        <v>60</v>
      </c>
      <c r="AT215" s="4">
        <v>47.75</v>
      </c>
      <c r="AU215" s="4" t="s">
        <v>806</v>
      </c>
      <c r="AW215" s="3" t="s">
        <v>371</v>
      </c>
    </row>
    <row r="216" spans="1:49" x14ac:dyDescent="0.15">
      <c r="A216" s="2">
        <v>215</v>
      </c>
      <c r="B216" s="2" t="s">
        <v>390</v>
      </c>
      <c r="C216" s="2" t="s">
        <v>97</v>
      </c>
      <c r="D216" s="2" t="s">
        <v>294</v>
      </c>
      <c r="E216" s="2" t="s">
        <v>39</v>
      </c>
      <c r="H216" s="2" t="s">
        <v>60</v>
      </c>
      <c r="I216" s="2" t="s">
        <v>55</v>
      </c>
      <c r="J216" s="2">
        <v>2007</v>
      </c>
      <c r="K216" s="2">
        <v>1</v>
      </c>
      <c r="L216" s="2">
        <v>2007</v>
      </c>
      <c r="M216" s="2">
        <v>10</v>
      </c>
      <c r="N216" s="3">
        <v>2500</v>
      </c>
      <c r="O216" s="3">
        <v>24</v>
      </c>
      <c r="P216" s="2">
        <v>33</v>
      </c>
      <c r="Q216" s="2">
        <v>28</v>
      </c>
      <c r="R216" s="2">
        <v>22</v>
      </c>
      <c r="S216" s="2">
        <v>2</v>
      </c>
      <c r="T216" s="3">
        <v>92</v>
      </c>
      <c r="U216" s="3">
        <f>W216/2</f>
        <v>2.5449999999999999</v>
      </c>
      <c r="V216" s="3">
        <v>72.739999999999995</v>
      </c>
      <c r="W216" s="3">
        <v>5.09</v>
      </c>
      <c r="Y216" s="3">
        <v>81.739999999999995</v>
      </c>
      <c r="AA216" s="3">
        <v>98</v>
      </c>
      <c r="AB216" s="3">
        <v>182</v>
      </c>
      <c r="AC216" s="3">
        <v>49</v>
      </c>
      <c r="AE216" s="3">
        <v>329.6</v>
      </c>
      <c r="AG216" s="3">
        <v>2.0499999999999998</v>
      </c>
      <c r="AH216" s="3">
        <v>0.68</v>
      </c>
      <c r="AI216" s="3">
        <v>0.66</v>
      </c>
      <c r="AJ216" s="3">
        <v>0.23</v>
      </c>
      <c r="AM216" s="3">
        <v>1.54</v>
      </c>
      <c r="AN216" s="3">
        <v>0.4</v>
      </c>
      <c r="AR216" s="3" t="s">
        <v>60</v>
      </c>
      <c r="AS216" s="4" t="s">
        <v>98</v>
      </c>
      <c r="AT216" s="4">
        <v>47.75</v>
      </c>
      <c r="AU216" s="4" t="s">
        <v>806</v>
      </c>
      <c r="AV216" s="4" t="s">
        <v>392</v>
      </c>
      <c r="AW216" s="3" t="s">
        <v>371</v>
      </c>
    </row>
    <row r="217" spans="1:49" x14ac:dyDescent="0.15">
      <c r="A217" s="2">
        <v>216</v>
      </c>
      <c r="B217" s="2" t="s">
        <v>390</v>
      </c>
      <c r="C217" s="2" t="s">
        <v>97</v>
      </c>
      <c r="D217" s="2" t="s">
        <v>294</v>
      </c>
      <c r="E217" s="2" t="s">
        <v>39</v>
      </c>
      <c r="H217" s="2" t="s">
        <v>60</v>
      </c>
      <c r="I217" s="2" t="s">
        <v>55</v>
      </c>
      <c r="J217" s="2">
        <v>2007</v>
      </c>
      <c r="K217" s="2">
        <v>1</v>
      </c>
      <c r="N217" s="3">
        <v>2500</v>
      </c>
      <c r="O217" s="3">
        <v>6</v>
      </c>
      <c r="P217" s="2">
        <v>7</v>
      </c>
      <c r="Q217" s="2">
        <v>6</v>
      </c>
      <c r="R217" s="2">
        <v>6</v>
      </c>
      <c r="T217" s="3">
        <v>20</v>
      </c>
      <c r="U217" s="3">
        <f>47.3-45.3</f>
        <v>2</v>
      </c>
      <c r="V217" s="3">
        <f>45.3-6.34</f>
        <v>38.959999999999994</v>
      </c>
      <c r="W217" s="3">
        <v>6.34</v>
      </c>
      <c r="Y217" s="3">
        <v>47.3</v>
      </c>
      <c r="AA217" s="3">
        <v>23.200000000000003</v>
      </c>
      <c r="AB217" s="3">
        <v>56.800000000000004</v>
      </c>
      <c r="AC217" s="3">
        <v>14.4</v>
      </c>
      <c r="AD217" s="3">
        <v>0</v>
      </c>
      <c r="AE217" s="3">
        <v>94.4</v>
      </c>
      <c r="AG217" s="3">
        <v>2.16</v>
      </c>
      <c r="AH217" s="3">
        <v>0.7</v>
      </c>
      <c r="AI217" s="3">
        <v>0.8</v>
      </c>
      <c r="AJ217" s="3">
        <v>0.17</v>
      </c>
      <c r="AM217" s="3">
        <v>1.36</v>
      </c>
      <c r="AN217" s="3">
        <v>0.43</v>
      </c>
      <c r="AR217" s="3" t="s">
        <v>60</v>
      </c>
      <c r="AS217" s="4" t="s">
        <v>98</v>
      </c>
      <c r="AT217" s="4">
        <v>47.75</v>
      </c>
      <c r="AU217" s="4" t="s">
        <v>806</v>
      </c>
      <c r="AV217" s="4" t="s">
        <v>392</v>
      </c>
      <c r="AW217" s="3" t="s">
        <v>371</v>
      </c>
    </row>
    <row r="218" spans="1:49" x14ac:dyDescent="0.15">
      <c r="A218" s="2">
        <v>217</v>
      </c>
      <c r="B218" s="2" t="s">
        <v>390</v>
      </c>
      <c r="C218" s="2" t="s">
        <v>97</v>
      </c>
      <c r="D218" s="2" t="s">
        <v>294</v>
      </c>
      <c r="E218" s="2" t="s">
        <v>39</v>
      </c>
      <c r="H218" s="2" t="s">
        <v>60</v>
      </c>
      <c r="I218" s="2" t="s">
        <v>55</v>
      </c>
      <c r="J218" s="2">
        <v>2007</v>
      </c>
      <c r="K218" s="2">
        <v>4</v>
      </c>
      <c r="N218" s="3">
        <v>2500</v>
      </c>
      <c r="O218" s="3">
        <v>6</v>
      </c>
      <c r="P218" s="2">
        <v>9</v>
      </c>
      <c r="Q218" s="2">
        <v>2</v>
      </c>
      <c r="R218" s="2">
        <v>11</v>
      </c>
      <c r="T218" s="3">
        <v>24</v>
      </c>
      <c r="U218" s="3">
        <f>31.9-29</f>
        <v>2.8999999999999986</v>
      </c>
      <c r="V218" s="3">
        <f>29-1.7</f>
        <v>27.3</v>
      </c>
      <c r="W218" s="3">
        <v>1.7</v>
      </c>
      <c r="Y218" s="3">
        <v>31.9</v>
      </c>
      <c r="AA218" s="3">
        <v>180.8</v>
      </c>
      <c r="AB218" s="3">
        <v>54.400000000000006</v>
      </c>
      <c r="AC218" s="3">
        <v>31.200000000000003</v>
      </c>
      <c r="AD218" s="3">
        <v>0</v>
      </c>
      <c r="AE218" s="3">
        <v>266.40000000000003</v>
      </c>
      <c r="AG218" s="3">
        <v>2.19</v>
      </c>
      <c r="AH218" s="3">
        <v>0.7</v>
      </c>
      <c r="AI218" s="3">
        <v>0.64</v>
      </c>
      <c r="AJ218" s="3">
        <v>0.1</v>
      </c>
      <c r="AM218" s="3">
        <v>1.71</v>
      </c>
      <c r="AN218" s="3">
        <v>0.65</v>
      </c>
      <c r="AR218" s="3" t="s">
        <v>60</v>
      </c>
      <c r="AS218" s="4" t="s">
        <v>98</v>
      </c>
      <c r="AT218" s="4">
        <v>47.75</v>
      </c>
      <c r="AU218" s="4" t="s">
        <v>806</v>
      </c>
      <c r="AV218" s="4" t="s">
        <v>392</v>
      </c>
      <c r="AW218" s="3" t="s">
        <v>371</v>
      </c>
    </row>
    <row r="219" spans="1:49" x14ac:dyDescent="0.15">
      <c r="A219" s="2">
        <v>218</v>
      </c>
      <c r="B219" s="2" t="s">
        <v>390</v>
      </c>
      <c r="C219" s="2" t="s">
        <v>97</v>
      </c>
      <c r="D219" s="2" t="s">
        <v>294</v>
      </c>
      <c r="E219" s="2" t="s">
        <v>39</v>
      </c>
      <c r="H219" s="2" t="s">
        <v>60</v>
      </c>
      <c r="I219" s="2" t="s">
        <v>55</v>
      </c>
      <c r="J219" s="2">
        <v>2007</v>
      </c>
      <c r="K219" s="2">
        <v>7</v>
      </c>
      <c r="N219" s="3">
        <v>2500</v>
      </c>
      <c r="O219" s="3">
        <v>6</v>
      </c>
      <c r="P219" s="2">
        <v>5</v>
      </c>
      <c r="Q219" s="2">
        <v>13</v>
      </c>
      <c r="R219" s="2">
        <v>5</v>
      </c>
      <c r="T219" s="3">
        <v>25</v>
      </c>
      <c r="U219" s="3">
        <v>10</v>
      </c>
      <c r="V219" s="3">
        <v>212.99</v>
      </c>
      <c r="W219" s="3">
        <v>10.9</v>
      </c>
      <c r="Y219" s="3">
        <v>232.99</v>
      </c>
      <c r="AA219" s="3">
        <v>56.800000000000004</v>
      </c>
      <c r="AB219" s="3">
        <v>604.80000000000007</v>
      </c>
      <c r="AC219" s="3">
        <v>111.2</v>
      </c>
      <c r="AD219" s="3">
        <v>0</v>
      </c>
      <c r="AE219" s="3">
        <v>772.80000000000007</v>
      </c>
      <c r="AG219" s="3">
        <v>1.5</v>
      </c>
      <c r="AH219" s="3">
        <v>0.89</v>
      </c>
      <c r="AI219" s="3">
        <v>0.4</v>
      </c>
      <c r="AJ219" s="3">
        <v>0.28000000000000003</v>
      </c>
      <c r="AM219" s="3">
        <v>1.57</v>
      </c>
      <c r="AN219" s="3">
        <v>0.3</v>
      </c>
      <c r="AR219" s="3" t="s">
        <v>60</v>
      </c>
      <c r="AS219" s="4" t="s">
        <v>98</v>
      </c>
      <c r="AT219" s="4">
        <v>47.75</v>
      </c>
      <c r="AU219" s="4" t="s">
        <v>806</v>
      </c>
      <c r="AV219" s="4" t="s">
        <v>392</v>
      </c>
      <c r="AW219" s="3" t="s">
        <v>371</v>
      </c>
    </row>
    <row r="220" spans="1:49" x14ac:dyDescent="0.15">
      <c r="A220" s="2">
        <v>219</v>
      </c>
      <c r="B220" s="2" t="s">
        <v>390</v>
      </c>
      <c r="C220" s="2" t="s">
        <v>97</v>
      </c>
      <c r="D220" s="2" t="s">
        <v>294</v>
      </c>
      <c r="E220" s="2" t="s">
        <v>39</v>
      </c>
      <c r="H220" s="2" t="s">
        <v>60</v>
      </c>
      <c r="I220" s="2" t="s">
        <v>55</v>
      </c>
      <c r="J220" s="2">
        <v>2007</v>
      </c>
      <c r="K220" s="2">
        <v>10</v>
      </c>
      <c r="N220" s="3">
        <v>2500</v>
      </c>
      <c r="O220" s="3">
        <v>6</v>
      </c>
      <c r="P220" s="2">
        <v>8</v>
      </c>
      <c r="Q220" s="2">
        <v>7</v>
      </c>
      <c r="R220" s="2">
        <v>4</v>
      </c>
      <c r="T220" s="3">
        <v>20</v>
      </c>
      <c r="U220" s="3">
        <f>14.39-9.5</f>
        <v>4.8900000000000006</v>
      </c>
      <c r="V220" s="3">
        <f>9.5-2.19</f>
        <v>7.3100000000000005</v>
      </c>
      <c r="W220" s="3">
        <v>2.19</v>
      </c>
      <c r="Y220" s="3">
        <v>14.39</v>
      </c>
      <c r="AA220" s="3">
        <v>132</v>
      </c>
      <c r="AB220" s="3">
        <v>14.4</v>
      </c>
      <c r="AC220" s="3">
        <v>27.200000000000003</v>
      </c>
      <c r="AD220" s="3">
        <v>0</v>
      </c>
      <c r="AE220" s="3">
        <v>173.60000000000002</v>
      </c>
      <c r="AG220" s="3">
        <v>2.34</v>
      </c>
      <c r="AH220" s="3">
        <v>0.44</v>
      </c>
      <c r="AI220" s="3">
        <v>0.79</v>
      </c>
      <c r="AJ220" s="3">
        <v>0.15</v>
      </c>
      <c r="AM220" s="3">
        <v>1.5</v>
      </c>
      <c r="AN220" s="3">
        <v>0.3</v>
      </c>
      <c r="AR220" s="3" t="s">
        <v>60</v>
      </c>
      <c r="AS220" s="4" t="s">
        <v>98</v>
      </c>
      <c r="AT220" s="4">
        <v>47.75</v>
      </c>
      <c r="AU220" s="4" t="s">
        <v>806</v>
      </c>
      <c r="AV220" s="4" t="s">
        <v>392</v>
      </c>
      <c r="AW220" s="3" t="s">
        <v>371</v>
      </c>
    </row>
    <row r="221" spans="1:49" x14ac:dyDescent="0.15">
      <c r="A221" s="2">
        <v>220</v>
      </c>
      <c r="B221" s="2" t="s">
        <v>390</v>
      </c>
      <c r="C221" s="2" t="s">
        <v>97</v>
      </c>
      <c r="D221" s="2" t="s">
        <v>294</v>
      </c>
      <c r="E221" s="2" t="s">
        <v>39</v>
      </c>
      <c r="H221" s="2" t="s">
        <v>376</v>
      </c>
      <c r="I221" s="2" t="s">
        <v>55</v>
      </c>
      <c r="J221" s="2">
        <v>2007</v>
      </c>
      <c r="K221" s="2">
        <v>1</v>
      </c>
      <c r="L221" s="2">
        <v>2007</v>
      </c>
      <c r="M221" s="2">
        <v>10</v>
      </c>
      <c r="N221" s="3">
        <v>2500</v>
      </c>
      <c r="O221" s="3">
        <v>6</v>
      </c>
      <c r="P221" s="2">
        <v>8</v>
      </c>
      <c r="Q221" s="2">
        <v>5</v>
      </c>
      <c r="R221" s="2">
        <v>9</v>
      </c>
      <c r="T221" s="3">
        <v>30</v>
      </c>
      <c r="U221" s="3">
        <f>38-33</f>
        <v>5</v>
      </c>
      <c r="V221" s="3">
        <v>22</v>
      </c>
      <c r="W221" s="3">
        <v>11</v>
      </c>
      <c r="Y221" s="3">
        <v>38</v>
      </c>
      <c r="AA221" s="3">
        <f>290-108</f>
        <v>182</v>
      </c>
      <c r="AB221" s="3">
        <f>108-68</f>
        <v>40</v>
      </c>
      <c r="AC221" s="3">
        <v>68</v>
      </c>
      <c r="AE221" s="3">
        <v>290</v>
      </c>
      <c r="AG221" s="3">
        <v>2.19</v>
      </c>
      <c r="AH221" s="3">
        <v>0.45</v>
      </c>
      <c r="AI221" s="3">
        <v>0.7</v>
      </c>
      <c r="AJ221" s="3">
        <v>0.06</v>
      </c>
      <c r="AM221" s="3">
        <v>1.42</v>
      </c>
      <c r="AN221" s="3">
        <v>0.41</v>
      </c>
      <c r="AR221" s="3" t="s">
        <v>60</v>
      </c>
      <c r="AS221" s="4" t="s">
        <v>98</v>
      </c>
      <c r="AT221" s="4">
        <v>47.75</v>
      </c>
      <c r="AU221" s="4" t="s">
        <v>806</v>
      </c>
      <c r="AV221" s="4" t="s">
        <v>392</v>
      </c>
      <c r="AW221" s="3" t="s">
        <v>371</v>
      </c>
    </row>
    <row r="222" spans="1:49" x14ac:dyDescent="0.15">
      <c r="A222" s="2">
        <v>221</v>
      </c>
      <c r="B222" s="2" t="s">
        <v>390</v>
      </c>
      <c r="C222" s="2" t="s">
        <v>97</v>
      </c>
      <c r="D222" s="2" t="s">
        <v>294</v>
      </c>
      <c r="E222" s="2" t="s">
        <v>39</v>
      </c>
      <c r="H222" s="2" t="s">
        <v>843</v>
      </c>
      <c r="I222" s="2" t="s">
        <v>55</v>
      </c>
      <c r="J222" s="2">
        <v>2007</v>
      </c>
      <c r="K222" s="2">
        <v>1</v>
      </c>
      <c r="L222" s="2">
        <v>2007</v>
      </c>
      <c r="M222" s="2">
        <v>10</v>
      </c>
      <c r="N222" s="3">
        <v>2500</v>
      </c>
      <c r="O222" s="3">
        <v>6</v>
      </c>
      <c r="P222" s="2">
        <v>13</v>
      </c>
      <c r="Q222" s="2">
        <v>8</v>
      </c>
      <c r="R222" s="2">
        <v>10</v>
      </c>
      <c r="T222" s="3">
        <v>33</v>
      </c>
      <c r="U222" s="3">
        <f>60-56.3</f>
        <v>3.7000000000000028</v>
      </c>
      <c r="V222" s="3">
        <f>56.3-2.3</f>
        <v>54</v>
      </c>
      <c r="W222" s="3">
        <v>2.2999999999999998</v>
      </c>
      <c r="Y222" s="3">
        <v>62.46</v>
      </c>
      <c r="AA222" s="3">
        <f>376-288</f>
        <v>88</v>
      </c>
      <c r="AB222" s="3">
        <f>288-29</f>
        <v>259</v>
      </c>
      <c r="AC222" s="3">
        <v>29</v>
      </c>
      <c r="AE222" s="3">
        <v>382</v>
      </c>
      <c r="AG222" s="3">
        <v>2.0099999999999998</v>
      </c>
      <c r="AH222" s="3">
        <v>1.01</v>
      </c>
      <c r="AI222" s="3">
        <v>0.61</v>
      </c>
      <c r="AJ222" s="3" t="s">
        <v>391</v>
      </c>
      <c r="AM222" s="3">
        <v>1.74</v>
      </c>
      <c r="AN222" s="3">
        <v>0.4</v>
      </c>
      <c r="AR222" s="3" t="s">
        <v>60</v>
      </c>
      <c r="AS222" s="4" t="s">
        <v>98</v>
      </c>
      <c r="AT222" s="4">
        <v>47.75</v>
      </c>
      <c r="AU222" s="4" t="s">
        <v>806</v>
      </c>
      <c r="AV222" s="4" t="s">
        <v>392</v>
      </c>
      <c r="AW222" s="3" t="s">
        <v>371</v>
      </c>
    </row>
    <row r="223" spans="1:49" x14ac:dyDescent="0.15">
      <c r="A223" s="2">
        <v>222</v>
      </c>
      <c r="B223" s="2" t="s">
        <v>390</v>
      </c>
      <c r="C223" s="2" t="s">
        <v>97</v>
      </c>
      <c r="D223" s="2" t="s">
        <v>294</v>
      </c>
      <c r="E223" s="2" t="s">
        <v>39</v>
      </c>
      <c r="H223" s="2" t="s">
        <v>377</v>
      </c>
      <c r="I223" s="2" t="s">
        <v>55</v>
      </c>
      <c r="J223" s="2">
        <v>2007</v>
      </c>
      <c r="K223" s="2">
        <v>1</v>
      </c>
      <c r="L223" s="2">
        <v>2007</v>
      </c>
      <c r="M223" s="2">
        <v>10</v>
      </c>
      <c r="N223" s="3">
        <v>2500</v>
      </c>
      <c r="O223" s="3">
        <v>6</v>
      </c>
      <c r="P223" s="2">
        <v>5</v>
      </c>
      <c r="Q223" s="2">
        <v>12</v>
      </c>
      <c r="R223" s="2">
        <v>6</v>
      </c>
      <c r="T223" s="3">
        <v>25</v>
      </c>
      <c r="U223" s="3">
        <v>2.1</v>
      </c>
      <c r="V223" s="3">
        <f>143-2.85</f>
        <v>140.15</v>
      </c>
      <c r="W223" s="3">
        <v>2.8</v>
      </c>
      <c r="Y223" s="3">
        <v>147.69999999999999</v>
      </c>
      <c r="AA223" s="3">
        <f>320-284</f>
        <v>36</v>
      </c>
      <c r="AB223" s="3">
        <f>284-42</f>
        <v>242</v>
      </c>
      <c r="AC223" s="3">
        <v>42</v>
      </c>
      <c r="AE223" s="3">
        <v>320</v>
      </c>
      <c r="AG223" s="3">
        <v>1.94</v>
      </c>
      <c r="AH223" s="3">
        <v>0.66</v>
      </c>
      <c r="AI223" s="3">
        <v>0.69</v>
      </c>
      <c r="AJ223" s="3">
        <v>0.27</v>
      </c>
      <c r="AM223" s="3">
        <v>1.45</v>
      </c>
      <c r="AN223" s="3">
        <v>0.4</v>
      </c>
      <c r="AR223" s="3" t="s">
        <v>60</v>
      </c>
      <c r="AS223" s="4" t="s">
        <v>98</v>
      </c>
      <c r="AT223" s="4">
        <v>47.75</v>
      </c>
      <c r="AU223" s="4" t="s">
        <v>806</v>
      </c>
      <c r="AV223" s="4" t="s">
        <v>392</v>
      </c>
      <c r="AW223" s="3" t="s">
        <v>371</v>
      </c>
    </row>
    <row r="224" spans="1:49" x14ac:dyDescent="0.15">
      <c r="A224" s="2">
        <v>223</v>
      </c>
      <c r="B224" s="2" t="s">
        <v>393</v>
      </c>
      <c r="C224" s="2" t="s">
        <v>123</v>
      </c>
      <c r="D224" s="2" t="s">
        <v>394</v>
      </c>
      <c r="E224" s="2" t="s">
        <v>627</v>
      </c>
      <c r="H224" s="2" t="s">
        <v>60</v>
      </c>
      <c r="I224" s="2" t="s">
        <v>52</v>
      </c>
      <c r="J224" s="2">
        <v>2008</v>
      </c>
      <c r="K224" s="2">
        <v>5</v>
      </c>
      <c r="N224" s="3">
        <v>500</v>
      </c>
      <c r="O224" s="3">
        <v>40</v>
      </c>
      <c r="P224" s="2">
        <v>5</v>
      </c>
      <c r="Q224" s="2">
        <v>11</v>
      </c>
      <c r="R224" s="2">
        <v>14</v>
      </c>
      <c r="S224" s="2">
        <v>3</v>
      </c>
      <c r="T224" s="3">
        <v>33</v>
      </c>
      <c r="U224" s="3">
        <v>0.9</v>
      </c>
      <c r="V224" s="3">
        <v>19.04</v>
      </c>
      <c r="W224" s="3">
        <v>21.5</v>
      </c>
      <c r="X224" s="3">
        <v>5.29</v>
      </c>
      <c r="Y224" s="3">
        <v>53</v>
      </c>
      <c r="AA224" s="3">
        <v>8.8000000000000007</v>
      </c>
      <c r="AB224" s="3">
        <v>45</v>
      </c>
      <c r="AC224" s="3">
        <v>170</v>
      </c>
      <c r="AD224" s="3">
        <v>9.09</v>
      </c>
      <c r="AE224" s="3">
        <v>236.3</v>
      </c>
      <c r="AG224" s="3">
        <v>2.6</v>
      </c>
      <c r="AI224" s="3">
        <v>0.83</v>
      </c>
      <c r="AR224" s="3" t="s">
        <v>60</v>
      </c>
      <c r="AS224" s="3" t="s">
        <v>125</v>
      </c>
      <c r="AT224" s="3">
        <v>43.5</v>
      </c>
      <c r="AU224" s="3" t="s">
        <v>86</v>
      </c>
      <c r="AW224" s="3" t="s">
        <v>379</v>
      </c>
    </row>
    <row r="225" spans="1:49" x14ac:dyDescent="0.15">
      <c r="A225" s="2">
        <v>224</v>
      </c>
      <c r="B225" s="2" t="s">
        <v>395</v>
      </c>
      <c r="C225" s="2" t="s">
        <v>126</v>
      </c>
      <c r="D225" s="2" t="s">
        <v>396</v>
      </c>
      <c r="E225" s="2" t="s">
        <v>627</v>
      </c>
      <c r="H225" s="2" t="s">
        <v>60</v>
      </c>
      <c r="I225" s="2" t="s">
        <v>148</v>
      </c>
      <c r="J225" s="2">
        <v>2006</v>
      </c>
      <c r="K225" s="2">
        <v>7</v>
      </c>
      <c r="L225" s="2">
        <v>2007</v>
      </c>
      <c r="M225" s="2">
        <v>11</v>
      </c>
      <c r="T225" s="3">
        <v>74</v>
      </c>
      <c r="Y225" s="3">
        <v>54.94</v>
      </c>
      <c r="AE225" s="3">
        <v>724</v>
      </c>
      <c r="AG225" s="3">
        <v>2.0099999999999998</v>
      </c>
      <c r="AI225" s="3">
        <v>0.84</v>
      </c>
      <c r="AM225" s="3">
        <v>1.74</v>
      </c>
      <c r="AR225" s="3" t="s">
        <v>124</v>
      </c>
      <c r="AW225" s="3" t="s">
        <v>379</v>
      </c>
    </row>
    <row r="226" spans="1:49" x14ac:dyDescent="0.15">
      <c r="A226" s="2">
        <v>225</v>
      </c>
      <c r="B226" s="2" t="s">
        <v>395</v>
      </c>
      <c r="C226" s="2" t="s">
        <v>127</v>
      </c>
      <c r="D226" s="2" t="s">
        <v>327</v>
      </c>
      <c r="E226" s="2" t="s">
        <v>627</v>
      </c>
      <c r="H226" s="2" t="s">
        <v>60</v>
      </c>
      <c r="I226" s="2" t="s">
        <v>149</v>
      </c>
      <c r="J226" s="2">
        <v>2006</v>
      </c>
      <c r="K226" s="2">
        <v>7</v>
      </c>
      <c r="L226" s="2">
        <v>2007</v>
      </c>
      <c r="M226" s="2">
        <v>11</v>
      </c>
      <c r="T226" s="3">
        <v>48</v>
      </c>
      <c r="Y226" s="3">
        <v>36.46</v>
      </c>
      <c r="AE226" s="3">
        <v>164</v>
      </c>
      <c r="AG226" s="3">
        <v>2.34</v>
      </c>
      <c r="AI226" s="3">
        <v>0.64</v>
      </c>
      <c r="AM226" s="3">
        <v>2.06</v>
      </c>
      <c r="AR226" s="3" t="s">
        <v>124</v>
      </c>
      <c r="AW226" s="3" t="s">
        <v>379</v>
      </c>
    </row>
    <row r="227" spans="1:49" x14ac:dyDescent="0.15">
      <c r="A227" s="2">
        <v>226</v>
      </c>
      <c r="B227" s="2" t="s">
        <v>395</v>
      </c>
      <c r="C227" s="2" t="s">
        <v>128</v>
      </c>
      <c r="D227" s="2" t="s">
        <v>294</v>
      </c>
      <c r="E227" s="2" t="s">
        <v>627</v>
      </c>
      <c r="H227" s="2" t="s">
        <v>60</v>
      </c>
      <c r="I227" s="2" t="s">
        <v>55</v>
      </c>
      <c r="J227" s="2">
        <v>2006</v>
      </c>
      <c r="K227" s="2">
        <v>7</v>
      </c>
      <c r="L227" s="2">
        <v>2007</v>
      </c>
      <c r="M227" s="2">
        <v>11</v>
      </c>
      <c r="T227" s="3">
        <v>43</v>
      </c>
      <c r="Y227" s="3">
        <v>9.3699999999999992</v>
      </c>
      <c r="AE227" s="3">
        <v>433</v>
      </c>
      <c r="AG227" s="3">
        <v>3.5</v>
      </c>
      <c r="AI227" s="3">
        <v>0.83</v>
      </c>
      <c r="AM227" s="3">
        <v>2.82</v>
      </c>
      <c r="AR227" s="3" t="s">
        <v>124</v>
      </c>
      <c r="AW227" s="3" t="s">
        <v>379</v>
      </c>
    </row>
    <row r="228" spans="1:49" x14ac:dyDescent="0.15">
      <c r="A228" s="2">
        <v>227</v>
      </c>
      <c r="B228" s="2" t="s">
        <v>395</v>
      </c>
      <c r="C228" s="2" t="s">
        <v>129</v>
      </c>
      <c r="D228" s="2" t="s">
        <v>294</v>
      </c>
      <c r="E228" s="2" t="s">
        <v>627</v>
      </c>
      <c r="H228" s="2" t="s">
        <v>60</v>
      </c>
      <c r="I228" s="2" t="s">
        <v>55</v>
      </c>
      <c r="J228" s="2">
        <v>2006</v>
      </c>
      <c r="K228" s="2">
        <v>7</v>
      </c>
      <c r="L228" s="2">
        <v>2007</v>
      </c>
      <c r="M228" s="2">
        <v>11</v>
      </c>
      <c r="T228" s="3">
        <v>84</v>
      </c>
      <c r="Y228" s="3">
        <v>10.46</v>
      </c>
      <c r="AE228" s="3">
        <v>390</v>
      </c>
      <c r="AG228" s="3">
        <v>2.69</v>
      </c>
      <c r="AI228" s="3">
        <v>0.77</v>
      </c>
      <c r="AM228" s="3">
        <v>2.34</v>
      </c>
      <c r="AR228" s="3" t="s">
        <v>124</v>
      </c>
      <c r="AW228" s="3" t="s">
        <v>379</v>
      </c>
    </row>
    <row r="229" spans="1:49" x14ac:dyDescent="0.15">
      <c r="A229" s="2">
        <v>228</v>
      </c>
      <c r="B229" s="2" t="s">
        <v>395</v>
      </c>
      <c r="C229" s="2" t="s">
        <v>130</v>
      </c>
      <c r="D229" s="2" t="s">
        <v>247</v>
      </c>
      <c r="E229" s="2" t="s">
        <v>627</v>
      </c>
      <c r="H229" s="2" t="s">
        <v>60</v>
      </c>
      <c r="I229" s="2" t="s">
        <v>25</v>
      </c>
      <c r="J229" s="2">
        <v>2006</v>
      </c>
      <c r="K229" s="2">
        <v>7</v>
      </c>
      <c r="L229" s="2">
        <v>2007</v>
      </c>
      <c r="M229" s="2">
        <v>11</v>
      </c>
      <c r="T229" s="3">
        <v>14</v>
      </c>
      <c r="Y229" s="3">
        <v>1.54</v>
      </c>
      <c r="AE229" s="3">
        <v>58</v>
      </c>
      <c r="AG229" s="3">
        <v>1.03</v>
      </c>
      <c r="AI229" s="3">
        <v>0.82</v>
      </c>
      <c r="AM229" s="3">
        <v>0.47</v>
      </c>
      <c r="AR229" s="3" t="s">
        <v>124</v>
      </c>
      <c r="AW229" s="3" t="s">
        <v>379</v>
      </c>
    </row>
    <row r="230" spans="1:49" x14ac:dyDescent="0.15">
      <c r="A230" s="2">
        <v>229</v>
      </c>
      <c r="B230" s="2" t="s">
        <v>395</v>
      </c>
      <c r="C230" s="2" t="s">
        <v>24</v>
      </c>
      <c r="D230" s="2" t="s">
        <v>222</v>
      </c>
      <c r="E230" s="2" t="s">
        <v>627</v>
      </c>
      <c r="H230" s="2" t="s">
        <v>60</v>
      </c>
      <c r="I230" s="2" t="s">
        <v>25</v>
      </c>
      <c r="J230" s="2">
        <v>2006</v>
      </c>
      <c r="K230" s="2">
        <v>7</v>
      </c>
      <c r="L230" s="2">
        <v>2007</v>
      </c>
      <c r="M230" s="2">
        <v>11</v>
      </c>
      <c r="T230" s="3">
        <v>30</v>
      </c>
      <c r="Y230" s="3">
        <v>2.02</v>
      </c>
      <c r="AE230" s="3">
        <v>26</v>
      </c>
      <c r="AG230" s="3">
        <v>0.45</v>
      </c>
      <c r="AI230" s="3">
        <v>0.62</v>
      </c>
      <c r="AM230" s="3">
        <v>0.33</v>
      </c>
      <c r="AR230" s="3" t="s">
        <v>124</v>
      </c>
      <c r="AW230" s="3" t="s">
        <v>379</v>
      </c>
    </row>
    <row r="231" spans="1:49" x14ac:dyDescent="0.15">
      <c r="A231" s="2">
        <v>230</v>
      </c>
      <c r="B231" s="2" t="s">
        <v>395</v>
      </c>
      <c r="C231" s="2" t="s">
        <v>397</v>
      </c>
      <c r="D231" s="2" t="s">
        <v>222</v>
      </c>
      <c r="E231" s="2" t="s">
        <v>627</v>
      </c>
      <c r="H231" s="2" t="s">
        <v>60</v>
      </c>
      <c r="I231" s="2" t="s">
        <v>25</v>
      </c>
      <c r="J231" s="2">
        <v>2006</v>
      </c>
      <c r="K231" s="2">
        <v>7</v>
      </c>
      <c r="L231" s="2">
        <v>2007</v>
      </c>
      <c r="M231" s="2">
        <v>11</v>
      </c>
      <c r="T231" s="3">
        <v>50</v>
      </c>
      <c r="Y231" s="3">
        <v>22.17</v>
      </c>
      <c r="AE231" s="3">
        <v>119</v>
      </c>
      <c r="AG231" s="3">
        <v>1.66</v>
      </c>
      <c r="AI231" s="3">
        <v>0.51</v>
      </c>
      <c r="AM231" s="3">
        <v>1.88</v>
      </c>
      <c r="AR231" s="3" t="s">
        <v>124</v>
      </c>
      <c r="AW231" s="3" t="s">
        <v>379</v>
      </c>
    </row>
    <row r="232" spans="1:49" x14ac:dyDescent="0.15">
      <c r="A232" s="2">
        <v>231</v>
      </c>
      <c r="B232" s="2" t="s">
        <v>395</v>
      </c>
      <c r="C232" s="2" t="s">
        <v>131</v>
      </c>
      <c r="D232" s="2" t="s">
        <v>115</v>
      </c>
      <c r="E232" s="2" t="s">
        <v>627</v>
      </c>
      <c r="H232" s="2" t="s">
        <v>60</v>
      </c>
      <c r="I232" s="2" t="s">
        <v>25</v>
      </c>
      <c r="J232" s="2">
        <v>2006</v>
      </c>
      <c r="K232" s="2">
        <v>7</v>
      </c>
      <c r="L232" s="2">
        <v>2007</v>
      </c>
      <c r="M232" s="2">
        <v>11</v>
      </c>
      <c r="T232" s="3">
        <v>4</v>
      </c>
      <c r="Y232" s="3">
        <v>0.54</v>
      </c>
      <c r="AE232" s="3">
        <v>10</v>
      </c>
      <c r="AG232" s="3">
        <v>0.48</v>
      </c>
      <c r="AI232" s="3">
        <v>0.96</v>
      </c>
      <c r="AM232" s="3">
        <v>0.22</v>
      </c>
      <c r="AR232" s="3" t="s">
        <v>124</v>
      </c>
      <c r="AW232" s="3" t="s">
        <v>379</v>
      </c>
    </row>
    <row r="233" spans="1:49" x14ac:dyDescent="0.15">
      <c r="A233" s="2">
        <v>232</v>
      </c>
      <c r="B233" s="2" t="s">
        <v>395</v>
      </c>
      <c r="C233" s="2" t="s">
        <v>132</v>
      </c>
      <c r="D233" s="2" t="s">
        <v>115</v>
      </c>
      <c r="E233" s="2" t="s">
        <v>627</v>
      </c>
      <c r="H233" s="2" t="s">
        <v>60</v>
      </c>
      <c r="I233" s="2" t="s">
        <v>25</v>
      </c>
      <c r="J233" s="2">
        <v>2006</v>
      </c>
      <c r="K233" s="2">
        <v>7</v>
      </c>
      <c r="L233" s="2">
        <v>2007</v>
      </c>
      <c r="M233" s="2">
        <v>11</v>
      </c>
      <c r="T233" s="3">
        <v>39</v>
      </c>
      <c r="Y233" s="3">
        <v>3.62</v>
      </c>
      <c r="AE233" s="3">
        <v>38</v>
      </c>
      <c r="AG233" s="3">
        <v>1.25</v>
      </c>
      <c r="AI233" s="3">
        <v>0.7</v>
      </c>
      <c r="AM233" s="3">
        <v>0.85</v>
      </c>
      <c r="AR233" s="3" t="s">
        <v>124</v>
      </c>
      <c r="AW233" s="3" t="s">
        <v>379</v>
      </c>
    </row>
    <row r="234" spans="1:49" x14ac:dyDescent="0.15">
      <c r="A234" s="2">
        <v>233</v>
      </c>
      <c r="B234" s="2" t="s">
        <v>395</v>
      </c>
      <c r="C234" s="2" t="s">
        <v>133</v>
      </c>
      <c r="D234" s="2" t="s">
        <v>115</v>
      </c>
      <c r="E234" s="2" t="s">
        <v>627</v>
      </c>
      <c r="H234" s="2" t="s">
        <v>60</v>
      </c>
      <c r="I234" s="2" t="s">
        <v>25</v>
      </c>
      <c r="J234" s="2">
        <v>2006</v>
      </c>
      <c r="K234" s="2">
        <v>7</v>
      </c>
      <c r="L234" s="2">
        <v>2007</v>
      </c>
      <c r="M234" s="2">
        <v>11</v>
      </c>
      <c r="T234" s="3">
        <v>11</v>
      </c>
      <c r="Y234" s="3">
        <v>0.35</v>
      </c>
      <c r="AE234" s="3">
        <v>14</v>
      </c>
      <c r="AG234" s="3">
        <v>0.69</v>
      </c>
      <c r="AI234" s="3">
        <v>0.34</v>
      </c>
      <c r="AM234" s="3">
        <v>0.39</v>
      </c>
      <c r="AR234" s="3" t="s">
        <v>124</v>
      </c>
      <c r="AW234" s="3" t="s">
        <v>379</v>
      </c>
    </row>
    <row r="235" spans="1:49" x14ac:dyDescent="0.15">
      <c r="A235" s="2">
        <v>234</v>
      </c>
      <c r="B235" s="2" t="s">
        <v>395</v>
      </c>
      <c r="C235" s="2" t="s">
        <v>134</v>
      </c>
      <c r="D235" s="2" t="s">
        <v>115</v>
      </c>
      <c r="E235" s="2" t="s">
        <v>627</v>
      </c>
      <c r="H235" s="2" t="s">
        <v>60</v>
      </c>
      <c r="I235" s="2" t="s">
        <v>25</v>
      </c>
      <c r="J235" s="2">
        <v>2006</v>
      </c>
      <c r="K235" s="2">
        <v>7</v>
      </c>
      <c r="L235" s="2">
        <v>2007</v>
      </c>
      <c r="M235" s="2">
        <v>11</v>
      </c>
      <c r="T235" s="3">
        <v>24</v>
      </c>
      <c r="Y235" s="3">
        <v>6.55</v>
      </c>
      <c r="AE235" s="3">
        <v>43</v>
      </c>
      <c r="AG235" s="3">
        <v>1.02</v>
      </c>
      <c r="AI235" s="3">
        <v>0.55900000000000005</v>
      </c>
      <c r="AM235" s="3">
        <v>0.87</v>
      </c>
      <c r="AR235" s="3" t="s">
        <v>124</v>
      </c>
      <c r="AW235" s="3" t="s">
        <v>379</v>
      </c>
    </row>
    <row r="236" spans="1:49" x14ac:dyDescent="0.15">
      <c r="A236" s="2">
        <v>235</v>
      </c>
      <c r="B236" s="2" t="s">
        <v>395</v>
      </c>
      <c r="C236" s="2" t="s">
        <v>135</v>
      </c>
      <c r="D236" s="2" t="s">
        <v>115</v>
      </c>
      <c r="E236" s="2" t="s">
        <v>627</v>
      </c>
      <c r="H236" s="2" t="s">
        <v>60</v>
      </c>
      <c r="I236" s="2" t="s">
        <v>25</v>
      </c>
      <c r="J236" s="2">
        <v>2006</v>
      </c>
      <c r="K236" s="2">
        <v>7</v>
      </c>
      <c r="L236" s="2">
        <v>2007</v>
      </c>
      <c r="M236" s="2">
        <v>11</v>
      </c>
      <c r="T236" s="3">
        <v>26</v>
      </c>
      <c r="Y236" s="3">
        <v>0.59</v>
      </c>
      <c r="AE236" s="3">
        <v>27</v>
      </c>
      <c r="AG236" s="3">
        <v>1.1000000000000001</v>
      </c>
      <c r="AI236" s="3">
        <v>0.93</v>
      </c>
      <c r="AM236" s="3">
        <v>0.51</v>
      </c>
      <c r="AR236" s="3" t="s">
        <v>124</v>
      </c>
      <c r="AW236" s="3" t="s">
        <v>379</v>
      </c>
    </row>
    <row r="237" spans="1:49" x14ac:dyDescent="0.15">
      <c r="A237" s="2">
        <v>236</v>
      </c>
      <c r="B237" s="2" t="s">
        <v>395</v>
      </c>
      <c r="C237" s="2" t="s">
        <v>136</v>
      </c>
      <c r="D237" s="2" t="s">
        <v>115</v>
      </c>
      <c r="E237" s="2" t="s">
        <v>627</v>
      </c>
      <c r="H237" s="2" t="s">
        <v>60</v>
      </c>
      <c r="I237" s="2" t="s">
        <v>25</v>
      </c>
      <c r="J237" s="2">
        <v>2006</v>
      </c>
      <c r="K237" s="2">
        <v>7</v>
      </c>
      <c r="L237" s="2">
        <v>2007</v>
      </c>
      <c r="M237" s="2">
        <v>11</v>
      </c>
      <c r="T237" s="3">
        <v>41</v>
      </c>
      <c r="Y237" s="3">
        <v>33.86</v>
      </c>
      <c r="AE237" s="3">
        <v>266</v>
      </c>
      <c r="AG237" s="3">
        <v>2.5299999999999998</v>
      </c>
      <c r="AI237" s="3">
        <v>0.69</v>
      </c>
      <c r="AM237" s="3">
        <v>10.8</v>
      </c>
      <c r="AR237" s="3" t="s">
        <v>124</v>
      </c>
      <c r="AW237" s="3" t="s">
        <v>379</v>
      </c>
    </row>
    <row r="238" spans="1:49" x14ac:dyDescent="0.15">
      <c r="A238" s="2">
        <v>237</v>
      </c>
      <c r="B238" s="2" t="s">
        <v>395</v>
      </c>
      <c r="C238" s="2" t="s">
        <v>71</v>
      </c>
      <c r="D238" s="2" t="s">
        <v>115</v>
      </c>
      <c r="E238" s="2" t="s">
        <v>627</v>
      </c>
      <c r="H238" s="2" t="s">
        <v>60</v>
      </c>
      <c r="I238" s="2" t="s">
        <v>25</v>
      </c>
      <c r="J238" s="2">
        <v>2006</v>
      </c>
      <c r="K238" s="2">
        <v>7</v>
      </c>
      <c r="L238" s="2">
        <v>2007</v>
      </c>
      <c r="M238" s="2">
        <v>11</v>
      </c>
      <c r="T238" s="3">
        <v>36</v>
      </c>
      <c r="Y238" s="3">
        <v>6.5</v>
      </c>
      <c r="AE238" s="3">
        <v>243</v>
      </c>
      <c r="AG238" s="3">
        <v>2.17</v>
      </c>
      <c r="AI238" s="3">
        <v>0.77</v>
      </c>
      <c r="AM238" s="3">
        <v>4.59</v>
      </c>
      <c r="AR238" s="3" t="s">
        <v>124</v>
      </c>
      <c r="AW238" s="3" t="s">
        <v>379</v>
      </c>
    </row>
    <row r="239" spans="1:49" x14ac:dyDescent="0.15">
      <c r="A239" s="2">
        <v>238</v>
      </c>
      <c r="B239" s="2" t="s">
        <v>395</v>
      </c>
      <c r="C239" s="2" t="s">
        <v>137</v>
      </c>
      <c r="D239" s="2" t="s">
        <v>398</v>
      </c>
      <c r="E239" s="2" t="s">
        <v>627</v>
      </c>
      <c r="H239" s="2" t="s">
        <v>60</v>
      </c>
      <c r="I239" s="2" t="s">
        <v>25</v>
      </c>
      <c r="J239" s="2">
        <v>2006</v>
      </c>
      <c r="K239" s="2">
        <v>7</v>
      </c>
      <c r="L239" s="2">
        <v>2007</v>
      </c>
      <c r="M239" s="2">
        <v>11</v>
      </c>
      <c r="T239" s="3">
        <v>183</v>
      </c>
      <c r="Y239" s="3">
        <v>19.5</v>
      </c>
      <c r="AE239" s="3">
        <v>671</v>
      </c>
      <c r="AG239" s="3">
        <v>4.18</v>
      </c>
      <c r="AI239" s="3">
        <v>0.87</v>
      </c>
      <c r="AM239" s="3">
        <v>5.6</v>
      </c>
      <c r="AR239" s="3" t="s">
        <v>124</v>
      </c>
      <c r="AW239" s="3" t="s">
        <v>379</v>
      </c>
    </row>
    <row r="240" spans="1:49" x14ac:dyDescent="0.15">
      <c r="A240" s="2">
        <v>239</v>
      </c>
      <c r="B240" s="2" t="s">
        <v>395</v>
      </c>
      <c r="C240" s="2" t="s">
        <v>138</v>
      </c>
      <c r="D240" s="2" t="s">
        <v>358</v>
      </c>
      <c r="E240" s="2" t="s">
        <v>627</v>
      </c>
      <c r="H240" s="2" t="s">
        <v>60</v>
      </c>
      <c r="I240" s="2" t="s">
        <v>25</v>
      </c>
      <c r="J240" s="2">
        <v>2006</v>
      </c>
      <c r="K240" s="2">
        <v>7</v>
      </c>
      <c r="L240" s="2">
        <v>2007</v>
      </c>
      <c r="M240" s="2">
        <v>11</v>
      </c>
      <c r="T240" s="3">
        <v>165</v>
      </c>
      <c r="Y240" s="3">
        <v>38.29</v>
      </c>
      <c r="AE240" s="3">
        <v>728</v>
      </c>
      <c r="AG240" s="3">
        <v>2.79</v>
      </c>
      <c r="AI240" s="3">
        <v>0.69</v>
      </c>
      <c r="AM240" s="3">
        <v>5</v>
      </c>
      <c r="AR240" s="3" t="s">
        <v>124</v>
      </c>
      <c r="AW240" s="3" t="s">
        <v>379</v>
      </c>
    </row>
    <row r="241" spans="1:49" x14ac:dyDescent="0.15">
      <c r="A241" s="2">
        <v>240</v>
      </c>
      <c r="B241" s="2" t="s">
        <v>395</v>
      </c>
      <c r="C241" s="2" t="s">
        <v>139</v>
      </c>
      <c r="D241" s="2" t="s">
        <v>399</v>
      </c>
      <c r="E241" s="2" t="s">
        <v>627</v>
      </c>
      <c r="H241" s="2" t="s">
        <v>60</v>
      </c>
      <c r="I241" s="2" t="s">
        <v>25</v>
      </c>
      <c r="J241" s="2">
        <v>2006</v>
      </c>
      <c r="K241" s="2">
        <v>7</v>
      </c>
      <c r="L241" s="2">
        <v>2007</v>
      </c>
      <c r="M241" s="2">
        <v>11</v>
      </c>
      <c r="T241" s="3">
        <v>135</v>
      </c>
      <c r="Y241" s="3">
        <v>25.31</v>
      </c>
      <c r="AE241" s="3">
        <v>45</v>
      </c>
      <c r="AG241" s="3">
        <v>2.31</v>
      </c>
      <c r="AI241" s="3">
        <v>0.74</v>
      </c>
      <c r="AM241" s="3">
        <v>6.82</v>
      </c>
      <c r="AR241" s="3" t="s">
        <v>124</v>
      </c>
      <c r="AW241" s="3" t="s">
        <v>379</v>
      </c>
    </row>
    <row r="242" spans="1:49" x14ac:dyDescent="0.15">
      <c r="A242" s="2">
        <v>241</v>
      </c>
      <c r="B242" s="2" t="s">
        <v>395</v>
      </c>
      <c r="C242" s="2" t="s">
        <v>140</v>
      </c>
      <c r="D242" s="2" t="s">
        <v>399</v>
      </c>
      <c r="E242" s="2" t="s">
        <v>627</v>
      </c>
      <c r="H242" s="2" t="s">
        <v>60</v>
      </c>
      <c r="I242" s="2" t="s">
        <v>634</v>
      </c>
      <c r="J242" s="2">
        <v>2006</v>
      </c>
      <c r="K242" s="2">
        <v>7</v>
      </c>
      <c r="L242" s="2">
        <v>2007</v>
      </c>
      <c r="M242" s="2">
        <v>11</v>
      </c>
      <c r="T242" s="3">
        <v>121</v>
      </c>
      <c r="Y242" s="3">
        <v>3.9</v>
      </c>
      <c r="AE242" s="3">
        <v>270</v>
      </c>
      <c r="AG242" s="3">
        <v>2.5099999999999998</v>
      </c>
      <c r="AI242" s="3">
        <v>0.81</v>
      </c>
      <c r="AM242" s="3">
        <v>2.21</v>
      </c>
      <c r="AR242" s="3" t="s">
        <v>124</v>
      </c>
      <c r="AW242" s="3" t="s">
        <v>379</v>
      </c>
    </row>
    <row r="243" spans="1:49" x14ac:dyDescent="0.15">
      <c r="A243" s="2">
        <v>242</v>
      </c>
      <c r="B243" s="2" t="s">
        <v>395</v>
      </c>
      <c r="C243" s="2" t="s">
        <v>141</v>
      </c>
      <c r="D243" s="2" t="s">
        <v>399</v>
      </c>
      <c r="E243" s="2" t="s">
        <v>627</v>
      </c>
      <c r="H243" s="2" t="s">
        <v>60</v>
      </c>
      <c r="I243" s="2" t="s">
        <v>634</v>
      </c>
      <c r="J243" s="2">
        <v>2006</v>
      </c>
      <c r="K243" s="2">
        <v>7</v>
      </c>
      <c r="L243" s="2">
        <v>2007</v>
      </c>
      <c r="M243" s="2">
        <v>11</v>
      </c>
      <c r="T243" s="3">
        <v>132</v>
      </c>
      <c r="Y243" s="3">
        <v>14.93</v>
      </c>
      <c r="AE243" s="3">
        <v>312</v>
      </c>
      <c r="AG243" s="3">
        <v>3.76</v>
      </c>
      <c r="AI243" s="3">
        <v>0.87</v>
      </c>
      <c r="AM243" s="3">
        <v>3.65</v>
      </c>
      <c r="AR243" s="3" t="s">
        <v>124</v>
      </c>
      <c r="AW243" s="3" t="s">
        <v>379</v>
      </c>
    </row>
    <row r="244" spans="1:49" x14ac:dyDescent="0.15">
      <c r="A244" s="2">
        <v>243</v>
      </c>
      <c r="B244" s="2" t="s">
        <v>395</v>
      </c>
      <c r="C244" s="2" t="s">
        <v>142</v>
      </c>
      <c r="D244" s="2" t="s">
        <v>399</v>
      </c>
      <c r="E244" s="2" t="s">
        <v>627</v>
      </c>
      <c r="H244" s="2" t="s">
        <v>60</v>
      </c>
      <c r="I244" s="2" t="s">
        <v>634</v>
      </c>
      <c r="J244" s="2">
        <v>2006</v>
      </c>
      <c r="K244" s="2">
        <v>7</v>
      </c>
      <c r="L244" s="2">
        <v>2007</v>
      </c>
      <c r="M244" s="2">
        <v>11</v>
      </c>
      <c r="T244" s="3">
        <v>167</v>
      </c>
      <c r="Y244" s="3">
        <v>14.11</v>
      </c>
      <c r="AE244" s="3">
        <v>337</v>
      </c>
      <c r="AG244" s="3">
        <v>3.3</v>
      </c>
      <c r="AI244" s="3">
        <v>0.78</v>
      </c>
      <c r="AM244" s="3">
        <v>3.44</v>
      </c>
      <c r="AR244" s="3" t="s">
        <v>124</v>
      </c>
      <c r="AW244" s="3" t="s">
        <v>379</v>
      </c>
    </row>
    <row r="245" spans="1:49" x14ac:dyDescent="0.15">
      <c r="A245" s="2">
        <v>244</v>
      </c>
      <c r="B245" s="2" t="s">
        <v>395</v>
      </c>
      <c r="C245" s="2" t="s">
        <v>143</v>
      </c>
      <c r="D245" s="2" t="s">
        <v>399</v>
      </c>
      <c r="E245" s="2" t="s">
        <v>627</v>
      </c>
      <c r="H245" s="2" t="s">
        <v>60</v>
      </c>
      <c r="I245" s="2" t="s">
        <v>634</v>
      </c>
      <c r="J245" s="2">
        <v>2006</v>
      </c>
      <c r="K245" s="2">
        <v>7</v>
      </c>
      <c r="L245" s="2">
        <v>2007</v>
      </c>
      <c r="M245" s="2">
        <v>11</v>
      </c>
      <c r="T245" s="3">
        <v>61</v>
      </c>
      <c r="Y245" s="3">
        <v>19.760000000000002</v>
      </c>
      <c r="AE245" s="3">
        <v>70</v>
      </c>
      <c r="AG245" s="3">
        <v>2.5099999999999998</v>
      </c>
      <c r="AI245" s="3">
        <v>0.79</v>
      </c>
      <c r="AM245" s="3">
        <v>1.82</v>
      </c>
      <c r="AR245" s="3" t="s">
        <v>124</v>
      </c>
      <c r="AW245" s="3" t="s">
        <v>379</v>
      </c>
    </row>
    <row r="246" spans="1:49" x14ac:dyDescent="0.15">
      <c r="A246" s="2">
        <v>245</v>
      </c>
      <c r="B246" s="2" t="s">
        <v>395</v>
      </c>
      <c r="C246" s="2" t="s">
        <v>144</v>
      </c>
      <c r="D246" s="2" t="s">
        <v>400</v>
      </c>
      <c r="E246" s="2" t="s">
        <v>627</v>
      </c>
      <c r="H246" s="2" t="s">
        <v>60</v>
      </c>
      <c r="I246" s="2" t="s">
        <v>634</v>
      </c>
      <c r="J246" s="2">
        <v>2006</v>
      </c>
      <c r="K246" s="2">
        <v>7</v>
      </c>
      <c r="L246" s="2">
        <v>2007</v>
      </c>
      <c r="M246" s="2">
        <v>11</v>
      </c>
      <c r="T246" s="3">
        <v>94</v>
      </c>
      <c r="Y246" s="3">
        <v>2.4500000000000002</v>
      </c>
      <c r="AE246" s="3">
        <v>85</v>
      </c>
      <c r="AG246" s="3">
        <v>2.19</v>
      </c>
      <c r="AI246" s="3">
        <v>0.71</v>
      </c>
      <c r="AM246" s="3">
        <v>2.08</v>
      </c>
      <c r="AR246" s="3" t="s">
        <v>124</v>
      </c>
      <c r="AW246" s="3" t="s">
        <v>379</v>
      </c>
    </row>
    <row r="247" spans="1:49" x14ac:dyDescent="0.15">
      <c r="A247" s="2">
        <v>246</v>
      </c>
      <c r="B247" s="2" t="s">
        <v>395</v>
      </c>
      <c r="C247" s="2" t="s">
        <v>145</v>
      </c>
      <c r="D247" s="2" t="s">
        <v>400</v>
      </c>
      <c r="E247" s="2" t="s">
        <v>627</v>
      </c>
      <c r="H247" s="2" t="s">
        <v>60</v>
      </c>
      <c r="I247" s="2" t="s">
        <v>634</v>
      </c>
      <c r="J247" s="2">
        <v>2006</v>
      </c>
      <c r="K247" s="2">
        <v>7</v>
      </c>
      <c r="L247" s="2">
        <v>2007</v>
      </c>
      <c r="M247" s="2">
        <v>11</v>
      </c>
      <c r="T247" s="3">
        <v>57</v>
      </c>
      <c r="Y247" s="3">
        <v>25.51</v>
      </c>
      <c r="AE247" s="3">
        <v>65</v>
      </c>
      <c r="AG247" s="3">
        <v>1.84</v>
      </c>
      <c r="AI247" s="3">
        <v>0.56999999999999995</v>
      </c>
      <c r="AM247" s="3">
        <v>2.1800000000000002</v>
      </c>
      <c r="AR247" s="3" t="s">
        <v>124</v>
      </c>
      <c r="AW247" s="3" t="s">
        <v>379</v>
      </c>
    </row>
    <row r="248" spans="1:49" x14ac:dyDescent="0.15">
      <c r="A248" s="2">
        <v>247</v>
      </c>
      <c r="B248" s="2" t="s">
        <v>395</v>
      </c>
      <c r="C248" s="2" t="s">
        <v>146</v>
      </c>
      <c r="D248" s="2" t="s">
        <v>400</v>
      </c>
      <c r="E248" s="2" t="s">
        <v>627</v>
      </c>
      <c r="H248" s="2" t="s">
        <v>60</v>
      </c>
      <c r="I248" s="2" t="s">
        <v>634</v>
      </c>
      <c r="J248" s="2">
        <v>2006</v>
      </c>
      <c r="K248" s="2">
        <v>7</v>
      </c>
      <c r="L248" s="2">
        <v>2007</v>
      </c>
      <c r="M248" s="2">
        <v>11</v>
      </c>
      <c r="T248" s="3">
        <v>111</v>
      </c>
      <c r="Y248" s="3">
        <v>14.01</v>
      </c>
      <c r="AE248" s="3">
        <v>91</v>
      </c>
      <c r="AG248" s="3">
        <v>2.54</v>
      </c>
      <c r="AI248" s="3">
        <v>0.71</v>
      </c>
      <c r="AM248" s="3">
        <v>2.65</v>
      </c>
      <c r="AR248" s="3" t="s">
        <v>124</v>
      </c>
      <c r="AW248" s="3" t="s">
        <v>379</v>
      </c>
    </row>
    <row r="249" spans="1:49" x14ac:dyDescent="0.15">
      <c r="A249" s="2">
        <v>248</v>
      </c>
      <c r="B249" s="2" t="s">
        <v>395</v>
      </c>
      <c r="C249" s="2" t="s">
        <v>147</v>
      </c>
      <c r="D249" s="2" t="s">
        <v>400</v>
      </c>
      <c r="E249" s="2" t="s">
        <v>627</v>
      </c>
      <c r="H249" s="2" t="s">
        <v>60</v>
      </c>
      <c r="I249" s="2" t="s">
        <v>634</v>
      </c>
      <c r="J249" s="2">
        <v>2006</v>
      </c>
      <c r="K249" s="2">
        <v>7</v>
      </c>
      <c r="L249" s="2">
        <v>2007</v>
      </c>
      <c r="M249" s="2">
        <v>11</v>
      </c>
      <c r="T249" s="3">
        <v>54</v>
      </c>
      <c r="Y249" s="3">
        <v>3.74</v>
      </c>
      <c r="AE249" s="3">
        <v>57</v>
      </c>
      <c r="AG249" s="3">
        <v>2.17</v>
      </c>
      <c r="AI249" s="3">
        <v>0.71</v>
      </c>
      <c r="AM249" s="3">
        <v>1.95</v>
      </c>
      <c r="AR249" s="3" t="s">
        <v>124</v>
      </c>
      <c r="AW249" s="3" t="s">
        <v>379</v>
      </c>
    </row>
    <row r="250" spans="1:49" x14ac:dyDescent="0.15">
      <c r="A250" s="2">
        <v>249</v>
      </c>
      <c r="B250" s="2" t="s">
        <v>395</v>
      </c>
      <c r="C250" s="2" t="s">
        <v>150</v>
      </c>
      <c r="D250" s="2" t="s">
        <v>400</v>
      </c>
      <c r="E250" s="2" t="s">
        <v>39</v>
      </c>
      <c r="H250" s="2" t="s">
        <v>60</v>
      </c>
      <c r="I250" s="2" t="s">
        <v>634</v>
      </c>
      <c r="J250" s="2">
        <v>2006</v>
      </c>
      <c r="K250" s="2">
        <v>7</v>
      </c>
      <c r="L250" s="2">
        <v>2007</v>
      </c>
      <c r="M250" s="2">
        <v>11</v>
      </c>
      <c r="T250" s="3">
        <v>227</v>
      </c>
      <c r="Y250" s="3">
        <v>89.14</v>
      </c>
      <c r="AE250" s="3">
        <v>467</v>
      </c>
      <c r="AG250" s="3">
        <v>2.68</v>
      </c>
      <c r="AI250" s="3">
        <v>0.54</v>
      </c>
      <c r="AM250" s="3">
        <v>5.36</v>
      </c>
      <c r="AR250" s="3" t="s">
        <v>124</v>
      </c>
      <c r="AW250" s="3" t="s">
        <v>379</v>
      </c>
    </row>
    <row r="251" spans="1:49" x14ac:dyDescent="0.15">
      <c r="A251" s="2">
        <v>250</v>
      </c>
      <c r="B251" s="2" t="s">
        <v>395</v>
      </c>
      <c r="C251" s="2" t="s">
        <v>126</v>
      </c>
      <c r="D251" s="2" t="s">
        <v>396</v>
      </c>
      <c r="E251" s="2" t="s">
        <v>627</v>
      </c>
      <c r="H251" s="2" t="s">
        <v>60</v>
      </c>
      <c r="I251" s="2" t="s">
        <v>148</v>
      </c>
      <c r="J251" s="2">
        <v>2007</v>
      </c>
      <c r="K251" s="2">
        <v>1</v>
      </c>
      <c r="L251" s="2">
        <v>2007</v>
      </c>
      <c r="M251" s="2">
        <v>11</v>
      </c>
      <c r="T251" s="3">
        <v>74</v>
      </c>
      <c r="Y251" s="3">
        <v>54.94</v>
      </c>
      <c r="AE251" s="3">
        <v>724</v>
      </c>
      <c r="AG251" s="3">
        <v>2.0099999999999998</v>
      </c>
      <c r="AI251" s="3">
        <v>0.84</v>
      </c>
      <c r="AM251" s="3">
        <v>1.74</v>
      </c>
      <c r="AR251" s="3" t="s">
        <v>124</v>
      </c>
      <c r="AW251" s="3" t="s">
        <v>379</v>
      </c>
    </row>
    <row r="252" spans="1:49" x14ac:dyDescent="0.15">
      <c r="A252" s="2">
        <v>251</v>
      </c>
      <c r="B252" s="2" t="s">
        <v>395</v>
      </c>
      <c r="C252" s="2" t="s">
        <v>127</v>
      </c>
      <c r="D252" s="2" t="s">
        <v>327</v>
      </c>
      <c r="E252" s="2" t="s">
        <v>627</v>
      </c>
      <c r="H252" s="2" t="s">
        <v>60</v>
      </c>
      <c r="I252" s="2" t="s">
        <v>149</v>
      </c>
      <c r="J252" s="2">
        <v>2007</v>
      </c>
      <c r="K252" s="2">
        <v>1</v>
      </c>
      <c r="L252" s="2">
        <v>2007</v>
      </c>
      <c r="M252" s="2">
        <v>11</v>
      </c>
      <c r="T252" s="3">
        <v>48</v>
      </c>
      <c r="Y252" s="3">
        <v>36.46</v>
      </c>
      <c r="AE252" s="3">
        <v>164</v>
      </c>
      <c r="AG252" s="3">
        <v>2.34</v>
      </c>
      <c r="AI252" s="3">
        <v>0.64</v>
      </c>
      <c r="AM252" s="3">
        <v>2.06</v>
      </c>
      <c r="AR252" s="3" t="s">
        <v>124</v>
      </c>
      <c r="AW252" s="3" t="s">
        <v>379</v>
      </c>
    </row>
    <row r="253" spans="1:49" x14ac:dyDescent="0.15">
      <c r="A253" s="2">
        <v>252</v>
      </c>
      <c r="B253" s="2" t="s">
        <v>395</v>
      </c>
      <c r="C253" s="2" t="s">
        <v>128</v>
      </c>
      <c r="D253" s="2" t="s">
        <v>294</v>
      </c>
      <c r="E253" s="2" t="s">
        <v>627</v>
      </c>
      <c r="H253" s="2" t="s">
        <v>60</v>
      </c>
      <c r="I253" s="2" t="s">
        <v>55</v>
      </c>
      <c r="J253" s="2">
        <v>2007</v>
      </c>
      <c r="K253" s="2">
        <v>1</v>
      </c>
      <c r="L253" s="2">
        <v>2007</v>
      </c>
      <c r="M253" s="2">
        <v>11</v>
      </c>
      <c r="T253" s="3">
        <v>43</v>
      </c>
      <c r="Y253" s="3">
        <v>9.3699999999999992</v>
      </c>
      <c r="AE253" s="3">
        <v>433</v>
      </c>
      <c r="AG253" s="3">
        <v>3.5</v>
      </c>
      <c r="AI253" s="3">
        <v>0.83</v>
      </c>
      <c r="AM253" s="3">
        <v>2.82</v>
      </c>
      <c r="AR253" s="3" t="s">
        <v>124</v>
      </c>
      <c r="AW253" s="3" t="s">
        <v>379</v>
      </c>
    </row>
    <row r="254" spans="1:49" x14ac:dyDescent="0.15">
      <c r="A254" s="2">
        <v>253</v>
      </c>
      <c r="B254" s="2" t="s">
        <v>395</v>
      </c>
      <c r="C254" s="2" t="s">
        <v>129</v>
      </c>
      <c r="D254" s="2" t="s">
        <v>294</v>
      </c>
      <c r="E254" s="2" t="s">
        <v>627</v>
      </c>
      <c r="H254" s="2" t="s">
        <v>60</v>
      </c>
      <c r="I254" s="2" t="s">
        <v>55</v>
      </c>
      <c r="J254" s="2">
        <v>2007</v>
      </c>
      <c r="K254" s="2">
        <v>1</v>
      </c>
      <c r="L254" s="2">
        <v>2007</v>
      </c>
      <c r="M254" s="2">
        <v>11</v>
      </c>
      <c r="T254" s="3">
        <v>84</v>
      </c>
      <c r="Y254" s="3">
        <v>10.46</v>
      </c>
      <c r="AE254" s="3">
        <v>390</v>
      </c>
      <c r="AG254" s="3">
        <v>2.69</v>
      </c>
      <c r="AI254" s="3">
        <v>0.77</v>
      </c>
      <c r="AM254" s="3">
        <v>2.34</v>
      </c>
      <c r="AR254" s="3" t="s">
        <v>124</v>
      </c>
      <c r="AW254" s="3" t="s">
        <v>379</v>
      </c>
    </row>
    <row r="255" spans="1:49" x14ac:dyDescent="0.15">
      <c r="A255" s="2">
        <v>254</v>
      </c>
      <c r="B255" s="2" t="s">
        <v>395</v>
      </c>
      <c r="C255" s="2" t="s">
        <v>130</v>
      </c>
      <c r="D255" s="2" t="s">
        <v>247</v>
      </c>
      <c r="E255" s="2" t="s">
        <v>627</v>
      </c>
      <c r="H255" s="2" t="s">
        <v>60</v>
      </c>
      <c r="I255" s="2" t="s">
        <v>25</v>
      </c>
      <c r="J255" s="2">
        <v>2007</v>
      </c>
      <c r="K255" s="2">
        <v>1</v>
      </c>
      <c r="L255" s="2">
        <v>2007</v>
      </c>
      <c r="M255" s="2">
        <v>11</v>
      </c>
      <c r="T255" s="3">
        <v>14</v>
      </c>
      <c r="Y255" s="3">
        <v>1.54</v>
      </c>
      <c r="AE255" s="3">
        <v>58</v>
      </c>
      <c r="AG255" s="3">
        <v>1.03</v>
      </c>
      <c r="AI255" s="3">
        <v>0.82</v>
      </c>
      <c r="AM255" s="3">
        <v>0.47</v>
      </c>
      <c r="AR255" s="3" t="s">
        <v>124</v>
      </c>
      <c r="AW255" s="3" t="s">
        <v>379</v>
      </c>
    </row>
    <row r="256" spans="1:49" x14ac:dyDescent="0.15">
      <c r="A256" s="2">
        <v>255</v>
      </c>
      <c r="B256" s="2" t="s">
        <v>395</v>
      </c>
      <c r="C256" s="2" t="s">
        <v>24</v>
      </c>
      <c r="D256" s="2" t="s">
        <v>222</v>
      </c>
      <c r="E256" s="2" t="s">
        <v>627</v>
      </c>
      <c r="H256" s="2" t="s">
        <v>60</v>
      </c>
      <c r="I256" s="2" t="s">
        <v>25</v>
      </c>
      <c r="J256" s="2">
        <v>2007</v>
      </c>
      <c r="K256" s="2">
        <v>1</v>
      </c>
      <c r="L256" s="2">
        <v>2007</v>
      </c>
      <c r="M256" s="2">
        <v>11</v>
      </c>
      <c r="T256" s="3">
        <v>30</v>
      </c>
      <c r="Y256" s="3">
        <v>2.02</v>
      </c>
      <c r="AE256" s="3">
        <v>26</v>
      </c>
      <c r="AG256" s="3">
        <v>0.45</v>
      </c>
      <c r="AI256" s="3">
        <v>0.62</v>
      </c>
      <c r="AM256" s="3">
        <v>0.33</v>
      </c>
      <c r="AR256" s="3" t="s">
        <v>124</v>
      </c>
      <c r="AW256" s="3" t="s">
        <v>379</v>
      </c>
    </row>
    <row r="257" spans="1:49" x14ac:dyDescent="0.15">
      <c r="A257" s="2">
        <v>256</v>
      </c>
      <c r="B257" s="2" t="s">
        <v>395</v>
      </c>
      <c r="C257" s="2" t="s">
        <v>397</v>
      </c>
      <c r="D257" s="2" t="s">
        <v>222</v>
      </c>
      <c r="E257" s="2" t="s">
        <v>627</v>
      </c>
      <c r="H257" s="2" t="s">
        <v>60</v>
      </c>
      <c r="I257" s="2" t="s">
        <v>25</v>
      </c>
      <c r="J257" s="2">
        <v>2007</v>
      </c>
      <c r="K257" s="2">
        <v>1</v>
      </c>
      <c r="L257" s="2">
        <v>2007</v>
      </c>
      <c r="M257" s="2">
        <v>11</v>
      </c>
      <c r="T257" s="3">
        <v>50</v>
      </c>
      <c r="Y257" s="3">
        <v>22.17</v>
      </c>
      <c r="AE257" s="3">
        <v>119</v>
      </c>
      <c r="AG257" s="3">
        <v>1.66</v>
      </c>
      <c r="AI257" s="3">
        <v>0.51</v>
      </c>
      <c r="AM257" s="3">
        <v>1.88</v>
      </c>
      <c r="AR257" s="3" t="s">
        <v>124</v>
      </c>
      <c r="AW257" s="3" t="s">
        <v>379</v>
      </c>
    </row>
    <row r="258" spans="1:49" x14ac:dyDescent="0.15">
      <c r="A258" s="2">
        <v>257</v>
      </c>
      <c r="B258" s="2" t="s">
        <v>395</v>
      </c>
      <c r="C258" s="2" t="s">
        <v>131</v>
      </c>
      <c r="D258" s="2" t="s">
        <v>115</v>
      </c>
      <c r="E258" s="2" t="s">
        <v>627</v>
      </c>
      <c r="H258" s="2" t="s">
        <v>60</v>
      </c>
      <c r="I258" s="2" t="s">
        <v>25</v>
      </c>
      <c r="J258" s="2">
        <v>2007</v>
      </c>
      <c r="K258" s="2">
        <v>1</v>
      </c>
      <c r="L258" s="2">
        <v>2007</v>
      </c>
      <c r="M258" s="2">
        <v>11</v>
      </c>
      <c r="T258" s="3">
        <v>4</v>
      </c>
      <c r="Y258" s="3">
        <v>0.54</v>
      </c>
      <c r="AE258" s="3">
        <v>10</v>
      </c>
      <c r="AG258" s="3">
        <v>0.48</v>
      </c>
      <c r="AI258" s="3">
        <v>0.96</v>
      </c>
      <c r="AM258" s="3">
        <v>0.22</v>
      </c>
      <c r="AR258" s="3" t="s">
        <v>124</v>
      </c>
      <c r="AW258" s="3" t="s">
        <v>379</v>
      </c>
    </row>
    <row r="259" spans="1:49" x14ac:dyDescent="0.15">
      <c r="A259" s="2">
        <v>258</v>
      </c>
      <c r="B259" s="2" t="s">
        <v>395</v>
      </c>
      <c r="C259" s="2" t="s">
        <v>132</v>
      </c>
      <c r="D259" s="2" t="s">
        <v>115</v>
      </c>
      <c r="E259" s="2" t="s">
        <v>627</v>
      </c>
      <c r="H259" s="2" t="s">
        <v>60</v>
      </c>
      <c r="I259" s="2" t="s">
        <v>25</v>
      </c>
      <c r="J259" s="2">
        <v>2007</v>
      </c>
      <c r="K259" s="2">
        <v>1</v>
      </c>
      <c r="L259" s="2">
        <v>2007</v>
      </c>
      <c r="M259" s="2">
        <v>11</v>
      </c>
      <c r="T259" s="3">
        <v>39</v>
      </c>
      <c r="Y259" s="3">
        <v>3.62</v>
      </c>
      <c r="AE259" s="3">
        <v>38</v>
      </c>
      <c r="AG259" s="3">
        <v>1.25</v>
      </c>
      <c r="AI259" s="3">
        <v>0.7</v>
      </c>
      <c r="AM259" s="3">
        <v>0.85</v>
      </c>
      <c r="AR259" s="3" t="s">
        <v>124</v>
      </c>
      <c r="AW259" s="3" t="s">
        <v>379</v>
      </c>
    </row>
    <row r="260" spans="1:49" x14ac:dyDescent="0.15">
      <c r="A260" s="2">
        <v>259</v>
      </c>
      <c r="B260" s="2" t="s">
        <v>395</v>
      </c>
      <c r="C260" s="2" t="s">
        <v>133</v>
      </c>
      <c r="D260" s="2" t="s">
        <v>115</v>
      </c>
      <c r="E260" s="2" t="s">
        <v>627</v>
      </c>
      <c r="H260" s="2" t="s">
        <v>60</v>
      </c>
      <c r="I260" s="2" t="s">
        <v>25</v>
      </c>
      <c r="J260" s="2">
        <v>2007</v>
      </c>
      <c r="K260" s="2">
        <v>1</v>
      </c>
      <c r="L260" s="2">
        <v>2007</v>
      </c>
      <c r="M260" s="2">
        <v>11</v>
      </c>
      <c r="T260" s="3">
        <v>11</v>
      </c>
      <c r="Y260" s="3">
        <v>0.35</v>
      </c>
      <c r="AE260" s="3">
        <v>14</v>
      </c>
      <c r="AG260" s="3">
        <v>0.69</v>
      </c>
      <c r="AI260" s="3">
        <v>0.34</v>
      </c>
      <c r="AM260" s="3">
        <v>0.39</v>
      </c>
      <c r="AR260" s="3" t="s">
        <v>124</v>
      </c>
      <c r="AW260" s="3" t="s">
        <v>379</v>
      </c>
    </row>
    <row r="261" spans="1:49" x14ac:dyDescent="0.15">
      <c r="A261" s="2">
        <v>260</v>
      </c>
      <c r="B261" s="2" t="s">
        <v>395</v>
      </c>
      <c r="C261" s="2" t="s">
        <v>134</v>
      </c>
      <c r="D261" s="2" t="s">
        <v>115</v>
      </c>
      <c r="E261" s="2" t="s">
        <v>627</v>
      </c>
      <c r="H261" s="2" t="s">
        <v>60</v>
      </c>
      <c r="I261" s="2" t="s">
        <v>25</v>
      </c>
      <c r="J261" s="2">
        <v>2007</v>
      </c>
      <c r="K261" s="2">
        <v>1</v>
      </c>
      <c r="L261" s="2">
        <v>2007</v>
      </c>
      <c r="M261" s="2">
        <v>11</v>
      </c>
      <c r="T261" s="3">
        <v>24</v>
      </c>
      <c r="Y261" s="3">
        <v>6.55</v>
      </c>
      <c r="AE261" s="3">
        <v>43</v>
      </c>
      <c r="AG261" s="3">
        <v>1.02</v>
      </c>
      <c r="AI261" s="3">
        <v>0.55900000000000005</v>
      </c>
      <c r="AM261" s="3">
        <v>0.87</v>
      </c>
      <c r="AR261" s="3" t="s">
        <v>124</v>
      </c>
      <c r="AW261" s="3" t="s">
        <v>379</v>
      </c>
    </row>
    <row r="262" spans="1:49" x14ac:dyDescent="0.15">
      <c r="A262" s="2">
        <v>261</v>
      </c>
      <c r="B262" s="2" t="s">
        <v>395</v>
      </c>
      <c r="C262" s="2" t="s">
        <v>135</v>
      </c>
      <c r="D262" s="2" t="s">
        <v>115</v>
      </c>
      <c r="E262" s="2" t="s">
        <v>627</v>
      </c>
      <c r="H262" s="2" t="s">
        <v>60</v>
      </c>
      <c r="I262" s="2" t="s">
        <v>25</v>
      </c>
      <c r="J262" s="2">
        <v>2007</v>
      </c>
      <c r="K262" s="2">
        <v>1</v>
      </c>
      <c r="L262" s="2">
        <v>2007</v>
      </c>
      <c r="M262" s="2">
        <v>11</v>
      </c>
      <c r="T262" s="3">
        <v>26</v>
      </c>
      <c r="Y262" s="3">
        <v>0.59</v>
      </c>
      <c r="AE262" s="3">
        <v>27</v>
      </c>
      <c r="AG262" s="3">
        <v>1.1000000000000001</v>
      </c>
      <c r="AI262" s="3">
        <v>0.93</v>
      </c>
      <c r="AM262" s="3">
        <v>0.51</v>
      </c>
      <c r="AR262" s="3" t="s">
        <v>124</v>
      </c>
      <c r="AW262" s="3" t="s">
        <v>379</v>
      </c>
    </row>
    <row r="263" spans="1:49" x14ac:dyDescent="0.15">
      <c r="A263" s="2">
        <v>262</v>
      </c>
      <c r="B263" s="2" t="s">
        <v>395</v>
      </c>
      <c r="C263" s="2" t="s">
        <v>136</v>
      </c>
      <c r="D263" s="2" t="s">
        <v>115</v>
      </c>
      <c r="E263" s="2" t="s">
        <v>627</v>
      </c>
      <c r="H263" s="2" t="s">
        <v>60</v>
      </c>
      <c r="I263" s="2" t="s">
        <v>25</v>
      </c>
      <c r="J263" s="2">
        <v>2007</v>
      </c>
      <c r="K263" s="2">
        <v>1</v>
      </c>
      <c r="L263" s="2">
        <v>2007</v>
      </c>
      <c r="M263" s="2">
        <v>11</v>
      </c>
      <c r="T263" s="3">
        <v>41</v>
      </c>
      <c r="Y263" s="3">
        <v>33.86</v>
      </c>
      <c r="AE263" s="3">
        <v>266</v>
      </c>
      <c r="AG263" s="3">
        <v>2.5299999999999998</v>
      </c>
      <c r="AI263" s="3">
        <v>0.69</v>
      </c>
      <c r="AM263" s="3">
        <v>10.8</v>
      </c>
      <c r="AR263" s="3" t="s">
        <v>124</v>
      </c>
      <c r="AW263" s="3" t="s">
        <v>379</v>
      </c>
    </row>
    <row r="264" spans="1:49" x14ac:dyDescent="0.15">
      <c r="A264" s="2">
        <v>263</v>
      </c>
      <c r="B264" s="2" t="s">
        <v>395</v>
      </c>
      <c r="C264" s="2" t="s">
        <v>71</v>
      </c>
      <c r="D264" s="2" t="s">
        <v>115</v>
      </c>
      <c r="E264" s="2" t="s">
        <v>627</v>
      </c>
      <c r="H264" s="2" t="s">
        <v>60</v>
      </c>
      <c r="I264" s="2" t="s">
        <v>25</v>
      </c>
      <c r="J264" s="2">
        <v>2007</v>
      </c>
      <c r="K264" s="2">
        <v>1</v>
      </c>
      <c r="L264" s="2">
        <v>2007</v>
      </c>
      <c r="M264" s="2">
        <v>11</v>
      </c>
      <c r="T264" s="3">
        <v>36</v>
      </c>
      <c r="Y264" s="3">
        <v>6.5</v>
      </c>
      <c r="AE264" s="3">
        <v>243</v>
      </c>
      <c r="AG264" s="3">
        <v>2.17</v>
      </c>
      <c r="AI264" s="3">
        <v>0.77</v>
      </c>
      <c r="AM264" s="3">
        <v>4.59</v>
      </c>
      <c r="AR264" s="3" t="s">
        <v>124</v>
      </c>
      <c r="AW264" s="3" t="s">
        <v>379</v>
      </c>
    </row>
    <row r="265" spans="1:49" x14ac:dyDescent="0.15">
      <c r="A265" s="2">
        <v>264</v>
      </c>
      <c r="B265" s="2" t="s">
        <v>395</v>
      </c>
      <c r="C265" s="2" t="s">
        <v>137</v>
      </c>
      <c r="D265" s="2" t="s">
        <v>398</v>
      </c>
      <c r="E265" s="2" t="s">
        <v>627</v>
      </c>
      <c r="H265" s="2" t="s">
        <v>60</v>
      </c>
      <c r="I265" s="2" t="s">
        <v>25</v>
      </c>
      <c r="J265" s="2">
        <v>2007</v>
      </c>
      <c r="K265" s="2">
        <v>1</v>
      </c>
      <c r="L265" s="2">
        <v>2007</v>
      </c>
      <c r="M265" s="2">
        <v>11</v>
      </c>
      <c r="T265" s="3">
        <v>183</v>
      </c>
      <c r="Y265" s="3">
        <v>19.5</v>
      </c>
      <c r="AE265" s="3">
        <v>671</v>
      </c>
      <c r="AG265" s="3">
        <v>4.18</v>
      </c>
      <c r="AI265" s="3">
        <v>0.87</v>
      </c>
      <c r="AM265" s="3">
        <v>5.6</v>
      </c>
      <c r="AR265" s="3" t="s">
        <v>124</v>
      </c>
      <c r="AW265" s="3" t="s">
        <v>379</v>
      </c>
    </row>
    <row r="266" spans="1:49" x14ac:dyDescent="0.15">
      <c r="A266" s="2">
        <v>265</v>
      </c>
      <c r="B266" s="2" t="s">
        <v>395</v>
      </c>
      <c r="C266" s="2" t="s">
        <v>138</v>
      </c>
      <c r="D266" s="2" t="s">
        <v>358</v>
      </c>
      <c r="E266" s="2" t="s">
        <v>627</v>
      </c>
      <c r="H266" s="2" t="s">
        <v>60</v>
      </c>
      <c r="I266" s="2" t="s">
        <v>25</v>
      </c>
      <c r="J266" s="2">
        <v>2007</v>
      </c>
      <c r="K266" s="2">
        <v>1</v>
      </c>
      <c r="L266" s="2">
        <v>2007</v>
      </c>
      <c r="M266" s="2">
        <v>11</v>
      </c>
      <c r="T266" s="3">
        <v>165</v>
      </c>
      <c r="Y266" s="3">
        <v>38.29</v>
      </c>
      <c r="AE266" s="3">
        <v>728</v>
      </c>
      <c r="AG266" s="3">
        <v>2.79</v>
      </c>
      <c r="AI266" s="3">
        <v>0.69</v>
      </c>
      <c r="AM266" s="3">
        <v>5</v>
      </c>
      <c r="AR266" s="3" t="s">
        <v>124</v>
      </c>
      <c r="AW266" s="3" t="s">
        <v>379</v>
      </c>
    </row>
    <row r="267" spans="1:49" x14ac:dyDescent="0.15">
      <c r="A267" s="2">
        <v>266</v>
      </c>
      <c r="B267" s="2" t="s">
        <v>395</v>
      </c>
      <c r="C267" s="2" t="s">
        <v>139</v>
      </c>
      <c r="D267" s="2" t="s">
        <v>399</v>
      </c>
      <c r="E267" s="2" t="s">
        <v>627</v>
      </c>
      <c r="H267" s="2" t="s">
        <v>60</v>
      </c>
      <c r="I267" s="2" t="s">
        <v>25</v>
      </c>
      <c r="J267" s="2">
        <v>2007</v>
      </c>
      <c r="K267" s="2">
        <v>1</v>
      </c>
      <c r="L267" s="2">
        <v>2007</v>
      </c>
      <c r="M267" s="2">
        <v>11</v>
      </c>
      <c r="T267" s="3">
        <v>135</v>
      </c>
      <c r="Y267" s="3">
        <v>25.31</v>
      </c>
      <c r="AE267" s="3">
        <v>45</v>
      </c>
      <c r="AG267" s="3">
        <v>2.31</v>
      </c>
      <c r="AI267" s="3">
        <v>0.74</v>
      </c>
      <c r="AM267" s="3">
        <v>6.82</v>
      </c>
      <c r="AR267" s="3" t="s">
        <v>124</v>
      </c>
      <c r="AW267" s="3" t="s">
        <v>379</v>
      </c>
    </row>
    <row r="268" spans="1:49" x14ac:dyDescent="0.15">
      <c r="A268" s="2">
        <v>267</v>
      </c>
      <c r="B268" s="2" t="s">
        <v>395</v>
      </c>
      <c r="C268" s="2" t="s">
        <v>140</v>
      </c>
      <c r="D268" s="2" t="s">
        <v>399</v>
      </c>
      <c r="E268" s="2" t="s">
        <v>627</v>
      </c>
      <c r="H268" s="2" t="s">
        <v>60</v>
      </c>
      <c r="I268" s="2" t="s">
        <v>634</v>
      </c>
      <c r="J268" s="2">
        <v>2007</v>
      </c>
      <c r="K268" s="2">
        <v>1</v>
      </c>
      <c r="L268" s="2">
        <v>2007</v>
      </c>
      <c r="M268" s="2">
        <v>11</v>
      </c>
      <c r="T268" s="3">
        <v>121</v>
      </c>
      <c r="Y268" s="3">
        <v>3.9</v>
      </c>
      <c r="AE268" s="3">
        <v>270</v>
      </c>
      <c r="AG268" s="3">
        <v>2.5099999999999998</v>
      </c>
      <c r="AI268" s="3">
        <v>0.81</v>
      </c>
      <c r="AM268" s="3">
        <v>2.21</v>
      </c>
      <c r="AR268" s="3" t="s">
        <v>124</v>
      </c>
      <c r="AW268" s="3" t="s">
        <v>379</v>
      </c>
    </row>
    <row r="269" spans="1:49" x14ac:dyDescent="0.15">
      <c r="A269" s="2">
        <v>268</v>
      </c>
      <c r="B269" s="2" t="s">
        <v>395</v>
      </c>
      <c r="C269" s="2" t="s">
        <v>141</v>
      </c>
      <c r="D269" s="2" t="s">
        <v>399</v>
      </c>
      <c r="E269" s="2" t="s">
        <v>627</v>
      </c>
      <c r="H269" s="2" t="s">
        <v>60</v>
      </c>
      <c r="I269" s="2" t="s">
        <v>634</v>
      </c>
      <c r="J269" s="2">
        <v>2007</v>
      </c>
      <c r="K269" s="2">
        <v>1</v>
      </c>
      <c r="L269" s="2">
        <v>2007</v>
      </c>
      <c r="M269" s="2">
        <v>11</v>
      </c>
      <c r="T269" s="3">
        <v>132</v>
      </c>
      <c r="Y269" s="3">
        <v>14.93</v>
      </c>
      <c r="AE269" s="3">
        <v>312</v>
      </c>
      <c r="AG269" s="3">
        <v>3.76</v>
      </c>
      <c r="AI269" s="3">
        <v>0.87</v>
      </c>
      <c r="AM269" s="3">
        <v>3.65</v>
      </c>
      <c r="AR269" s="3" t="s">
        <v>124</v>
      </c>
      <c r="AW269" s="3" t="s">
        <v>379</v>
      </c>
    </row>
    <row r="270" spans="1:49" x14ac:dyDescent="0.15">
      <c r="A270" s="2">
        <v>269</v>
      </c>
      <c r="B270" s="2" t="s">
        <v>395</v>
      </c>
      <c r="C270" s="2" t="s">
        <v>142</v>
      </c>
      <c r="D270" s="2" t="s">
        <v>399</v>
      </c>
      <c r="E270" s="2" t="s">
        <v>627</v>
      </c>
      <c r="H270" s="2" t="s">
        <v>60</v>
      </c>
      <c r="I270" s="2" t="s">
        <v>634</v>
      </c>
      <c r="J270" s="2">
        <v>2007</v>
      </c>
      <c r="K270" s="2">
        <v>1</v>
      </c>
      <c r="L270" s="2">
        <v>2007</v>
      </c>
      <c r="M270" s="2">
        <v>11</v>
      </c>
      <c r="T270" s="3">
        <v>167</v>
      </c>
      <c r="Y270" s="3">
        <v>14.11</v>
      </c>
      <c r="AE270" s="3">
        <v>337</v>
      </c>
      <c r="AG270" s="3">
        <v>3.3</v>
      </c>
      <c r="AI270" s="3">
        <v>0.78</v>
      </c>
      <c r="AM270" s="3">
        <v>3.44</v>
      </c>
      <c r="AR270" s="3" t="s">
        <v>124</v>
      </c>
      <c r="AW270" s="3" t="s">
        <v>379</v>
      </c>
    </row>
    <row r="271" spans="1:49" x14ac:dyDescent="0.15">
      <c r="A271" s="2">
        <v>270</v>
      </c>
      <c r="B271" s="2" t="s">
        <v>395</v>
      </c>
      <c r="C271" s="2" t="s">
        <v>143</v>
      </c>
      <c r="D271" s="2" t="s">
        <v>399</v>
      </c>
      <c r="E271" s="2" t="s">
        <v>627</v>
      </c>
      <c r="H271" s="2" t="s">
        <v>60</v>
      </c>
      <c r="I271" s="2" t="s">
        <v>634</v>
      </c>
      <c r="J271" s="2">
        <v>2007</v>
      </c>
      <c r="K271" s="2">
        <v>1</v>
      </c>
      <c r="L271" s="2">
        <v>2007</v>
      </c>
      <c r="M271" s="2">
        <v>11</v>
      </c>
      <c r="T271" s="3">
        <v>61</v>
      </c>
      <c r="Y271" s="3">
        <v>19.760000000000002</v>
      </c>
      <c r="AE271" s="3">
        <v>70</v>
      </c>
      <c r="AG271" s="3">
        <v>2.5099999999999998</v>
      </c>
      <c r="AI271" s="3">
        <v>0.79</v>
      </c>
      <c r="AM271" s="3">
        <v>1.82</v>
      </c>
      <c r="AR271" s="3" t="s">
        <v>124</v>
      </c>
      <c r="AW271" s="3" t="s">
        <v>379</v>
      </c>
    </row>
    <row r="272" spans="1:49" x14ac:dyDescent="0.15">
      <c r="A272" s="2">
        <v>271</v>
      </c>
      <c r="B272" s="2" t="s">
        <v>395</v>
      </c>
      <c r="C272" s="2" t="s">
        <v>144</v>
      </c>
      <c r="D272" s="2" t="s">
        <v>400</v>
      </c>
      <c r="E272" s="2" t="s">
        <v>627</v>
      </c>
      <c r="H272" s="2" t="s">
        <v>60</v>
      </c>
      <c r="I272" s="2" t="s">
        <v>634</v>
      </c>
      <c r="J272" s="2">
        <v>2007</v>
      </c>
      <c r="K272" s="2">
        <v>1</v>
      </c>
      <c r="L272" s="2">
        <v>2007</v>
      </c>
      <c r="M272" s="2">
        <v>11</v>
      </c>
      <c r="T272" s="3">
        <v>94</v>
      </c>
      <c r="Y272" s="3">
        <v>2.4500000000000002</v>
      </c>
      <c r="AE272" s="3">
        <v>85</v>
      </c>
      <c r="AG272" s="3">
        <v>2.19</v>
      </c>
      <c r="AI272" s="3">
        <v>0.71</v>
      </c>
      <c r="AM272" s="3">
        <v>2.08</v>
      </c>
      <c r="AR272" s="3" t="s">
        <v>124</v>
      </c>
      <c r="AW272" s="3" t="s">
        <v>379</v>
      </c>
    </row>
    <row r="273" spans="1:49" x14ac:dyDescent="0.15">
      <c r="A273" s="2">
        <v>272</v>
      </c>
      <c r="B273" s="2" t="s">
        <v>395</v>
      </c>
      <c r="C273" s="2" t="s">
        <v>145</v>
      </c>
      <c r="D273" s="2" t="s">
        <v>400</v>
      </c>
      <c r="E273" s="2" t="s">
        <v>627</v>
      </c>
      <c r="H273" s="2" t="s">
        <v>60</v>
      </c>
      <c r="I273" s="2" t="s">
        <v>634</v>
      </c>
      <c r="J273" s="2">
        <v>2007</v>
      </c>
      <c r="K273" s="2">
        <v>1</v>
      </c>
      <c r="L273" s="2">
        <v>2007</v>
      </c>
      <c r="M273" s="2">
        <v>11</v>
      </c>
      <c r="T273" s="3">
        <v>57</v>
      </c>
      <c r="Y273" s="3">
        <v>25.51</v>
      </c>
      <c r="AE273" s="3">
        <v>65</v>
      </c>
      <c r="AG273" s="3">
        <v>1.84</v>
      </c>
      <c r="AI273" s="3">
        <v>0.56999999999999995</v>
      </c>
      <c r="AM273" s="3">
        <v>2.1800000000000002</v>
      </c>
      <c r="AR273" s="3" t="s">
        <v>124</v>
      </c>
      <c r="AW273" s="3" t="s">
        <v>379</v>
      </c>
    </row>
    <row r="274" spans="1:49" x14ac:dyDescent="0.15">
      <c r="A274" s="2">
        <v>273</v>
      </c>
      <c r="B274" s="2" t="s">
        <v>395</v>
      </c>
      <c r="C274" s="2" t="s">
        <v>146</v>
      </c>
      <c r="D274" s="2" t="s">
        <v>400</v>
      </c>
      <c r="E274" s="2" t="s">
        <v>627</v>
      </c>
      <c r="H274" s="2" t="s">
        <v>60</v>
      </c>
      <c r="I274" s="2" t="s">
        <v>634</v>
      </c>
      <c r="J274" s="2">
        <v>2007</v>
      </c>
      <c r="K274" s="2">
        <v>1</v>
      </c>
      <c r="L274" s="2">
        <v>2007</v>
      </c>
      <c r="M274" s="2">
        <v>11</v>
      </c>
      <c r="T274" s="3">
        <v>111</v>
      </c>
      <c r="Y274" s="3">
        <v>14.01</v>
      </c>
      <c r="AE274" s="3">
        <v>91</v>
      </c>
      <c r="AG274" s="3">
        <v>2.54</v>
      </c>
      <c r="AI274" s="3">
        <v>0.71</v>
      </c>
      <c r="AM274" s="3">
        <v>2.65</v>
      </c>
      <c r="AR274" s="3" t="s">
        <v>124</v>
      </c>
      <c r="AW274" s="3" t="s">
        <v>379</v>
      </c>
    </row>
    <row r="275" spans="1:49" x14ac:dyDescent="0.15">
      <c r="A275" s="2">
        <v>274</v>
      </c>
      <c r="B275" s="2" t="s">
        <v>395</v>
      </c>
      <c r="C275" s="2" t="s">
        <v>147</v>
      </c>
      <c r="D275" s="2" t="s">
        <v>400</v>
      </c>
      <c r="E275" s="2" t="s">
        <v>627</v>
      </c>
      <c r="H275" s="2" t="s">
        <v>60</v>
      </c>
      <c r="I275" s="2" t="s">
        <v>634</v>
      </c>
      <c r="J275" s="2">
        <v>2007</v>
      </c>
      <c r="K275" s="2">
        <v>1</v>
      </c>
      <c r="L275" s="2">
        <v>2007</v>
      </c>
      <c r="M275" s="2">
        <v>11</v>
      </c>
      <c r="T275" s="3">
        <v>54</v>
      </c>
      <c r="Y275" s="3">
        <v>3.74</v>
      </c>
      <c r="AE275" s="3">
        <v>57</v>
      </c>
      <c r="AG275" s="3">
        <v>2.17</v>
      </c>
      <c r="AI275" s="3">
        <v>0.71</v>
      </c>
      <c r="AM275" s="3">
        <v>1.95</v>
      </c>
      <c r="AR275" s="3" t="s">
        <v>124</v>
      </c>
      <c r="AW275" s="3" t="s">
        <v>379</v>
      </c>
    </row>
    <row r="276" spans="1:49" x14ac:dyDescent="0.15">
      <c r="A276" s="2">
        <v>275</v>
      </c>
      <c r="B276" s="2" t="s">
        <v>395</v>
      </c>
      <c r="C276" s="2" t="s">
        <v>150</v>
      </c>
      <c r="D276" s="2" t="s">
        <v>400</v>
      </c>
      <c r="E276" s="2" t="s">
        <v>627</v>
      </c>
      <c r="H276" s="2" t="s">
        <v>60</v>
      </c>
      <c r="I276" s="2" t="s">
        <v>634</v>
      </c>
      <c r="J276" s="2">
        <v>2007</v>
      </c>
      <c r="K276" s="2">
        <v>1</v>
      </c>
      <c r="L276" s="2">
        <v>2007</v>
      </c>
      <c r="M276" s="2">
        <v>11</v>
      </c>
      <c r="T276" s="3">
        <v>227</v>
      </c>
      <c r="Y276" s="3">
        <v>89.14</v>
      </c>
      <c r="AE276" s="3">
        <v>467</v>
      </c>
      <c r="AG276" s="3">
        <v>2.68</v>
      </c>
      <c r="AI276" s="3">
        <v>0.54</v>
      </c>
      <c r="AM276" s="3">
        <v>5.36</v>
      </c>
      <c r="AR276" s="3" t="s">
        <v>124</v>
      </c>
      <c r="AW276" s="3" t="s">
        <v>379</v>
      </c>
    </row>
    <row r="277" spans="1:49" s="6" customFormat="1" x14ac:dyDescent="0.15">
      <c r="A277" s="2">
        <v>276</v>
      </c>
      <c r="B277" s="5" t="s">
        <v>401</v>
      </c>
      <c r="C277" s="5" t="s">
        <v>151</v>
      </c>
      <c r="D277" s="5" t="s">
        <v>394</v>
      </c>
      <c r="E277" s="5" t="s">
        <v>39</v>
      </c>
      <c r="F277" s="5"/>
      <c r="G277" s="5"/>
      <c r="H277" s="5" t="s">
        <v>60</v>
      </c>
      <c r="I277" s="5" t="s">
        <v>152</v>
      </c>
      <c r="J277" s="5">
        <v>1999</v>
      </c>
      <c r="K277" s="5">
        <v>9</v>
      </c>
      <c r="L277" s="5">
        <v>2000</v>
      </c>
      <c r="M277" s="5">
        <v>4</v>
      </c>
      <c r="N277" s="6">
        <v>500</v>
      </c>
      <c r="O277" s="6">
        <v>28</v>
      </c>
      <c r="P277" s="5">
        <v>2</v>
      </c>
      <c r="Q277" s="5">
        <v>6</v>
      </c>
      <c r="R277" s="5">
        <v>6</v>
      </c>
      <c r="S277" s="5">
        <v>1</v>
      </c>
      <c r="T277" s="6">
        <v>15</v>
      </c>
      <c r="U277" s="6">
        <f>7.4*0.019</f>
        <v>0.1406</v>
      </c>
      <c r="V277" s="6">
        <f>7.4*0.786</f>
        <v>5.8164000000000007</v>
      </c>
      <c r="W277" s="6">
        <f>7.4*0.146</f>
        <v>1.0804</v>
      </c>
      <c r="X277" s="6">
        <f>7.4*0.049</f>
        <v>0.36260000000000003</v>
      </c>
      <c r="Y277" s="6">
        <v>7.4</v>
      </c>
      <c r="AA277" s="6">
        <f>85*0.025</f>
        <v>2.125</v>
      </c>
      <c r="AB277" s="6">
        <f>85*0.832</f>
        <v>70.72</v>
      </c>
      <c r="AC277" s="6">
        <f>85*0.134</f>
        <v>11.39</v>
      </c>
      <c r="AE277" s="6">
        <v>85</v>
      </c>
      <c r="AR277" s="6" t="s">
        <v>60</v>
      </c>
      <c r="AS277" s="7" t="s">
        <v>121</v>
      </c>
      <c r="AT277" s="7">
        <v>47.75</v>
      </c>
      <c r="AU277" s="7" t="s">
        <v>881</v>
      </c>
      <c r="AW277" s="6" t="s">
        <v>379</v>
      </c>
    </row>
    <row r="278" spans="1:49" s="6" customFormat="1" x14ac:dyDescent="0.15">
      <c r="A278" s="2">
        <v>277</v>
      </c>
      <c r="B278" s="5" t="s">
        <v>401</v>
      </c>
      <c r="C278" s="5" t="s">
        <v>151</v>
      </c>
      <c r="D278" s="5" t="s">
        <v>394</v>
      </c>
      <c r="E278" s="5" t="s">
        <v>39</v>
      </c>
      <c r="F278" s="5"/>
      <c r="G278" s="5"/>
      <c r="H278" s="5" t="s">
        <v>60</v>
      </c>
      <c r="I278" s="5" t="s">
        <v>152</v>
      </c>
      <c r="J278" s="5">
        <v>2000</v>
      </c>
      <c r="K278" s="5">
        <v>4</v>
      </c>
      <c r="L278" s="5"/>
      <c r="M278" s="5"/>
      <c r="N278" s="6">
        <v>500</v>
      </c>
      <c r="O278" s="6">
        <v>28</v>
      </c>
      <c r="P278" s="5">
        <v>3</v>
      </c>
      <c r="Q278" s="5">
        <v>4</v>
      </c>
      <c r="R278" s="5">
        <v>10</v>
      </c>
      <c r="S278" s="5">
        <v>2</v>
      </c>
      <c r="T278" s="6">
        <v>21</v>
      </c>
      <c r="U278" s="6">
        <f>12.8*0.024</f>
        <v>0.30720000000000003</v>
      </c>
      <c r="V278" s="6">
        <f>12.8*0.743</f>
        <v>9.5104000000000006</v>
      </c>
      <c r="W278" s="6">
        <f>12.8*0.209</f>
        <v>2.6752000000000002</v>
      </c>
      <c r="X278" s="6">
        <f>12.8*0.009</f>
        <v>0.1152</v>
      </c>
      <c r="Y278" s="6">
        <v>12.8</v>
      </c>
      <c r="AA278" s="6">
        <f>591.7*0.027</f>
        <v>15.975900000000001</v>
      </c>
      <c r="AB278" s="6">
        <f>591.7*0.652</f>
        <v>385.78840000000002</v>
      </c>
      <c r="AC278" s="6">
        <f>591.7*0.309</f>
        <v>182.83530000000002</v>
      </c>
      <c r="AD278" s="6">
        <f>591.7*0.005</f>
        <v>2.9585000000000004</v>
      </c>
      <c r="AE278" s="6">
        <v>591.70000000000005</v>
      </c>
      <c r="AR278" s="6" t="s">
        <v>60</v>
      </c>
      <c r="AS278" s="7" t="s">
        <v>121</v>
      </c>
      <c r="AT278" s="7">
        <v>47.75</v>
      </c>
      <c r="AU278" s="7" t="s">
        <v>881</v>
      </c>
      <c r="AW278" s="6" t="s">
        <v>379</v>
      </c>
    </row>
    <row r="279" spans="1:49" x14ac:dyDescent="0.15">
      <c r="A279" s="2">
        <v>278</v>
      </c>
      <c r="B279" s="5" t="s">
        <v>153</v>
      </c>
      <c r="C279" s="2" t="s">
        <v>151</v>
      </c>
      <c r="D279" s="5" t="s">
        <v>394</v>
      </c>
      <c r="E279" s="2" t="s">
        <v>39</v>
      </c>
      <c r="H279" s="2" t="s">
        <v>60</v>
      </c>
      <c r="I279" s="2" t="s">
        <v>152</v>
      </c>
      <c r="J279" s="2">
        <v>1990</v>
      </c>
      <c r="U279" s="3">
        <f>27.8*0.07</f>
        <v>1.9460000000000002</v>
      </c>
      <c r="V279" s="3">
        <f>27.8*0.629</f>
        <v>17.4862</v>
      </c>
      <c r="W279" s="3">
        <f>27.8*0.038</f>
        <v>1.0564</v>
      </c>
      <c r="X279" s="3">
        <f>27.8*0.255</f>
        <v>7.0890000000000004</v>
      </c>
      <c r="Y279" s="3">
        <v>27.8</v>
      </c>
      <c r="AA279" s="3">
        <f>72.4*0.21</f>
        <v>15.204000000000001</v>
      </c>
      <c r="AB279" s="3">
        <f>72.4*0.497</f>
        <v>35.982800000000005</v>
      </c>
      <c r="AC279" s="3">
        <f>72.4*0.177</f>
        <v>12.8148</v>
      </c>
      <c r="AD279" s="3">
        <f>72.4*0.022</f>
        <v>1.5928</v>
      </c>
      <c r="AE279" s="3">
        <v>72.400000000000006</v>
      </c>
      <c r="AW279" s="6" t="s">
        <v>379</v>
      </c>
    </row>
    <row r="280" spans="1:49" x14ac:dyDescent="0.15">
      <c r="A280" s="2">
        <v>279</v>
      </c>
      <c r="B280" s="5" t="s">
        <v>153</v>
      </c>
      <c r="C280" s="2" t="s">
        <v>151</v>
      </c>
      <c r="D280" s="5" t="s">
        <v>394</v>
      </c>
      <c r="E280" s="2" t="s">
        <v>39</v>
      </c>
      <c r="H280" s="2" t="s">
        <v>60</v>
      </c>
      <c r="I280" s="2" t="s">
        <v>152</v>
      </c>
      <c r="J280" s="2">
        <v>1991</v>
      </c>
      <c r="U280" s="3">
        <f>27*0.07</f>
        <v>1.8900000000000001</v>
      </c>
      <c r="V280" s="3">
        <f>27*0.6</f>
        <v>16.2</v>
      </c>
      <c r="W280" s="3">
        <f>27*0.313</f>
        <v>8.4510000000000005</v>
      </c>
      <c r="X280" s="3">
        <f>27*0.096</f>
        <v>2.5920000000000001</v>
      </c>
      <c r="Y280" s="3">
        <v>27</v>
      </c>
      <c r="AA280" s="3">
        <f>96.6*0.151</f>
        <v>14.586599999999999</v>
      </c>
      <c r="AB280" s="3">
        <f>96.6*0.472</f>
        <v>45.595199999999998</v>
      </c>
      <c r="AC280" s="3">
        <f>96.6*0.174</f>
        <v>16.808399999999999</v>
      </c>
      <c r="AD280" s="3">
        <f>96.6*0.062</f>
        <v>5.9891999999999994</v>
      </c>
      <c r="AE280" s="3">
        <v>96.6</v>
      </c>
      <c r="AW280" s="6" t="s">
        <v>379</v>
      </c>
    </row>
    <row r="281" spans="1:49" x14ac:dyDescent="0.15">
      <c r="A281" s="2">
        <v>280</v>
      </c>
      <c r="B281" s="5" t="s">
        <v>402</v>
      </c>
      <c r="C281" s="2" t="s">
        <v>151</v>
      </c>
      <c r="D281" s="5" t="s">
        <v>394</v>
      </c>
      <c r="E281" s="2" t="s">
        <v>39</v>
      </c>
      <c r="H281" s="2" t="s">
        <v>60</v>
      </c>
      <c r="I281" s="2" t="s">
        <v>152</v>
      </c>
      <c r="J281" s="2">
        <v>1980</v>
      </c>
      <c r="U281" s="3">
        <f>30.1*0.055</f>
        <v>1.6555000000000002</v>
      </c>
      <c r="V281" s="3">
        <f>30.1*0.825</f>
        <v>24.8325</v>
      </c>
      <c r="W281" s="3">
        <f>30.1*0.038</f>
        <v>1.1437999999999999</v>
      </c>
      <c r="X281" s="3">
        <f>30.1*0.081</f>
        <v>2.4381000000000004</v>
      </c>
      <c r="Y281" s="3">
        <v>30.1</v>
      </c>
      <c r="AA281" s="3">
        <f>128*0.015</f>
        <v>1.92</v>
      </c>
      <c r="AB281" s="3">
        <f>128*0.227</f>
        <v>29.056000000000001</v>
      </c>
      <c r="AC281" s="3">
        <f>128*0.523</f>
        <v>66.944000000000003</v>
      </c>
      <c r="AD281" s="3">
        <f>128*0.003</f>
        <v>0.38400000000000001</v>
      </c>
      <c r="AE281" s="3">
        <v>128</v>
      </c>
      <c r="AW281" s="6" t="s">
        <v>379</v>
      </c>
    </row>
    <row r="282" spans="1:49" x14ac:dyDescent="0.15">
      <c r="A282" s="2">
        <v>281</v>
      </c>
      <c r="B282" s="5" t="s">
        <v>402</v>
      </c>
      <c r="C282" s="2" t="s">
        <v>151</v>
      </c>
      <c r="D282" s="5" t="s">
        <v>394</v>
      </c>
      <c r="E282" s="2" t="s">
        <v>39</v>
      </c>
      <c r="H282" s="2" t="s">
        <v>60</v>
      </c>
      <c r="I282" s="2" t="s">
        <v>152</v>
      </c>
      <c r="J282" s="2">
        <v>1981</v>
      </c>
      <c r="U282" s="3">
        <f>10.7*0.107</f>
        <v>1.1448999999999998</v>
      </c>
      <c r="V282" s="3">
        <f>10.7*0.579</f>
        <v>6.1952999999999996</v>
      </c>
      <c r="W282" s="3">
        <f>10.7*0.313</f>
        <v>3.3491</v>
      </c>
      <c r="Y282" s="3">
        <v>10.7</v>
      </c>
      <c r="AE282" s="3">
        <v>101</v>
      </c>
      <c r="AW282" s="6" t="s">
        <v>379</v>
      </c>
    </row>
    <row r="283" spans="1:49" x14ac:dyDescent="0.15">
      <c r="A283" s="2">
        <v>282</v>
      </c>
      <c r="B283" s="2" t="s">
        <v>154</v>
      </c>
      <c r="C283" s="2" t="s">
        <v>155</v>
      </c>
      <c r="D283" s="2" t="s">
        <v>155</v>
      </c>
      <c r="E283" s="2" t="s">
        <v>156</v>
      </c>
      <c r="H283" s="2" t="s">
        <v>60</v>
      </c>
      <c r="I283" s="2" t="s">
        <v>52</v>
      </c>
      <c r="J283" s="2">
        <v>1990</v>
      </c>
      <c r="K283" s="2">
        <v>2</v>
      </c>
      <c r="L283" s="2">
        <v>1992</v>
      </c>
      <c r="M283" s="2">
        <v>1</v>
      </c>
      <c r="Q283" s="2">
        <v>345</v>
      </c>
      <c r="V283" s="3">
        <v>8.81</v>
      </c>
      <c r="AB283" s="3">
        <v>36</v>
      </c>
      <c r="AR283" s="3" t="s">
        <v>66</v>
      </c>
      <c r="AS283" s="3" t="s">
        <v>253</v>
      </c>
      <c r="AT283" s="3">
        <v>45.63</v>
      </c>
      <c r="AU283" s="3" t="s">
        <v>886</v>
      </c>
      <c r="AV283" s="3" t="s">
        <v>168</v>
      </c>
      <c r="AW283" s="6" t="s">
        <v>379</v>
      </c>
    </row>
    <row r="284" spans="1:49" x14ac:dyDescent="0.15">
      <c r="A284" s="2">
        <v>283</v>
      </c>
      <c r="B284" s="2" t="s">
        <v>154</v>
      </c>
      <c r="C284" s="2" t="s">
        <v>157</v>
      </c>
      <c r="D284" s="2" t="s">
        <v>155</v>
      </c>
      <c r="E284" s="2" t="s">
        <v>156</v>
      </c>
      <c r="H284" s="2" t="s">
        <v>60</v>
      </c>
      <c r="I284" s="2" t="s">
        <v>52</v>
      </c>
      <c r="J284" s="2">
        <v>1990</v>
      </c>
      <c r="K284" s="2">
        <v>2</v>
      </c>
      <c r="L284" s="2">
        <v>1992</v>
      </c>
      <c r="M284" s="2">
        <v>1</v>
      </c>
      <c r="Q284" s="2">
        <v>57</v>
      </c>
      <c r="V284" s="3">
        <v>5.94</v>
      </c>
      <c r="AB284" s="3">
        <v>25</v>
      </c>
      <c r="AR284" s="3" t="s">
        <v>66</v>
      </c>
      <c r="AS284" s="3" t="s">
        <v>254</v>
      </c>
      <c r="AT284" s="3">
        <v>45.63</v>
      </c>
      <c r="AU284" s="3" t="s">
        <v>886</v>
      </c>
      <c r="AW284" s="6" t="s">
        <v>379</v>
      </c>
    </row>
    <row r="285" spans="1:49" x14ac:dyDescent="0.15">
      <c r="A285" s="2">
        <v>284</v>
      </c>
      <c r="B285" s="2" t="s">
        <v>154</v>
      </c>
      <c r="C285" s="2" t="s">
        <v>158</v>
      </c>
      <c r="D285" s="2" t="s">
        <v>155</v>
      </c>
      <c r="E285" s="2" t="s">
        <v>156</v>
      </c>
      <c r="H285" s="2" t="s">
        <v>60</v>
      </c>
      <c r="I285" s="2" t="s">
        <v>52</v>
      </c>
      <c r="J285" s="2">
        <v>1990</v>
      </c>
      <c r="K285" s="2">
        <v>2</v>
      </c>
      <c r="L285" s="2">
        <v>1992</v>
      </c>
      <c r="M285" s="2">
        <v>1</v>
      </c>
      <c r="Q285" s="2">
        <v>72</v>
      </c>
      <c r="V285" s="3">
        <v>2.14</v>
      </c>
      <c r="AB285" s="3">
        <v>10</v>
      </c>
      <c r="AR285" s="3" t="s">
        <v>66</v>
      </c>
      <c r="AS285" s="3" t="s">
        <v>255</v>
      </c>
      <c r="AT285" s="3">
        <v>45.63</v>
      </c>
      <c r="AU285" s="3" t="s">
        <v>886</v>
      </c>
      <c r="AW285" s="6" t="s">
        <v>379</v>
      </c>
    </row>
    <row r="286" spans="1:49" x14ac:dyDescent="0.15">
      <c r="A286" s="2">
        <v>285</v>
      </c>
      <c r="B286" s="2" t="s">
        <v>154</v>
      </c>
      <c r="C286" s="2" t="s">
        <v>159</v>
      </c>
      <c r="D286" s="2" t="s">
        <v>155</v>
      </c>
      <c r="E286" s="2" t="s">
        <v>156</v>
      </c>
      <c r="H286" s="2" t="s">
        <v>60</v>
      </c>
      <c r="I286" s="2" t="s">
        <v>52</v>
      </c>
      <c r="J286" s="2">
        <v>1990</v>
      </c>
      <c r="K286" s="2">
        <v>2</v>
      </c>
      <c r="L286" s="2">
        <v>1992</v>
      </c>
      <c r="M286" s="2">
        <v>1</v>
      </c>
      <c r="Q286" s="2">
        <v>58</v>
      </c>
      <c r="V286" s="3">
        <v>0.84</v>
      </c>
      <c r="AB286" s="3">
        <v>9</v>
      </c>
      <c r="AR286" s="3" t="s">
        <v>66</v>
      </c>
      <c r="AS286" s="3" t="s">
        <v>253</v>
      </c>
      <c r="AT286" s="3">
        <v>45.63</v>
      </c>
      <c r="AU286" s="3" t="s">
        <v>886</v>
      </c>
      <c r="AW286" s="6" t="s">
        <v>379</v>
      </c>
    </row>
    <row r="287" spans="1:49" x14ac:dyDescent="0.15">
      <c r="A287" s="2">
        <v>286</v>
      </c>
      <c r="B287" s="2" t="s">
        <v>154</v>
      </c>
      <c r="C287" s="2" t="s">
        <v>160</v>
      </c>
      <c r="D287" s="2" t="s">
        <v>155</v>
      </c>
      <c r="E287" s="2" t="s">
        <v>156</v>
      </c>
      <c r="H287" s="2" t="s">
        <v>60</v>
      </c>
      <c r="I287" s="2" t="s">
        <v>52</v>
      </c>
      <c r="J287" s="2">
        <v>1990</v>
      </c>
      <c r="K287" s="2">
        <v>2</v>
      </c>
      <c r="L287" s="2">
        <v>1992</v>
      </c>
      <c r="M287" s="2">
        <v>1</v>
      </c>
      <c r="Q287" s="2">
        <v>81</v>
      </c>
      <c r="V287" s="3">
        <v>4.42</v>
      </c>
      <c r="AB287" s="3">
        <v>31</v>
      </c>
      <c r="AR287" s="3" t="s">
        <v>66</v>
      </c>
      <c r="AS287" s="3" t="s">
        <v>253</v>
      </c>
      <c r="AT287" s="3">
        <v>45.63</v>
      </c>
      <c r="AU287" s="3" t="s">
        <v>886</v>
      </c>
      <c r="AW287" s="6" t="s">
        <v>379</v>
      </c>
    </row>
    <row r="288" spans="1:49" x14ac:dyDescent="0.15">
      <c r="A288" s="2">
        <v>287</v>
      </c>
      <c r="B288" s="2" t="s">
        <v>154</v>
      </c>
      <c r="C288" s="2" t="s">
        <v>161</v>
      </c>
      <c r="D288" s="2" t="s">
        <v>155</v>
      </c>
      <c r="E288" s="2" t="s">
        <v>156</v>
      </c>
      <c r="H288" s="2" t="s">
        <v>60</v>
      </c>
      <c r="I288" s="2" t="s">
        <v>52</v>
      </c>
      <c r="J288" s="2">
        <v>1990</v>
      </c>
      <c r="K288" s="2">
        <v>2</v>
      </c>
      <c r="L288" s="2">
        <v>1992</v>
      </c>
      <c r="M288" s="2">
        <v>1</v>
      </c>
      <c r="Q288" s="2">
        <v>145</v>
      </c>
      <c r="V288" s="3">
        <v>1.23</v>
      </c>
      <c r="AB288" s="3">
        <v>30</v>
      </c>
      <c r="AR288" s="3" t="s">
        <v>66</v>
      </c>
      <c r="AS288" s="3" t="s">
        <v>255</v>
      </c>
      <c r="AT288" s="3">
        <v>45.63</v>
      </c>
      <c r="AU288" s="3" t="s">
        <v>886</v>
      </c>
      <c r="AW288" s="6" t="s">
        <v>379</v>
      </c>
    </row>
    <row r="289" spans="1:49" x14ac:dyDescent="0.15">
      <c r="A289" s="2">
        <v>288</v>
      </c>
      <c r="B289" s="2" t="s">
        <v>154</v>
      </c>
      <c r="C289" s="2" t="s">
        <v>162</v>
      </c>
      <c r="D289" s="2" t="s">
        <v>155</v>
      </c>
      <c r="E289" s="2" t="s">
        <v>156</v>
      </c>
      <c r="H289" s="2" t="s">
        <v>60</v>
      </c>
      <c r="I289" s="2" t="s">
        <v>52</v>
      </c>
      <c r="J289" s="2">
        <v>1990</v>
      </c>
      <c r="K289" s="2">
        <v>2</v>
      </c>
      <c r="L289" s="2">
        <v>1992</v>
      </c>
      <c r="M289" s="2">
        <v>1</v>
      </c>
      <c r="Q289" s="2">
        <v>63</v>
      </c>
      <c r="V289" s="3">
        <v>12.78</v>
      </c>
      <c r="AB289" s="3">
        <v>188</v>
      </c>
      <c r="AR289" s="3" t="s">
        <v>66</v>
      </c>
      <c r="AS289" s="3" t="s">
        <v>254</v>
      </c>
      <c r="AT289" s="3">
        <v>45.63</v>
      </c>
      <c r="AU289" s="3" t="s">
        <v>886</v>
      </c>
      <c r="AW289" s="6" t="s">
        <v>379</v>
      </c>
    </row>
    <row r="290" spans="1:49" x14ac:dyDescent="0.15">
      <c r="A290" s="2">
        <v>289</v>
      </c>
      <c r="B290" s="2" t="s">
        <v>154</v>
      </c>
      <c r="C290" s="2" t="s">
        <v>163</v>
      </c>
      <c r="D290" s="2" t="s">
        <v>155</v>
      </c>
      <c r="E290" s="2" t="s">
        <v>156</v>
      </c>
      <c r="H290" s="2" t="s">
        <v>60</v>
      </c>
      <c r="I290" s="2" t="s">
        <v>52</v>
      </c>
      <c r="J290" s="2">
        <v>1990</v>
      </c>
      <c r="K290" s="2">
        <v>2</v>
      </c>
      <c r="L290" s="2">
        <v>1992</v>
      </c>
      <c r="M290" s="2">
        <v>1</v>
      </c>
      <c r="Q290" s="2">
        <v>48</v>
      </c>
      <c r="V290" s="3">
        <v>0.73</v>
      </c>
      <c r="AB290" s="3">
        <v>5</v>
      </c>
      <c r="AR290" s="3" t="s">
        <v>66</v>
      </c>
      <c r="AS290" s="3" t="s">
        <v>253</v>
      </c>
      <c r="AT290" s="3">
        <v>45.63</v>
      </c>
      <c r="AU290" s="3" t="s">
        <v>886</v>
      </c>
      <c r="AW290" s="6" t="s">
        <v>379</v>
      </c>
    </row>
    <row r="291" spans="1:49" x14ac:dyDescent="0.15">
      <c r="A291" s="2">
        <v>290</v>
      </c>
      <c r="B291" s="2" t="s">
        <v>154</v>
      </c>
      <c r="C291" s="2" t="s">
        <v>164</v>
      </c>
      <c r="D291" s="2" t="s">
        <v>155</v>
      </c>
      <c r="E291" s="2" t="s">
        <v>156</v>
      </c>
      <c r="H291" s="2" t="s">
        <v>60</v>
      </c>
      <c r="I291" s="2" t="s">
        <v>52</v>
      </c>
      <c r="J291" s="2">
        <v>1990</v>
      </c>
      <c r="K291" s="2">
        <v>2</v>
      </c>
      <c r="L291" s="2">
        <v>1992</v>
      </c>
      <c r="M291" s="2">
        <v>1</v>
      </c>
      <c r="Q291" s="2">
        <v>57</v>
      </c>
      <c r="V291" s="3">
        <v>2.37</v>
      </c>
      <c r="AB291" s="3">
        <v>4</v>
      </c>
      <c r="AR291" s="3" t="s">
        <v>66</v>
      </c>
      <c r="AS291" s="3" t="s">
        <v>253</v>
      </c>
      <c r="AT291" s="3">
        <v>45.63</v>
      </c>
      <c r="AU291" s="3" t="s">
        <v>886</v>
      </c>
      <c r="AW291" s="6" t="s">
        <v>379</v>
      </c>
    </row>
    <row r="292" spans="1:49" x14ac:dyDescent="0.15">
      <c r="A292" s="2">
        <v>291</v>
      </c>
      <c r="B292" s="2" t="s">
        <v>154</v>
      </c>
      <c r="C292" s="2" t="s">
        <v>165</v>
      </c>
      <c r="D292" s="2" t="s">
        <v>155</v>
      </c>
      <c r="E292" s="2" t="s">
        <v>156</v>
      </c>
      <c r="H292" s="2" t="s">
        <v>60</v>
      </c>
      <c r="I292" s="2" t="s">
        <v>52</v>
      </c>
      <c r="J292" s="2">
        <v>1990</v>
      </c>
      <c r="K292" s="2">
        <v>2</v>
      </c>
      <c r="L292" s="2">
        <v>1992</v>
      </c>
      <c r="M292" s="2">
        <v>1</v>
      </c>
      <c r="Q292" s="2">
        <v>78</v>
      </c>
      <c r="V292" s="3">
        <v>32.840000000000003</v>
      </c>
      <c r="AB292" s="3">
        <v>27</v>
      </c>
      <c r="AR292" s="3" t="s">
        <v>66</v>
      </c>
      <c r="AS292" s="3" t="s">
        <v>255</v>
      </c>
      <c r="AT292" s="3">
        <v>45.63</v>
      </c>
      <c r="AU292" s="3" t="s">
        <v>886</v>
      </c>
      <c r="AW292" s="6" t="s">
        <v>379</v>
      </c>
    </row>
    <row r="293" spans="1:49" x14ac:dyDescent="0.15">
      <c r="A293" s="2">
        <v>292</v>
      </c>
      <c r="B293" s="2" t="s">
        <v>154</v>
      </c>
      <c r="C293" s="2" t="s">
        <v>138</v>
      </c>
      <c r="D293" s="2" t="s">
        <v>155</v>
      </c>
      <c r="E293" s="2" t="s">
        <v>156</v>
      </c>
      <c r="H293" s="2" t="s">
        <v>60</v>
      </c>
      <c r="I293" s="2" t="s">
        <v>52</v>
      </c>
      <c r="J293" s="2">
        <v>1990</v>
      </c>
      <c r="K293" s="2">
        <v>2</v>
      </c>
      <c r="L293" s="2">
        <v>1992</v>
      </c>
      <c r="M293" s="2">
        <v>1</v>
      </c>
      <c r="Q293" s="2">
        <v>127</v>
      </c>
      <c r="V293" s="3">
        <v>33.18</v>
      </c>
      <c r="AB293" s="3">
        <v>21</v>
      </c>
      <c r="AR293" s="3" t="s">
        <v>66</v>
      </c>
      <c r="AS293" s="3" t="s">
        <v>254</v>
      </c>
      <c r="AT293" s="3">
        <v>45.63</v>
      </c>
      <c r="AU293" s="3" t="s">
        <v>886</v>
      </c>
      <c r="AW293" s="6" t="s">
        <v>379</v>
      </c>
    </row>
    <row r="294" spans="1:49" x14ac:dyDescent="0.15">
      <c r="A294" s="2">
        <v>293</v>
      </c>
      <c r="B294" s="2" t="s">
        <v>154</v>
      </c>
      <c r="C294" s="2" t="s">
        <v>166</v>
      </c>
      <c r="D294" s="2" t="s">
        <v>155</v>
      </c>
      <c r="E294" s="2" t="s">
        <v>156</v>
      </c>
      <c r="H294" s="2" t="s">
        <v>60</v>
      </c>
      <c r="I294" s="2" t="s">
        <v>52</v>
      </c>
      <c r="J294" s="2">
        <v>1990</v>
      </c>
      <c r="K294" s="2">
        <v>2</v>
      </c>
      <c r="L294" s="2">
        <v>1992</v>
      </c>
      <c r="M294" s="2">
        <v>1</v>
      </c>
      <c r="Q294" s="2">
        <v>14</v>
      </c>
      <c r="V294" s="3">
        <v>5.2</v>
      </c>
      <c r="AB294" s="3">
        <v>69</v>
      </c>
      <c r="AR294" s="3" t="s">
        <v>66</v>
      </c>
      <c r="AS294" s="3" t="s">
        <v>254</v>
      </c>
      <c r="AT294" s="3">
        <v>45.63</v>
      </c>
      <c r="AU294" s="3" t="s">
        <v>886</v>
      </c>
      <c r="AW294" s="6" t="s">
        <v>379</v>
      </c>
    </row>
    <row r="295" spans="1:49" x14ac:dyDescent="0.15">
      <c r="A295" s="2">
        <v>294</v>
      </c>
      <c r="B295" s="2" t="s">
        <v>154</v>
      </c>
      <c r="C295" s="2" t="s">
        <v>167</v>
      </c>
      <c r="D295" s="2" t="s">
        <v>155</v>
      </c>
      <c r="E295" s="2" t="s">
        <v>156</v>
      </c>
      <c r="H295" s="2" t="s">
        <v>60</v>
      </c>
      <c r="I295" s="2" t="s">
        <v>52</v>
      </c>
      <c r="J295" s="2">
        <v>1990</v>
      </c>
      <c r="K295" s="2">
        <v>2</v>
      </c>
      <c r="L295" s="2">
        <v>1992</v>
      </c>
      <c r="M295" s="2">
        <v>1</v>
      </c>
      <c r="Q295" s="2">
        <v>116</v>
      </c>
      <c r="V295" s="3">
        <v>4.03</v>
      </c>
      <c r="AB295" s="3">
        <v>13</v>
      </c>
      <c r="AR295" s="3" t="s">
        <v>66</v>
      </c>
      <c r="AS295" s="3" t="s">
        <v>253</v>
      </c>
      <c r="AT295" s="3">
        <v>45.63</v>
      </c>
      <c r="AU295" s="3" t="s">
        <v>886</v>
      </c>
      <c r="AW295" s="6" t="s">
        <v>379</v>
      </c>
    </row>
    <row r="296" spans="1:49" x14ac:dyDescent="0.15">
      <c r="A296" s="2">
        <v>295</v>
      </c>
      <c r="B296" s="2" t="s">
        <v>154</v>
      </c>
      <c r="C296" s="2" t="s">
        <v>155</v>
      </c>
      <c r="D296" s="2" t="s">
        <v>155</v>
      </c>
      <c r="E296" s="2" t="s">
        <v>156</v>
      </c>
      <c r="H296" s="2" t="s">
        <v>60</v>
      </c>
      <c r="I296" s="2" t="s">
        <v>52</v>
      </c>
      <c r="J296" s="2">
        <v>1991</v>
      </c>
      <c r="L296" s="2">
        <v>1992</v>
      </c>
      <c r="M296" s="2">
        <v>1</v>
      </c>
      <c r="Q296" s="2">
        <v>345</v>
      </c>
      <c r="V296" s="3">
        <v>8.81</v>
      </c>
      <c r="AB296" s="3">
        <v>36</v>
      </c>
      <c r="AR296" s="3" t="s">
        <v>66</v>
      </c>
      <c r="AS296" s="3" t="s">
        <v>255</v>
      </c>
      <c r="AT296" s="3">
        <v>45.63</v>
      </c>
      <c r="AU296" s="3" t="s">
        <v>886</v>
      </c>
      <c r="AW296" s="6" t="s">
        <v>379</v>
      </c>
    </row>
    <row r="297" spans="1:49" x14ac:dyDescent="0.15">
      <c r="A297" s="2">
        <v>296</v>
      </c>
      <c r="B297" s="2" t="s">
        <v>154</v>
      </c>
      <c r="C297" s="2" t="s">
        <v>157</v>
      </c>
      <c r="D297" s="2" t="s">
        <v>155</v>
      </c>
      <c r="E297" s="2" t="s">
        <v>156</v>
      </c>
      <c r="H297" s="2" t="s">
        <v>60</v>
      </c>
      <c r="I297" s="2" t="s">
        <v>52</v>
      </c>
      <c r="J297" s="2">
        <v>1991</v>
      </c>
      <c r="L297" s="2">
        <v>1992</v>
      </c>
      <c r="M297" s="2">
        <v>1</v>
      </c>
      <c r="Q297" s="2">
        <v>57</v>
      </c>
      <c r="V297" s="3">
        <v>5.94</v>
      </c>
      <c r="AB297" s="3">
        <v>25</v>
      </c>
      <c r="AR297" s="3" t="s">
        <v>66</v>
      </c>
      <c r="AS297" s="3" t="s">
        <v>255</v>
      </c>
      <c r="AT297" s="3">
        <v>45.63</v>
      </c>
      <c r="AU297" s="3" t="s">
        <v>886</v>
      </c>
      <c r="AW297" s="6" t="s">
        <v>379</v>
      </c>
    </row>
    <row r="298" spans="1:49" x14ac:dyDescent="0.15">
      <c r="A298" s="2">
        <v>297</v>
      </c>
      <c r="B298" s="2" t="s">
        <v>154</v>
      </c>
      <c r="C298" s="2" t="s">
        <v>158</v>
      </c>
      <c r="D298" s="2" t="s">
        <v>155</v>
      </c>
      <c r="E298" s="2" t="s">
        <v>156</v>
      </c>
      <c r="H298" s="2" t="s">
        <v>60</v>
      </c>
      <c r="I298" s="2" t="s">
        <v>52</v>
      </c>
      <c r="J298" s="2">
        <v>1991</v>
      </c>
      <c r="L298" s="2">
        <v>1992</v>
      </c>
      <c r="M298" s="2">
        <v>1</v>
      </c>
      <c r="Q298" s="2">
        <v>72</v>
      </c>
      <c r="V298" s="3">
        <v>2.14</v>
      </c>
      <c r="AB298" s="3">
        <v>10</v>
      </c>
      <c r="AR298" s="3" t="s">
        <v>66</v>
      </c>
      <c r="AS298" s="3" t="s">
        <v>255</v>
      </c>
      <c r="AT298" s="3">
        <v>45.63</v>
      </c>
      <c r="AU298" s="3" t="s">
        <v>886</v>
      </c>
      <c r="AW298" s="6" t="s">
        <v>379</v>
      </c>
    </row>
    <row r="299" spans="1:49" x14ac:dyDescent="0.15">
      <c r="A299" s="2">
        <v>298</v>
      </c>
      <c r="B299" s="2" t="s">
        <v>154</v>
      </c>
      <c r="C299" s="2" t="s">
        <v>159</v>
      </c>
      <c r="D299" s="2" t="s">
        <v>155</v>
      </c>
      <c r="E299" s="2" t="s">
        <v>156</v>
      </c>
      <c r="H299" s="2" t="s">
        <v>60</v>
      </c>
      <c r="I299" s="2" t="s">
        <v>52</v>
      </c>
      <c r="J299" s="2">
        <v>1991</v>
      </c>
      <c r="L299" s="2">
        <v>1992</v>
      </c>
      <c r="M299" s="2">
        <v>1</v>
      </c>
      <c r="Q299" s="2">
        <v>58</v>
      </c>
      <c r="V299" s="3">
        <v>0.84</v>
      </c>
      <c r="AB299" s="3">
        <v>9</v>
      </c>
      <c r="AR299" s="3" t="s">
        <v>66</v>
      </c>
      <c r="AS299" s="3" t="s">
        <v>254</v>
      </c>
      <c r="AT299" s="3">
        <v>45.63</v>
      </c>
      <c r="AU299" s="3" t="s">
        <v>886</v>
      </c>
      <c r="AW299" s="6" t="s">
        <v>379</v>
      </c>
    </row>
    <row r="300" spans="1:49" x14ac:dyDescent="0.15">
      <c r="A300" s="2">
        <v>299</v>
      </c>
      <c r="B300" s="2" t="s">
        <v>154</v>
      </c>
      <c r="C300" s="2" t="s">
        <v>160</v>
      </c>
      <c r="D300" s="2" t="s">
        <v>155</v>
      </c>
      <c r="E300" s="2" t="s">
        <v>156</v>
      </c>
      <c r="H300" s="2" t="s">
        <v>60</v>
      </c>
      <c r="I300" s="2" t="s">
        <v>52</v>
      </c>
      <c r="J300" s="2">
        <v>1991</v>
      </c>
      <c r="L300" s="2">
        <v>1992</v>
      </c>
      <c r="M300" s="2">
        <v>1</v>
      </c>
      <c r="Q300" s="2">
        <v>81</v>
      </c>
      <c r="V300" s="3">
        <v>4.42</v>
      </c>
      <c r="AB300" s="3">
        <v>31</v>
      </c>
      <c r="AR300" s="3" t="s">
        <v>66</v>
      </c>
      <c r="AS300" s="3" t="s">
        <v>253</v>
      </c>
      <c r="AT300" s="3">
        <v>45.63</v>
      </c>
      <c r="AU300" s="3" t="s">
        <v>886</v>
      </c>
      <c r="AW300" s="6" t="s">
        <v>379</v>
      </c>
    </row>
    <row r="301" spans="1:49" x14ac:dyDescent="0.15">
      <c r="A301" s="2">
        <v>300</v>
      </c>
      <c r="B301" s="2" t="s">
        <v>154</v>
      </c>
      <c r="C301" s="2" t="s">
        <v>161</v>
      </c>
      <c r="D301" s="2" t="s">
        <v>155</v>
      </c>
      <c r="E301" s="2" t="s">
        <v>156</v>
      </c>
      <c r="H301" s="2" t="s">
        <v>60</v>
      </c>
      <c r="I301" s="2" t="s">
        <v>52</v>
      </c>
      <c r="J301" s="2">
        <v>1991</v>
      </c>
      <c r="L301" s="2">
        <v>1992</v>
      </c>
      <c r="M301" s="2">
        <v>1</v>
      </c>
      <c r="Q301" s="2">
        <v>145</v>
      </c>
      <c r="V301" s="3">
        <v>1.23</v>
      </c>
      <c r="AB301" s="3">
        <v>30</v>
      </c>
      <c r="AR301" s="3" t="s">
        <v>66</v>
      </c>
      <c r="AS301" s="3" t="s">
        <v>253</v>
      </c>
      <c r="AT301" s="3">
        <v>45.63</v>
      </c>
      <c r="AU301" s="3" t="s">
        <v>886</v>
      </c>
      <c r="AW301" s="6" t="s">
        <v>379</v>
      </c>
    </row>
    <row r="302" spans="1:49" x14ac:dyDescent="0.15">
      <c r="A302" s="2">
        <v>301</v>
      </c>
      <c r="B302" s="2" t="s">
        <v>154</v>
      </c>
      <c r="C302" s="2" t="s">
        <v>162</v>
      </c>
      <c r="D302" s="2" t="s">
        <v>155</v>
      </c>
      <c r="E302" s="2" t="s">
        <v>156</v>
      </c>
      <c r="H302" s="2" t="s">
        <v>60</v>
      </c>
      <c r="I302" s="2" t="s">
        <v>52</v>
      </c>
      <c r="J302" s="2">
        <v>1991</v>
      </c>
      <c r="L302" s="2">
        <v>1992</v>
      </c>
      <c r="M302" s="2">
        <v>1</v>
      </c>
      <c r="Q302" s="2">
        <v>63</v>
      </c>
      <c r="V302" s="3">
        <v>12.78</v>
      </c>
      <c r="AB302" s="3">
        <v>188</v>
      </c>
      <c r="AR302" s="3" t="s">
        <v>66</v>
      </c>
      <c r="AS302" s="3" t="s">
        <v>253</v>
      </c>
      <c r="AT302" s="3">
        <v>45.63</v>
      </c>
      <c r="AU302" s="3" t="s">
        <v>886</v>
      </c>
      <c r="AW302" s="6" t="s">
        <v>379</v>
      </c>
    </row>
    <row r="303" spans="1:49" x14ac:dyDescent="0.15">
      <c r="A303" s="2">
        <v>302</v>
      </c>
      <c r="B303" s="2" t="s">
        <v>154</v>
      </c>
      <c r="C303" s="2" t="s">
        <v>163</v>
      </c>
      <c r="D303" s="2" t="s">
        <v>155</v>
      </c>
      <c r="E303" s="2" t="s">
        <v>156</v>
      </c>
      <c r="H303" s="2" t="s">
        <v>60</v>
      </c>
      <c r="I303" s="2" t="s">
        <v>52</v>
      </c>
      <c r="J303" s="2">
        <v>1991</v>
      </c>
      <c r="L303" s="2">
        <v>1992</v>
      </c>
      <c r="M303" s="2">
        <v>1</v>
      </c>
      <c r="Q303" s="2">
        <v>48</v>
      </c>
      <c r="V303" s="3">
        <v>0.73</v>
      </c>
      <c r="AB303" s="3">
        <v>5</v>
      </c>
      <c r="AR303" s="3" t="s">
        <v>66</v>
      </c>
      <c r="AS303" s="3" t="s">
        <v>254</v>
      </c>
      <c r="AT303" s="3">
        <v>45.63</v>
      </c>
      <c r="AU303" s="3" t="s">
        <v>886</v>
      </c>
      <c r="AW303" s="6" t="s">
        <v>379</v>
      </c>
    </row>
    <row r="304" spans="1:49" x14ac:dyDescent="0.15">
      <c r="A304" s="2">
        <v>303</v>
      </c>
      <c r="B304" s="2" t="s">
        <v>154</v>
      </c>
      <c r="C304" s="2" t="s">
        <v>164</v>
      </c>
      <c r="D304" s="2" t="s">
        <v>155</v>
      </c>
      <c r="E304" s="2" t="s">
        <v>156</v>
      </c>
      <c r="H304" s="2" t="s">
        <v>60</v>
      </c>
      <c r="I304" s="2" t="s">
        <v>52</v>
      </c>
      <c r="J304" s="2">
        <v>1991</v>
      </c>
      <c r="L304" s="2">
        <v>1992</v>
      </c>
      <c r="M304" s="2">
        <v>1</v>
      </c>
      <c r="Q304" s="2">
        <v>57</v>
      </c>
      <c r="V304" s="3">
        <v>2.37</v>
      </c>
      <c r="AB304" s="3">
        <v>4</v>
      </c>
      <c r="AR304" s="3" t="s">
        <v>66</v>
      </c>
      <c r="AS304" s="3" t="s">
        <v>253</v>
      </c>
      <c r="AT304" s="3">
        <v>45.63</v>
      </c>
      <c r="AU304" s="3" t="s">
        <v>886</v>
      </c>
      <c r="AW304" s="6" t="s">
        <v>379</v>
      </c>
    </row>
    <row r="305" spans="1:49" x14ac:dyDescent="0.15">
      <c r="A305" s="2">
        <v>304</v>
      </c>
      <c r="B305" s="2" t="s">
        <v>154</v>
      </c>
      <c r="C305" s="2" t="s">
        <v>165</v>
      </c>
      <c r="D305" s="2" t="s">
        <v>155</v>
      </c>
      <c r="E305" s="2" t="s">
        <v>156</v>
      </c>
      <c r="H305" s="2" t="s">
        <v>60</v>
      </c>
      <c r="I305" s="2" t="s">
        <v>52</v>
      </c>
      <c r="J305" s="2">
        <v>1991</v>
      </c>
      <c r="L305" s="2">
        <v>1992</v>
      </c>
      <c r="M305" s="2">
        <v>1</v>
      </c>
      <c r="Q305" s="2">
        <v>78</v>
      </c>
      <c r="V305" s="3">
        <v>32.840000000000003</v>
      </c>
      <c r="AB305" s="3">
        <v>27</v>
      </c>
      <c r="AR305" s="3" t="s">
        <v>66</v>
      </c>
      <c r="AS305" s="3" t="s">
        <v>255</v>
      </c>
      <c r="AT305" s="3">
        <v>45.63</v>
      </c>
      <c r="AU305" s="3" t="s">
        <v>886</v>
      </c>
      <c r="AW305" s="6" t="s">
        <v>379</v>
      </c>
    </row>
    <row r="306" spans="1:49" x14ac:dyDescent="0.15">
      <c r="A306" s="2">
        <v>305</v>
      </c>
      <c r="B306" s="2" t="s">
        <v>154</v>
      </c>
      <c r="C306" s="2" t="s">
        <v>138</v>
      </c>
      <c r="D306" s="2" t="s">
        <v>155</v>
      </c>
      <c r="E306" s="2" t="s">
        <v>156</v>
      </c>
      <c r="H306" s="2" t="s">
        <v>60</v>
      </c>
      <c r="I306" s="2" t="s">
        <v>52</v>
      </c>
      <c r="J306" s="2">
        <v>1991</v>
      </c>
      <c r="L306" s="2">
        <v>1992</v>
      </c>
      <c r="M306" s="2">
        <v>1</v>
      </c>
      <c r="Q306" s="2">
        <v>127</v>
      </c>
      <c r="V306" s="3">
        <v>33.18</v>
      </c>
      <c r="AB306" s="3">
        <v>21</v>
      </c>
      <c r="AR306" s="3" t="s">
        <v>66</v>
      </c>
      <c r="AS306" s="3" t="s">
        <v>253</v>
      </c>
      <c r="AT306" s="3">
        <v>45.63</v>
      </c>
      <c r="AU306" s="3" t="s">
        <v>886</v>
      </c>
      <c r="AW306" s="6" t="s">
        <v>379</v>
      </c>
    </row>
    <row r="307" spans="1:49" x14ac:dyDescent="0.15">
      <c r="A307" s="2">
        <v>306</v>
      </c>
      <c r="B307" s="2" t="s">
        <v>154</v>
      </c>
      <c r="C307" s="2" t="s">
        <v>166</v>
      </c>
      <c r="D307" s="2" t="s">
        <v>155</v>
      </c>
      <c r="E307" s="2" t="s">
        <v>156</v>
      </c>
      <c r="H307" s="2" t="s">
        <v>60</v>
      </c>
      <c r="I307" s="2" t="s">
        <v>52</v>
      </c>
      <c r="J307" s="2">
        <v>1991</v>
      </c>
      <c r="L307" s="2">
        <v>1992</v>
      </c>
      <c r="M307" s="2">
        <v>1</v>
      </c>
      <c r="Q307" s="2">
        <v>14</v>
      </c>
      <c r="V307" s="3">
        <v>5.2</v>
      </c>
      <c r="AB307" s="3">
        <v>69</v>
      </c>
      <c r="AR307" s="3" t="s">
        <v>66</v>
      </c>
      <c r="AS307" s="3" t="s">
        <v>253</v>
      </c>
      <c r="AT307" s="3">
        <v>45.63</v>
      </c>
      <c r="AU307" s="3" t="s">
        <v>886</v>
      </c>
      <c r="AW307" s="6" t="s">
        <v>379</v>
      </c>
    </row>
    <row r="308" spans="1:49" x14ac:dyDescent="0.15">
      <c r="A308" s="2">
        <v>307</v>
      </c>
      <c r="B308" s="2" t="s">
        <v>154</v>
      </c>
      <c r="C308" s="2" t="s">
        <v>167</v>
      </c>
      <c r="D308" s="2" t="s">
        <v>155</v>
      </c>
      <c r="E308" s="2" t="s">
        <v>156</v>
      </c>
      <c r="H308" s="2" t="s">
        <v>60</v>
      </c>
      <c r="I308" s="2" t="s">
        <v>52</v>
      </c>
      <c r="J308" s="2">
        <v>1991</v>
      </c>
      <c r="L308" s="2">
        <v>1992</v>
      </c>
      <c r="M308" s="2">
        <v>1</v>
      </c>
      <c r="Q308" s="2">
        <v>116</v>
      </c>
      <c r="V308" s="3">
        <v>4.03</v>
      </c>
      <c r="AB308" s="3">
        <v>13</v>
      </c>
      <c r="AR308" s="3" t="s">
        <v>66</v>
      </c>
      <c r="AS308" s="3" t="s">
        <v>254</v>
      </c>
      <c r="AT308" s="3">
        <v>45.63</v>
      </c>
      <c r="AU308" s="3" t="s">
        <v>886</v>
      </c>
      <c r="AW308" s="6" t="s">
        <v>379</v>
      </c>
    </row>
    <row r="309" spans="1:49" x14ac:dyDescent="0.15">
      <c r="A309" s="2">
        <v>308</v>
      </c>
      <c r="B309" s="2" t="s">
        <v>169</v>
      </c>
      <c r="C309" s="2" t="s">
        <v>847</v>
      </c>
      <c r="D309" s="2" t="s">
        <v>155</v>
      </c>
      <c r="E309" s="2" t="s">
        <v>39</v>
      </c>
      <c r="H309" s="2" t="s">
        <v>60</v>
      </c>
      <c r="I309" s="2" t="s">
        <v>25</v>
      </c>
      <c r="J309" s="2">
        <v>2005</v>
      </c>
      <c r="K309" s="2">
        <v>11</v>
      </c>
      <c r="N309" s="3">
        <v>625</v>
      </c>
      <c r="O309" s="3">
        <v>48</v>
      </c>
      <c r="P309" s="2">
        <v>52</v>
      </c>
      <c r="Q309" s="2">
        <v>41</v>
      </c>
      <c r="R309" s="2">
        <v>105</v>
      </c>
      <c r="S309" s="2">
        <v>5</v>
      </c>
      <c r="T309" s="3">
        <v>225</v>
      </c>
      <c r="U309" s="3">
        <v>5.03</v>
      </c>
      <c r="V309" s="3">
        <v>14.77</v>
      </c>
      <c r="Y309" s="3">
        <v>22.91</v>
      </c>
      <c r="AB309" s="3">
        <v>136</v>
      </c>
      <c r="AC309" s="3">
        <v>175</v>
      </c>
      <c r="AE309" s="3">
        <v>388</v>
      </c>
      <c r="AG309" s="3">
        <v>3.0939999999999999</v>
      </c>
      <c r="AH309" s="3">
        <v>0.186</v>
      </c>
      <c r="AI309" s="3">
        <v>0.8</v>
      </c>
      <c r="AJ309" s="3">
        <v>5.0000000000000001E-3</v>
      </c>
      <c r="AR309" s="3" t="s">
        <v>170</v>
      </c>
      <c r="AT309" s="3">
        <v>47.75</v>
      </c>
      <c r="AU309" s="3" t="s">
        <v>882</v>
      </c>
      <c r="AW309" s="6" t="s">
        <v>235</v>
      </c>
    </row>
    <row r="310" spans="1:49" x14ac:dyDescent="0.15">
      <c r="A310" s="2">
        <v>309</v>
      </c>
      <c r="B310" s="2" t="s">
        <v>169</v>
      </c>
      <c r="C310" s="2" t="s">
        <v>847</v>
      </c>
      <c r="D310" s="2" t="s">
        <v>155</v>
      </c>
      <c r="E310" s="2" t="s">
        <v>39</v>
      </c>
      <c r="H310" s="2" t="s">
        <v>60</v>
      </c>
      <c r="I310" s="2" t="s">
        <v>25</v>
      </c>
      <c r="J310" s="2">
        <v>2006</v>
      </c>
      <c r="K310" s="2">
        <v>4</v>
      </c>
      <c r="N310" s="3">
        <v>625</v>
      </c>
      <c r="O310" s="3">
        <v>48</v>
      </c>
      <c r="P310" s="2">
        <v>52</v>
      </c>
      <c r="Q310" s="2">
        <v>41</v>
      </c>
      <c r="R310" s="2">
        <v>105</v>
      </c>
      <c r="S310" s="2">
        <v>5</v>
      </c>
      <c r="T310" s="3">
        <v>225</v>
      </c>
      <c r="U310" s="3">
        <v>5.03</v>
      </c>
      <c r="V310" s="3">
        <v>14.77</v>
      </c>
      <c r="Y310" s="3">
        <v>22.91</v>
      </c>
      <c r="AB310" s="3">
        <v>136</v>
      </c>
      <c r="AC310" s="3">
        <v>175</v>
      </c>
      <c r="AE310" s="3">
        <v>388</v>
      </c>
      <c r="AG310" s="3">
        <v>3.0939999999999999</v>
      </c>
      <c r="AH310" s="3">
        <v>0.186</v>
      </c>
      <c r="AI310" s="3">
        <v>0.8</v>
      </c>
      <c r="AJ310" s="3">
        <v>5.0000000000000001E-3</v>
      </c>
      <c r="AR310" s="3" t="s">
        <v>170</v>
      </c>
      <c r="AT310" s="3">
        <v>47.75</v>
      </c>
      <c r="AU310" s="3" t="s">
        <v>882</v>
      </c>
      <c r="AW310" s="6" t="s">
        <v>235</v>
      </c>
    </row>
    <row r="311" spans="1:49" s="6" customFormat="1" x14ac:dyDescent="0.15">
      <c r="A311" s="2">
        <v>310</v>
      </c>
      <c r="B311" s="5" t="s">
        <v>171</v>
      </c>
      <c r="C311" s="5" t="s">
        <v>172</v>
      </c>
      <c r="D311" s="2" t="s">
        <v>408</v>
      </c>
      <c r="E311" s="5" t="s">
        <v>627</v>
      </c>
      <c r="F311" s="5"/>
      <c r="G311" s="5"/>
      <c r="H311" s="5" t="s">
        <v>60</v>
      </c>
      <c r="I311" s="5" t="s">
        <v>76</v>
      </c>
      <c r="J311" s="5">
        <v>2009</v>
      </c>
      <c r="K311" s="5">
        <v>5</v>
      </c>
      <c r="L311" s="5">
        <v>2009</v>
      </c>
      <c r="M311" s="5">
        <v>12</v>
      </c>
      <c r="N311" s="6">
        <v>500</v>
      </c>
      <c r="O311" s="6">
        <v>180</v>
      </c>
      <c r="P311" s="5">
        <v>70</v>
      </c>
      <c r="Q311" s="5">
        <v>29</v>
      </c>
      <c r="R311" s="5">
        <v>81</v>
      </c>
      <c r="S311" s="5">
        <v>4</v>
      </c>
      <c r="T311" s="6">
        <v>188</v>
      </c>
      <c r="AR311" s="6" t="s">
        <v>66</v>
      </c>
      <c r="AT311" s="3">
        <v>47.75</v>
      </c>
      <c r="AU311" s="3" t="s">
        <v>882</v>
      </c>
      <c r="AV311" s="7" t="s">
        <v>173</v>
      </c>
      <c r="AW311" s="6" t="s">
        <v>406</v>
      </c>
    </row>
    <row r="312" spans="1:49" x14ac:dyDescent="0.15">
      <c r="A312" s="2">
        <v>311</v>
      </c>
      <c r="B312" s="2" t="s">
        <v>174</v>
      </c>
      <c r="C312" s="2" t="s">
        <v>175</v>
      </c>
      <c r="D312" s="2" t="s">
        <v>408</v>
      </c>
      <c r="E312" s="2" t="s">
        <v>39</v>
      </c>
      <c r="H312" s="2" t="s">
        <v>60</v>
      </c>
      <c r="I312" s="2" t="s">
        <v>149</v>
      </c>
      <c r="J312" s="2">
        <v>2009</v>
      </c>
      <c r="K312" s="2">
        <v>10</v>
      </c>
      <c r="N312" s="3">
        <v>500</v>
      </c>
      <c r="O312" s="3">
        <v>42</v>
      </c>
      <c r="P312" s="2">
        <v>39</v>
      </c>
      <c r="Q312" s="2">
        <v>13</v>
      </c>
      <c r="R312" s="2">
        <v>44</v>
      </c>
      <c r="T312" s="3">
        <v>99</v>
      </c>
      <c r="U312" s="3">
        <v>1.06</v>
      </c>
      <c r="V312" s="3">
        <v>1.07</v>
      </c>
      <c r="W312" s="3">
        <v>8.67</v>
      </c>
      <c r="Y312" s="3">
        <v>11.16</v>
      </c>
      <c r="Z312" s="3">
        <f>STDEV(Y313:Y326)</f>
        <v>19.499076506731921</v>
      </c>
      <c r="AA312" s="3">
        <v>873.67</v>
      </c>
      <c r="AB312" s="3">
        <v>64.3</v>
      </c>
      <c r="AC312" s="3">
        <v>1420.7</v>
      </c>
      <c r="AE312" s="3">
        <v>2387.1</v>
      </c>
      <c r="AF312" s="3">
        <f>STDEV(AE313:AE326)</f>
        <v>2846.3564525450874</v>
      </c>
      <c r="AG312" s="3">
        <v>3.556</v>
      </c>
      <c r="AH312" s="3">
        <f>STDEV(AG313:AG326)</f>
        <v>1.0063417264178549</v>
      </c>
      <c r="AI312" s="3">
        <v>0.77139999999999997</v>
      </c>
      <c r="AJ312" s="3">
        <f>STDEV(AI313:AI326)</f>
        <v>0.18422720682967519</v>
      </c>
      <c r="AM312" s="3">
        <v>3.4260000000000002</v>
      </c>
      <c r="AN312" s="3">
        <f>STDEV(AM313:AM326)</f>
        <v>1.2617984483172504</v>
      </c>
      <c r="AR312" s="3" t="s">
        <v>66</v>
      </c>
      <c r="AT312" s="3">
        <v>47.75</v>
      </c>
      <c r="AU312" s="3" t="s">
        <v>882</v>
      </c>
      <c r="AV312" s="4" t="s">
        <v>176</v>
      </c>
      <c r="AW312" s="3" t="s">
        <v>405</v>
      </c>
    </row>
    <row r="313" spans="1:49" x14ac:dyDescent="0.15">
      <c r="A313" s="2">
        <v>312</v>
      </c>
      <c r="B313" s="2" t="s">
        <v>174</v>
      </c>
      <c r="C313" s="2" t="s">
        <v>172</v>
      </c>
      <c r="D313" s="2" t="s">
        <v>408</v>
      </c>
      <c r="E313" s="2" t="s">
        <v>39</v>
      </c>
      <c r="H313" s="2" t="s">
        <v>60</v>
      </c>
      <c r="I313" s="2" t="s">
        <v>76</v>
      </c>
      <c r="J313" s="2">
        <v>2009</v>
      </c>
      <c r="K313" s="2">
        <v>10</v>
      </c>
      <c r="N313" s="3">
        <v>500</v>
      </c>
      <c r="O313" s="3">
        <v>3</v>
      </c>
      <c r="T313" s="3">
        <v>18</v>
      </c>
      <c r="U313" s="3">
        <v>1.02</v>
      </c>
      <c r="V313" s="3">
        <v>0.52</v>
      </c>
      <c r="W313" s="3">
        <v>1.86</v>
      </c>
      <c r="Y313" s="3">
        <v>3.4</v>
      </c>
      <c r="AA313" s="3">
        <v>980</v>
      </c>
      <c r="AB313" s="3">
        <v>100</v>
      </c>
      <c r="AC313" s="3">
        <v>360</v>
      </c>
      <c r="AE313" s="3">
        <v>1440</v>
      </c>
      <c r="AG313" s="3">
        <v>3.0390000000000001</v>
      </c>
      <c r="AI313" s="3">
        <v>0.7288</v>
      </c>
      <c r="AM313" s="3">
        <v>2.3380000000000001</v>
      </c>
      <c r="AR313" s="3" t="s">
        <v>65</v>
      </c>
      <c r="AT313" s="3">
        <v>47.75</v>
      </c>
      <c r="AU313" s="3" t="s">
        <v>882</v>
      </c>
      <c r="AV313" s="4"/>
      <c r="AW313" s="3" t="s">
        <v>407</v>
      </c>
    </row>
    <row r="314" spans="1:49" x14ac:dyDescent="0.15">
      <c r="A314" s="2">
        <v>313</v>
      </c>
      <c r="B314" s="2" t="s">
        <v>174</v>
      </c>
      <c r="C314" s="2" t="s">
        <v>172</v>
      </c>
      <c r="D314" s="2" t="s">
        <v>408</v>
      </c>
      <c r="E314" s="2" t="s">
        <v>39</v>
      </c>
      <c r="H314" s="2" t="s">
        <v>60</v>
      </c>
      <c r="I314" s="2" t="s">
        <v>76</v>
      </c>
      <c r="J314" s="2">
        <v>2009</v>
      </c>
      <c r="K314" s="2">
        <v>10</v>
      </c>
      <c r="N314" s="3">
        <v>500</v>
      </c>
      <c r="O314" s="3">
        <v>3</v>
      </c>
      <c r="T314" s="3">
        <v>27</v>
      </c>
      <c r="U314" s="3">
        <v>1.2</v>
      </c>
      <c r="V314" s="3">
        <v>0.8</v>
      </c>
      <c r="W314" s="3">
        <v>1.96</v>
      </c>
      <c r="Y314" s="3">
        <v>4.2</v>
      </c>
      <c r="AA314" s="3">
        <v>1080</v>
      </c>
      <c r="AB314" s="3">
        <v>60</v>
      </c>
      <c r="AC314" s="3">
        <v>440</v>
      </c>
      <c r="AE314" s="3">
        <v>1600</v>
      </c>
      <c r="AG314" s="3">
        <v>4.0149999999999997</v>
      </c>
      <c r="AI314" s="3">
        <v>0.84440000000000004</v>
      </c>
      <c r="AM314" s="3">
        <v>3.524</v>
      </c>
      <c r="AR314" s="3" t="s">
        <v>65</v>
      </c>
      <c r="AT314" s="3">
        <v>47.75</v>
      </c>
      <c r="AU314" s="3" t="s">
        <v>882</v>
      </c>
      <c r="AV314" s="4"/>
      <c r="AW314" s="3" t="s">
        <v>407</v>
      </c>
    </row>
    <row r="315" spans="1:49" x14ac:dyDescent="0.15">
      <c r="A315" s="2">
        <v>314</v>
      </c>
      <c r="B315" s="2" t="s">
        <v>174</v>
      </c>
      <c r="C315" s="2" t="s">
        <v>172</v>
      </c>
      <c r="D315" s="2" t="s">
        <v>408</v>
      </c>
      <c r="E315" s="2" t="s">
        <v>39</v>
      </c>
      <c r="H315" s="2" t="s">
        <v>60</v>
      </c>
      <c r="I315" s="2" t="s">
        <v>76</v>
      </c>
      <c r="J315" s="2">
        <v>2009</v>
      </c>
      <c r="K315" s="2">
        <v>10</v>
      </c>
      <c r="N315" s="3">
        <v>500</v>
      </c>
      <c r="O315" s="3">
        <v>3</v>
      </c>
      <c r="T315" s="3">
        <v>43</v>
      </c>
      <c r="U315" s="3">
        <v>1.03</v>
      </c>
      <c r="V315" s="3">
        <v>1.23</v>
      </c>
      <c r="W315" s="3">
        <v>6.02</v>
      </c>
      <c r="Y315" s="3">
        <v>8.67</v>
      </c>
      <c r="AA315" s="3">
        <v>600</v>
      </c>
      <c r="AB315" s="3">
        <v>70</v>
      </c>
      <c r="AC315" s="3">
        <v>1440</v>
      </c>
      <c r="AE315" s="3">
        <v>2150</v>
      </c>
      <c r="AG315" s="3">
        <v>3.8929999999999998</v>
      </c>
      <c r="AI315" s="3">
        <v>0.71740000000000004</v>
      </c>
      <c r="AM315" s="3">
        <v>5.4740000000000002</v>
      </c>
      <c r="AR315" s="3" t="s">
        <v>65</v>
      </c>
      <c r="AT315" s="3">
        <v>47.75</v>
      </c>
      <c r="AU315" s="3" t="s">
        <v>882</v>
      </c>
      <c r="AV315" s="4"/>
      <c r="AW315" s="3" t="s">
        <v>407</v>
      </c>
    </row>
    <row r="316" spans="1:49" x14ac:dyDescent="0.15">
      <c r="A316" s="2">
        <v>315</v>
      </c>
      <c r="B316" s="2" t="s">
        <v>174</v>
      </c>
      <c r="C316" s="2" t="s">
        <v>172</v>
      </c>
      <c r="D316" s="2" t="s">
        <v>408</v>
      </c>
      <c r="E316" s="2" t="s">
        <v>39</v>
      </c>
      <c r="H316" s="2" t="s">
        <v>60</v>
      </c>
      <c r="I316" s="2" t="s">
        <v>76</v>
      </c>
      <c r="J316" s="2">
        <v>2009</v>
      </c>
      <c r="K316" s="2">
        <v>10</v>
      </c>
      <c r="N316" s="3">
        <v>500</v>
      </c>
      <c r="O316" s="3">
        <v>3</v>
      </c>
      <c r="T316" s="3">
        <v>32</v>
      </c>
      <c r="U316" s="3">
        <v>1.42</v>
      </c>
      <c r="V316" s="3">
        <v>2.92</v>
      </c>
      <c r="W316" s="3">
        <v>7.88</v>
      </c>
      <c r="Y316" s="3">
        <v>12.22</v>
      </c>
      <c r="AA316" s="3">
        <v>1300</v>
      </c>
      <c r="AB316" s="3">
        <v>180</v>
      </c>
      <c r="AC316" s="3">
        <v>1020</v>
      </c>
      <c r="AE316" s="3">
        <v>2500</v>
      </c>
      <c r="AG316" s="3">
        <v>3.9420000000000002</v>
      </c>
      <c r="AI316" s="3">
        <v>0.78839999999999999</v>
      </c>
      <c r="AM316" s="3">
        <v>3.9620000000000002</v>
      </c>
      <c r="AR316" s="3" t="s">
        <v>65</v>
      </c>
      <c r="AT316" s="3">
        <v>47.75</v>
      </c>
      <c r="AU316" s="3" t="s">
        <v>882</v>
      </c>
      <c r="AV316" s="4"/>
      <c r="AW316" s="3" t="s">
        <v>407</v>
      </c>
    </row>
    <row r="317" spans="1:49" x14ac:dyDescent="0.15">
      <c r="A317" s="2">
        <v>316</v>
      </c>
      <c r="B317" s="2" t="s">
        <v>174</v>
      </c>
      <c r="C317" s="2" t="s">
        <v>172</v>
      </c>
      <c r="D317" s="2" t="s">
        <v>408</v>
      </c>
      <c r="E317" s="2" t="s">
        <v>39</v>
      </c>
      <c r="H317" s="2" t="s">
        <v>60</v>
      </c>
      <c r="I317" s="2" t="s">
        <v>76</v>
      </c>
      <c r="J317" s="2">
        <v>2009</v>
      </c>
      <c r="K317" s="2">
        <v>10</v>
      </c>
      <c r="N317" s="3">
        <v>500</v>
      </c>
      <c r="O317" s="3">
        <v>3</v>
      </c>
      <c r="T317" s="3">
        <v>25</v>
      </c>
      <c r="U317" s="3">
        <v>2.52</v>
      </c>
      <c r="V317" s="3">
        <v>0</v>
      </c>
      <c r="W317" s="3">
        <v>1.94</v>
      </c>
      <c r="Y317" s="3">
        <v>4.88</v>
      </c>
      <c r="AA317" s="3">
        <v>2440</v>
      </c>
      <c r="AB317" s="3">
        <v>0</v>
      </c>
      <c r="AC317" s="3">
        <v>380</v>
      </c>
      <c r="AE317" s="3">
        <v>2840</v>
      </c>
      <c r="AG317" s="3">
        <v>2.774</v>
      </c>
      <c r="AI317" s="3">
        <v>0.59740000000000004</v>
      </c>
      <c r="AM317" s="3">
        <v>3.0179999999999998</v>
      </c>
      <c r="AR317" s="3" t="s">
        <v>65</v>
      </c>
      <c r="AT317" s="3">
        <v>47.75</v>
      </c>
      <c r="AU317" s="3" t="s">
        <v>882</v>
      </c>
      <c r="AV317" s="4"/>
      <c r="AW317" s="3" t="s">
        <v>407</v>
      </c>
    </row>
    <row r="318" spans="1:49" x14ac:dyDescent="0.15">
      <c r="A318" s="2">
        <v>317</v>
      </c>
      <c r="B318" s="2" t="s">
        <v>174</v>
      </c>
      <c r="C318" s="2" t="s">
        <v>172</v>
      </c>
      <c r="D318" s="2" t="s">
        <v>408</v>
      </c>
      <c r="E318" s="2" t="s">
        <v>39</v>
      </c>
      <c r="H318" s="2" t="s">
        <v>60</v>
      </c>
      <c r="I318" s="2" t="s">
        <v>76</v>
      </c>
      <c r="J318" s="2">
        <v>2009</v>
      </c>
      <c r="K318" s="2">
        <v>10</v>
      </c>
      <c r="N318" s="3">
        <v>500</v>
      </c>
      <c r="O318" s="3">
        <v>3</v>
      </c>
      <c r="T318" s="3">
        <v>29</v>
      </c>
      <c r="U318" s="3">
        <v>0.42</v>
      </c>
      <c r="V318" s="3">
        <v>1.5</v>
      </c>
      <c r="W318" s="3">
        <v>3.44</v>
      </c>
      <c r="Y318" s="3">
        <v>6.22</v>
      </c>
      <c r="AA318" s="3">
        <v>280</v>
      </c>
      <c r="AB318" s="3">
        <v>80</v>
      </c>
      <c r="AC318" s="3">
        <v>780</v>
      </c>
      <c r="AE318" s="3">
        <v>1240</v>
      </c>
      <c r="AG318" s="3">
        <v>4.492</v>
      </c>
      <c r="AI318" s="3">
        <v>0.92479999999999996</v>
      </c>
      <c r="AM318" s="3">
        <v>3.931</v>
      </c>
      <c r="AR318" s="3" t="s">
        <v>65</v>
      </c>
      <c r="AT318" s="3">
        <v>47.75</v>
      </c>
      <c r="AU318" s="3" t="s">
        <v>882</v>
      </c>
      <c r="AV318" s="4"/>
      <c r="AW318" s="3" t="s">
        <v>407</v>
      </c>
    </row>
    <row r="319" spans="1:49" x14ac:dyDescent="0.15">
      <c r="A319" s="2">
        <v>318</v>
      </c>
      <c r="B319" s="2" t="s">
        <v>174</v>
      </c>
      <c r="C319" s="2" t="s">
        <v>172</v>
      </c>
      <c r="D319" s="2" t="s">
        <v>408</v>
      </c>
      <c r="E319" s="2" t="s">
        <v>39</v>
      </c>
      <c r="H319" s="2" t="s">
        <v>60</v>
      </c>
      <c r="I319" s="2" t="s">
        <v>76</v>
      </c>
      <c r="J319" s="2">
        <v>2009</v>
      </c>
      <c r="K319" s="2">
        <v>10</v>
      </c>
      <c r="N319" s="3">
        <v>500</v>
      </c>
      <c r="O319" s="3">
        <v>3</v>
      </c>
      <c r="T319" s="3">
        <v>18</v>
      </c>
      <c r="U319" s="3">
        <v>0.98</v>
      </c>
      <c r="V319" s="3">
        <v>0</v>
      </c>
      <c r="W319" s="3">
        <v>76.62</v>
      </c>
      <c r="Y319" s="3">
        <v>77.84</v>
      </c>
      <c r="AA319" s="3">
        <v>840</v>
      </c>
      <c r="AB319" s="3">
        <v>0</v>
      </c>
      <c r="AC319" s="3">
        <v>11100</v>
      </c>
      <c r="AE319" s="3">
        <v>11960</v>
      </c>
      <c r="AG319" s="3">
        <v>0.88800000000000001</v>
      </c>
      <c r="AI319" s="3">
        <v>0.21299999999999999</v>
      </c>
      <c r="AM319" s="3">
        <v>1.8109999999999999</v>
      </c>
      <c r="AR319" s="3" t="s">
        <v>65</v>
      </c>
      <c r="AT319" s="3">
        <v>47.75</v>
      </c>
      <c r="AU319" s="3" t="s">
        <v>882</v>
      </c>
      <c r="AV319" s="4"/>
      <c r="AW319" s="3" t="s">
        <v>407</v>
      </c>
    </row>
    <row r="320" spans="1:49" x14ac:dyDescent="0.15">
      <c r="A320" s="2">
        <v>319</v>
      </c>
      <c r="B320" s="2" t="s">
        <v>174</v>
      </c>
      <c r="C320" s="2" t="s">
        <v>172</v>
      </c>
      <c r="D320" s="2" t="s">
        <v>408</v>
      </c>
      <c r="E320" s="2" t="s">
        <v>39</v>
      </c>
      <c r="H320" s="2" t="s">
        <v>60</v>
      </c>
      <c r="I320" s="2" t="s">
        <v>76</v>
      </c>
      <c r="J320" s="2">
        <v>2009</v>
      </c>
      <c r="K320" s="2">
        <v>10</v>
      </c>
      <c r="N320" s="3">
        <v>500</v>
      </c>
      <c r="O320" s="3">
        <v>3</v>
      </c>
      <c r="T320" s="3">
        <v>12</v>
      </c>
      <c r="U320" s="3">
        <v>0.42</v>
      </c>
      <c r="V320" s="3">
        <v>1.02</v>
      </c>
      <c r="W320" s="3">
        <v>1.04</v>
      </c>
      <c r="Y320" s="3">
        <v>2.72</v>
      </c>
      <c r="AA320" s="3">
        <v>420</v>
      </c>
      <c r="AB320" s="3">
        <v>60</v>
      </c>
      <c r="AC320" s="3">
        <v>260</v>
      </c>
      <c r="AE320" s="3">
        <v>760</v>
      </c>
      <c r="AG320" s="3">
        <v>3.133</v>
      </c>
      <c r="AI320" s="3">
        <v>0.87390000000000001</v>
      </c>
      <c r="AM320" s="3">
        <v>1.6579999999999999</v>
      </c>
      <c r="AR320" s="3" t="s">
        <v>65</v>
      </c>
      <c r="AT320" s="3">
        <v>47.75</v>
      </c>
      <c r="AU320" s="3" t="s">
        <v>882</v>
      </c>
      <c r="AV320" s="4"/>
      <c r="AW320" s="3" t="s">
        <v>407</v>
      </c>
    </row>
    <row r="321" spans="1:49" x14ac:dyDescent="0.15">
      <c r="A321" s="2">
        <v>320</v>
      </c>
      <c r="B321" s="2" t="s">
        <v>174</v>
      </c>
      <c r="C321" s="2" t="s">
        <v>172</v>
      </c>
      <c r="D321" s="2" t="s">
        <v>408</v>
      </c>
      <c r="E321" s="2" t="s">
        <v>39</v>
      </c>
      <c r="H321" s="2" t="s">
        <v>60</v>
      </c>
      <c r="I321" s="2" t="s">
        <v>76</v>
      </c>
      <c r="J321" s="2">
        <v>2009</v>
      </c>
      <c r="K321" s="2">
        <v>10</v>
      </c>
      <c r="N321" s="3">
        <v>500</v>
      </c>
      <c r="O321" s="3">
        <v>3</v>
      </c>
      <c r="T321" s="3">
        <v>37</v>
      </c>
      <c r="U321" s="3">
        <v>1.42</v>
      </c>
      <c r="V321" s="3">
        <v>3.22</v>
      </c>
      <c r="W321" s="3">
        <v>5.68</v>
      </c>
      <c r="Y321" s="3">
        <v>11.2</v>
      </c>
      <c r="AA321" s="3">
        <v>1020</v>
      </c>
      <c r="AB321" s="3">
        <v>80</v>
      </c>
      <c r="AC321" s="3">
        <v>1040</v>
      </c>
      <c r="AE321" s="3">
        <v>2180</v>
      </c>
      <c r="AG321" s="3">
        <v>4.6260000000000003</v>
      </c>
      <c r="AI321" s="3">
        <v>0.88790000000000002</v>
      </c>
      <c r="AM321" s="3">
        <v>4.6829999999999998</v>
      </c>
      <c r="AR321" s="3" t="s">
        <v>65</v>
      </c>
      <c r="AT321" s="3">
        <v>47.75</v>
      </c>
      <c r="AU321" s="3" t="s">
        <v>882</v>
      </c>
      <c r="AV321" s="4"/>
      <c r="AW321" s="3" t="s">
        <v>407</v>
      </c>
    </row>
    <row r="322" spans="1:49" x14ac:dyDescent="0.15">
      <c r="A322" s="2">
        <v>321</v>
      </c>
      <c r="B322" s="2" t="s">
        <v>174</v>
      </c>
      <c r="C322" s="2" t="s">
        <v>172</v>
      </c>
      <c r="D322" s="2" t="s">
        <v>408</v>
      </c>
      <c r="E322" s="2" t="s">
        <v>39</v>
      </c>
      <c r="H322" s="2" t="s">
        <v>60</v>
      </c>
      <c r="I322" s="2" t="s">
        <v>76</v>
      </c>
      <c r="J322" s="2">
        <v>2009</v>
      </c>
      <c r="K322" s="2">
        <v>10</v>
      </c>
      <c r="N322" s="3">
        <v>500</v>
      </c>
      <c r="O322" s="3">
        <v>3</v>
      </c>
      <c r="T322" s="3">
        <v>31</v>
      </c>
      <c r="U322" s="3">
        <v>1.5509999999999999</v>
      </c>
      <c r="V322" s="3">
        <v>1.33</v>
      </c>
      <c r="W322" s="3">
        <v>1.59</v>
      </c>
      <c r="Y322" s="3">
        <v>4.78</v>
      </c>
      <c r="AA322" s="3">
        <v>1120</v>
      </c>
      <c r="AB322" s="3">
        <v>100</v>
      </c>
      <c r="AC322" s="3">
        <v>430</v>
      </c>
      <c r="AE322" s="3">
        <v>1680</v>
      </c>
      <c r="AG322" s="3">
        <v>3.827</v>
      </c>
      <c r="AI322" s="3">
        <v>0.77259999999999995</v>
      </c>
      <c r="AM322" s="3">
        <v>4.04</v>
      </c>
      <c r="AR322" s="3" t="s">
        <v>65</v>
      </c>
      <c r="AT322" s="3">
        <v>47.75</v>
      </c>
      <c r="AU322" s="3" t="s">
        <v>882</v>
      </c>
      <c r="AV322" s="4"/>
      <c r="AW322" s="3" t="s">
        <v>407</v>
      </c>
    </row>
    <row r="323" spans="1:49" x14ac:dyDescent="0.15">
      <c r="A323" s="2">
        <v>322</v>
      </c>
      <c r="B323" s="2" t="s">
        <v>174</v>
      </c>
      <c r="C323" s="2" t="s">
        <v>172</v>
      </c>
      <c r="D323" s="2" t="s">
        <v>408</v>
      </c>
      <c r="E323" s="2" t="s">
        <v>39</v>
      </c>
      <c r="H323" s="2" t="s">
        <v>60</v>
      </c>
      <c r="I323" s="2" t="s">
        <v>76</v>
      </c>
      <c r="J323" s="2">
        <v>2009</v>
      </c>
      <c r="K323" s="2">
        <v>10</v>
      </c>
      <c r="N323" s="3">
        <v>500</v>
      </c>
      <c r="O323" s="3">
        <v>3</v>
      </c>
      <c r="T323" s="3">
        <v>26</v>
      </c>
      <c r="U323" s="3">
        <v>0.7</v>
      </c>
      <c r="V323" s="3">
        <v>0.36</v>
      </c>
      <c r="W323" s="3">
        <v>2.14</v>
      </c>
      <c r="Y323" s="3">
        <v>3.62</v>
      </c>
      <c r="AA323" s="3">
        <v>580</v>
      </c>
      <c r="AB323" s="3">
        <v>40</v>
      </c>
      <c r="AC323" s="3">
        <v>540</v>
      </c>
      <c r="AE323" s="3">
        <v>1220</v>
      </c>
      <c r="AG323" s="3">
        <v>4.2750000000000004</v>
      </c>
      <c r="AI323" s="3">
        <v>0.90949999999999998</v>
      </c>
      <c r="AM323" s="3">
        <v>3.5179999999999998</v>
      </c>
      <c r="AR323" s="3" t="s">
        <v>65</v>
      </c>
      <c r="AT323" s="3">
        <v>47.75</v>
      </c>
      <c r="AU323" s="3" t="s">
        <v>882</v>
      </c>
      <c r="AV323" s="4"/>
      <c r="AW323" s="3" t="s">
        <v>407</v>
      </c>
    </row>
    <row r="324" spans="1:49" x14ac:dyDescent="0.15">
      <c r="A324" s="2">
        <v>323</v>
      </c>
      <c r="B324" s="2" t="s">
        <v>174</v>
      </c>
      <c r="C324" s="2" t="s">
        <v>172</v>
      </c>
      <c r="D324" s="2" t="s">
        <v>408</v>
      </c>
      <c r="E324" s="2" t="s">
        <v>39</v>
      </c>
      <c r="H324" s="2" t="s">
        <v>60</v>
      </c>
      <c r="I324" s="2" t="s">
        <v>76</v>
      </c>
      <c r="J324" s="2">
        <v>2009</v>
      </c>
      <c r="K324" s="2">
        <v>10</v>
      </c>
      <c r="N324" s="3">
        <v>500</v>
      </c>
      <c r="O324" s="3">
        <v>3</v>
      </c>
      <c r="T324" s="3">
        <v>36</v>
      </c>
      <c r="U324" s="3">
        <v>1.28</v>
      </c>
      <c r="V324" s="3">
        <v>1.56</v>
      </c>
      <c r="W324" s="3">
        <v>6.92</v>
      </c>
      <c r="Y324" s="3">
        <v>10.62</v>
      </c>
      <c r="AA324" s="3">
        <v>800</v>
      </c>
      <c r="AB324" s="3">
        <v>80</v>
      </c>
      <c r="AC324" s="3">
        <v>1400</v>
      </c>
      <c r="AE324" s="3">
        <v>2320</v>
      </c>
      <c r="AG324" s="3">
        <v>4.3529999999999998</v>
      </c>
      <c r="AI324" s="3">
        <v>0.84199999999999997</v>
      </c>
      <c r="AM324" s="3">
        <v>4.5170000000000003</v>
      </c>
      <c r="AR324" s="3" t="s">
        <v>65</v>
      </c>
      <c r="AT324" s="3">
        <v>47.75</v>
      </c>
      <c r="AU324" s="3" t="s">
        <v>882</v>
      </c>
      <c r="AV324" s="4"/>
      <c r="AW324" s="3" t="s">
        <v>407</v>
      </c>
    </row>
    <row r="325" spans="1:49" x14ac:dyDescent="0.15">
      <c r="A325" s="2">
        <v>324</v>
      </c>
      <c r="B325" s="2" t="s">
        <v>174</v>
      </c>
      <c r="C325" s="2" t="s">
        <v>172</v>
      </c>
      <c r="D325" s="2" t="s">
        <v>408</v>
      </c>
      <c r="E325" s="2" t="s">
        <v>39</v>
      </c>
      <c r="H325" s="2" t="s">
        <v>60</v>
      </c>
      <c r="I325" s="2" t="s">
        <v>76</v>
      </c>
      <c r="J325" s="2">
        <v>2009</v>
      </c>
      <c r="K325" s="2">
        <v>10</v>
      </c>
      <c r="N325" s="3">
        <v>500</v>
      </c>
      <c r="O325" s="3">
        <v>3</v>
      </c>
      <c r="T325" s="3">
        <v>32</v>
      </c>
      <c r="U325" s="3">
        <v>0.71</v>
      </c>
      <c r="V325" s="3">
        <v>0.46</v>
      </c>
      <c r="W325" s="3">
        <v>4.13</v>
      </c>
      <c r="Y325" s="3">
        <v>5.42</v>
      </c>
      <c r="AA325" s="3">
        <v>670</v>
      </c>
      <c r="AB325" s="3">
        <v>40</v>
      </c>
      <c r="AC325" s="3">
        <v>660</v>
      </c>
      <c r="AE325" s="3">
        <v>1380</v>
      </c>
      <c r="AG325" s="3">
        <v>4.0060000000000002</v>
      </c>
      <c r="AI325" s="3">
        <v>0.80110000000000003</v>
      </c>
      <c r="AM325" s="3">
        <v>4.2880000000000003</v>
      </c>
      <c r="AR325" s="3" t="s">
        <v>65</v>
      </c>
      <c r="AT325" s="3">
        <v>47.75</v>
      </c>
      <c r="AU325" s="3" t="s">
        <v>882</v>
      </c>
      <c r="AV325" s="4"/>
      <c r="AW325" s="3" t="s">
        <v>407</v>
      </c>
    </row>
    <row r="326" spans="1:49" x14ac:dyDescent="0.15">
      <c r="A326" s="2">
        <v>325</v>
      </c>
      <c r="B326" s="2" t="s">
        <v>174</v>
      </c>
      <c r="C326" s="2" t="s">
        <v>172</v>
      </c>
      <c r="D326" s="2" t="s">
        <v>408</v>
      </c>
      <c r="E326" s="2" t="s">
        <v>39</v>
      </c>
      <c r="H326" s="2" t="s">
        <v>60</v>
      </c>
      <c r="I326" s="2" t="s">
        <v>76</v>
      </c>
      <c r="J326" s="2">
        <v>2009</v>
      </c>
      <c r="K326" s="2">
        <v>10</v>
      </c>
      <c r="N326" s="3">
        <v>500</v>
      </c>
      <c r="O326" s="3">
        <v>3</v>
      </c>
      <c r="T326" s="3">
        <v>7</v>
      </c>
      <c r="U326" s="3">
        <v>0.11</v>
      </c>
      <c r="V326" s="3">
        <v>0.12</v>
      </c>
      <c r="W326" s="3">
        <v>0.22</v>
      </c>
      <c r="Y326" s="3">
        <v>0.45</v>
      </c>
      <c r="AA326" s="3">
        <v>100</v>
      </c>
      <c r="AB326" s="3">
        <v>10</v>
      </c>
      <c r="AC326" s="3">
        <v>40</v>
      </c>
      <c r="AE326" s="3">
        <v>150</v>
      </c>
      <c r="AG326" s="3">
        <v>2.5230000000000001</v>
      </c>
      <c r="AI326" s="3">
        <v>0.89880000000000004</v>
      </c>
      <c r="AM326" s="3">
        <v>1.1970000000000001</v>
      </c>
      <c r="AR326" s="3" t="s">
        <v>65</v>
      </c>
      <c r="AT326" s="3">
        <v>47.75</v>
      </c>
      <c r="AU326" s="3" t="s">
        <v>882</v>
      </c>
      <c r="AV326" s="4"/>
      <c r="AW326" s="3" t="s">
        <v>407</v>
      </c>
    </row>
    <row r="327" spans="1:49" x14ac:dyDescent="0.15">
      <c r="A327" s="2">
        <v>326</v>
      </c>
      <c r="B327" s="2" t="s">
        <v>177</v>
      </c>
      <c r="C327" s="2" t="s">
        <v>178</v>
      </c>
      <c r="E327" s="2" t="s">
        <v>39</v>
      </c>
      <c r="H327" s="2" t="s">
        <v>60</v>
      </c>
      <c r="I327" s="2" t="s">
        <v>179</v>
      </c>
      <c r="J327" s="2">
        <v>2009</v>
      </c>
      <c r="K327" s="2">
        <v>4</v>
      </c>
      <c r="N327" s="3">
        <v>1000</v>
      </c>
      <c r="O327" s="3">
        <v>24</v>
      </c>
      <c r="P327" s="2">
        <v>23</v>
      </c>
      <c r="Q327" s="2">
        <v>25</v>
      </c>
      <c r="R327" s="2">
        <v>38</v>
      </c>
      <c r="S327" s="2">
        <v>5</v>
      </c>
      <c r="T327" s="3">
        <v>109</v>
      </c>
      <c r="U327" s="3">
        <v>7.0000000000000007E-2</v>
      </c>
      <c r="V327" s="3">
        <v>13.29</v>
      </c>
      <c r="W327" s="3">
        <v>2.13</v>
      </c>
      <c r="X327" s="3">
        <v>3.07</v>
      </c>
      <c r="Y327" s="3">
        <v>23.38</v>
      </c>
      <c r="AA327" s="3">
        <v>8.3000000000000007</v>
      </c>
      <c r="AB327" s="3">
        <v>51.7</v>
      </c>
      <c r="AC327" s="3">
        <v>268</v>
      </c>
      <c r="AD327" s="3">
        <v>4.2</v>
      </c>
      <c r="AE327" s="3">
        <v>335.5</v>
      </c>
      <c r="AG327" s="3">
        <v>2.69</v>
      </c>
      <c r="AI327" s="3">
        <v>0.81</v>
      </c>
      <c r="AK327" s="3">
        <v>0.53</v>
      </c>
      <c r="AM327" s="3">
        <v>1.99</v>
      </c>
      <c r="AR327" s="3" t="s">
        <v>66</v>
      </c>
      <c r="AT327" s="3">
        <v>47.75</v>
      </c>
      <c r="AU327" s="3" t="s">
        <v>882</v>
      </c>
      <c r="AW327" s="3" t="s">
        <v>406</v>
      </c>
    </row>
    <row r="328" spans="1:49" s="6" customFormat="1" x14ac:dyDescent="0.15">
      <c r="A328" s="2">
        <v>327</v>
      </c>
      <c r="B328" s="5" t="s">
        <v>180</v>
      </c>
      <c r="C328" s="5" t="s">
        <v>181</v>
      </c>
      <c r="D328" s="5" t="s">
        <v>409</v>
      </c>
      <c r="E328" s="5" t="s">
        <v>182</v>
      </c>
      <c r="F328" s="5"/>
      <c r="G328" s="5"/>
      <c r="H328" s="5" t="s">
        <v>183</v>
      </c>
      <c r="I328" s="5" t="s">
        <v>55</v>
      </c>
      <c r="J328" s="5">
        <v>2008</v>
      </c>
      <c r="K328" s="5">
        <v>9</v>
      </c>
      <c r="L328" s="5"/>
      <c r="M328" s="5"/>
      <c r="N328" s="6">
        <v>1000</v>
      </c>
      <c r="O328" s="6">
        <v>80</v>
      </c>
      <c r="P328" s="5">
        <v>13</v>
      </c>
      <c r="Q328" s="5">
        <v>19</v>
      </c>
      <c r="R328" s="5">
        <v>46</v>
      </c>
      <c r="S328" s="5">
        <v>12</v>
      </c>
      <c r="T328" s="6">
        <v>95</v>
      </c>
      <c r="U328" s="6">
        <v>2.48</v>
      </c>
      <c r="V328" s="6">
        <v>16.93</v>
      </c>
      <c r="W328" s="6">
        <v>12.54</v>
      </c>
      <c r="X328" s="6">
        <v>16.53</v>
      </c>
      <c r="Y328" s="6">
        <v>53.24</v>
      </c>
      <c r="Z328" s="6">
        <f>STDEV(Y329:Y333)</f>
        <v>24.783150929613448</v>
      </c>
      <c r="AA328" s="6">
        <v>22.4</v>
      </c>
      <c r="AB328" s="6">
        <v>44.5</v>
      </c>
      <c r="AC328" s="6">
        <v>180.8</v>
      </c>
      <c r="AD328" s="6">
        <v>16.8</v>
      </c>
      <c r="AE328" s="6">
        <v>267.39999999999998</v>
      </c>
      <c r="AF328" s="6">
        <f>STDEV(AE329:AE333)</f>
        <v>72.841869827730022</v>
      </c>
      <c r="AG328" s="6">
        <f>AVERAGE(AG334:AG340)</f>
        <v>2.221571428571429</v>
      </c>
      <c r="AH328" s="6">
        <f>STDEV(AG334:AG340)</f>
        <v>0.81655411274919099</v>
      </c>
      <c r="AI328" s="6">
        <f>AVERAGE(AI334:AI340)</f>
        <v>0.82571428571428573</v>
      </c>
      <c r="AJ328" s="6">
        <f>STDEV(AI334:AI340)</f>
        <v>0.14953897405661468</v>
      </c>
      <c r="AK328" s="6">
        <f>AVERAGE(AK334:AK340)</f>
        <v>0.5971428571428572</v>
      </c>
      <c r="AL328" s="6">
        <f>STDEV(AK334:AK340)</f>
        <v>0.18918371016151508</v>
      </c>
      <c r="AM328" s="6">
        <f>AVERAGE(AM334:AM340)</f>
        <v>2.0628571428571427</v>
      </c>
      <c r="AN328" s="6">
        <f>STDEV(AM334:AM340)</f>
        <v>1.3539659558215669</v>
      </c>
      <c r="AR328" s="6" t="s">
        <v>66</v>
      </c>
      <c r="AT328" s="3">
        <v>47.75</v>
      </c>
      <c r="AU328" s="3" t="s">
        <v>882</v>
      </c>
      <c r="AW328" s="6" t="s">
        <v>405</v>
      </c>
    </row>
    <row r="329" spans="1:49" x14ac:dyDescent="0.15">
      <c r="A329" s="2">
        <v>328</v>
      </c>
      <c r="B329" s="2" t="s">
        <v>180</v>
      </c>
      <c r="C329" s="2" t="s">
        <v>55</v>
      </c>
      <c r="D329" s="2" t="s">
        <v>409</v>
      </c>
      <c r="E329" s="2" t="s">
        <v>39</v>
      </c>
      <c r="H329" s="2" t="s">
        <v>60</v>
      </c>
      <c r="I329" s="2" t="s">
        <v>55</v>
      </c>
      <c r="J329" s="2">
        <v>2008</v>
      </c>
      <c r="K329" s="2">
        <v>9</v>
      </c>
      <c r="N329" s="3">
        <v>1000</v>
      </c>
      <c r="O329" s="3">
        <v>12</v>
      </c>
      <c r="P329" s="2">
        <v>5</v>
      </c>
      <c r="Q329" s="2">
        <v>6</v>
      </c>
      <c r="R329" s="2">
        <v>12</v>
      </c>
      <c r="S329" s="2">
        <v>4</v>
      </c>
      <c r="T329" s="3">
        <v>27</v>
      </c>
      <c r="U329" s="3">
        <v>2.4500000000000002</v>
      </c>
      <c r="V329" s="3">
        <v>6.17</v>
      </c>
      <c r="W329" s="3">
        <v>5.12</v>
      </c>
      <c r="X329" s="3">
        <v>13.08</v>
      </c>
      <c r="Y329" s="3">
        <v>26.82</v>
      </c>
      <c r="AA329" s="3">
        <v>21.7</v>
      </c>
      <c r="AB329" s="3">
        <v>21.7</v>
      </c>
      <c r="AC329" s="3">
        <v>155</v>
      </c>
      <c r="AD329" s="3">
        <v>15</v>
      </c>
      <c r="AE329" s="3">
        <v>213.3</v>
      </c>
      <c r="AT329" s="3">
        <v>47.75</v>
      </c>
      <c r="AU329" s="3" t="s">
        <v>882</v>
      </c>
      <c r="AV329" s="4"/>
      <c r="AW329" s="3" t="s">
        <v>406</v>
      </c>
    </row>
    <row r="330" spans="1:49" x14ac:dyDescent="0.15">
      <c r="A330" s="2">
        <v>329</v>
      </c>
      <c r="B330" s="2" t="s">
        <v>180</v>
      </c>
      <c r="C330" s="2" t="s">
        <v>55</v>
      </c>
      <c r="D330" s="2" t="s">
        <v>409</v>
      </c>
      <c r="E330" s="2" t="s">
        <v>39</v>
      </c>
      <c r="H330" s="2" t="s">
        <v>60</v>
      </c>
      <c r="I330" s="2" t="s">
        <v>55</v>
      </c>
      <c r="J330" s="2">
        <v>2008</v>
      </c>
      <c r="K330" s="2">
        <v>9</v>
      </c>
      <c r="N330" s="3">
        <v>1000</v>
      </c>
      <c r="O330" s="3">
        <v>18</v>
      </c>
      <c r="P330" s="2">
        <v>2</v>
      </c>
      <c r="Q330" s="2">
        <v>5</v>
      </c>
      <c r="R330" s="2">
        <v>25</v>
      </c>
      <c r="S330" s="2">
        <v>3</v>
      </c>
      <c r="T330" s="3">
        <v>38</v>
      </c>
      <c r="U330" s="3">
        <v>3.29</v>
      </c>
      <c r="V330" s="3">
        <v>27.82</v>
      </c>
      <c r="W330" s="3">
        <v>25.23</v>
      </c>
      <c r="X330" s="3">
        <v>12.69</v>
      </c>
      <c r="Y330" s="3">
        <v>85.36</v>
      </c>
      <c r="AA330" s="3">
        <v>12.2</v>
      </c>
      <c r="AB330" s="3">
        <v>30</v>
      </c>
      <c r="AC330" s="3">
        <v>318.89999999999998</v>
      </c>
      <c r="AD330" s="3">
        <v>22.2</v>
      </c>
      <c r="AE330" s="3">
        <v>388.9</v>
      </c>
      <c r="AT330" s="3">
        <v>47.75</v>
      </c>
      <c r="AU330" s="3" t="s">
        <v>882</v>
      </c>
      <c r="AV330" s="4"/>
      <c r="AW330" s="3" t="s">
        <v>406</v>
      </c>
    </row>
    <row r="331" spans="1:49" x14ac:dyDescent="0.15">
      <c r="A331" s="2">
        <v>330</v>
      </c>
      <c r="B331" s="2" t="s">
        <v>180</v>
      </c>
      <c r="C331" s="2" t="s">
        <v>55</v>
      </c>
      <c r="D331" s="2" t="s">
        <v>409</v>
      </c>
      <c r="E331" s="2" t="s">
        <v>39</v>
      </c>
      <c r="H331" s="2" t="s">
        <v>60</v>
      </c>
      <c r="I331" s="2" t="s">
        <v>55</v>
      </c>
      <c r="J331" s="2">
        <v>2008</v>
      </c>
      <c r="K331" s="2">
        <v>9</v>
      </c>
      <c r="N331" s="3">
        <v>1000</v>
      </c>
      <c r="O331" s="3">
        <v>18</v>
      </c>
      <c r="P331" s="2">
        <v>2</v>
      </c>
      <c r="Q331" s="2">
        <v>8</v>
      </c>
      <c r="R331" s="2">
        <v>22</v>
      </c>
      <c r="S331" s="2">
        <v>4</v>
      </c>
      <c r="T331" s="3">
        <v>37</v>
      </c>
      <c r="U331" s="3">
        <v>0.4</v>
      </c>
      <c r="V331" s="3">
        <v>15.42</v>
      </c>
      <c r="W331" s="3">
        <v>9.1300000000000008</v>
      </c>
      <c r="X331" s="3">
        <v>34.74</v>
      </c>
      <c r="Y331" s="3">
        <v>60.08</v>
      </c>
      <c r="AA331" s="3">
        <v>6.7</v>
      </c>
      <c r="AB331" s="3">
        <v>71.099999999999994</v>
      </c>
      <c r="AC331" s="3">
        <v>146.69999999999999</v>
      </c>
      <c r="AD331" s="3">
        <v>15.6</v>
      </c>
      <c r="AE331" s="3">
        <v>242.2</v>
      </c>
      <c r="AT331" s="3">
        <v>47.75</v>
      </c>
      <c r="AU331" s="3" t="s">
        <v>882</v>
      </c>
      <c r="AV331" s="4"/>
      <c r="AW331" s="3" t="s">
        <v>406</v>
      </c>
    </row>
    <row r="332" spans="1:49" x14ac:dyDescent="0.15">
      <c r="A332" s="2">
        <v>331</v>
      </c>
      <c r="B332" s="2" t="s">
        <v>180</v>
      </c>
      <c r="C332" s="2" t="s">
        <v>55</v>
      </c>
      <c r="D332" s="2" t="s">
        <v>409</v>
      </c>
      <c r="E332" s="2" t="s">
        <v>39</v>
      </c>
      <c r="H332" s="2" t="s">
        <v>60</v>
      </c>
      <c r="I332" s="2" t="s">
        <v>55</v>
      </c>
      <c r="J332" s="2">
        <v>2008</v>
      </c>
      <c r="K332" s="2">
        <v>9</v>
      </c>
      <c r="N332" s="3">
        <v>1000</v>
      </c>
      <c r="O332" s="3">
        <v>18</v>
      </c>
      <c r="P332" s="2">
        <v>4</v>
      </c>
      <c r="Q332" s="2">
        <v>1</v>
      </c>
      <c r="R332" s="2">
        <v>27</v>
      </c>
      <c r="S332" s="2">
        <v>5</v>
      </c>
      <c r="T332" s="3">
        <v>38</v>
      </c>
      <c r="U332" s="3">
        <v>0.51</v>
      </c>
      <c r="V332" s="3">
        <v>0.4</v>
      </c>
      <c r="W332" s="3">
        <v>16.170000000000002</v>
      </c>
      <c r="X332" s="3">
        <v>15.8</v>
      </c>
      <c r="Y332" s="3">
        <v>36.49</v>
      </c>
      <c r="AA332" s="3">
        <v>22.9</v>
      </c>
      <c r="AB332" s="3">
        <v>2.9</v>
      </c>
      <c r="AC332" s="3">
        <v>174.3</v>
      </c>
      <c r="AD332" s="3">
        <v>20</v>
      </c>
      <c r="AE332" s="3">
        <v>222.9</v>
      </c>
      <c r="AT332" s="3">
        <v>47.75</v>
      </c>
      <c r="AU332" s="3" t="s">
        <v>882</v>
      </c>
      <c r="AV332" s="4"/>
      <c r="AW332" s="3" t="s">
        <v>406</v>
      </c>
    </row>
    <row r="333" spans="1:49" x14ac:dyDescent="0.15">
      <c r="A333" s="2">
        <v>332</v>
      </c>
      <c r="B333" s="2" t="s">
        <v>180</v>
      </c>
      <c r="C333" s="2" t="s">
        <v>55</v>
      </c>
      <c r="D333" s="2" t="s">
        <v>409</v>
      </c>
      <c r="E333" s="2" t="s">
        <v>39</v>
      </c>
      <c r="H333" s="2" t="s">
        <v>60</v>
      </c>
      <c r="I333" s="2" t="s">
        <v>55</v>
      </c>
      <c r="J333" s="2">
        <v>2008</v>
      </c>
      <c r="K333" s="2">
        <v>9</v>
      </c>
      <c r="N333" s="3">
        <v>1000</v>
      </c>
      <c r="O333" s="3">
        <v>14</v>
      </c>
      <c r="P333" s="2">
        <v>7</v>
      </c>
      <c r="Q333" s="2">
        <v>9</v>
      </c>
      <c r="R333" s="2">
        <v>24</v>
      </c>
      <c r="S333" s="2">
        <v>3</v>
      </c>
      <c r="T333" s="3">
        <v>44</v>
      </c>
      <c r="U333" s="3">
        <v>6.11</v>
      </c>
      <c r="V333" s="3">
        <v>17.77</v>
      </c>
      <c r="W333" s="3">
        <v>3.33</v>
      </c>
      <c r="X333" s="3">
        <v>1.76</v>
      </c>
      <c r="Y333" s="3">
        <v>29.71</v>
      </c>
      <c r="AA333" s="3">
        <v>55.7</v>
      </c>
      <c r="AB333" s="3">
        <v>90</v>
      </c>
      <c r="AC333" s="3">
        <v>75.7</v>
      </c>
      <c r="AD333" s="3">
        <v>10</v>
      </c>
      <c r="AE333" s="3">
        <v>232.9</v>
      </c>
      <c r="AT333" s="3">
        <v>47.75</v>
      </c>
      <c r="AU333" s="3" t="s">
        <v>882</v>
      </c>
      <c r="AV333" s="4"/>
      <c r="AW333" s="3" t="s">
        <v>406</v>
      </c>
    </row>
    <row r="334" spans="1:49" x14ac:dyDescent="0.15">
      <c r="A334" s="2">
        <v>333</v>
      </c>
      <c r="B334" s="2" t="s">
        <v>180</v>
      </c>
      <c r="C334" s="2" t="s">
        <v>55</v>
      </c>
      <c r="D334" s="2" t="s">
        <v>409</v>
      </c>
      <c r="E334" s="2" t="s">
        <v>39</v>
      </c>
      <c r="H334" s="2" t="s">
        <v>60</v>
      </c>
      <c r="I334" s="2" t="s">
        <v>55</v>
      </c>
      <c r="J334" s="2">
        <v>2008</v>
      </c>
      <c r="K334" s="2">
        <v>9</v>
      </c>
      <c r="N334" s="3">
        <v>1000</v>
      </c>
      <c r="O334" s="3">
        <v>14</v>
      </c>
      <c r="AG334" s="3">
        <v>2.6</v>
      </c>
      <c r="AI334" s="3">
        <v>0.9</v>
      </c>
      <c r="AK334" s="3">
        <v>0.51</v>
      </c>
      <c r="AM334" s="3">
        <v>1.64</v>
      </c>
      <c r="AT334" s="3">
        <v>47.75</v>
      </c>
      <c r="AU334" s="3" t="s">
        <v>882</v>
      </c>
      <c r="AV334" s="4"/>
      <c r="AW334" s="3" t="s">
        <v>406</v>
      </c>
    </row>
    <row r="335" spans="1:49" x14ac:dyDescent="0.15">
      <c r="A335" s="2">
        <v>334</v>
      </c>
      <c r="B335" s="2" t="s">
        <v>180</v>
      </c>
      <c r="C335" s="2" t="s">
        <v>55</v>
      </c>
      <c r="D335" s="2" t="s">
        <v>409</v>
      </c>
      <c r="E335" s="2" t="s">
        <v>39</v>
      </c>
      <c r="H335" s="2" t="s">
        <v>60</v>
      </c>
      <c r="I335" s="2" t="s">
        <v>55</v>
      </c>
      <c r="J335" s="2">
        <v>2008</v>
      </c>
      <c r="K335" s="2">
        <v>9</v>
      </c>
      <c r="N335" s="3">
        <v>1000</v>
      </c>
      <c r="O335" s="3">
        <v>14</v>
      </c>
      <c r="AG335" s="3">
        <v>2.4900000000000002</v>
      </c>
      <c r="AI335" s="3">
        <v>0.91</v>
      </c>
      <c r="AK335" s="3">
        <v>0.51</v>
      </c>
      <c r="AM335" s="3">
        <v>1.41</v>
      </c>
      <c r="AT335" s="3">
        <v>47.75</v>
      </c>
      <c r="AU335" s="3" t="s">
        <v>882</v>
      </c>
      <c r="AV335" s="4"/>
      <c r="AW335" s="3" t="s">
        <v>406</v>
      </c>
    </row>
    <row r="336" spans="1:49" x14ac:dyDescent="0.15">
      <c r="A336" s="2">
        <v>335</v>
      </c>
      <c r="B336" s="2" t="s">
        <v>180</v>
      </c>
      <c r="C336" s="2" t="s">
        <v>55</v>
      </c>
      <c r="D336" s="2" t="s">
        <v>409</v>
      </c>
      <c r="E336" s="2" t="s">
        <v>39</v>
      </c>
      <c r="H336" s="2" t="s">
        <v>60</v>
      </c>
      <c r="I336" s="2" t="s">
        <v>55</v>
      </c>
      <c r="J336" s="2">
        <v>2008</v>
      </c>
      <c r="K336" s="2">
        <v>9</v>
      </c>
      <c r="N336" s="3">
        <v>1000</v>
      </c>
      <c r="O336" s="3">
        <v>14</v>
      </c>
      <c r="AG336" s="3">
        <v>2.65</v>
      </c>
      <c r="AI336" s="3">
        <v>0.87</v>
      </c>
      <c r="AK336" s="3">
        <v>0.55000000000000004</v>
      </c>
      <c r="AM336" s="3">
        <v>1.52</v>
      </c>
      <c r="AT336" s="3">
        <v>47.75</v>
      </c>
      <c r="AU336" s="3" t="s">
        <v>882</v>
      </c>
      <c r="AV336" s="4"/>
      <c r="AW336" s="3" t="s">
        <v>406</v>
      </c>
    </row>
    <row r="337" spans="1:49" x14ac:dyDescent="0.15">
      <c r="A337" s="2">
        <v>336</v>
      </c>
      <c r="B337" s="2" t="s">
        <v>180</v>
      </c>
      <c r="C337" s="2" t="s">
        <v>55</v>
      </c>
      <c r="D337" s="2" t="s">
        <v>409</v>
      </c>
      <c r="E337" s="2" t="s">
        <v>39</v>
      </c>
      <c r="H337" s="2" t="s">
        <v>60</v>
      </c>
      <c r="I337" s="2" t="s">
        <v>55</v>
      </c>
      <c r="J337" s="2">
        <v>2008</v>
      </c>
      <c r="K337" s="2">
        <v>9</v>
      </c>
      <c r="N337" s="3">
        <v>1000</v>
      </c>
      <c r="O337" s="3">
        <v>14</v>
      </c>
      <c r="AG337" s="3">
        <v>0.5</v>
      </c>
      <c r="AI337" s="3">
        <v>0.5</v>
      </c>
      <c r="AK337" s="3">
        <v>1</v>
      </c>
      <c r="AM337" s="3">
        <v>5</v>
      </c>
      <c r="AT337" s="3">
        <v>47.75</v>
      </c>
      <c r="AU337" s="3" t="s">
        <v>882</v>
      </c>
      <c r="AV337" s="4"/>
      <c r="AW337" s="3" t="s">
        <v>406</v>
      </c>
    </row>
    <row r="338" spans="1:49" x14ac:dyDescent="0.15">
      <c r="A338" s="2">
        <v>337</v>
      </c>
      <c r="B338" s="2" t="s">
        <v>180</v>
      </c>
      <c r="C338" s="2" t="s">
        <v>55</v>
      </c>
      <c r="D338" s="2" t="s">
        <v>409</v>
      </c>
      <c r="E338" s="2" t="s">
        <v>39</v>
      </c>
      <c r="H338" s="2" t="s">
        <v>60</v>
      </c>
      <c r="I338" s="2" t="s">
        <v>55</v>
      </c>
      <c r="J338" s="2">
        <v>2008</v>
      </c>
      <c r="K338" s="2">
        <v>9</v>
      </c>
      <c r="N338" s="3">
        <v>1000</v>
      </c>
      <c r="O338" s="3">
        <v>14</v>
      </c>
      <c r="AG338" s="3">
        <v>2.3610000000000002</v>
      </c>
      <c r="AI338" s="3">
        <v>0.8</v>
      </c>
      <c r="AK338" s="3">
        <v>0.5</v>
      </c>
      <c r="AM338" s="3">
        <v>1.7</v>
      </c>
      <c r="AT338" s="3">
        <v>47.75</v>
      </c>
      <c r="AU338" s="3" t="s">
        <v>882</v>
      </c>
      <c r="AV338" s="4"/>
      <c r="AW338" s="3" t="s">
        <v>406</v>
      </c>
    </row>
    <row r="339" spans="1:49" x14ac:dyDescent="0.15">
      <c r="A339" s="2">
        <v>338</v>
      </c>
      <c r="B339" s="2" t="s">
        <v>180</v>
      </c>
      <c r="C339" s="2" t="s">
        <v>55</v>
      </c>
      <c r="D339" s="2" t="s">
        <v>409</v>
      </c>
      <c r="E339" s="2" t="s">
        <v>39</v>
      </c>
      <c r="H339" s="2" t="s">
        <v>60</v>
      </c>
      <c r="I339" s="2" t="s">
        <v>55</v>
      </c>
      <c r="J339" s="2">
        <v>2008</v>
      </c>
      <c r="K339" s="2">
        <v>9</v>
      </c>
      <c r="N339" s="3">
        <v>1000</v>
      </c>
      <c r="O339" s="3">
        <v>14</v>
      </c>
      <c r="AG339" s="3">
        <v>1.98</v>
      </c>
      <c r="AI339" s="3">
        <v>0.93</v>
      </c>
      <c r="AK339" s="3">
        <v>0.66</v>
      </c>
      <c r="AM339" s="3">
        <v>0.92</v>
      </c>
      <c r="AT339" s="3">
        <v>47.75</v>
      </c>
      <c r="AU339" s="3" t="s">
        <v>882</v>
      </c>
      <c r="AV339" s="4"/>
      <c r="AW339" s="3" t="s">
        <v>406</v>
      </c>
    </row>
    <row r="340" spans="1:49" x14ac:dyDescent="0.15">
      <c r="A340" s="2">
        <v>339</v>
      </c>
      <c r="B340" s="2" t="s">
        <v>180</v>
      </c>
      <c r="C340" s="2" t="s">
        <v>55</v>
      </c>
      <c r="D340" s="2" t="s">
        <v>409</v>
      </c>
      <c r="E340" s="2" t="s">
        <v>39</v>
      </c>
      <c r="H340" s="2" t="s">
        <v>60</v>
      </c>
      <c r="I340" s="2" t="s">
        <v>55</v>
      </c>
      <c r="J340" s="2">
        <v>2008</v>
      </c>
      <c r="K340" s="2">
        <v>9</v>
      </c>
      <c r="N340" s="3">
        <v>1000</v>
      </c>
      <c r="O340" s="3">
        <v>14</v>
      </c>
      <c r="AG340" s="3">
        <v>2.97</v>
      </c>
      <c r="AI340" s="3">
        <v>0.87</v>
      </c>
      <c r="AK340" s="3">
        <v>0.45</v>
      </c>
      <c r="AM340" s="3">
        <v>2.25</v>
      </c>
      <c r="AT340" s="3">
        <v>47.75</v>
      </c>
      <c r="AU340" s="3" t="s">
        <v>882</v>
      </c>
      <c r="AV340" s="4"/>
      <c r="AW340" s="3" t="s">
        <v>406</v>
      </c>
    </row>
    <row r="341" spans="1:49" x14ac:dyDescent="0.15">
      <c r="A341" s="2">
        <v>340</v>
      </c>
      <c r="B341" s="2" t="s">
        <v>184</v>
      </c>
      <c r="C341" s="2" t="s">
        <v>185</v>
      </c>
      <c r="D341" s="2" t="s">
        <v>115</v>
      </c>
      <c r="E341" s="2" t="s">
        <v>39</v>
      </c>
      <c r="H341" s="2" t="s">
        <v>60</v>
      </c>
      <c r="I341" s="2" t="s">
        <v>25</v>
      </c>
      <c r="J341" s="2">
        <v>2009</v>
      </c>
      <c r="K341" s="2">
        <v>4</v>
      </c>
      <c r="N341" s="3">
        <v>1000</v>
      </c>
      <c r="O341" s="3">
        <v>26</v>
      </c>
      <c r="P341" s="2">
        <v>25</v>
      </c>
      <c r="Q341" s="2">
        <v>12</v>
      </c>
      <c r="R341" s="2">
        <v>31</v>
      </c>
      <c r="S341" s="2">
        <v>2</v>
      </c>
      <c r="T341" s="3">
        <v>84</v>
      </c>
      <c r="U341" s="3">
        <v>1.17</v>
      </c>
      <c r="V341" s="3">
        <v>0.5</v>
      </c>
      <c r="W341" s="3">
        <v>1.73</v>
      </c>
      <c r="Y341" s="3">
        <v>11.62</v>
      </c>
      <c r="AA341" s="3">
        <v>2.2999999999999998</v>
      </c>
      <c r="AB341" s="3">
        <v>6.9</v>
      </c>
      <c r="AC341" s="3">
        <v>190.8</v>
      </c>
      <c r="AE341" s="3">
        <v>208.5</v>
      </c>
      <c r="AG341" s="3">
        <v>1.64</v>
      </c>
      <c r="AH341" s="3">
        <v>1</v>
      </c>
      <c r="AI341" s="3">
        <v>0.63</v>
      </c>
      <c r="AJ341" s="3">
        <v>0.21</v>
      </c>
      <c r="AM341" s="3">
        <v>1.1399999999999999</v>
      </c>
      <c r="AN341" s="3">
        <v>0.73</v>
      </c>
      <c r="AR341" s="3" t="s">
        <v>66</v>
      </c>
      <c r="AT341" s="3">
        <v>47.75</v>
      </c>
      <c r="AU341" s="3" t="s">
        <v>882</v>
      </c>
      <c r="AW341" s="3" t="s">
        <v>405</v>
      </c>
    </row>
    <row r="342" spans="1:49" x14ac:dyDescent="0.15">
      <c r="A342" s="2">
        <v>341</v>
      </c>
      <c r="B342" s="8" t="s">
        <v>186</v>
      </c>
      <c r="C342" s="2" t="s">
        <v>185</v>
      </c>
      <c r="D342" s="2" t="s">
        <v>115</v>
      </c>
      <c r="E342" s="2" t="s">
        <v>39</v>
      </c>
      <c r="H342" s="2" t="s">
        <v>60</v>
      </c>
      <c r="I342" s="2" t="s">
        <v>25</v>
      </c>
      <c r="J342" s="2">
        <v>2001</v>
      </c>
      <c r="Y342" s="3">
        <v>34</v>
      </c>
      <c r="AE342" s="3">
        <v>45</v>
      </c>
      <c r="AT342" s="3">
        <v>47.75</v>
      </c>
      <c r="AU342" s="3" t="s">
        <v>882</v>
      </c>
      <c r="AW342" s="3" t="s">
        <v>406</v>
      </c>
    </row>
    <row r="343" spans="1:49" x14ac:dyDescent="0.15">
      <c r="A343" s="2">
        <v>342</v>
      </c>
      <c r="B343" s="8" t="s">
        <v>186</v>
      </c>
      <c r="C343" s="2" t="s">
        <v>185</v>
      </c>
      <c r="D343" s="2" t="s">
        <v>115</v>
      </c>
      <c r="E343" s="2" t="s">
        <v>39</v>
      </c>
      <c r="H343" s="2" t="s">
        <v>60</v>
      </c>
      <c r="I343" s="2" t="s">
        <v>25</v>
      </c>
      <c r="J343" s="2">
        <v>2002</v>
      </c>
      <c r="Y343" s="3">
        <v>4.2</v>
      </c>
      <c r="AE343" s="3">
        <v>34</v>
      </c>
      <c r="AT343" s="3">
        <v>47.75</v>
      </c>
      <c r="AU343" s="3" t="s">
        <v>882</v>
      </c>
      <c r="AW343" s="3" t="s">
        <v>406</v>
      </c>
    </row>
    <row r="344" spans="1:49" x14ac:dyDescent="0.15">
      <c r="A344" s="2">
        <v>343</v>
      </c>
      <c r="B344" s="8" t="s">
        <v>186</v>
      </c>
      <c r="C344" s="2" t="s">
        <v>185</v>
      </c>
      <c r="D344" s="2" t="s">
        <v>115</v>
      </c>
      <c r="E344" s="2" t="s">
        <v>39</v>
      </c>
      <c r="H344" s="2" t="s">
        <v>60</v>
      </c>
      <c r="I344" s="2" t="s">
        <v>25</v>
      </c>
      <c r="J344" s="2">
        <v>2003</v>
      </c>
      <c r="Y344" s="3">
        <v>29</v>
      </c>
      <c r="AE344" s="3">
        <v>101</v>
      </c>
      <c r="AT344" s="3">
        <v>47.75</v>
      </c>
      <c r="AU344" s="3" t="s">
        <v>882</v>
      </c>
      <c r="AW344" s="3" t="s">
        <v>406</v>
      </c>
    </row>
    <row r="345" spans="1:49" x14ac:dyDescent="0.15">
      <c r="A345" s="2">
        <v>344</v>
      </c>
      <c r="B345" s="8" t="s">
        <v>186</v>
      </c>
      <c r="C345" s="2" t="s">
        <v>185</v>
      </c>
      <c r="D345" s="2" t="s">
        <v>115</v>
      </c>
      <c r="E345" s="2" t="s">
        <v>39</v>
      </c>
      <c r="H345" s="2" t="s">
        <v>60</v>
      </c>
      <c r="I345" s="2" t="s">
        <v>25</v>
      </c>
      <c r="J345" s="2">
        <v>2004</v>
      </c>
      <c r="Y345" s="3">
        <v>4.8</v>
      </c>
      <c r="AE345" s="3">
        <v>85</v>
      </c>
      <c r="AT345" s="3">
        <v>47.75</v>
      </c>
      <c r="AU345" s="3" t="s">
        <v>882</v>
      </c>
      <c r="AW345" s="3" t="s">
        <v>406</v>
      </c>
    </row>
    <row r="346" spans="1:49" x14ac:dyDescent="0.15">
      <c r="A346" s="2">
        <v>345</v>
      </c>
      <c r="B346" s="8" t="s">
        <v>186</v>
      </c>
      <c r="C346" s="2" t="s">
        <v>185</v>
      </c>
      <c r="D346" s="2" t="s">
        <v>115</v>
      </c>
      <c r="E346" s="2" t="s">
        <v>39</v>
      </c>
      <c r="H346" s="2" t="s">
        <v>60</v>
      </c>
      <c r="I346" s="2" t="s">
        <v>25</v>
      </c>
      <c r="J346" s="2">
        <v>2005</v>
      </c>
      <c r="Y346" s="3">
        <v>13.2</v>
      </c>
      <c r="AE346" s="3">
        <v>43</v>
      </c>
      <c r="AT346" s="3">
        <v>47.75</v>
      </c>
      <c r="AU346" s="3" t="s">
        <v>882</v>
      </c>
      <c r="AW346" s="3" t="s">
        <v>406</v>
      </c>
    </row>
    <row r="347" spans="1:49" x14ac:dyDescent="0.15">
      <c r="A347" s="2">
        <v>346</v>
      </c>
      <c r="B347" s="8" t="s">
        <v>186</v>
      </c>
      <c r="C347" s="2" t="s">
        <v>185</v>
      </c>
      <c r="D347" s="2" t="s">
        <v>115</v>
      </c>
      <c r="E347" s="2" t="s">
        <v>39</v>
      </c>
      <c r="H347" s="2" t="s">
        <v>60</v>
      </c>
      <c r="I347" s="2" t="s">
        <v>25</v>
      </c>
      <c r="J347" s="2">
        <v>2006</v>
      </c>
      <c r="Y347" s="3">
        <v>13.4</v>
      </c>
      <c r="AE347" s="3">
        <v>30</v>
      </c>
      <c r="AT347" s="3">
        <v>47.75</v>
      </c>
      <c r="AU347" s="3" t="s">
        <v>882</v>
      </c>
      <c r="AW347" s="3" t="s">
        <v>406</v>
      </c>
    </row>
    <row r="348" spans="1:49" x14ac:dyDescent="0.15">
      <c r="A348" s="2">
        <v>347</v>
      </c>
      <c r="B348" s="8" t="s">
        <v>186</v>
      </c>
      <c r="C348" s="2" t="s">
        <v>185</v>
      </c>
      <c r="D348" s="2" t="s">
        <v>115</v>
      </c>
      <c r="E348" s="2" t="s">
        <v>39</v>
      </c>
      <c r="H348" s="2" t="s">
        <v>60</v>
      </c>
      <c r="I348" s="2" t="s">
        <v>25</v>
      </c>
      <c r="J348" s="2">
        <v>2007</v>
      </c>
      <c r="Y348" s="3">
        <v>5.2</v>
      </c>
      <c r="AE348" s="3">
        <v>42</v>
      </c>
      <c r="AT348" s="3">
        <v>47.75</v>
      </c>
      <c r="AU348" s="3" t="s">
        <v>882</v>
      </c>
      <c r="AW348" s="3" t="s">
        <v>406</v>
      </c>
    </row>
    <row r="349" spans="1:49" x14ac:dyDescent="0.15">
      <c r="A349" s="2">
        <v>348</v>
      </c>
      <c r="B349" s="8" t="s">
        <v>186</v>
      </c>
      <c r="C349" s="2" t="s">
        <v>185</v>
      </c>
      <c r="D349" s="2" t="s">
        <v>115</v>
      </c>
      <c r="E349" s="2" t="s">
        <v>39</v>
      </c>
      <c r="H349" s="2" t="s">
        <v>60</v>
      </c>
      <c r="I349" s="2" t="s">
        <v>25</v>
      </c>
      <c r="J349" s="2">
        <v>2008</v>
      </c>
      <c r="Y349" s="3">
        <v>8.3000000000000007</v>
      </c>
      <c r="AE349" s="3">
        <v>72</v>
      </c>
      <c r="AT349" s="3">
        <v>47.75</v>
      </c>
      <c r="AU349" s="3" t="s">
        <v>882</v>
      </c>
      <c r="AW349" s="3" t="s">
        <v>406</v>
      </c>
    </row>
    <row r="350" spans="1:49" x14ac:dyDescent="0.15">
      <c r="A350" s="2">
        <v>349</v>
      </c>
      <c r="B350" s="2" t="s">
        <v>187</v>
      </c>
      <c r="C350" s="2" t="s">
        <v>132</v>
      </c>
      <c r="D350" s="2" t="s">
        <v>115</v>
      </c>
      <c r="E350" s="2" t="s">
        <v>39</v>
      </c>
      <c r="H350" s="2" t="s">
        <v>70</v>
      </c>
      <c r="I350" s="2" t="s">
        <v>188</v>
      </c>
      <c r="J350" s="2">
        <v>2009</v>
      </c>
      <c r="K350" s="2">
        <v>7</v>
      </c>
      <c r="N350" s="3">
        <v>2500</v>
      </c>
      <c r="O350" s="3">
        <v>63</v>
      </c>
      <c r="P350" s="2">
        <v>33</v>
      </c>
      <c r="Q350" s="2">
        <v>34</v>
      </c>
      <c r="R350" s="2">
        <v>23</v>
      </c>
      <c r="S350" s="2">
        <v>2</v>
      </c>
      <c r="T350" s="3">
        <v>103</v>
      </c>
      <c r="U350" s="3">
        <v>9.2899999999999991</v>
      </c>
      <c r="V350" s="3">
        <v>83.18</v>
      </c>
      <c r="W350" s="3">
        <v>1.25</v>
      </c>
      <c r="X350" s="3">
        <v>0.22</v>
      </c>
      <c r="Y350" s="3">
        <v>96.19</v>
      </c>
      <c r="Z350" s="3">
        <f>STDEV(Y351:Y357)</f>
        <v>88.72671278653776</v>
      </c>
      <c r="AA350" s="3">
        <v>17.8</v>
      </c>
      <c r="AB350" s="3">
        <v>193.6</v>
      </c>
      <c r="AC350" s="3">
        <v>9.8000000000000007</v>
      </c>
      <c r="AD350" s="3">
        <v>0.3</v>
      </c>
      <c r="AE350" s="3">
        <v>223.1</v>
      </c>
      <c r="AF350" s="3">
        <f>STDEV(AE351:AE357)</f>
        <v>80.83027485622776</v>
      </c>
      <c r="AG350" s="3">
        <v>2.14</v>
      </c>
      <c r="AH350" s="3">
        <f>STDEV(AG351:AG357)</f>
        <v>0.41254148420550035</v>
      </c>
      <c r="AR350" s="3" t="s">
        <v>170</v>
      </c>
      <c r="AS350" s="3" t="s">
        <v>86</v>
      </c>
      <c r="AT350" s="3">
        <v>43.5</v>
      </c>
      <c r="AU350" s="3" t="s">
        <v>86</v>
      </c>
      <c r="AW350" s="3" t="s">
        <v>405</v>
      </c>
    </row>
    <row r="351" spans="1:49" x14ac:dyDescent="0.15">
      <c r="A351" s="2">
        <v>350</v>
      </c>
      <c r="B351" s="2" t="s">
        <v>187</v>
      </c>
      <c r="C351" s="2" t="s">
        <v>132</v>
      </c>
      <c r="D351" s="2" t="s">
        <v>115</v>
      </c>
      <c r="E351" s="2" t="s">
        <v>39</v>
      </c>
      <c r="H351" s="2" t="s">
        <v>60</v>
      </c>
      <c r="I351" s="2" t="s">
        <v>25</v>
      </c>
      <c r="J351" s="2">
        <v>2009</v>
      </c>
      <c r="K351" s="2">
        <v>7</v>
      </c>
      <c r="N351" s="3">
        <v>2500</v>
      </c>
      <c r="O351" s="3">
        <v>9</v>
      </c>
      <c r="P351" s="2">
        <v>9</v>
      </c>
      <c r="Q351" s="2">
        <v>11</v>
      </c>
      <c r="R351" s="2">
        <v>3</v>
      </c>
      <c r="S351" s="2">
        <v>0</v>
      </c>
      <c r="T351" s="3">
        <v>25</v>
      </c>
      <c r="U351" s="3">
        <v>2.04</v>
      </c>
      <c r="V351" s="3">
        <v>41.61</v>
      </c>
      <c r="W351" s="3">
        <v>0.1</v>
      </c>
      <c r="Y351" s="3">
        <v>43.67</v>
      </c>
      <c r="AA351" s="3">
        <v>7.6</v>
      </c>
      <c r="AB351" s="3">
        <v>134.19999999999999</v>
      </c>
      <c r="AC351" s="3">
        <v>0.4</v>
      </c>
      <c r="AD351" s="3">
        <v>0</v>
      </c>
      <c r="AE351" s="3">
        <v>142.69999999999999</v>
      </c>
      <c r="AG351" s="3">
        <v>2.25</v>
      </c>
      <c r="AR351" s="3" t="s">
        <v>65</v>
      </c>
      <c r="AS351" s="3" t="s">
        <v>86</v>
      </c>
      <c r="AT351" s="3">
        <v>43.5</v>
      </c>
      <c r="AU351" s="3" t="s">
        <v>86</v>
      </c>
      <c r="AW351" s="3" t="s">
        <v>406</v>
      </c>
    </row>
    <row r="352" spans="1:49" x14ac:dyDescent="0.15">
      <c r="A352" s="2">
        <v>351</v>
      </c>
      <c r="B352" s="2" t="s">
        <v>187</v>
      </c>
      <c r="C352" s="2" t="s">
        <v>132</v>
      </c>
      <c r="D352" s="2" t="s">
        <v>115</v>
      </c>
      <c r="E352" s="2" t="s">
        <v>39</v>
      </c>
      <c r="H352" s="2" t="s">
        <v>60</v>
      </c>
      <c r="I352" s="2" t="s">
        <v>25</v>
      </c>
      <c r="J352" s="2">
        <v>2009</v>
      </c>
      <c r="K352" s="2">
        <v>7</v>
      </c>
      <c r="N352" s="3">
        <v>2500</v>
      </c>
      <c r="O352" s="3">
        <v>9</v>
      </c>
      <c r="P352" s="2">
        <v>17</v>
      </c>
      <c r="Q352" s="2">
        <v>18</v>
      </c>
      <c r="R352" s="2">
        <v>7</v>
      </c>
      <c r="S352" s="2">
        <v>1</v>
      </c>
      <c r="T352" s="3">
        <v>49</v>
      </c>
      <c r="U352" s="3">
        <v>1.1599999999999999</v>
      </c>
      <c r="V352" s="3">
        <v>53.06</v>
      </c>
      <c r="W352" s="3">
        <v>1.94</v>
      </c>
      <c r="Y352" s="3">
        <v>58.9</v>
      </c>
      <c r="AA352" s="3">
        <v>8.6999999999999993</v>
      </c>
      <c r="AB352" s="3">
        <v>204.7</v>
      </c>
      <c r="AC352" s="3">
        <v>4.7</v>
      </c>
      <c r="AD352" s="3">
        <v>0</v>
      </c>
      <c r="AE352" s="3">
        <v>223.3</v>
      </c>
      <c r="AG352" s="3">
        <v>2.0299999999999998</v>
      </c>
      <c r="AR352" s="3" t="s">
        <v>65</v>
      </c>
      <c r="AS352" s="3" t="s">
        <v>86</v>
      </c>
      <c r="AT352" s="3">
        <v>43.5</v>
      </c>
      <c r="AU352" s="3" t="s">
        <v>86</v>
      </c>
      <c r="AW352" s="3" t="s">
        <v>406</v>
      </c>
    </row>
    <row r="353" spans="1:49" x14ac:dyDescent="0.15">
      <c r="A353" s="2">
        <v>352</v>
      </c>
      <c r="B353" s="2" t="s">
        <v>187</v>
      </c>
      <c r="C353" s="2" t="s">
        <v>132</v>
      </c>
      <c r="D353" s="2" t="s">
        <v>115</v>
      </c>
      <c r="E353" s="2" t="s">
        <v>39</v>
      </c>
      <c r="H353" s="2" t="s">
        <v>60</v>
      </c>
      <c r="I353" s="2" t="s">
        <v>25</v>
      </c>
      <c r="J353" s="2">
        <v>2009</v>
      </c>
      <c r="K353" s="2">
        <v>7</v>
      </c>
      <c r="N353" s="3">
        <v>2500</v>
      </c>
      <c r="O353" s="3">
        <v>9</v>
      </c>
      <c r="P353" s="2">
        <v>8</v>
      </c>
      <c r="Q353" s="2">
        <v>12</v>
      </c>
      <c r="R353" s="2">
        <v>7</v>
      </c>
      <c r="S353" s="2">
        <v>0</v>
      </c>
      <c r="T353" s="3">
        <v>31</v>
      </c>
      <c r="U353" s="3">
        <v>13.89</v>
      </c>
      <c r="V353" s="3">
        <v>42.13</v>
      </c>
      <c r="W353" s="3">
        <v>3.05</v>
      </c>
      <c r="Y353" s="3">
        <v>64.45</v>
      </c>
      <c r="AA353" s="3">
        <v>4</v>
      </c>
      <c r="AB353" s="3">
        <v>118.7</v>
      </c>
      <c r="AC353" s="3">
        <v>20</v>
      </c>
      <c r="AD353" s="3">
        <v>0</v>
      </c>
      <c r="AE353" s="3">
        <v>148</v>
      </c>
      <c r="AG353" s="3">
        <v>2.19</v>
      </c>
      <c r="AR353" s="3" t="s">
        <v>65</v>
      </c>
      <c r="AS353" s="3" t="s">
        <v>86</v>
      </c>
      <c r="AT353" s="3">
        <v>43.5</v>
      </c>
      <c r="AU353" s="3" t="s">
        <v>86</v>
      </c>
      <c r="AW353" s="3" t="s">
        <v>406</v>
      </c>
    </row>
    <row r="354" spans="1:49" x14ac:dyDescent="0.15">
      <c r="A354" s="2">
        <v>353</v>
      </c>
      <c r="B354" s="2" t="s">
        <v>187</v>
      </c>
      <c r="C354" s="2" t="s">
        <v>132</v>
      </c>
      <c r="D354" s="2" t="s">
        <v>115</v>
      </c>
      <c r="E354" s="2" t="s">
        <v>39</v>
      </c>
      <c r="H354" s="2" t="s">
        <v>60</v>
      </c>
      <c r="I354" s="2" t="s">
        <v>25</v>
      </c>
      <c r="J354" s="2">
        <v>2009</v>
      </c>
      <c r="K354" s="2">
        <v>7</v>
      </c>
      <c r="N354" s="3">
        <v>2500</v>
      </c>
      <c r="O354" s="3">
        <v>9</v>
      </c>
      <c r="P354" s="2">
        <v>16</v>
      </c>
      <c r="Q354" s="2">
        <v>24</v>
      </c>
      <c r="R354" s="2">
        <v>8</v>
      </c>
      <c r="S354" s="2">
        <v>2</v>
      </c>
      <c r="T354" s="3">
        <v>57</v>
      </c>
      <c r="U354" s="3">
        <v>0.81</v>
      </c>
      <c r="V354" s="3">
        <v>28.63</v>
      </c>
      <c r="W354" s="3">
        <v>0.77</v>
      </c>
      <c r="X354" s="3">
        <v>1.55</v>
      </c>
      <c r="Y354" s="3">
        <v>31.86</v>
      </c>
      <c r="AA354" s="3">
        <v>2.7</v>
      </c>
      <c r="AB354" s="3">
        <v>294</v>
      </c>
      <c r="AC354" s="3">
        <v>10</v>
      </c>
      <c r="AD354" s="3">
        <v>2</v>
      </c>
      <c r="AE354" s="3">
        <v>309</v>
      </c>
      <c r="AG354" s="3">
        <v>2.52</v>
      </c>
      <c r="AR354" s="3" t="s">
        <v>65</v>
      </c>
      <c r="AS354" s="3" t="s">
        <v>86</v>
      </c>
      <c r="AT354" s="3">
        <v>43.5</v>
      </c>
      <c r="AU354" s="3" t="s">
        <v>86</v>
      </c>
      <c r="AW354" s="3" t="s">
        <v>406</v>
      </c>
    </row>
    <row r="355" spans="1:49" x14ac:dyDescent="0.15">
      <c r="A355" s="2">
        <v>354</v>
      </c>
      <c r="B355" s="2" t="s">
        <v>187</v>
      </c>
      <c r="C355" s="2" t="s">
        <v>132</v>
      </c>
      <c r="D355" s="2" t="s">
        <v>115</v>
      </c>
      <c r="E355" s="2" t="s">
        <v>39</v>
      </c>
      <c r="H355" s="2" t="s">
        <v>60</v>
      </c>
      <c r="I355" s="2" t="s">
        <v>25</v>
      </c>
      <c r="J355" s="2">
        <v>2009</v>
      </c>
      <c r="K355" s="2">
        <v>7</v>
      </c>
      <c r="N355" s="3">
        <v>2500</v>
      </c>
      <c r="O355" s="3">
        <v>9</v>
      </c>
      <c r="P355" s="2">
        <v>8</v>
      </c>
      <c r="Q355" s="2">
        <v>17</v>
      </c>
      <c r="R355" s="2">
        <v>5</v>
      </c>
      <c r="S355" s="2">
        <v>0</v>
      </c>
      <c r="T355" s="3">
        <v>33</v>
      </c>
      <c r="U355" s="3">
        <v>4.88</v>
      </c>
      <c r="V355" s="3">
        <v>156.21</v>
      </c>
      <c r="W355" s="3">
        <v>0.33</v>
      </c>
      <c r="Y355" s="3">
        <v>161.41</v>
      </c>
      <c r="AA355" s="3">
        <v>8.6999999999999993</v>
      </c>
      <c r="AB355" s="3">
        <v>328</v>
      </c>
      <c r="AC355" s="3">
        <v>1.3</v>
      </c>
      <c r="AD355" s="3">
        <v>0</v>
      </c>
      <c r="AE355" s="3">
        <v>338</v>
      </c>
      <c r="AG355" s="3">
        <v>2.23</v>
      </c>
      <c r="AR355" s="3" t="s">
        <v>65</v>
      </c>
      <c r="AS355" s="3" t="s">
        <v>86</v>
      </c>
      <c r="AT355" s="3">
        <v>43.5</v>
      </c>
      <c r="AU355" s="3" t="s">
        <v>86</v>
      </c>
      <c r="AW355" s="3" t="s">
        <v>406</v>
      </c>
    </row>
    <row r="356" spans="1:49" x14ac:dyDescent="0.15">
      <c r="A356" s="2">
        <v>355</v>
      </c>
      <c r="B356" s="2" t="s">
        <v>187</v>
      </c>
      <c r="C356" s="2" t="s">
        <v>132</v>
      </c>
      <c r="D356" s="2" t="s">
        <v>115</v>
      </c>
      <c r="E356" s="2" t="s">
        <v>39</v>
      </c>
      <c r="H356" s="2" t="s">
        <v>60</v>
      </c>
      <c r="I356" s="2" t="s">
        <v>25</v>
      </c>
      <c r="J356" s="2">
        <v>2009</v>
      </c>
      <c r="K356" s="2">
        <v>7</v>
      </c>
      <c r="N356" s="3">
        <v>2500</v>
      </c>
      <c r="O356" s="3">
        <v>9</v>
      </c>
      <c r="P356" s="2">
        <v>11</v>
      </c>
      <c r="Q356" s="2">
        <v>13</v>
      </c>
      <c r="R356" s="2">
        <v>4</v>
      </c>
      <c r="S356" s="2">
        <v>0</v>
      </c>
      <c r="T356" s="3">
        <v>29</v>
      </c>
      <c r="U356" s="3">
        <v>19.489999999999998</v>
      </c>
      <c r="V356" s="3">
        <v>21.75</v>
      </c>
      <c r="W356" s="3">
        <v>0.28999999999999998</v>
      </c>
      <c r="Y356" s="3">
        <v>41.53</v>
      </c>
      <c r="AA356" s="3">
        <v>36.700000000000003</v>
      </c>
      <c r="AB356" s="3">
        <v>104</v>
      </c>
      <c r="AC356" s="3">
        <v>7.3</v>
      </c>
      <c r="AD356" s="3">
        <v>0</v>
      </c>
      <c r="AE356" s="3">
        <v>148</v>
      </c>
      <c r="AG356" s="3">
        <v>1.28</v>
      </c>
      <c r="AR356" s="3" t="s">
        <v>65</v>
      </c>
      <c r="AS356" s="3" t="s">
        <v>86</v>
      </c>
      <c r="AT356" s="3">
        <v>43.5</v>
      </c>
      <c r="AU356" s="3" t="s">
        <v>86</v>
      </c>
      <c r="AW356" s="3" t="s">
        <v>406</v>
      </c>
    </row>
    <row r="357" spans="1:49" x14ac:dyDescent="0.15">
      <c r="A357" s="2">
        <v>356</v>
      </c>
      <c r="B357" s="2" t="s">
        <v>187</v>
      </c>
      <c r="C357" s="2" t="s">
        <v>132</v>
      </c>
      <c r="D357" s="2" t="s">
        <v>115</v>
      </c>
      <c r="E357" s="2" t="s">
        <v>39</v>
      </c>
      <c r="H357" s="2" t="s">
        <v>60</v>
      </c>
      <c r="I357" s="2" t="s">
        <v>25</v>
      </c>
      <c r="J357" s="2">
        <v>2009</v>
      </c>
      <c r="K357" s="2">
        <v>7</v>
      </c>
      <c r="N357" s="3">
        <v>2500</v>
      </c>
      <c r="O357" s="3">
        <v>9</v>
      </c>
      <c r="P357" s="2">
        <v>11</v>
      </c>
      <c r="Q357" s="2">
        <v>12</v>
      </c>
      <c r="R357" s="2">
        <v>8</v>
      </c>
      <c r="S357" s="2">
        <v>0</v>
      </c>
      <c r="T357" s="3">
        <v>36</v>
      </c>
      <c r="U357" s="3">
        <v>22.73</v>
      </c>
      <c r="V357" s="3">
        <v>238.89</v>
      </c>
      <c r="W357" s="3">
        <v>2.2400000000000002</v>
      </c>
      <c r="Y357" s="3">
        <v>271.39999999999998</v>
      </c>
      <c r="AA357" s="3">
        <v>56.7</v>
      </c>
      <c r="AB357" s="3">
        <v>171.3</v>
      </c>
      <c r="AC357" s="3">
        <v>24.7</v>
      </c>
      <c r="AD357" s="3">
        <v>0</v>
      </c>
      <c r="AE357" s="3">
        <v>252.7</v>
      </c>
      <c r="AG357" s="3">
        <v>2.46</v>
      </c>
      <c r="AR357" s="3" t="s">
        <v>65</v>
      </c>
      <c r="AS357" s="3" t="s">
        <v>86</v>
      </c>
      <c r="AT357" s="3">
        <v>43.5</v>
      </c>
      <c r="AU357" s="3" t="s">
        <v>86</v>
      </c>
      <c r="AW357" s="3" t="s">
        <v>406</v>
      </c>
    </row>
    <row r="358" spans="1:49" x14ac:dyDescent="0.15">
      <c r="A358" s="2">
        <v>357</v>
      </c>
      <c r="B358" s="2" t="s">
        <v>189</v>
      </c>
      <c r="C358" s="2" t="s">
        <v>190</v>
      </c>
      <c r="D358" s="2" t="s">
        <v>115</v>
      </c>
      <c r="E358" s="2" t="s">
        <v>191</v>
      </c>
      <c r="H358" s="2" t="s">
        <v>192</v>
      </c>
      <c r="I358" s="2" t="s">
        <v>193</v>
      </c>
      <c r="J358" s="2">
        <v>2011</v>
      </c>
      <c r="K358" s="2">
        <v>10</v>
      </c>
      <c r="N358" s="3">
        <v>625</v>
      </c>
      <c r="O358" s="3">
        <f>24*6</f>
        <v>144</v>
      </c>
      <c r="P358" s="2">
        <v>15</v>
      </c>
      <c r="Q358" s="2">
        <v>40</v>
      </c>
      <c r="R358" s="2">
        <v>6</v>
      </c>
      <c r="S358" s="2">
        <v>6</v>
      </c>
      <c r="T358" s="3">
        <v>96</v>
      </c>
      <c r="U358" s="3">
        <f>Y358*0.4</f>
        <v>717.6640000000001</v>
      </c>
      <c r="V358" s="3">
        <f>Y358*0.4</f>
        <v>717.6640000000001</v>
      </c>
      <c r="Y358" s="3">
        <v>1794.16</v>
      </c>
      <c r="Z358" s="3">
        <v>1148.08</v>
      </c>
      <c r="AA358" s="3">
        <f>679*0.4</f>
        <v>271.60000000000002</v>
      </c>
      <c r="AB358" s="3">
        <f>AE358*0.4</f>
        <v>271.60000000000002</v>
      </c>
      <c r="AE358" s="3">
        <v>679</v>
      </c>
      <c r="AF358" s="3">
        <v>497</v>
      </c>
      <c r="AR358" s="3" t="s">
        <v>194</v>
      </c>
      <c r="AS358" s="3" t="s">
        <v>195</v>
      </c>
      <c r="AT358" s="3">
        <v>43.5</v>
      </c>
      <c r="AU358" s="3" t="s">
        <v>86</v>
      </c>
      <c r="AV358" s="4" t="s">
        <v>414</v>
      </c>
      <c r="AW358" s="3" t="s">
        <v>406</v>
      </c>
    </row>
    <row r="359" spans="1:49" x14ac:dyDescent="0.15">
      <c r="A359" s="2">
        <v>358</v>
      </c>
      <c r="B359" s="2" t="s">
        <v>189</v>
      </c>
      <c r="C359" s="2" t="s">
        <v>190</v>
      </c>
      <c r="D359" s="2" t="s">
        <v>115</v>
      </c>
      <c r="E359" s="2" t="s">
        <v>191</v>
      </c>
      <c r="H359" s="2" t="s">
        <v>192</v>
      </c>
      <c r="I359" s="2" t="s">
        <v>193</v>
      </c>
      <c r="J359" s="2">
        <v>2012</v>
      </c>
      <c r="K359" s="2">
        <v>4</v>
      </c>
      <c r="N359" s="3">
        <v>625</v>
      </c>
      <c r="O359" s="3">
        <f>24*6</f>
        <v>144</v>
      </c>
      <c r="P359" s="2">
        <v>15</v>
      </c>
      <c r="Q359" s="2">
        <v>40</v>
      </c>
      <c r="R359" s="2">
        <v>6</v>
      </c>
      <c r="S359" s="2">
        <v>6</v>
      </c>
      <c r="T359" s="3">
        <v>96</v>
      </c>
      <c r="U359" s="3">
        <f>Y359*0.4</f>
        <v>717.6640000000001</v>
      </c>
      <c r="V359" s="3">
        <f>Y359*0.4</f>
        <v>717.6640000000001</v>
      </c>
      <c r="Y359" s="3">
        <v>1794.16</v>
      </c>
      <c r="Z359" s="3">
        <v>1148.08</v>
      </c>
      <c r="AA359" s="3">
        <f>679*0.4</f>
        <v>271.60000000000002</v>
      </c>
      <c r="AB359" s="3">
        <f>AE359*0.4</f>
        <v>271.60000000000002</v>
      </c>
      <c r="AE359" s="3">
        <v>679</v>
      </c>
      <c r="AF359" s="3">
        <v>497</v>
      </c>
      <c r="AR359" s="3" t="s">
        <v>194</v>
      </c>
      <c r="AS359" s="3" t="s">
        <v>195</v>
      </c>
      <c r="AT359" s="3">
        <v>43.5</v>
      </c>
      <c r="AU359" s="3" t="s">
        <v>86</v>
      </c>
      <c r="AV359" s="4" t="s">
        <v>414</v>
      </c>
      <c r="AW359" s="3" t="s">
        <v>406</v>
      </c>
    </row>
    <row r="360" spans="1:49" x14ac:dyDescent="0.15">
      <c r="A360" s="2">
        <v>359</v>
      </c>
      <c r="B360" s="2" t="s">
        <v>413</v>
      </c>
      <c r="C360" s="2" t="s">
        <v>157</v>
      </c>
      <c r="D360" s="2" t="s">
        <v>115</v>
      </c>
      <c r="E360" s="2" t="s">
        <v>197</v>
      </c>
      <c r="H360" s="2" t="s">
        <v>198</v>
      </c>
      <c r="I360" s="2" t="s">
        <v>193</v>
      </c>
      <c r="J360" s="2">
        <v>2009</v>
      </c>
      <c r="K360" s="2">
        <v>3</v>
      </c>
      <c r="N360" s="3">
        <v>625</v>
      </c>
      <c r="O360" s="3">
        <v>30</v>
      </c>
      <c r="P360" s="2">
        <v>19</v>
      </c>
      <c r="Q360" s="2">
        <v>45</v>
      </c>
      <c r="R360" s="2">
        <v>11</v>
      </c>
      <c r="S360" s="2">
        <v>6</v>
      </c>
      <c r="T360" s="3">
        <v>90</v>
      </c>
      <c r="U360" s="3">
        <v>712</v>
      </c>
      <c r="V360" s="3">
        <f>5307.06*0.8545</f>
        <v>4534.8827700000002</v>
      </c>
      <c r="W360" s="3">
        <v>16</v>
      </c>
      <c r="X360" s="3">
        <v>0.05</v>
      </c>
      <c r="Y360" s="3">
        <v>5307.06</v>
      </c>
      <c r="Z360" s="3">
        <f>STDEV(Y361:Y365)</f>
        <v>2375.0151416106796</v>
      </c>
      <c r="AA360" s="3">
        <v>278</v>
      </c>
      <c r="AB360" s="3">
        <v>1880.2</v>
      </c>
      <c r="AC360" s="3">
        <v>81</v>
      </c>
      <c r="AD360" s="3">
        <v>59.74</v>
      </c>
      <c r="AE360" s="3">
        <v>2323.1999999999998</v>
      </c>
      <c r="AF360" s="3">
        <f>STDEV(AE361:AE365)</f>
        <v>1615.0017058969315</v>
      </c>
      <c r="AG360" s="3">
        <v>2.052</v>
      </c>
      <c r="AH360" s="3">
        <f>STDEV(AG361:AG365)</f>
        <v>0.38667260052918184</v>
      </c>
      <c r="AI360" s="3">
        <v>0.59</v>
      </c>
      <c r="AJ360" s="3">
        <f>STDEV(AI361:AI365)</f>
        <v>6.3656892792532699E-2</v>
      </c>
      <c r="AK360" s="3">
        <v>0.57699999999999996</v>
      </c>
      <c r="AL360" s="3">
        <f>STDEV(AK361:AK365)</f>
        <v>5.2319212532300208E-2</v>
      </c>
      <c r="AM360" s="3">
        <v>2.4769999999999999</v>
      </c>
      <c r="AN360" s="3">
        <f>STDEV(AM361:AM365)</f>
        <v>0.46310830266796243</v>
      </c>
      <c r="AR360" s="3" t="s">
        <v>194</v>
      </c>
      <c r="AS360" s="3" t="s">
        <v>195</v>
      </c>
      <c r="AT360" s="3">
        <v>43.5</v>
      </c>
      <c r="AU360" s="3" t="s">
        <v>86</v>
      </c>
      <c r="AV360" s="3" t="s">
        <v>199</v>
      </c>
      <c r="AW360" s="3" t="s">
        <v>405</v>
      </c>
    </row>
    <row r="361" spans="1:49" x14ac:dyDescent="0.15">
      <c r="A361" s="2">
        <v>360</v>
      </c>
      <c r="B361" s="2" t="s">
        <v>413</v>
      </c>
      <c r="C361" s="2" t="s">
        <v>157</v>
      </c>
      <c r="D361" s="2" t="s">
        <v>115</v>
      </c>
      <c r="E361" s="2" t="s">
        <v>39</v>
      </c>
      <c r="H361" s="2" t="s">
        <v>60</v>
      </c>
      <c r="I361" s="2" t="s">
        <v>25</v>
      </c>
      <c r="J361" s="2">
        <v>2009</v>
      </c>
      <c r="K361" s="2">
        <v>3</v>
      </c>
      <c r="N361" s="3">
        <v>625</v>
      </c>
      <c r="O361" s="3">
        <v>6</v>
      </c>
      <c r="U361" s="3">
        <v>3010.14</v>
      </c>
      <c r="V361" s="3">
        <v>4469.33</v>
      </c>
      <c r="W361" s="3">
        <v>59.17</v>
      </c>
      <c r="X361" s="3">
        <v>0</v>
      </c>
      <c r="Y361" s="3">
        <f>SUM(U361:X361)</f>
        <v>7538.6399999999994</v>
      </c>
      <c r="AA361" s="3">
        <v>661.33</v>
      </c>
      <c r="AB361" s="3">
        <v>4469</v>
      </c>
      <c r="AC361" s="3">
        <v>32</v>
      </c>
      <c r="AE361" s="3">
        <f>SUM(AA361:AD361)</f>
        <v>5162.33</v>
      </c>
      <c r="AG361" s="3">
        <v>1.421</v>
      </c>
      <c r="AI361" s="3">
        <v>0.48399999999999999</v>
      </c>
      <c r="AK361" s="3">
        <v>0.497</v>
      </c>
      <c r="AM361" s="3">
        <v>1.96</v>
      </c>
      <c r="AR361" s="3" t="s">
        <v>65</v>
      </c>
      <c r="AS361" s="3" t="s">
        <v>86</v>
      </c>
      <c r="AT361" s="3">
        <v>43.5</v>
      </c>
      <c r="AU361" s="3" t="s">
        <v>86</v>
      </c>
      <c r="AV361" s="3" t="s">
        <v>199</v>
      </c>
      <c r="AW361" s="3" t="s">
        <v>406</v>
      </c>
    </row>
    <row r="362" spans="1:49" x14ac:dyDescent="0.15">
      <c r="A362" s="2">
        <v>361</v>
      </c>
      <c r="B362" s="2" t="s">
        <v>413</v>
      </c>
      <c r="C362" s="2" t="s">
        <v>157</v>
      </c>
      <c r="D362" s="2" t="s">
        <v>115</v>
      </c>
      <c r="E362" s="2" t="s">
        <v>39</v>
      </c>
      <c r="H362" s="2" t="s">
        <v>60</v>
      </c>
      <c r="I362" s="2" t="s">
        <v>25</v>
      </c>
      <c r="J362" s="2">
        <v>2009</v>
      </c>
      <c r="K362" s="2">
        <v>3</v>
      </c>
      <c r="N362" s="3">
        <v>625</v>
      </c>
      <c r="O362" s="3">
        <v>6</v>
      </c>
      <c r="U362" s="3">
        <v>79.09</v>
      </c>
      <c r="V362" s="3">
        <v>2539.9</v>
      </c>
      <c r="W362" s="3">
        <v>3.44</v>
      </c>
      <c r="X362" s="3">
        <v>0</v>
      </c>
      <c r="Y362" s="3">
        <f t="shared" ref="Y362:Y365" si="6">SUM(U362:X362)</f>
        <v>2622.4300000000003</v>
      </c>
      <c r="AA362" s="3">
        <v>106.67</v>
      </c>
      <c r="AB362" s="3">
        <v>1573</v>
      </c>
      <c r="AC362" s="3">
        <v>48</v>
      </c>
      <c r="AE362" s="3">
        <f t="shared" ref="AE362:AE365" si="7">SUM(AA362:AD362)</f>
        <v>1727.67</v>
      </c>
      <c r="AG362" s="3">
        <v>2.274</v>
      </c>
      <c r="AI362" s="3">
        <v>0.61199999999999999</v>
      </c>
      <c r="AK362" s="3">
        <v>0.61</v>
      </c>
      <c r="AM362" s="3">
        <v>2.7879999999999998</v>
      </c>
      <c r="AR362" s="3" t="s">
        <v>65</v>
      </c>
      <c r="AS362" s="3" t="s">
        <v>86</v>
      </c>
      <c r="AT362" s="3">
        <v>43.5</v>
      </c>
      <c r="AU362" s="3" t="s">
        <v>86</v>
      </c>
      <c r="AV362" s="3" t="s">
        <v>199</v>
      </c>
      <c r="AW362" s="3" t="s">
        <v>406</v>
      </c>
    </row>
    <row r="363" spans="1:49" x14ac:dyDescent="0.15">
      <c r="A363" s="2">
        <v>362</v>
      </c>
      <c r="B363" s="2" t="s">
        <v>413</v>
      </c>
      <c r="C363" s="2" t="s">
        <v>157</v>
      </c>
      <c r="D363" s="2" t="s">
        <v>115</v>
      </c>
      <c r="E363" s="2" t="s">
        <v>39</v>
      </c>
      <c r="H363" s="2" t="s">
        <v>60</v>
      </c>
      <c r="I363" s="2" t="s">
        <v>25</v>
      </c>
      <c r="J363" s="2">
        <v>2009</v>
      </c>
      <c r="K363" s="2">
        <v>3</v>
      </c>
      <c r="N363" s="3">
        <v>625</v>
      </c>
      <c r="O363" s="3">
        <v>6</v>
      </c>
      <c r="U363" s="3">
        <v>463.15</v>
      </c>
      <c r="V363" s="3">
        <v>1690.18</v>
      </c>
      <c r="W363" s="3">
        <v>9.25</v>
      </c>
      <c r="X363" s="3">
        <v>0.09</v>
      </c>
      <c r="Y363" s="3">
        <f t="shared" si="6"/>
        <v>2162.67</v>
      </c>
      <c r="AA363" s="3">
        <v>133.33000000000001</v>
      </c>
      <c r="AB363" s="3">
        <v>1082</v>
      </c>
      <c r="AC363" s="3">
        <v>170.67</v>
      </c>
      <c r="AD363" s="3">
        <v>5.33</v>
      </c>
      <c r="AE363" s="3">
        <f t="shared" si="7"/>
        <v>1391.33</v>
      </c>
      <c r="AG363" s="3">
        <v>2.4169999999999998</v>
      </c>
      <c r="AI363" s="3">
        <v>0.623</v>
      </c>
      <c r="AK363" s="3">
        <v>0.624</v>
      </c>
      <c r="AM363" s="3">
        <v>3.2229999999999999</v>
      </c>
      <c r="AR363" s="3" t="s">
        <v>65</v>
      </c>
      <c r="AS363" s="3" t="s">
        <v>86</v>
      </c>
      <c r="AT363" s="3">
        <v>43.5</v>
      </c>
      <c r="AU363" s="3" t="s">
        <v>86</v>
      </c>
      <c r="AV363" s="3" t="s">
        <v>199</v>
      </c>
      <c r="AW363" s="3" t="s">
        <v>406</v>
      </c>
    </row>
    <row r="364" spans="1:49" x14ac:dyDescent="0.15">
      <c r="A364" s="2">
        <v>363</v>
      </c>
      <c r="B364" s="2" t="s">
        <v>413</v>
      </c>
      <c r="C364" s="2" t="s">
        <v>157</v>
      </c>
      <c r="D364" s="2" t="s">
        <v>115</v>
      </c>
      <c r="E364" s="2" t="s">
        <v>39</v>
      </c>
      <c r="H364" s="2" t="s">
        <v>60</v>
      </c>
      <c r="I364" s="2" t="s">
        <v>25</v>
      </c>
      <c r="J364" s="2">
        <v>2009</v>
      </c>
      <c r="K364" s="2">
        <v>3</v>
      </c>
      <c r="N364" s="3">
        <v>625</v>
      </c>
      <c r="O364" s="3">
        <v>6</v>
      </c>
      <c r="U364" s="3">
        <v>2.87</v>
      </c>
      <c r="V364" s="3">
        <v>1690.04</v>
      </c>
      <c r="W364" s="3">
        <v>2.02</v>
      </c>
      <c r="X364" s="3">
        <v>0.1</v>
      </c>
      <c r="Y364" s="3">
        <f t="shared" si="6"/>
        <v>1695.0299999999997</v>
      </c>
      <c r="AA364" s="3">
        <v>160</v>
      </c>
      <c r="AB364" s="3">
        <v>1109</v>
      </c>
      <c r="AC364" s="3">
        <v>74.67</v>
      </c>
      <c r="AD364" s="3">
        <v>10.67</v>
      </c>
      <c r="AE364" s="3">
        <f t="shared" si="7"/>
        <v>1354.3400000000001</v>
      </c>
      <c r="AG364" s="3">
        <v>1.984</v>
      </c>
      <c r="AI364" s="3">
        <v>0.58399999999999996</v>
      </c>
      <c r="AK364" s="3">
        <v>0.55300000000000005</v>
      </c>
      <c r="AM364" s="3">
        <v>2.4729999999999999</v>
      </c>
      <c r="AR364" s="3" t="s">
        <v>65</v>
      </c>
      <c r="AS364" s="3" t="s">
        <v>86</v>
      </c>
      <c r="AT364" s="3">
        <v>43.5</v>
      </c>
      <c r="AU364" s="3" t="s">
        <v>86</v>
      </c>
      <c r="AV364" s="3" t="s">
        <v>199</v>
      </c>
      <c r="AW364" s="3" t="s">
        <v>406</v>
      </c>
    </row>
    <row r="365" spans="1:49" x14ac:dyDescent="0.15">
      <c r="A365" s="2">
        <v>364</v>
      </c>
      <c r="B365" s="2" t="s">
        <v>413</v>
      </c>
      <c r="C365" s="2" t="s">
        <v>157</v>
      </c>
      <c r="D365" s="2" t="s">
        <v>115</v>
      </c>
      <c r="E365" s="2" t="s">
        <v>39</v>
      </c>
      <c r="H365" s="2" t="s">
        <v>60</v>
      </c>
      <c r="I365" s="2" t="s">
        <v>25</v>
      </c>
      <c r="J365" s="2">
        <v>2009</v>
      </c>
      <c r="K365" s="2">
        <v>3</v>
      </c>
      <c r="N365" s="3">
        <v>625</v>
      </c>
      <c r="O365" s="3">
        <v>6</v>
      </c>
      <c r="U365" s="3">
        <v>6.55</v>
      </c>
      <c r="V365" s="3">
        <v>2750.59</v>
      </c>
      <c r="W365" s="3">
        <v>7.17</v>
      </c>
      <c r="X365" s="3">
        <v>2.34</v>
      </c>
      <c r="Y365" s="3">
        <f t="shared" si="6"/>
        <v>2766.6500000000005</v>
      </c>
      <c r="AA365" s="3">
        <v>330.6</v>
      </c>
      <c r="AB365" s="3">
        <v>1168</v>
      </c>
      <c r="AC365" s="3">
        <v>80</v>
      </c>
      <c r="AD365" s="3">
        <v>282.68</v>
      </c>
      <c r="AE365" s="3">
        <f t="shared" si="7"/>
        <v>1861.28</v>
      </c>
      <c r="AG365" s="3">
        <v>2.165</v>
      </c>
      <c r="AI365" s="3">
        <v>0.64800000000000002</v>
      </c>
      <c r="AK365" s="3">
        <v>0.60299999999999998</v>
      </c>
      <c r="AM365" s="3">
        <v>2.504</v>
      </c>
      <c r="AR365" s="3" t="s">
        <v>65</v>
      </c>
      <c r="AS365" s="3" t="s">
        <v>86</v>
      </c>
      <c r="AT365" s="3">
        <v>43.5</v>
      </c>
      <c r="AU365" s="3" t="s">
        <v>86</v>
      </c>
      <c r="AV365" s="3" t="s">
        <v>199</v>
      </c>
      <c r="AW365" s="3" t="s">
        <v>406</v>
      </c>
    </row>
    <row r="366" spans="1:49" x14ac:dyDescent="0.15">
      <c r="A366" s="2">
        <v>365</v>
      </c>
      <c r="B366" s="2" t="s">
        <v>196</v>
      </c>
      <c r="C366" s="2" t="s">
        <v>200</v>
      </c>
      <c r="D366" s="2" t="s">
        <v>115</v>
      </c>
      <c r="E366" s="2" t="s">
        <v>191</v>
      </c>
      <c r="H366" s="2" t="s">
        <v>192</v>
      </c>
      <c r="I366" s="2" t="s">
        <v>193</v>
      </c>
      <c r="J366" s="2">
        <v>2009</v>
      </c>
      <c r="K366" s="2">
        <v>3</v>
      </c>
      <c r="L366" s="2">
        <v>2010</v>
      </c>
      <c r="M366" s="2">
        <v>1</v>
      </c>
      <c r="N366" s="3">
        <v>625</v>
      </c>
      <c r="O366" s="3">
        <v>120</v>
      </c>
      <c r="P366" s="2">
        <v>54</v>
      </c>
      <c r="Q366" s="2">
        <v>125</v>
      </c>
      <c r="R366" s="2">
        <v>48</v>
      </c>
      <c r="S366" s="2">
        <v>9</v>
      </c>
      <c r="T366" s="3">
        <v>254</v>
      </c>
      <c r="U366" s="3">
        <v>453.69</v>
      </c>
      <c r="V366" s="3">
        <v>2649.68</v>
      </c>
      <c r="W366" s="3">
        <v>5.84</v>
      </c>
      <c r="X366" s="3">
        <v>1.49</v>
      </c>
      <c r="Y366" s="3">
        <v>3141.84</v>
      </c>
      <c r="AA366" s="3">
        <v>221.3</v>
      </c>
      <c r="AB366" s="3">
        <v>1113.9000000000001</v>
      </c>
      <c r="AC366" s="3">
        <v>43.7</v>
      </c>
      <c r="AD366" s="3">
        <v>20.5</v>
      </c>
      <c r="AE366" s="3">
        <v>1419.5</v>
      </c>
      <c r="AR366" s="3" t="s">
        <v>194</v>
      </c>
      <c r="AS366" s="3" t="s">
        <v>195</v>
      </c>
      <c r="AT366" s="3">
        <v>43.5</v>
      </c>
      <c r="AU366" s="3" t="s">
        <v>86</v>
      </c>
      <c r="AW366" s="3" t="s">
        <v>406</v>
      </c>
    </row>
    <row r="367" spans="1:49" x14ac:dyDescent="0.15">
      <c r="A367" s="2">
        <v>366</v>
      </c>
      <c r="B367" s="2" t="s">
        <v>196</v>
      </c>
      <c r="C367" s="2" t="s">
        <v>157</v>
      </c>
      <c r="D367" s="2" t="s">
        <v>115</v>
      </c>
      <c r="E367" s="2" t="s">
        <v>39</v>
      </c>
      <c r="H367" s="2" t="s">
        <v>60</v>
      </c>
      <c r="I367" s="2" t="s">
        <v>25</v>
      </c>
      <c r="J367" s="2">
        <v>2010</v>
      </c>
      <c r="K367" s="2">
        <v>1</v>
      </c>
      <c r="N367" s="3">
        <v>625</v>
      </c>
      <c r="O367" s="3">
        <v>120</v>
      </c>
      <c r="P367" s="2">
        <v>54</v>
      </c>
      <c r="Q367" s="2">
        <v>125</v>
      </c>
      <c r="R367" s="2">
        <v>48</v>
      </c>
      <c r="S367" s="2">
        <v>9</v>
      </c>
      <c r="T367" s="3">
        <v>254</v>
      </c>
      <c r="U367" s="3">
        <v>453.69</v>
      </c>
      <c r="V367" s="3">
        <v>2649.68</v>
      </c>
      <c r="W367" s="3">
        <v>5.84</v>
      </c>
      <c r="X367" s="3">
        <v>1.49</v>
      </c>
      <c r="Y367" s="3">
        <v>3141.84</v>
      </c>
      <c r="AA367" s="3">
        <v>221.3</v>
      </c>
      <c r="AB367" s="3">
        <v>1113.9000000000001</v>
      </c>
      <c r="AC367" s="3">
        <v>43.7</v>
      </c>
      <c r="AD367" s="3">
        <v>20.5</v>
      </c>
      <c r="AE367" s="3">
        <v>1419.5</v>
      </c>
      <c r="AR367" s="3" t="s">
        <v>65</v>
      </c>
      <c r="AS367" s="3" t="s">
        <v>86</v>
      </c>
      <c r="AT367" s="3">
        <v>43.5</v>
      </c>
      <c r="AU367" s="3" t="s">
        <v>86</v>
      </c>
      <c r="AW367" s="3" t="s">
        <v>234</v>
      </c>
    </row>
    <row r="368" spans="1:49" s="18" customFormat="1" x14ac:dyDescent="0.15">
      <c r="A368" s="2">
        <v>367</v>
      </c>
      <c r="B368" s="17" t="s">
        <v>201</v>
      </c>
      <c r="C368" s="17" t="s">
        <v>202</v>
      </c>
      <c r="D368" s="17" t="s">
        <v>408</v>
      </c>
      <c r="E368" s="17" t="s">
        <v>191</v>
      </c>
      <c r="F368" s="17"/>
      <c r="G368" s="17"/>
      <c r="H368" s="17" t="s">
        <v>203</v>
      </c>
      <c r="I368" s="17" t="s">
        <v>207</v>
      </c>
      <c r="J368" s="17">
        <v>2011</v>
      </c>
      <c r="K368" s="17">
        <v>3</v>
      </c>
      <c r="L368" s="17">
        <v>2011</v>
      </c>
      <c r="M368" s="17">
        <v>12</v>
      </c>
      <c r="N368" s="18">
        <v>625</v>
      </c>
      <c r="O368" s="18">
        <v>14</v>
      </c>
      <c r="P368" s="17">
        <v>11</v>
      </c>
      <c r="Q368" s="17">
        <v>17</v>
      </c>
      <c r="R368" s="17">
        <v>21</v>
      </c>
      <c r="S368" s="17"/>
      <c r="T368" s="18">
        <v>55</v>
      </c>
      <c r="Y368" s="18">
        <v>113.1</v>
      </c>
      <c r="AE368" s="18">
        <v>366.5</v>
      </c>
      <c r="AR368" s="18" t="s">
        <v>192</v>
      </c>
      <c r="AS368" s="18" t="s">
        <v>195</v>
      </c>
      <c r="AT368" s="18">
        <v>43.5</v>
      </c>
      <c r="AU368" s="18" t="s">
        <v>86</v>
      </c>
      <c r="AV368" s="18" t="s">
        <v>205</v>
      </c>
      <c r="AW368" s="18" t="s">
        <v>406</v>
      </c>
    </row>
    <row r="369" spans="1:49" x14ac:dyDescent="0.15">
      <c r="A369" s="2">
        <v>368</v>
      </c>
      <c r="B369" s="2" t="s">
        <v>206</v>
      </c>
      <c r="C369" s="2" t="s">
        <v>202</v>
      </c>
      <c r="D369" s="9" t="s">
        <v>408</v>
      </c>
      <c r="E369" s="2" t="s">
        <v>627</v>
      </c>
      <c r="H369" s="2" t="s">
        <v>192</v>
      </c>
      <c r="I369" s="2" t="s">
        <v>208</v>
      </c>
      <c r="J369" s="2">
        <v>2004</v>
      </c>
      <c r="N369" s="3">
        <v>500</v>
      </c>
      <c r="O369" s="3">
        <f>33*5</f>
        <v>165</v>
      </c>
      <c r="P369" s="2">
        <v>31</v>
      </c>
      <c r="Q369" s="2">
        <v>27</v>
      </c>
      <c r="R369" s="2">
        <v>26</v>
      </c>
      <c r="S369" s="2">
        <v>3</v>
      </c>
      <c r="T369" s="3">
        <v>91</v>
      </c>
      <c r="U369" s="3">
        <v>0.54265999999999992</v>
      </c>
      <c r="V369" s="3">
        <v>3.3064399999999994</v>
      </c>
      <c r="W369" s="3">
        <v>1.1673499999999999</v>
      </c>
      <c r="X369" s="3">
        <v>0.67516999999999994</v>
      </c>
      <c r="Y369" s="3">
        <v>6.31</v>
      </c>
      <c r="AA369" s="3">
        <v>132.59399999999999</v>
      </c>
      <c r="AB369" s="3">
        <v>715.28599999999994</v>
      </c>
      <c r="AC369" s="3">
        <v>48.707999999999998</v>
      </c>
      <c r="AD369" s="3">
        <v>0.90200000000000002</v>
      </c>
      <c r="AE369" s="3">
        <v>902</v>
      </c>
      <c r="AG369" s="3">
        <v>2.68</v>
      </c>
      <c r="AH369" s="3">
        <v>0.14000000000000001</v>
      </c>
      <c r="AI369" s="3">
        <v>0.75</v>
      </c>
      <c r="AJ369" s="3">
        <v>0.03</v>
      </c>
      <c r="AM369" s="3">
        <v>1.69</v>
      </c>
      <c r="AN369" s="3">
        <v>0.08</v>
      </c>
      <c r="AR369" s="3" t="s">
        <v>192</v>
      </c>
      <c r="AT369" s="3">
        <v>47.75</v>
      </c>
      <c r="AU369" s="3" t="s">
        <v>880</v>
      </c>
      <c r="AW369" s="3" t="s">
        <v>415</v>
      </c>
    </row>
    <row r="370" spans="1:49" x14ac:dyDescent="0.15">
      <c r="A370" s="2">
        <v>369</v>
      </c>
      <c r="B370" s="2" t="s">
        <v>206</v>
      </c>
      <c r="C370" s="2" t="s">
        <v>202</v>
      </c>
      <c r="D370" s="9" t="s">
        <v>408</v>
      </c>
      <c r="E370" s="2" t="s">
        <v>627</v>
      </c>
      <c r="H370" s="2" t="s">
        <v>192</v>
      </c>
      <c r="I370" s="2" t="s">
        <v>208</v>
      </c>
      <c r="J370" s="2">
        <v>2005</v>
      </c>
      <c r="N370" s="3">
        <v>500</v>
      </c>
      <c r="O370" s="3">
        <f t="shared" ref="O370:O374" si="8">33*5</f>
        <v>165</v>
      </c>
      <c r="P370" s="2">
        <v>21</v>
      </c>
      <c r="Q370" s="2">
        <v>19</v>
      </c>
      <c r="R370" s="2">
        <v>28</v>
      </c>
      <c r="S370" s="2">
        <v>2</v>
      </c>
      <c r="T370" s="3">
        <v>74</v>
      </c>
      <c r="U370" s="3">
        <v>1.1677199999999999</v>
      </c>
      <c r="V370" s="3">
        <v>2.48272</v>
      </c>
      <c r="W370" s="3">
        <v>0.55755999999999994</v>
      </c>
      <c r="X370" s="3">
        <v>0.81004000000000009</v>
      </c>
      <c r="Y370" s="3">
        <v>10.52</v>
      </c>
      <c r="AA370" s="3">
        <v>22.712999999999997</v>
      </c>
      <c r="AB370" s="3">
        <v>12.06</v>
      </c>
      <c r="AC370" s="3">
        <v>27.269000000000002</v>
      </c>
      <c r="AD370" s="3">
        <v>1.34</v>
      </c>
      <c r="AE370" s="3">
        <v>67</v>
      </c>
      <c r="AG370" s="3">
        <v>2.31</v>
      </c>
      <c r="AH370" s="3">
        <v>0.14000000000000001</v>
      </c>
      <c r="AI370" s="3">
        <v>0.88</v>
      </c>
      <c r="AJ370" s="3">
        <v>0.03</v>
      </c>
      <c r="AM370" s="3">
        <v>1.04</v>
      </c>
      <c r="AN370" s="3">
        <v>0.08</v>
      </c>
      <c r="AR370" s="3" t="s">
        <v>192</v>
      </c>
      <c r="AT370" s="3">
        <v>47.75</v>
      </c>
      <c r="AU370" s="3" t="s">
        <v>880</v>
      </c>
      <c r="AW370" s="3" t="s">
        <v>415</v>
      </c>
    </row>
    <row r="371" spans="1:49" x14ac:dyDescent="0.15">
      <c r="A371" s="2">
        <v>370</v>
      </c>
      <c r="B371" s="2" t="s">
        <v>206</v>
      </c>
      <c r="C371" s="2" t="s">
        <v>202</v>
      </c>
      <c r="D371" s="9" t="s">
        <v>408</v>
      </c>
      <c r="E371" s="2" t="s">
        <v>627</v>
      </c>
      <c r="H371" s="2" t="s">
        <v>192</v>
      </c>
      <c r="I371" s="2" t="s">
        <v>208</v>
      </c>
      <c r="J371" s="2">
        <v>2006</v>
      </c>
      <c r="N371" s="3">
        <v>500</v>
      </c>
      <c r="O371" s="3">
        <f t="shared" si="8"/>
        <v>165</v>
      </c>
      <c r="P371" s="2">
        <v>29</v>
      </c>
      <c r="Q371" s="2">
        <v>15</v>
      </c>
      <c r="R371" s="2">
        <v>26</v>
      </c>
      <c r="S371" s="2">
        <v>3</v>
      </c>
      <c r="T371" s="3">
        <v>77</v>
      </c>
      <c r="U371" s="3">
        <v>0.92496</v>
      </c>
      <c r="V371" s="3">
        <v>2.8124799999999999</v>
      </c>
      <c r="W371" s="3">
        <v>0.50383999999999995</v>
      </c>
      <c r="X371" s="3">
        <v>1.1881600000000001</v>
      </c>
      <c r="Y371" s="3">
        <v>7.52</v>
      </c>
      <c r="AA371" s="3">
        <v>30.951999999999998</v>
      </c>
      <c r="AB371" s="3">
        <v>8.76</v>
      </c>
      <c r="AC371" s="3">
        <v>24.82</v>
      </c>
      <c r="AD371" s="3">
        <v>0</v>
      </c>
      <c r="AE371" s="3">
        <v>73</v>
      </c>
      <c r="AG371" s="3">
        <v>2.5499999999999998</v>
      </c>
      <c r="AH371" s="3">
        <v>0.14000000000000001</v>
      </c>
      <c r="AI371" s="3">
        <v>0.85</v>
      </c>
      <c r="AJ371" s="3">
        <v>0.03</v>
      </c>
      <c r="AM371" s="3">
        <v>1.24</v>
      </c>
      <c r="AN371" s="3">
        <v>0.08</v>
      </c>
      <c r="AR371" s="3" t="s">
        <v>192</v>
      </c>
      <c r="AT371" s="3">
        <v>47.75</v>
      </c>
      <c r="AU371" s="3" t="s">
        <v>880</v>
      </c>
      <c r="AW371" s="3" t="s">
        <v>415</v>
      </c>
    </row>
    <row r="372" spans="1:49" x14ac:dyDescent="0.15">
      <c r="A372" s="2">
        <v>371</v>
      </c>
      <c r="B372" s="2" t="s">
        <v>206</v>
      </c>
      <c r="C372" s="2" t="s">
        <v>202</v>
      </c>
      <c r="D372" s="9" t="s">
        <v>408</v>
      </c>
      <c r="E372" s="2" t="s">
        <v>627</v>
      </c>
      <c r="H372" s="2" t="s">
        <v>192</v>
      </c>
      <c r="I372" s="2" t="s">
        <v>208</v>
      </c>
      <c r="J372" s="2">
        <v>2007</v>
      </c>
      <c r="N372" s="3">
        <v>500</v>
      </c>
      <c r="O372" s="3">
        <f t="shared" si="8"/>
        <v>165</v>
      </c>
      <c r="P372" s="2">
        <v>24</v>
      </c>
      <c r="Q372" s="2">
        <v>17</v>
      </c>
      <c r="R372" s="2">
        <v>28</v>
      </c>
      <c r="S372" s="2">
        <v>3</v>
      </c>
      <c r="T372" s="3">
        <v>74</v>
      </c>
      <c r="U372" s="3">
        <v>2.6281599999999998</v>
      </c>
      <c r="V372" s="3">
        <v>1.26824</v>
      </c>
      <c r="W372" s="3">
        <v>0.97027999999999992</v>
      </c>
      <c r="X372" s="3">
        <v>1.7190000000000001</v>
      </c>
      <c r="Y372" s="3">
        <v>7.64</v>
      </c>
      <c r="AA372" s="3">
        <v>13.948</v>
      </c>
      <c r="AB372" s="3">
        <v>10.384</v>
      </c>
      <c r="AC372" s="3">
        <v>15.531999999999998</v>
      </c>
      <c r="AD372" s="3">
        <v>0</v>
      </c>
      <c r="AE372" s="3">
        <v>44</v>
      </c>
      <c r="AG372" s="3">
        <v>2.25</v>
      </c>
      <c r="AH372" s="3">
        <v>0.14000000000000001</v>
      </c>
      <c r="AI372" s="3">
        <v>0.92</v>
      </c>
      <c r="AJ372" s="3">
        <v>0.03</v>
      </c>
      <c r="AM372" s="3">
        <v>1.01</v>
      </c>
      <c r="AN372" s="3">
        <v>0.08</v>
      </c>
      <c r="AR372" s="3" t="s">
        <v>192</v>
      </c>
      <c r="AT372" s="3">
        <v>47.75</v>
      </c>
      <c r="AU372" s="3" t="s">
        <v>880</v>
      </c>
      <c r="AW372" s="3" t="s">
        <v>415</v>
      </c>
    </row>
    <row r="373" spans="1:49" x14ac:dyDescent="0.15">
      <c r="A373" s="2">
        <v>372</v>
      </c>
      <c r="B373" s="2" t="s">
        <v>206</v>
      </c>
      <c r="C373" s="2" t="s">
        <v>202</v>
      </c>
      <c r="D373" s="9" t="s">
        <v>408</v>
      </c>
      <c r="E373" s="2" t="s">
        <v>627</v>
      </c>
      <c r="H373" s="2" t="s">
        <v>192</v>
      </c>
      <c r="I373" s="2" t="s">
        <v>208</v>
      </c>
      <c r="J373" s="2">
        <v>2008</v>
      </c>
      <c r="N373" s="3">
        <v>500</v>
      </c>
      <c r="O373" s="3">
        <f t="shared" si="8"/>
        <v>165</v>
      </c>
      <c r="P373" s="2">
        <v>21</v>
      </c>
      <c r="Q373" s="2">
        <v>8</v>
      </c>
      <c r="R373" s="2">
        <v>25</v>
      </c>
      <c r="S373" s="2">
        <v>3</v>
      </c>
      <c r="T373" s="3">
        <v>58</v>
      </c>
      <c r="U373" s="3">
        <v>2.97</v>
      </c>
      <c r="V373" s="3">
        <v>5.4912000000000001</v>
      </c>
      <c r="W373" s="3">
        <v>1.2671999999999999</v>
      </c>
      <c r="X373" s="3">
        <v>2.4287999999999998</v>
      </c>
      <c r="Y373" s="3">
        <v>13.2</v>
      </c>
      <c r="AA373" s="3">
        <v>43.655999999999992</v>
      </c>
      <c r="AB373" s="3">
        <v>7.14</v>
      </c>
      <c r="AC373" s="3">
        <v>44.37</v>
      </c>
      <c r="AD373" s="3">
        <v>0</v>
      </c>
      <c r="AE373" s="3">
        <v>102</v>
      </c>
      <c r="AG373" s="3">
        <v>2.25</v>
      </c>
      <c r="AH373" s="3">
        <v>0.16</v>
      </c>
      <c r="AI373" s="3">
        <v>0.89</v>
      </c>
      <c r="AJ373" s="3">
        <v>0.03</v>
      </c>
      <c r="AM373" s="3">
        <v>0.9</v>
      </c>
      <c r="AN373" s="3">
        <v>0.1</v>
      </c>
      <c r="AR373" s="3" t="s">
        <v>192</v>
      </c>
      <c r="AT373" s="3">
        <v>47.75</v>
      </c>
      <c r="AU373" s="3" t="s">
        <v>880</v>
      </c>
      <c r="AW373" s="3" t="s">
        <v>415</v>
      </c>
    </row>
    <row r="374" spans="1:49" x14ac:dyDescent="0.15">
      <c r="A374" s="2">
        <v>373</v>
      </c>
      <c r="B374" s="2" t="s">
        <v>206</v>
      </c>
      <c r="C374" s="2" t="s">
        <v>202</v>
      </c>
      <c r="D374" s="9" t="s">
        <v>408</v>
      </c>
      <c r="E374" s="2" t="s">
        <v>627</v>
      </c>
      <c r="H374" s="2" t="s">
        <v>192</v>
      </c>
      <c r="I374" s="2" t="s">
        <v>208</v>
      </c>
      <c r="J374" s="2">
        <v>2009</v>
      </c>
      <c r="N374" s="3">
        <v>500</v>
      </c>
      <c r="O374" s="3">
        <f t="shared" si="8"/>
        <v>165</v>
      </c>
      <c r="P374" s="2">
        <v>25</v>
      </c>
      <c r="Q374" s="2">
        <v>15</v>
      </c>
      <c r="R374" s="2">
        <v>28</v>
      </c>
      <c r="S374" s="2">
        <v>2</v>
      </c>
      <c r="T374" s="3">
        <v>73</v>
      </c>
      <c r="U374" s="3">
        <v>0.93990000000000007</v>
      </c>
      <c r="V374" s="3">
        <v>1.1061900000000002</v>
      </c>
      <c r="W374" s="3">
        <v>9.3990000000000004E-2</v>
      </c>
      <c r="X374" s="3">
        <v>2.1762300000000003</v>
      </c>
      <c r="Y374" s="3">
        <v>7.23</v>
      </c>
      <c r="AA374" s="3">
        <v>280.10500000000002</v>
      </c>
      <c r="AB374" s="3">
        <v>50.455999999999996</v>
      </c>
      <c r="AC374" s="3">
        <v>2.968</v>
      </c>
      <c r="AD374" s="3">
        <v>0</v>
      </c>
      <c r="AE374" s="3">
        <v>371</v>
      </c>
      <c r="AG374" s="3">
        <v>2.04</v>
      </c>
      <c r="AH374" s="3">
        <v>0.14000000000000001</v>
      </c>
      <c r="AI374" s="3">
        <v>0.78</v>
      </c>
      <c r="AJ374" s="3">
        <v>0.03</v>
      </c>
      <c r="AM374" s="3">
        <v>0.92</v>
      </c>
      <c r="AN374" s="3">
        <v>0.08</v>
      </c>
      <c r="AR374" s="3" t="s">
        <v>192</v>
      </c>
      <c r="AT374" s="3">
        <v>47.75</v>
      </c>
      <c r="AU374" s="3" t="s">
        <v>880</v>
      </c>
      <c r="AW374" s="3" t="s">
        <v>415</v>
      </c>
    </row>
    <row r="375" spans="1:49" x14ac:dyDescent="0.15">
      <c r="A375" s="2">
        <v>374</v>
      </c>
      <c r="B375" s="2" t="s">
        <v>209</v>
      </c>
      <c r="C375" s="2" t="s">
        <v>210</v>
      </c>
      <c r="D375" s="2" t="s">
        <v>210</v>
      </c>
      <c r="E375" s="2" t="s">
        <v>191</v>
      </c>
      <c r="H375" s="2" t="s">
        <v>192</v>
      </c>
      <c r="I375" s="2" t="s">
        <v>193</v>
      </c>
      <c r="J375" s="2">
        <v>2002</v>
      </c>
      <c r="K375" s="2">
        <v>9</v>
      </c>
      <c r="N375" s="3">
        <v>1000</v>
      </c>
      <c r="O375" s="3">
        <v>40</v>
      </c>
      <c r="P375" s="2">
        <v>30</v>
      </c>
      <c r="Q375" s="2">
        <v>28</v>
      </c>
      <c r="R375" s="2">
        <v>60</v>
      </c>
      <c r="S375" s="2">
        <v>25</v>
      </c>
      <c r="T375" s="3">
        <v>154</v>
      </c>
      <c r="Y375" s="3">
        <v>27.66</v>
      </c>
      <c r="AE375" s="3">
        <v>231.5</v>
      </c>
      <c r="AR375" s="3" t="s">
        <v>194</v>
      </c>
      <c r="AT375" s="3">
        <v>47.75</v>
      </c>
      <c r="AU375" s="3" t="s">
        <v>880</v>
      </c>
      <c r="AW375" s="3" t="s">
        <v>405</v>
      </c>
    </row>
    <row r="376" spans="1:49" x14ac:dyDescent="0.15">
      <c r="A376" s="2">
        <v>375</v>
      </c>
      <c r="B376" s="2" t="s">
        <v>209</v>
      </c>
      <c r="C376" s="2" t="s">
        <v>210</v>
      </c>
      <c r="D376" s="2" t="s">
        <v>210</v>
      </c>
      <c r="E376" s="2" t="s">
        <v>191</v>
      </c>
      <c r="H376" s="2" t="s">
        <v>192</v>
      </c>
      <c r="I376" s="2" t="s">
        <v>193</v>
      </c>
      <c r="J376" s="2">
        <v>2001</v>
      </c>
      <c r="N376" s="3">
        <v>1000</v>
      </c>
      <c r="O376" s="3">
        <v>40</v>
      </c>
      <c r="Y376" s="3">
        <v>28.14</v>
      </c>
      <c r="AR376" s="3" t="s">
        <v>194</v>
      </c>
      <c r="AT376" s="3">
        <v>47.75</v>
      </c>
      <c r="AU376" s="3" t="s">
        <v>880</v>
      </c>
      <c r="AW376" s="3" t="s">
        <v>405</v>
      </c>
    </row>
    <row r="377" spans="1:49" x14ac:dyDescent="0.15">
      <c r="A377" s="2">
        <v>376</v>
      </c>
      <c r="B377" s="2" t="s">
        <v>209</v>
      </c>
      <c r="C377" s="2" t="s">
        <v>210</v>
      </c>
      <c r="D377" s="2" t="s">
        <v>210</v>
      </c>
      <c r="E377" s="2" t="s">
        <v>191</v>
      </c>
      <c r="H377" s="2" t="s">
        <v>192</v>
      </c>
      <c r="I377" s="2" t="s">
        <v>193</v>
      </c>
      <c r="J377" s="2">
        <v>2000</v>
      </c>
      <c r="N377" s="3">
        <v>1000</v>
      </c>
      <c r="O377" s="3">
        <v>40</v>
      </c>
      <c r="Y377" s="3">
        <v>25.65</v>
      </c>
      <c r="AE377" s="3">
        <v>213.08</v>
      </c>
      <c r="AR377" s="3" t="s">
        <v>194</v>
      </c>
      <c r="AT377" s="3">
        <v>47.75</v>
      </c>
      <c r="AU377" s="3" t="s">
        <v>880</v>
      </c>
      <c r="AW377" s="3" t="s">
        <v>405</v>
      </c>
    </row>
    <row r="378" spans="1:49" x14ac:dyDescent="0.15">
      <c r="A378" s="2">
        <v>377</v>
      </c>
      <c r="B378" s="2" t="s">
        <v>209</v>
      </c>
      <c r="C378" s="2" t="s">
        <v>210</v>
      </c>
      <c r="D378" s="2" t="s">
        <v>210</v>
      </c>
      <c r="E378" s="2" t="s">
        <v>191</v>
      </c>
      <c r="H378" s="2" t="s">
        <v>192</v>
      </c>
      <c r="I378" s="2" t="s">
        <v>193</v>
      </c>
      <c r="J378" s="2">
        <v>1999</v>
      </c>
      <c r="N378" s="3">
        <v>1000</v>
      </c>
      <c r="O378" s="3">
        <v>40</v>
      </c>
      <c r="Y378" s="3">
        <v>14.04</v>
      </c>
      <c r="AR378" s="3" t="s">
        <v>194</v>
      </c>
      <c r="AT378" s="3">
        <v>47.75</v>
      </c>
      <c r="AU378" s="3" t="s">
        <v>880</v>
      </c>
      <c r="AW378" s="3" t="s">
        <v>405</v>
      </c>
    </row>
    <row r="379" spans="1:49" s="6" customFormat="1" x14ac:dyDescent="0.15">
      <c r="A379" s="2">
        <v>378</v>
      </c>
      <c r="B379" s="5" t="s">
        <v>212</v>
      </c>
      <c r="C379" s="5" t="s">
        <v>213</v>
      </c>
      <c r="D379" s="5" t="s">
        <v>213</v>
      </c>
      <c r="E379" s="5" t="s">
        <v>191</v>
      </c>
      <c r="F379" s="5"/>
      <c r="G379" s="5"/>
      <c r="H379" s="5" t="s">
        <v>192</v>
      </c>
      <c r="I379" s="5" t="s">
        <v>204</v>
      </c>
      <c r="J379" s="5">
        <v>1998</v>
      </c>
      <c r="K379" s="5">
        <v>4</v>
      </c>
      <c r="L379" s="5">
        <v>2002</v>
      </c>
      <c r="M379" s="5">
        <v>11</v>
      </c>
      <c r="N379" s="6">
        <v>1000</v>
      </c>
      <c r="O379" s="6">
        <v>20</v>
      </c>
      <c r="P379" s="5"/>
      <c r="Q379" s="5"/>
      <c r="R379" s="5"/>
      <c r="S379" s="5"/>
      <c r="T379" s="6">
        <v>22</v>
      </c>
      <c r="Y379" s="6">
        <v>29.5</v>
      </c>
      <c r="AE379" s="6">
        <v>323</v>
      </c>
      <c r="AR379" s="6" t="s">
        <v>194</v>
      </c>
      <c r="AS379" s="7" t="s">
        <v>214</v>
      </c>
      <c r="AT379" s="3">
        <v>47.75</v>
      </c>
      <c r="AU379" s="3" t="s">
        <v>880</v>
      </c>
      <c r="AV379" s="6" t="s">
        <v>215</v>
      </c>
      <c r="AW379" s="6" t="s">
        <v>416</v>
      </c>
    </row>
    <row r="380" spans="1:49" s="6" customFormat="1" x14ac:dyDescent="0.15">
      <c r="A380" s="2">
        <v>379</v>
      </c>
      <c r="B380" s="5" t="s">
        <v>212</v>
      </c>
      <c r="C380" s="5" t="s">
        <v>213</v>
      </c>
      <c r="D380" s="5" t="s">
        <v>213</v>
      </c>
      <c r="E380" s="5" t="s">
        <v>191</v>
      </c>
      <c r="F380" s="5"/>
      <c r="G380" s="5"/>
      <c r="H380" s="5" t="s">
        <v>192</v>
      </c>
      <c r="I380" s="5" t="s">
        <v>204</v>
      </c>
      <c r="J380" s="5">
        <v>1998</v>
      </c>
      <c r="K380" s="5">
        <v>7</v>
      </c>
      <c r="L380" s="5"/>
      <c r="M380" s="5"/>
      <c r="N380" s="6">
        <v>1000</v>
      </c>
      <c r="O380" s="6">
        <v>20</v>
      </c>
      <c r="P380" s="5"/>
      <c r="Q380" s="5"/>
      <c r="R380" s="5"/>
      <c r="S380" s="5"/>
      <c r="T380" s="6">
        <v>23</v>
      </c>
      <c r="Y380" s="6">
        <v>33.5</v>
      </c>
      <c r="AE380" s="6">
        <v>86</v>
      </c>
      <c r="AR380" s="6" t="s">
        <v>194</v>
      </c>
      <c r="AS380" s="7" t="s">
        <v>214</v>
      </c>
      <c r="AT380" s="3">
        <v>47.75</v>
      </c>
      <c r="AU380" s="3" t="s">
        <v>880</v>
      </c>
      <c r="AV380" s="6" t="s">
        <v>215</v>
      </c>
      <c r="AW380" s="6" t="s">
        <v>416</v>
      </c>
    </row>
    <row r="381" spans="1:49" s="6" customFormat="1" x14ac:dyDescent="0.15">
      <c r="A381" s="2">
        <v>380</v>
      </c>
      <c r="B381" s="5" t="s">
        <v>212</v>
      </c>
      <c r="C381" s="5" t="s">
        <v>213</v>
      </c>
      <c r="D381" s="5" t="s">
        <v>213</v>
      </c>
      <c r="E381" s="5" t="s">
        <v>191</v>
      </c>
      <c r="F381" s="5"/>
      <c r="G381" s="5"/>
      <c r="H381" s="5" t="s">
        <v>192</v>
      </c>
      <c r="I381" s="5" t="s">
        <v>204</v>
      </c>
      <c r="J381" s="5">
        <v>1998</v>
      </c>
      <c r="K381" s="5">
        <v>10</v>
      </c>
      <c r="L381" s="5"/>
      <c r="M381" s="5"/>
      <c r="N381" s="6">
        <v>1000</v>
      </c>
      <c r="O381" s="6">
        <v>20</v>
      </c>
      <c r="P381" s="5"/>
      <c r="Q381" s="5"/>
      <c r="R381" s="5"/>
      <c r="S381" s="5"/>
      <c r="T381" s="6">
        <v>12</v>
      </c>
      <c r="Y381" s="6">
        <v>252.7</v>
      </c>
      <c r="AE381" s="6">
        <v>90</v>
      </c>
      <c r="AR381" s="6" t="s">
        <v>194</v>
      </c>
      <c r="AS381" s="7" t="s">
        <v>214</v>
      </c>
      <c r="AT381" s="3">
        <v>47.75</v>
      </c>
      <c r="AU381" s="3" t="s">
        <v>880</v>
      </c>
      <c r="AV381" s="6" t="s">
        <v>215</v>
      </c>
      <c r="AW381" s="6" t="s">
        <v>416</v>
      </c>
    </row>
    <row r="382" spans="1:49" s="6" customFormat="1" x14ac:dyDescent="0.15">
      <c r="A382" s="2">
        <v>381</v>
      </c>
      <c r="B382" s="5" t="s">
        <v>212</v>
      </c>
      <c r="C382" s="5" t="s">
        <v>213</v>
      </c>
      <c r="D382" s="5" t="s">
        <v>213</v>
      </c>
      <c r="E382" s="5" t="s">
        <v>191</v>
      </c>
      <c r="F382" s="5"/>
      <c r="G382" s="5"/>
      <c r="H382" s="5" t="s">
        <v>192</v>
      </c>
      <c r="I382" s="5" t="s">
        <v>204</v>
      </c>
      <c r="J382" s="5">
        <v>1998</v>
      </c>
      <c r="K382" s="5">
        <v>1</v>
      </c>
      <c r="L382" s="5"/>
      <c r="M382" s="5"/>
      <c r="N382" s="6">
        <v>1000</v>
      </c>
      <c r="O382" s="6">
        <v>20</v>
      </c>
      <c r="P382" s="5"/>
      <c r="Q382" s="5"/>
      <c r="R382" s="5"/>
      <c r="S382" s="5"/>
      <c r="T382" s="6">
        <v>18</v>
      </c>
      <c r="Y382" s="6">
        <v>161.4</v>
      </c>
      <c r="AE382" s="6">
        <v>138</v>
      </c>
      <c r="AR382" s="6" t="s">
        <v>194</v>
      </c>
      <c r="AS382" s="7" t="s">
        <v>214</v>
      </c>
      <c r="AT382" s="3">
        <v>47.75</v>
      </c>
      <c r="AU382" s="3" t="s">
        <v>880</v>
      </c>
      <c r="AV382" s="6" t="s">
        <v>215</v>
      </c>
      <c r="AW382" s="6" t="s">
        <v>416</v>
      </c>
    </row>
    <row r="383" spans="1:49" s="6" customFormat="1" x14ac:dyDescent="0.15">
      <c r="A383" s="2">
        <v>382</v>
      </c>
      <c r="B383" s="5" t="s">
        <v>212</v>
      </c>
      <c r="C383" s="5" t="s">
        <v>213</v>
      </c>
      <c r="D383" s="5" t="s">
        <v>213</v>
      </c>
      <c r="E383" s="5" t="s">
        <v>191</v>
      </c>
      <c r="F383" s="5"/>
      <c r="G383" s="5"/>
      <c r="H383" s="5" t="s">
        <v>192</v>
      </c>
      <c r="I383" s="5" t="s">
        <v>204</v>
      </c>
      <c r="J383" s="5">
        <v>1999</v>
      </c>
      <c r="K383" s="5">
        <v>4</v>
      </c>
      <c r="L383" s="5"/>
      <c r="M383" s="5"/>
      <c r="N383" s="6">
        <v>1000</v>
      </c>
      <c r="O383" s="6">
        <v>20</v>
      </c>
      <c r="P383" s="5"/>
      <c r="Q383" s="5"/>
      <c r="R383" s="5"/>
      <c r="S383" s="5"/>
      <c r="T383" s="6">
        <v>10</v>
      </c>
      <c r="Y383" s="6">
        <v>39.299999999999997</v>
      </c>
      <c r="AE383" s="6">
        <v>115.5</v>
      </c>
      <c r="AR383" s="6" t="s">
        <v>194</v>
      </c>
      <c r="AS383" s="7" t="s">
        <v>214</v>
      </c>
      <c r="AT383" s="3">
        <v>47.75</v>
      </c>
      <c r="AU383" s="3" t="s">
        <v>880</v>
      </c>
      <c r="AV383" s="6" t="s">
        <v>215</v>
      </c>
      <c r="AW383" s="6" t="s">
        <v>416</v>
      </c>
    </row>
    <row r="384" spans="1:49" s="6" customFormat="1" x14ac:dyDescent="0.15">
      <c r="A384" s="2">
        <v>383</v>
      </c>
      <c r="B384" s="5" t="s">
        <v>212</v>
      </c>
      <c r="C384" s="5" t="s">
        <v>213</v>
      </c>
      <c r="D384" s="5" t="s">
        <v>213</v>
      </c>
      <c r="E384" s="5" t="s">
        <v>191</v>
      </c>
      <c r="F384" s="5"/>
      <c r="G384" s="5"/>
      <c r="H384" s="5" t="s">
        <v>192</v>
      </c>
      <c r="I384" s="5" t="s">
        <v>204</v>
      </c>
      <c r="J384" s="5">
        <v>1999</v>
      </c>
      <c r="K384" s="5">
        <v>7</v>
      </c>
      <c r="L384" s="5"/>
      <c r="M384" s="5"/>
      <c r="N384" s="6">
        <v>1000</v>
      </c>
      <c r="O384" s="6">
        <v>20</v>
      </c>
      <c r="P384" s="5"/>
      <c r="Q384" s="5"/>
      <c r="R384" s="5"/>
      <c r="S384" s="5"/>
      <c r="T384" s="6">
        <v>11</v>
      </c>
      <c r="Y384" s="6">
        <v>84.8</v>
      </c>
      <c r="AE384" s="6">
        <v>31.5</v>
      </c>
      <c r="AR384" s="6" t="s">
        <v>194</v>
      </c>
      <c r="AS384" s="7" t="s">
        <v>214</v>
      </c>
      <c r="AT384" s="3">
        <v>47.75</v>
      </c>
      <c r="AU384" s="3" t="s">
        <v>880</v>
      </c>
      <c r="AV384" s="6" t="s">
        <v>215</v>
      </c>
      <c r="AW384" s="6" t="s">
        <v>416</v>
      </c>
    </row>
    <row r="385" spans="1:49" s="6" customFormat="1" x14ac:dyDescent="0.15">
      <c r="A385" s="2">
        <v>384</v>
      </c>
      <c r="B385" s="5" t="s">
        <v>212</v>
      </c>
      <c r="C385" s="5" t="s">
        <v>213</v>
      </c>
      <c r="D385" s="5" t="s">
        <v>213</v>
      </c>
      <c r="E385" s="5" t="s">
        <v>191</v>
      </c>
      <c r="F385" s="5"/>
      <c r="G385" s="5"/>
      <c r="H385" s="5" t="s">
        <v>192</v>
      </c>
      <c r="I385" s="5" t="s">
        <v>204</v>
      </c>
      <c r="J385" s="5">
        <v>1999</v>
      </c>
      <c r="K385" s="5">
        <v>10</v>
      </c>
      <c r="L385" s="5"/>
      <c r="M385" s="5"/>
      <c r="N385" s="6">
        <v>1000</v>
      </c>
      <c r="O385" s="6">
        <v>20</v>
      </c>
      <c r="P385" s="5"/>
      <c r="Q385" s="5"/>
      <c r="R385" s="5"/>
      <c r="S385" s="5"/>
      <c r="T385" s="6">
        <v>11</v>
      </c>
      <c r="Y385" s="6">
        <v>203.2</v>
      </c>
      <c r="AE385" s="6">
        <v>88.7</v>
      </c>
      <c r="AR385" s="6" t="s">
        <v>194</v>
      </c>
      <c r="AS385" s="7" t="s">
        <v>214</v>
      </c>
      <c r="AT385" s="3">
        <v>47.75</v>
      </c>
      <c r="AU385" s="3" t="s">
        <v>880</v>
      </c>
      <c r="AV385" s="6" t="s">
        <v>215</v>
      </c>
      <c r="AW385" s="6" t="s">
        <v>416</v>
      </c>
    </row>
    <row r="386" spans="1:49" s="6" customFormat="1" x14ac:dyDescent="0.15">
      <c r="A386" s="2">
        <v>385</v>
      </c>
      <c r="B386" s="5" t="s">
        <v>212</v>
      </c>
      <c r="C386" s="5" t="s">
        <v>213</v>
      </c>
      <c r="D386" s="5" t="s">
        <v>213</v>
      </c>
      <c r="E386" s="5" t="s">
        <v>191</v>
      </c>
      <c r="F386" s="5"/>
      <c r="G386" s="5"/>
      <c r="H386" s="5" t="s">
        <v>192</v>
      </c>
      <c r="I386" s="5" t="s">
        <v>204</v>
      </c>
      <c r="J386" s="5">
        <v>1999</v>
      </c>
      <c r="K386" s="5">
        <v>1</v>
      </c>
      <c r="L386" s="5"/>
      <c r="M386" s="5"/>
      <c r="N386" s="6">
        <v>1000</v>
      </c>
      <c r="O386" s="6">
        <v>20</v>
      </c>
      <c r="P386" s="5"/>
      <c r="Q386" s="5"/>
      <c r="R386" s="5"/>
      <c r="S386" s="5"/>
      <c r="T386" s="6">
        <v>9</v>
      </c>
      <c r="Y386" s="6">
        <v>7.2</v>
      </c>
      <c r="AE386" s="6">
        <v>13.9</v>
      </c>
      <c r="AR386" s="6" t="s">
        <v>194</v>
      </c>
      <c r="AS386" s="7" t="s">
        <v>214</v>
      </c>
      <c r="AT386" s="3">
        <v>47.75</v>
      </c>
      <c r="AU386" s="3" t="s">
        <v>880</v>
      </c>
      <c r="AV386" s="6" t="s">
        <v>215</v>
      </c>
      <c r="AW386" s="6" t="s">
        <v>416</v>
      </c>
    </row>
    <row r="387" spans="1:49" s="6" customFormat="1" x14ac:dyDescent="0.15">
      <c r="A387" s="2">
        <v>386</v>
      </c>
      <c r="B387" s="5" t="s">
        <v>212</v>
      </c>
      <c r="C387" s="5" t="s">
        <v>213</v>
      </c>
      <c r="D387" s="5" t="s">
        <v>213</v>
      </c>
      <c r="E387" s="5" t="s">
        <v>191</v>
      </c>
      <c r="F387" s="5"/>
      <c r="G387" s="5"/>
      <c r="H387" s="5" t="s">
        <v>192</v>
      </c>
      <c r="I387" s="5" t="s">
        <v>204</v>
      </c>
      <c r="J387" s="5">
        <v>2000</v>
      </c>
      <c r="K387" s="5">
        <v>4</v>
      </c>
      <c r="L387" s="5"/>
      <c r="M387" s="5"/>
      <c r="N387" s="6">
        <v>1000</v>
      </c>
      <c r="O387" s="6">
        <v>20</v>
      </c>
      <c r="P387" s="5"/>
      <c r="Q387" s="5"/>
      <c r="R387" s="5"/>
      <c r="S387" s="5"/>
      <c r="T387" s="6">
        <v>21</v>
      </c>
      <c r="Y387" s="6">
        <v>17.3</v>
      </c>
      <c r="AE387" s="6">
        <v>72</v>
      </c>
      <c r="AR387" s="6" t="s">
        <v>194</v>
      </c>
      <c r="AS387" s="7" t="s">
        <v>214</v>
      </c>
      <c r="AT387" s="3">
        <v>47.75</v>
      </c>
      <c r="AU387" s="3" t="s">
        <v>880</v>
      </c>
      <c r="AV387" s="6" t="s">
        <v>215</v>
      </c>
      <c r="AW387" s="6" t="s">
        <v>416</v>
      </c>
    </row>
    <row r="388" spans="1:49" s="6" customFormat="1" x14ac:dyDescent="0.15">
      <c r="A388" s="2">
        <v>387</v>
      </c>
      <c r="B388" s="5" t="s">
        <v>212</v>
      </c>
      <c r="C388" s="5" t="s">
        <v>213</v>
      </c>
      <c r="D388" s="5" t="s">
        <v>213</v>
      </c>
      <c r="E388" s="5" t="s">
        <v>191</v>
      </c>
      <c r="F388" s="5"/>
      <c r="G388" s="5"/>
      <c r="H388" s="5" t="s">
        <v>192</v>
      </c>
      <c r="I388" s="5" t="s">
        <v>204</v>
      </c>
      <c r="J388" s="5">
        <v>2000</v>
      </c>
      <c r="K388" s="5">
        <v>7</v>
      </c>
      <c r="L388" s="5"/>
      <c r="M388" s="5"/>
      <c r="N388" s="6">
        <v>1000</v>
      </c>
      <c r="O388" s="6">
        <v>20</v>
      </c>
      <c r="P388" s="5"/>
      <c r="Q388" s="5"/>
      <c r="R388" s="5"/>
      <c r="S388" s="5"/>
      <c r="T388" s="6">
        <v>14</v>
      </c>
      <c r="Y388" s="6">
        <v>63</v>
      </c>
      <c r="AE388" s="6">
        <v>63.2</v>
      </c>
      <c r="AR388" s="6" t="s">
        <v>194</v>
      </c>
      <c r="AS388" s="7" t="s">
        <v>214</v>
      </c>
      <c r="AT388" s="3">
        <v>47.75</v>
      </c>
      <c r="AU388" s="3" t="s">
        <v>880</v>
      </c>
      <c r="AV388" s="6" t="s">
        <v>215</v>
      </c>
      <c r="AW388" s="6" t="s">
        <v>416</v>
      </c>
    </row>
    <row r="389" spans="1:49" s="6" customFormat="1" x14ac:dyDescent="0.15">
      <c r="A389" s="2">
        <v>388</v>
      </c>
      <c r="B389" s="5" t="s">
        <v>212</v>
      </c>
      <c r="C389" s="5" t="s">
        <v>213</v>
      </c>
      <c r="D389" s="5" t="s">
        <v>213</v>
      </c>
      <c r="E389" s="5" t="s">
        <v>191</v>
      </c>
      <c r="F389" s="5"/>
      <c r="G389" s="5"/>
      <c r="H389" s="5" t="s">
        <v>192</v>
      </c>
      <c r="I389" s="5" t="s">
        <v>204</v>
      </c>
      <c r="J389" s="5">
        <v>2000</v>
      </c>
      <c r="K389" s="5">
        <v>10</v>
      </c>
      <c r="L389" s="5"/>
      <c r="M389" s="5"/>
      <c r="N389" s="6">
        <v>1000</v>
      </c>
      <c r="O389" s="6">
        <v>20</v>
      </c>
      <c r="P389" s="5"/>
      <c r="Q389" s="5"/>
      <c r="R389" s="5"/>
      <c r="S389" s="5"/>
      <c r="T389" s="6" t="s">
        <v>211</v>
      </c>
      <c r="Y389" s="6" t="s">
        <v>211</v>
      </c>
      <c r="AE389" s="6" t="s">
        <v>211</v>
      </c>
      <c r="AR389" s="6" t="s">
        <v>194</v>
      </c>
      <c r="AS389" s="7" t="s">
        <v>214</v>
      </c>
      <c r="AT389" s="3">
        <v>47.75</v>
      </c>
      <c r="AU389" s="3" t="s">
        <v>880</v>
      </c>
      <c r="AV389" s="6" t="s">
        <v>215</v>
      </c>
      <c r="AW389" s="6" t="s">
        <v>416</v>
      </c>
    </row>
    <row r="390" spans="1:49" s="6" customFormat="1" x14ac:dyDescent="0.15">
      <c r="A390" s="2">
        <v>389</v>
      </c>
      <c r="B390" s="5" t="s">
        <v>212</v>
      </c>
      <c r="C390" s="5" t="s">
        <v>213</v>
      </c>
      <c r="D390" s="5" t="s">
        <v>213</v>
      </c>
      <c r="E390" s="5" t="s">
        <v>191</v>
      </c>
      <c r="F390" s="5"/>
      <c r="G390" s="5"/>
      <c r="H390" s="5" t="s">
        <v>192</v>
      </c>
      <c r="I390" s="5" t="s">
        <v>204</v>
      </c>
      <c r="J390" s="5">
        <v>2000</v>
      </c>
      <c r="K390" s="5">
        <v>1</v>
      </c>
      <c r="L390" s="5"/>
      <c r="M390" s="5"/>
      <c r="N390" s="6">
        <v>1000</v>
      </c>
      <c r="O390" s="6">
        <v>20</v>
      </c>
      <c r="P390" s="5"/>
      <c r="Q390" s="5"/>
      <c r="R390" s="5"/>
      <c r="S390" s="5"/>
      <c r="T390" s="6">
        <v>10</v>
      </c>
      <c r="Y390" s="6">
        <v>3.7</v>
      </c>
      <c r="AE390" s="6">
        <v>23.8</v>
      </c>
      <c r="AR390" s="6" t="s">
        <v>194</v>
      </c>
      <c r="AS390" s="7" t="s">
        <v>214</v>
      </c>
      <c r="AT390" s="3">
        <v>47.75</v>
      </c>
      <c r="AU390" s="3" t="s">
        <v>880</v>
      </c>
      <c r="AV390" s="6" t="s">
        <v>215</v>
      </c>
      <c r="AW390" s="6" t="s">
        <v>416</v>
      </c>
    </row>
    <row r="391" spans="1:49" s="6" customFormat="1" x14ac:dyDescent="0.15">
      <c r="A391" s="2">
        <v>390</v>
      </c>
      <c r="B391" s="5" t="s">
        <v>212</v>
      </c>
      <c r="C391" s="5" t="s">
        <v>213</v>
      </c>
      <c r="D391" s="5" t="s">
        <v>213</v>
      </c>
      <c r="E391" s="5" t="s">
        <v>191</v>
      </c>
      <c r="F391" s="5"/>
      <c r="G391" s="5"/>
      <c r="H391" s="5" t="s">
        <v>192</v>
      </c>
      <c r="I391" s="5" t="s">
        <v>204</v>
      </c>
      <c r="J391" s="5">
        <v>2001</v>
      </c>
      <c r="K391" s="5">
        <v>4</v>
      </c>
      <c r="L391" s="5"/>
      <c r="M391" s="5"/>
      <c r="N391" s="6">
        <v>1000</v>
      </c>
      <c r="O391" s="6">
        <v>20</v>
      </c>
      <c r="P391" s="5"/>
      <c r="Q391" s="5"/>
      <c r="R391" s="5"/>
      <c r="S391" s="5"/>
      <c r="T391" s="6">
        <v>11</v>
      </c>
      <c r="Y391" s="6">
        <v>1.5</v>
      </c>
      <c r="AE391" s="6">
        <v>11.5</v>
      </c>
      <c r="AR391" s="6" t="s">
        <v>194</v>
      </c>
      <c r="AS391" s="7" t="s">
        <v>214</v>
      </c>
      <c r="AT391" s="3">
        <v>47.75</v>
      </c>
      <c r="AU391" s="3" t="s">
        <v>880</v>
      </c>
      <c r="AV391" s="6" t="s">
        <v>215</v>
      </c>
      <c r="AW391" s="6" t="s">
        <v>416</v>
      </c>
    </row>
    <row r="392" spans="1:49" s="6" customFormat="1" x14ac:dyDescent="0.15">
      <c r="A392" s="2">
        <v>391</v>
      </c>
      <c r="B392" s="5" t="s">
        <v>212</v>
      </c>
      <c r="C392" s="5" t="s">
        <v>213</v>
      </c>
      <c r="D392" s="5" t="s">
        <v>213</v>
      </c>
      <c r="E392" s="5" t="s">
        <v>191</v>
      </c>
      <c r="F392" s="5"/>
      <c r="G392" s="5"/>
      <c r="H392" s="5" t="s">
        <v>192</v>
      </c>
      <c r="I392" s="5" t="s">
        <v>204</v>
      </c>
      <c r="J392" s="5">
        <v>2001</v>
      </c>
      <c r="K392" s="5">
        <v>7</v>
      </c>
      <c r="L392" s="5"/>
      <c r="M392" s="5"/>
      <c r="N392" s="6">
        <v>1000</v>
      </c>
      <c r="O392" s="6">
        <v>20</v>
      </c>
      <c r="P392" s="5"/>
      <c r="Q392" s="5"/>
      <c r="R392" s="5"/>
      <c r="S392" s="5"/>
      <c r="T392" s="6">
        <v>12</v>
      </c>
      <c r="Y392" s="6">
        <v>39.6</v>
      </c>
      <c r="AE392" s="6">
        <v>203.9</v>
      </c>
      <c r="AR392" s="6" t="s">
        <v>194</v>
      </c>
      <c r="AS392" s="7" t="s">
        <v>214</v>
      </c>
      <c r="AT392" s="3">
        <v>47.75</v>
      </c>
      <c r="AU392" s="3" t="s">
        <v>880</v>
      </c>
      <c r="AV392" s="6" t="s">
        <v>215</v>
      </c>
      <c r="AW392" s="6" t="s">
        <v>416</v>
      </c>
    </row>
    <row r="393" spans="1:49" s="6" customFormat="1" x14ac:dyDescent="0.15">
      <c r="A393" s="2">
        <v>392</v>
      </c>
      <c r="B393" s="5" t="s">
        <v>212</v>
      </c>
      <c r="C393" s="5" t="s">
        <v>213</v>
      </c>
      <c r="D393" s="5" t="s">
        <v>213</v>
      </c>
      <c r="E393" s="5" t="s">
        <v>191</v>
      </c>
      <c r="F393" s="5"/>
      <c r="G393" s="5"/>
      <c r="H393" s="5" t="s">
        <v>192</v>
      </c>
      <c r="I393" s="5" t="s">
        <v>204</v>
      </c>
      <c r="J393" s="5">
        <v>2001</v>
      </c>
      <c r="K393" s="5">
        <v>10</v>
      </c>
      <c r="L393" s="5"/>
      <c r="M393" s="5"/>
      <c r="N393" s="6">
        <v>1000</v>
      </c>
      <c r="O393" s="6">
        <v>20</v>
      </c>
      <c r="P393" s="5"/>
      <c r="Q393" s="5"/>
      <c r="R393" s="5"/>
      <c r="S393" s="5"/>
      <c r="T393" s="6">
        <v>16</v>
      </c>
      <c r="Y393" s="6">
        <v>23.6</v>
      </c>
      <c r="AE393" s="6">
        <v>57.5</v>
      </c>
      <c r="AR393" s="6" t="s">
        <v>194</v>
      </c>
      <c r="AS393" s="7" t="s">
        <v>214</v>
      </c>
      <c r="AT393" s="3">
        <v>47.75</v>
      </c>
      <c r="AU393" s="3" t="s">
        <v>880</v>
      </c>
      <c r="AV393" s="6" t="s">
        <v>215</v>
      </c>
      <c r="AW393" s="6" t="s">
        <v>416</v>
      </c>
    </row>
    <row r="394" spans="1:49" s="6" customFormat="1" x14ac:dyDescent="0.15">
      <c r="A394" s="2">
        <v>393</v>
      </c>
      <c r="B394" s="5" t="s">
        <v>212</v>
      </c>
      <c r="C394" s="5" t="s">
        <v>213</v>
      </c>
      <c r="D394" s="5" t="s">
        <v>213</v>
      </c>
      <c r="E394" s="5" t="s">
        <v>191</v>
      </c>
      <c r="F394" s="5"/>
      <c r="G394" s="5"/>
      <c r="H394" s="5" t="s">
        <v>192</v>
      </c>
      <c r="I394" s="5" t="s">
        <v>204</v>
      </c>
      <c r="J394" s="5">
        <v>2001</v>
      </c>
      <c r="K394" s="5">
        <v>1</v>
      </c>
      <c r="L394" s="5"/>
      <c r="M394" s="5"/>
      <c r="N394" s="6">
        <v>1000</v>
      </c>
      <c r="O394" s="6">
        <v>20</v>
      </c>
      <c r="P394" s="5"/>
      <c r="Q394" s="5"/>
      <c r="R394" s="5"/>
      <c r="S394" s="5"/>
      <c r="T394" s="6">
        <v>13</v>
      </c>
      <c r="Y394" s="6">
        <v>83.8</v>
      </c>
      <c r="AE394" s="6">
        <v>33.200000000000003</v>
      </c>
      <c r="AR394" s="6" t="s">
        <v>194</v>
      </c>
      <c r="AS394" s="7" t="s">
        <v>214</v>
      </c>
      <c r="AT394" s="3">
        <v>47.75</v>
      </c>
      <c r="AU394" s="3" t="s">
        <v>880</v>
      </c>
      <c r="AV394" s="6" t="s">
        <v>215</v>
      </c>
      <c r="AW394" s="6" t="s">
        <v>416</v>
      </c>
    </row>
    <row r="395" spans="1:49" s="6" customFormat="1" x14ac:dyDescent="0.15">
      <c r="A395" s="2">
        <v>394</v>
      </c>
      <c r="B395" s="5" t="s">
        <v>212</v>
      </c>
      <c r="C395" s="5" t="s">
        <v>213</v>
      </c>
      <c r="D395" s="5" t="s">
        <v>213</v>
      </c>
      <c r="E395" s="5" t="s">
        <v>191</v>
      </c>
      <c r="F395" s="5"/>
      <c r="G395" s="5"/>
      <c r="H395" s="5" t="s">
        <v>192</v>
      </c>
      <c r="I395" s="5" t="s">
        <v>204</v>
      </c>
      <c r="J395" s="5">
        <v>2002</v>
      </c>
      <c r="K395" s="5">
        <v>4</v>
      </c>
      <c r="L395" s="5"/>
      <c r="M395" s="5"/>
      <c r="N395" s="6">
        <v>1000</v>
      </c>
      <c r="O395" s="6">
        <v>20</v>
      </c>
      <c r="P395" s="5"/>
      <c r="Q395" s="5"/>
      <c r="R395" s="5"/>
      <c r="S395" s="5"/>
      <c r="T395" s="6">
        <v>19</v>
      </c>
      <c r="Y395" s="6">
        <v>11.2</v>
      </c>
      <c r="AE395" s="6">
        <v>61</v>
      </c>
      <c r="AR395" s="6" t="s">
        <v>194</v>
      </c>
      <c r="AS395" s="7" t="s">
        <v>214</v>
      </c>
      <c r="AT395" s="3">
        <v>47.75</v>
      </c>
      <c r="AU395" s="3" t="s">
        <v>880</v>
      </c>
      <c r="AV395" s="6" t="s">
        <v>215</v>
      </c>
      <c r="AW395" s="6" t="s">
        <v>416</v>
      </c>
    </row>
    <row r="396" spans="1:49" s="6" customFormat="1" x14ac:dyDescent="0.15">
      <c r="A396" s="2">
        <v>395</v>
      </c>
      <c r="B396" s="5" t="s">
        <v>212</v>
      </c>
      <c r="C396" s="5" t="s">
        <v>213</v>
      </c>
      <c r="D396" s="5" t="s">
        <v>213</v>
      </c>
      <c r="E396" s="5" t="s">
        <v>191</v>
      </c>
      <c r="F396" s="5"/>
      <c r="G396" s="5"/>
      <c r="H396" s="5" t="s">
        <v>192</v>
      </c>
      <c r="I396" s="5" t="s">
        <v>204</v>
      </c>
      <c r="J396" s="5">
        <v>2002</v>
      </c>
      <c r="K396" s="5">
        <v>7</v>
      </c>
      <c r="L396" s="5"/>
      <c r="M396" s="5"/>
      <c r="N396" s="6">
        <v>1000</v>
      </c>
      <c r="O396" s="6">
        <v>20</v>
      </c>
      <c r="P396" s="5"/>
      <c r="Q396" s="5"/>
      <c r="R396" s="5"/>
      <c r="S396" s="5"/>
      <c r="T396" s="6">
        <v>13</v>
      </c>
      <c r="Y396" s="6">
        <v>35.700000000000003</v>
      </c>
      <c r="AE396" s="6">
        <v>102</v>
      </c>
      <c r="AR396" s="6" t="s">
        <v>194</v>
      </c>
      <c r="AS396" s="7" t="s">
        <v>214</v>
      </c>
      <c r="AT396" s="3">
        <v>47.75</v>
      </c>
      <c r="AU396" s="3" t="s">
        <v>880</v>
      </c>
      <c r="AV396" s="6" t="s">
        <v>215</v>
      </c>
      <c r="AW396" s="6" t="s">
        <v>416</v>
      </c>
    </row>
    <row r="397" spans="1:49" s="6" customFormat="1" x14ac:dyDescent="0.15">
      <c r="A397" s="2">
        <v>396</v>
      </c>
      <c r="B397" s="5" t="s">
        <v>212</v>
      </c>
      <c r="C397" s="5" t="s">
        <v>213</v>
      </c>
      <c r="D397" s="5" t="s">
        <v>213</v>
      </c>
      <c r="E397" s="5" t="s">
        <v>191</v>
      </c>
      <c r="F397" s="5"/>
      <c r="G397" s="5"/>
      <c r="H397" s="5" t="s">
        <v>192</v>
      </c>
      <c r="I397" s="5" t="s">
        <v>204</v>
      </c>
      <c r="J397" s="5">
        <v>2002</v>
      </c>
      <c r="K397" s="5">
        <v>10</v>
      </c>
      <c r="L397" s="5"/>
      <c r="M397" s="5"/>
      <c r="N397" s="6">
        <v>1000</v>
      </c>
      <c r="O397" s="6">
        <v>20</v>
      </c>
      <c r="P397" s="5"/>
      <c r="Q397" s="5"/>
      <c r="R397" s="5"/>
      <c r="S397" s="5"/>
      <c r="T397" s="6">
        <v>14</v>
      </c>
      <c r="Y397" s="6">
        <v>2.4</v>
      </c>
      <c r="AE397" s="6">
        <v>25.5</v>
      </c>
      <c r="AR397" s="6" t="s">
        <v>194</v>
      </c>
      <c r="AS397" s="7" t="s">
        <v>214</v>
      </c>
      <c r="AT397" s="3">
        <v>47.75</v>
      </c>
      <c r="AU397" s="3" t="s">
        <v>880</v>
      </c>
      <c r="AV397" s="6" t="s">
        <v>215</v>
      </c>
      <c r="AW397" s="6" t="s">
        <v>416</v>
      </c>
    </row>
    <row r="398" spans="1:49" s="6" customFormat="1" x14ac:dyDescent="0.15">
      <c r="A398" s="2">
        <v>397</v>
      </c>
      <c r="B398" s="5" t="s">
        <v>212</v>
      </c>
      <c r="C398" s="5" t="s">
        <v>213</v>
      </c>
      <c r="D398" s="5" t="s">
        <v>213</v>
      </c>
      <c r="E398" s="5" t="s">
        <v>191</v>
      </c>
      <c r="F398" s="5"/>
      <c r="G398" s="5"/>
      <c r="H398" s="5" t="s">
        <v>192</v>
      </c>
      <c r="I398" s="5" t="s">
        <v>204</v>
      </c>
      <c r="J398" s="5">
        <v>2002</v>
      </c>
      <c r="K398" s="5">
        <v>1</v>
      </c>
      <c r="L398" s="5"/>
      <c r="M398" s="5"/>
      <c r="N398" s="6">
        <v>1000</v>
      </c>
      <c r="O398" s="6">
        <v>20</v>
      </c>
      <c r="P398" s="5"/>
      <c r="Q398" s="5"/>
      <c r="R398" s="5"/>
      <c r="S398" s="5"/>
      <c r="T398" s="6">
        <v>8</v>
      </c>
      <c r="Y398" s="6">
        <v>27.6</v>
      </c>
      <c r="AE398" s="6">
        <v>8.5</v>
      </c>
      <c r="AR398" s="6" t="s">
        <v>194</v>
      </c>
      <c r="AS398" s="7" t="s">
        <v>214</v>
      </c>
      <c r="AT398" s="3">
        <v>47.75</v>
      </c>
      <c r="AU398" s="3" t="s">
        <v>880</v>
      </c>
      <c r="AV398" s="6" t="s">
        <v>215</v>
      </c>
      <c r="AW398" s="6" t="s">
        <v>416</v>
      </c>
    </row>
    <row r="399" spans="1:49" x14ac:dyDescent="0.15">
      <c r="A399" s="2">
        <v>398</v>
      </c>
      <c r="B399" s="2" t="s">
        <v>216</v>
      </c>
      <c r="C399" s="2" t="s">
        <v>217</v>
      </c>
      <c r="D399" s="2" t="s">
        <v>394</v>
      </c>
      <c r="E399" s="2" t="s">
        <v>191</v>
      </c>
      <c r="H399" s="2" t="s">
        <v>192</v>
      </c>
      <c r="I399" s="2" t="s">
        <v>218</v>
      </c>
      <c r="J399" s="2">
        <v>1991</v>
      </c>
      <c r="K399" s="2">
        <v>9</v>
      </c>
      <c r="L399" s="2">
        <v>1992</v>
      </c>
      <c r="M399" s="2">
        <v>5</v>
      </c>
      <c r="N399" s="3">
        <v>1000</v>
      </c>
      <c r="O399" s="3">
        <v>30</v>
      </c>
      <c r="P399" s="2">
        <v>49</v>
      </c>
      <c r="Q399" s="2">
        <v>49</v>
      </c>
      <c r="R399" s="2">
        <v>56</v>
      </c>
      <c r="S399" s="2">
        <v>9</v>
      </c>
      <c r="T399" s="3">
        <v>193</v>
      </c>
      <c r="U399" s="3">
        <v>21.23</v>
      </c>
      <c r="V399" s="3">
        <v>29.65</v>
      </c>
      <c r="W399" s="3">
        <v>13.86</v>
      </c>
      <c r="X399" s="3">
        <v>6.29</v>
      </c>
      <c r="Y399" s="3">
        <v>133.21</v>
      </c>
      <c r="AA399" s="3">
        <v>35</v>
      </c>
      <c r="AB399" s="3">
        <v>66</v>
      </c>
      <c r="AC399" s="3">
        <v>409</v>
      </c>
      <c r="AD399" s="3">
        <v>7</v>
      </c>
      <c r="AE399" s="3">
        <v>543</v>
      </c>
      <c r="AR399" s="3" t="s">
        <v>194</v>
      </c>
      <c r="AS399" s="3" t="s">
        <v>219</v>
      </c>
      <c r="AT399" s="3">
        <v>43.5</v>
      </c>
      <c r="AU399" s="3" t="s">
        <v>86</v>
      </c>
      <c r="AW399" s="3" t="s">
        <v>406</v>
      </c>
    </row>
    <row r="400" spans="1:49" x14ac:dyDescent="0.15">
      <c r="A400" s="2">
        <v>399</v>
      </c>
      <c r="B400" s="2" t="s">
        <v>216</v>
      </c>
      <c r="C400" s="2" t="s">
        <v>217</v>
      </c>
      <c r="D400" s="2" t="s">
        <v>417</v>
      </c>
      <c r="E400" s="2" t="s">
        <v>191</v>
      </c>
      <c r="H400" s="2" t="s">
        <v>192</v>
      </c>
      <c r="I400" s="2" t="s">
        <v>218</v>
      </c>
      <c r="J400" s="2">
        <v>1992</v>
      </c>
      <c r="K400" s="2">
        <v>5</v>
      </c>
      <c r="N400" s="3">
        <v>1000</v>
      </c>
      <c r="O400" s="3">
        <v>30</v>
      </c>
      <c r="P400" s="2">
        <v>49</v>
      </c>
      <c r="Q400" s="2">
        <v>49</v>
      </c>
      <c r="R400" s="2">
        <v>56</v>
      </c>
      <c r="S400" s="2">
        <v>9</v>
      </c>
      <c r="T400" s="3">
        <v>193</v>
      </c>
      <c r="U400" s="3">
        <v>21.23</v>
      </c>
      <c r="V400" s="3">
        <v>29.65</v>
      </c>
      <c r="W400" s="3">
        <v>13.86</v>
      </c>
      <c r="X400" s="3">
        <v>6.29</v>
      </c>
      <c r="Y400" s="3">
        <v>133.21</v>
      </c>
      <c r="AA400" s="3">
        <v>35</v>
      </c>
      <c r="AB400" s="3">
        <v>66</v>
      </c>
      <c r="AC400" s="3">
        <v>409</v>
      </c>
      <c r="AD400" s="3">
        <v>7</v>
      </c>
      <c r="AE400" s="3">
        <v>543</v>
      </c>
      <c r="AR400" s="3" t="s">
        <v>194</v>
      </c>
      <c r="AS400" s="3" t="s">
        <v>219</v>
      </c>
      <c r="AT400" s="3">
        <v>43.5</v>
      </c>
      <c r="AU400" s="3" t="s">
        <v>86</v>
      </c>
      <c r="AW400" s="3" t="s">
        <v>406</v>
      </c>
    </row>
    <row r="401" spans="1:49" x14ac:dyDescent="0.15">
      <c r="A401" s="2">
        <v>400</v>
      </c>
      <c r="B401" s="2" t="s">
        <v>220</v>
      </c>
      <c r="C401" s="2" t="s">
        <v>418</v>
      </c>
      <c r="D401" s="2" t="s">
        <v>394</v>
      </c>
      <c r="E401" s="2" t="s">
        <v>238</v>
      </c>
      <c r="F401" s="2" t="s">
        <v>420</v>
      </c>
      <c r="H401" s="2" t="s">
        <v>60</v>
      </c>
      <c r="I401" s="2" t="s">
        <v>52</v>
      </c>
      <c r="J401" s="2">
        <v>2001</v>
      </c>
      <c r="K401" s="2">
        <v>5</v>
      </c>
      <c r="L401" s="2">
        <v>2002</v>
      </c>
      <c r="M401" s="2">
        <v>8</v>
      </c>
      <c r="N401" s="3">
        <v>500</v>
      </c>
      <c r="O401" s="3">
        <v>160</v>
      </c>
      <c r="P401" s="2">
        <v>77</v>
      </c>
      <c r="Q401" s="2">
        <v>74</v>
      </c>
      <c r="R401" s="2">
        <v>66</v>
      </c>
      <c r="S401" s="2">
        <v>12</v>
      </c>
      <c r="T401" s="3">
        <v>256</v>
      </c>
      <c r="U401" s="3">
        <v>1.83</v>
      </c>
      <c r="V401" s="3">
        <v>10.28</v>
      </c>
      <c r="W401" s="3">
        <v>5.2</v>
      </c>
      <c r="X401" s="3">
        <v>5.44</v>
      </c>
      <c r="Y401" s="3">
        <v>23.13</v>
      </c>
      <c r="AA401" s="3">
        <v>21</v>
      </c>
      <c r="AB401" s="3">
        <v>78</v>
      </c>
      <c r="AC401" s="3">
        <v>37</v>
      </c>
      <c r="AD401" s="3">
        <v>4</v>
      </c>
      <c r="AE401" s="3">
        <v>144</v>
      </c>
      <c r="AG401" s="3">
        <v>1.6790499999999999</v>
      </c>
      <c r="AH401" s="3">
        <v>0.7736064244821137</v>
      </c>
      <c r="AI401" s="3">
        <v>0.59331249999999991</v>
      </c>
      <c r="AJ401" s="3">
        <v>0.23564996097420218</v>
      </c>
      <c r="AK401" s="3">
        <v>0.12819875</v>
      </c>
      <c r="AL401" s="3">
        <v>7.4117295154851881E-2</v>
      </c>
      <c r="AM401" s="3">
        <v>2.4226999999999999</v>
      </c>
      <c r="AN401" s="3">
        <v>1.139212247877579</v>
      </c>
      <c r="AR401" s="3" t="s">
        <v>65</v>
      </c>
      <c r="AS401" s="4" t="s">
        <v>109</v>
      </c>
      <c r="AT401" s="4">
        <v>47.75</v>
      </c>
      <c r="AU401" s="4" t="s">
        <v>806</v>
      </c>
      <c r="AW401" s="3" t="s">
        <v>234</v>
      </c>
    </row>
    <row r="402" spans="1:49" x14ac:dyDescent="0.15">
      <c r="A402" s="2">
        <v>401</v>
      </c>
      <c r="B402" s="2" t="s">
        <v>220</v>
      </c>
      <c r="C402" s="2" t="s">
        <v>418</v>
      </c>
      <c r="D402" s="2" t="s">
        <v>394</v>
      </c>
      <c r="E402" s="2" t="s">
        <v>419</v>
      </c>
      <c r="F402" s="2" t="s">
        <v>420</v>
      </c>
      <c r="H402" s="2" t="s">
        <v>421</v>
      </c>
      <c r="I402" s="2" t="s">
        <v>422</v>
      </c>
      <c r="J402" s="2">
        <v>2002</v>
      </c>
      <c r="K402" s="2">
        <v>8</v>
      </c>
      <c r="N402" s="3">
        <v>500</v>
      </c>
      <c r="O402" s="3">
        <v>160</v>
      </c>
      <c r="P402" s="2">
        <v>77</v>
      </c>
      <c r="Q402" s="2">
        <v>74</v>
      </c>
      <c r="R402" s="2">
        <v>66</v>
      </c>
      <c r="S402" s="2">
        <v>12</v>
      </c>
      <c r="T402" s="3">
        <v>256</v>
      </c>
      <c r="U402" s="3">
        <v>1.83</v>
      </c>
      <c r="V402" s="3">
        <v>10.28</v>
      </c>
      <c r="W402" s="3">
        <v>5.2</v>
      </c>
      <c r="X402" s="3">
        <v>5.44</v>
      </c>
      <c r="Y402" s="3">
        <v>23.13</v>
      </c>
      <c r="AA402" s="3">
        <v>21</v>
      </c>
      <c r="AB402" s="3">
        <v>78</v>
      </c>
      <c r="AC402" s="3">
        <v>37</v>
      </c>
      <c r="AD402" s="3">
        <v>4</v>
      </c>
      <c r="AE402" s="3">
        <v>144</v>
      </c>
      <c r="AG402" s="3">
        <v>1.6790499999999999</v>
      </c>
      <c r="AH402" s="3">
        <v>0.7736064244821137</v>
      </c>
      <c r="AI402" s="3">
        <v>0.59331249999999991</v>
      </c>
      <c r="AJ402" s="3">
        <v>0.23564996097420218</v>
      </c>
      <c r="AK402" s="3">
        <v>0.12819875</v>
      </c>
      <c r="AL402" s="3">
        <v>7.4117295154851881E-2</v>
      </c>
      <c r="AM402" s="3">
        <v>2.4226999999999999</v>
      </c>
      <c r="AN402" s="3">
        <v>1.139212247877579</v>
      </c>
      <c r="AR402" s="3" t="s">
        <v>425</v>
      </c>
      <c r="AS402" s="4" t="s">
        <v>109</v>
      </c>
      <c r="AT402" s="4">
        <v>47.75</v>
      </c>
      <c r="AU402" s="4" t="s">
        <v>806</v>
      </c>
      <c r="AW402" s="3" t="s">
        <v>406</v>
      </c>
    </row>
    <row r="403" spans="1:49" x14ac:dyDescent="0.15">
      <c r="A403" s="2">
        <v>402</v>
      </c>
      <c r="B403" s="2" t="s">
        <v>435</v>
      </c>
      <c r="C403" s="2" t="s">
        <v>427</v>
      </c>
      <c r="D403" s="2" t="s">
        <v>428</v>
      </c>
      <c r="E403" s="2" t="s">
        <v>685</v>
      </c>
      <c r="F403" s="2" t="s">
        <v>430</v>
      </c>
      <c r="G403" s="2" t="s">
        <v>431</v>
      </c>
      <c r="H403" s="2" t="s">
        <v>421</v>
      </c>
      <c r="I403" s="2" t="s">
        <v>408</v>
      </c>
      <c r="J403" s="2">
        <v>2013</v>
      </c>
      <c r="N403" s="3">
        <v>500</v>
      </c>
      <c r="O403" s="3">
        <v>240</v>
      </c>
      <c r="T403" s="3">
        <v>118</v>
      </c>
      <c r="AR403" s="3" t="s">
        <v>425</v>
      </c>
      <c r="AS403" s="4" t="s">
        <v>436</v>
      </c>
      <c r="AT403" s="4">
        <v>47.75</v>
      </c>
      <c r="AU403" s="4" t="s">
        <v>806</v>
      </c>
      <c r="AW403" s="3" t="s">
        <v>406</v>
      </c>
    </row>
    <row r="404" spans="1:49" x14ac:dyDescent="0.15">
      <c r="A404" s="2">
        <v>403</v>
      </c>
      <c r="B404" s="2" t="s">
        <v>435</v>
      </c>
      <c r="C404" s="2" t="s">
        <v>427</v>
      </c>
      <c r="D404" s="2" t="s">
        <v>428</v>
      </c>
      <c r="E404" s="2" t="s">
        <v>429</v>
      </c>
      <c r="F404" s="2" t="s">
        <v>432</v>
      </c>
      <c r="H404" s="2" t="s">
        <v>421</v>
      </c>
      <c r="I404" s="2" t="s">
        <v>408</v>
      </c>
      <c r="J404" s="2">
        <v>2013</v>
      </c>
      <c r="N404" s="3">
        <v>500</v>
      </c>
      <c r="O404" s="3">
        <v>80</v>
      </c>
      <c r="Y404" s="3">
        <v>4.3099999999999996</v>
      </c>
      <c r="Z404" s="3">
        <v>1.43</v>
      </c>
      <c r="AE404" s="3">
        <v>241</v>
      </c>
      <c r="AF404" s="3">
        <v>59</v>
      </c>
      <c r="AG404" s="3">
        <v>3.2330000000000001</v>
      </c>
      <c r="AH404" s="3">
        <v>0.224</v>
      </c>
      <c r="AI404" s="3">
        <v>0.879</v>
      </c>
      <c r="AJ404" s="3">
        <v>0.02</v>
      </c>
      <c r="AM404" s="3">
        <v>2.7370000000000001</v>
      </c>
      <c r="AN404" s="3">
        <v>0.33200000000000002</v>
      </c>
      <c r="AR404" s="3" t="s">
        <v>425</v>
      </c>
      <c r="AS404" s="4" t="s">
        <v>436</v>
      </c>
      <c r="AT404" s="4">
        <v>47.75</v>
      </c>
      <c r="AU404" s="4" t="s">
        <v>806</v>
      </c>
      <c r="AW404" s="3" t="s">
        <v>406</v>
      </c>
    </row>
    <row r="405" spans="1:49" x14ac:dyDescent="0.15">
      <c r="A405" s="2">
        <v>404</v>
      </c>
      <c r="B405" s="2" t="s">
        <v>435</v>
      </c>
      <c r="C405" s="2" t="s">
        <v>427</v>
      </c>
      <c r="D405" s="2" t="s">
        <v>428</v>
      </c>
      <c r="E405" s="2" t="s">
        <v>429</v>
      </c>
      <c r="F405" s="2" t="s">
        <v>433</v>
      </c>
      <c r="H405" s="2" t="s">
        <v>421</v>
      </c>
      <c r="I405" s="2" t="s">
        <v>408</v>
      </c>
      <c r="J405" s="2">
        <v>2013</v>
      </c>
      <c r="N405" s="3">
        <v>500</v>
      </c>
      <c r="O405" s="3">
        <v>80</v>
      </c>
      <c r="Y405" s="3">
        <v>5.57</v>
      </c>
      <c r="Z405" s="3">
        <v>3.85</v>
      </c>
      <c r="AE405" s="3">
        <v>173</v>
      </c>
      <c r="AF405" s="3">
        <v>44</v>
      </c>
      <c r="AG405" s="3">
        <v>2.91</v>
      </c>
      <c r="AH405" s="3">
        <v>0.24299999999999999</v>
      </c>
      <c r="AI405" s="3">
        <v>0.90800000000000003</v>
      </c>
      <c r="AJ405" s="3">
        <v>1.8E-3</v>
      </c>
      <c r="AM405" s="3">
        <v>2.2930000000000001</v>
      </c>
      <c r="AN405" s="3">
        <v>0.37</v>
      </c>
      <c r="AR405" s="3" t="s">
        <v>425</v>
      </c>
      <c r="AS405" s="4" t="s">
        <v>436</v>
      </c>
      <c r="AT405" s="4">
        <v>47.75</v>
      </c>
      <c r="AU405" s="4" t="s">
        <v>806</v>
      </c>
      <c r="AW405" s="3" t="s">
        <v>406</v>
      </c>
    </row>
    <row r="406" spans="1:49" x14ac:dyDescent="0.15">
      <c r="A406" s="2">
        <v>405</v>
      </c>
      <c r="B406" s="2" t="s">
        <v>435</v>
      </c>
      <c r="C406" s="2" t="s">
        <v>427</v>
      </c>
      <c r="D406" s="2" t="s">
        <v>428</v>
      </c>
      <c r="E406" s="2" t="s">
        <v>429</v>
      </c>
      <c r="F406" s="2" t="s">
        <v>434</v>
      </c>
      <c r="H406" s="2" t="s">
        <v>421</v>
      </c>
      <c r="I406" s="2" t="s">
        <v>408</v>
      </c>
      <c r="J406" s="2">
        <v>2013</v>
      </c>
      <c r="N406" s="3">
        <v>500</v>
      </c>
      <c r="O406" s="3">
        <v>80</v>
      </c>
      <c r="Y406" s="3">
        <v>4.04</v>
      </c>
      <c r="Z406" s="3">
        <v>1.38</v>
      </c>
      <c r="AE406" s="3">
        <v>199</v>
      </c>
      <c r="AF406" s="3">
        <v>40</v>
      </c>
      <c r="AG406" s="3">
        <v>3.2679999999999998</v>
      </c>
      <c r="AH406" s="3">
        <v>0.25700000000000001</v>
      </c>
      <c r="AI406" s="3">
        <v>0.88</v>
      </c>
      <c r="AJ406" s="3">
        <v>1.4E-2</v>
      </c>
      <c r="AM406" s="3">
        <v>2.8620000000000001</v>
      </c>
      <c r="AN406" s="3">
        <v>0.35</v>
      </c>
      <c r="AR406" s="3" t="s">
        <v>425</v>
      </c>
      <c r="AS406" s="4" t="s">
        <v>436</v>
      </c>
      <c r="AT406" s="4">
        <v>47.75</v>
      </c>
      <c r="AU406" s="4" t="s">
        <v>806</v>
      </c>
      <c r="AW406" s="3" t="s">
        <v>406</v>
      </c>
    </row>
    <row r="407" spans="1:49" x14ac:dyDescent="0.15">
      <c r="A407" s="2">
        <v>406</v>
      </c>
      <c r="B407" s="2" t="s">
        <v>437</v>
      </c>
      <c r="C407" s="2" t="s">
        <v>71</v>
      </c>
      <c r="D407" s="2" t="s">
        <v>115</v>
      </c>
      <c r="E407" s="2" t="s">
        <v>438</v>
      </c>
      <c r="H407" s="2" t="s">
        <v>421</v>
      </c>
      <c r="I407" s="2" t="s">
        <v>439</v>
      </c>
      <c r="J407" s="2">
        <v>2012</v>
      </c>
      <c r="K407" s="2">
        <v>6</v>
      </c>
      <c r="N407" s="3">
        <v>625</v>
      </c>
      <c r="O407" s="3">
        <v>12</v>
      </c>
      <c r="P407" s="2">
        <v>3</v>
      </c>
      <c r="Q407" s="2">
        <v>6</v>
      </c>
      <c r="R407" s="2">
        <v>3</v>
      </c>
      <c r="T407" s="3">
        <v>16</v>
      </c>
      <c r="V407" s="3">
        <f>Y407*0.7</f>
        <v>12128.535999999998</v>
      </c>
      <c r="Y407" s="3">
        <v>17326.48</v>
      </c>
      <c r="AB407" s="3">
        <f>AE407*0.7</f>
        <v>1114.3999999999999</v>
      </c>
      <c r="AE407" s="3">
        <v>1592</v>
      </c>
      <c r="AG407" s="3">
        <v>1.48</v>
      </c>
      <c r="AI407" s="3">
        <v>0.5</v>
      </c>
      <c r="AK407" s="3">
        <v>0.56999999999999995</v>
      </c>
      <c r="AM407" s="3">
        <v>1.1299999999999999</v>
      </c>
      <c r="AR407" s="3" t="s">
        <v>425</v>
      </c>
      <c r="AS407" s="4" t="s">
        <v>440</v>
      </c>
      <c r="AT407" s="4">
        <v>47.75</v>
      </c>
      <c r="AU407" s="4" t="s">
        <v>806</v>
      </c>
      <c r="AV407" s="3" t="s">
        <v>441</v>
      </c>
      <c r="AW407" s="3" t="s">
        <v>406</v>
      </c>
    </row>
    <row r="408" spans="1:49" x14ac:dyDescent="0.15">
      <c r="A408" s="2">
        <v>407</v>
      </c>
      <c r="B408" s="2" t="s">
        <v>442</v>
      </c>
      <c r="C408" s="2" t="s">
        <v>443</v>
      </c>
      <c r="D408" s="2" t="s">
        <v>294</v>
      </c>
      <c r="E408" s="2" t="s">
        <v>444</v>
      </c>
      <c r="H408" s="2" t="s">
        <v>445</v>
      </c>
      <c r="I408" s="2" t="s">
        <v>409</v>
      </c>
      <c r="J408" s="2">
        <v>2007</v>
      </c>
      <c r="K408" s="2">
        <v>9</v>
      </c>
      <c r="L408" s="2">
        <v>2008</v>
      </c>
      <c r="M408" s="2">
        <v>5</v>
      </c>
      <c r="N408" s="3">
        <v>500</v>
      </c>
      <c r="O408" s="3">
        <v>45</v>
      </c>
      <c r="P408" s="2">
        <v>3</v>
      </c>
      <c r="Q408" s="2">
        <v>10</v>
      </c>
      <c r="R408" s="2">
        <v>12</v>
      </c>
      <c r="T408" s="3">
        <v>25</v>
      </c>
      <c r="U408" s="3">
        <v>0.1</v>
      </c>
      <c r="V408" s="3">
        <v>1.8</v>
      </c>
      <c r="W408" s="3">
        <v>1.4</v>
      </c>
      <c r="X408" s="3">
        <v>13.4</v>
      </c>
      <c r="Y408" s="3">
        <v>26.8</v>
      </c>
      <c r="AA408" s="3">
        <v>7</v>
      </c>
      <c r="AB408" s="3">
        <v>64</v>
      </c>
      <c r="AC408" s="3">
        <v>84</v>
      </c>
      <c r="AD408" s="3">
        <v>13</v>
      </c>
      <c r="AE408" s="3">
        <v>180</v>
      </c>
      <c r="AR408" s="3" t="s">
        <v>421</v>
      </c>
      <c r="AT408" s="4">
        <v>47.75</v>
      </c>
      <c r="AU408" s="4" t="s">
        <v>806</v>
      </c>
      <c r="AW408" s="3" t="s">
        <v>406</v>
      </c>
    </row>
    <row r="409" spans="1:49" x14ac:dyDescent="0.15">
      <c r="A409" s="2">
        <v>408</v>
      </c>
      <c r="B409" s="2" t="s">
        <v>442</v>
      </c>
      <c r="C409" s="2" t="s">
        <v>443</v>
      </c>
      <c r="D409" s="2" t="s">
        <v>294</v>
      </c>
      <c r="E409" s="2" t="s">
        <v>444</v>
      </c>
      <c r="H409" s="2" t="s">
        <v>445</v>
      </c>
      <c r="I409" s="2" t="s">
        <v>409</v>
      </c>
      <c r="J409" s="2">
        <v>2008</v>
      </c>
      <c r="K409" s="2">
        <v>5</v>
      </c>
      <c r="P409" s="2">
        <v>2</v>
      </c>
      <c r="Q409" s="2">
        <v>5</v>
      </c>
      <c r="R409" s="2">
        <v>4</v>
      </c>
      <c r="S409" s="2">
        <v>1</v>
      </c>
      <c r="T409" s="3">
        <v>16</v>
      </c>
      <c r="V409" s="3">
        <v>1.9</v>
      </c>
      <c r="W409" s="3">
        <v>0.8</v>
      </c>
      <c r="X409" s="3">
        <v>0.6</v>
      </c>
      <c r="Y409" s="3">
        <v>3.3</v>
      </c>
      <c r="AA409" s="3">
        <v>29</v>
      </c>
      <c r="AB409" s="3">
        <v>32</v>
      </c>
      <c r="AC409" s="3">
        <v>105</v>
      </c>
      <c r="AE409" s="3">
        <v>165</v>
      </c>
      <c r="AR409" s="3" t="s">
        <v>421</v>
      </c>
      <c r="AT409" s="4">
        <v>47.75</v>
      </c>
      <c r="AU409" s="4" t="s">
        <v>806</v>
      </c>
      <c r="AW409" s="3" t="s">
        <v>406</v>
      </c>
    </row>
    <row r="410" spans="1:49" s="6" customFormat="1" x14ac:dyDescent="0.15">
      <c r="A410" s="2">
        <v>409</v>
      </c>
      <c r="B410" s="5">
        <v>1959</v>
      </c>
      <c r="C410" s="5" t="s">
        <v>443</v>
      </c>
      <c r="D410" s="5" t="s">
        <v>294</v>
      </c>
      <c r="E410" s="5" t="s">
        <v>444</v>
      </c>
      <c r="F410" s="5"/>
      <c r="G410" s="5"/>
      <c r="H410" s="5" t="s">
        <v>445</v>
      </c>
      <c r="I410" s="5" t="s">
        <v>409</v>
      </c>
      <c r="J410" s="5">
        <v>1959</v>
      </c>
      <c r="K410" s="5">
        <v>4</v>
      </c>
      <c r="L410" s="5"/>
      <c r="M410" s="5"/>
      <c r="P410" s="5"/>
      <c r="Q410" s="5"/>
      <c r="R410" s="5"/>
      <c r="S410" s="5"/>
      <c r="U410" s="6">
        <v>1.79</v>
      </c>
      <c r="V410" s="6">
        <v>10.81</v>
      </c>
      <c r="W410" s="6">
        <v>4.09</v>
      </c>
      <c r="X410" s="6">
        <v>5.08</v>
      </c>
      <c r="Y410" s="6">
        <v>26.63</v>
      </c>
      <c r="AT410" s="4">
        <v>47.75</v>
      </c>
      <c r="AU410" s="4" t="s">
        <v>806</v>
      </c>
      <c r="AV410" s="6" t="s">
        <v>446</v>
      </c>
      <c r="AW410" s="6" t="s">
        <v>406</v>
      </c>
    </row>
    <row r="411" spans="1:49" s="6" customFormat="1" x14ac:dyDescent="0.15">
      <c r="A411" s="2">
        <v>410</v>
      </c>
      <c r="B411" s="5">
        <v>1959</v>
      </c>
      <c r="C411" s="5" t="s">
        <v>443</v>
      </c>
      <c r="D411" s="5" t="s">
        <v>294</v>
      </c>
      <c r="E411" s="5" t="s">
        <v>444</v>
      </c>
      <c r="F411" s="5"/>
      <c r="G411" s="5"/>
      <c r="H411" s="5" t="s">
        <v>445</v>
      </c>
      <c r="I411" s="5" t="s">
        <v>409</v>
      </c>
      <c r="J411" s="5">
        <v>1959</v>
      </c>
      <c r="K411" s="5">
        <v>10</v>
      </c>
      <c r="L411" s="5"/>
      <c r="M411" s="5"/>
      <c r="P411" s="5"/>
      <c r="Q411" s="5"/>
      <c r="R411" s="5"/>
      <c r="S411" s="5"/>
      <c r="U411" s="6">
        <v>0.73</v>
      </c>
      <c r="V411" s="6">
        <v>6.5</v>
      </c>
      <c r="W411" s="6">
        <v>3.52</v>
      </c>
      <c r="X411" s="6">
        <v>4.08</v>
      </c>
      <c r="Y411" s="6">
        <v>16.39</v>
      </c>
      <c r="AT411" s="4">
        <v>47.75</v>
      </c>
      <c r="AU411" s="4" t="s">
        <v>806</v>
      </c>
      <c r="AV411" s="6" t="s">
        <v>446</v>
      </c>
      <c r="AW411" s="6" t="s">
        <v>406</v>
      </c>
    </row>
    <row r="412" spans="1:49" x14ac:dyDescent="0.15">
      <c r="A412" s="2">
        <v>411</v>
      </c>
      <c r="B412" s="2" t="s">
        <v>449</v>
      </c>
      <c r="C412" s="2" t="s">
        <v>447</v>
      </c>
      <c r="D412" s="2" t="s">
        <v>417</v>
      </c>
      <c r="E412" s="2" t="s">
        <v>627</v>
      </c>
      <c r="F412" s="2" t="s">
        <v>307</v>
      </c>
      <c r="H412" s="2" t="s">
        <v>448</v>
      </c>
      <c r="I412" s="2" t="s">
        <v>422</v>
      </c>
      <c r="J412" s="2">
        <v>2002</v>
      </c>
      <c r="K412" s="2">
        <v>3</v>
      </c>
      <c r="N412" s="3">
        <v>2500</v>
      </c>
      <c r="O412" s="3">
        <v>63</v>
      </c>
      <c r="P412" s="2">
        <v>47</v>
      </c>
      <c r="Q412" s="2">
        <v>51</v>
      </c>
      <c r="R412" s="2">
        <v>13</v>
      </c>
      <c r="T412" s="3">
        <v>124</v>
      </c>
      <c r="U412" s="3">
        <v>34.24</v>
      </c>
      <c r="V412" s="3">
        <v>173.74</v>
      </c>
      <c r="W412" s="3">
        <v>6.38</v>
      </c>
      <c r="Y412" s="3">
        <v>223</v>
      </c>
      <c r="AB412" s="3">
        <v>48.26</v>
      </c>
      <c r="AC412" s="3">
        <v>140</v>
      </c>
      <c r="AD412" s="3">
        <v>11.46</v>
      </c>
      <c r="AF412" s="3">
        <v>210.12</v>
      </c>
      <c r="AG412" s="3">
        <v>2.7410999999999999</v>
      </c>
      <c r="AH412" s="3">
        <v>0.67339373474958908</v>
      </c>
      <c r="AI412" s="3">
        <v>0.64070000000000005</v>
      </c>
      <c r="AJ412" s="3">
        <v>0.13762354449729824</v>
      </c>
      <c r="AM412" s="3">
        <v>2.6232000000000002</v>
      </c>
      <c r="AN412" s="3">
        <v>0.32803338244757857</v>
      </c>
      <c r="AR412" s="3" t="s">
        <v>421</v>
      </c>
      <c r="AS412" s="4" t="s">
        <v>458</v>
      </c>
      <c r="AT412" s="4">
        <v>47.75</v>
      </c>
      <c r="AU412" s="4" t="s">
        <v>806</v>
      </c>
      <c r="AW412" s="3" t="s">
        <v>405</v>
      </c>
    </row>
    <row r="413" spans="1:49" x14ac:dyDescent="0.15">
      <c r="A413" s="2">
        <v>412</v>
      </c>
      <c r="B413" s="2" t="s">
        <v>449</v>
      </c>
      <c r="C413" s="2" t="s">
        <v>447</v>
      </c>
      <c r="D413" s="2" t="s">
        <v>417</v>
      </c>
      <c r="E413" s="2" t="s">
        <v>627</v>
      </c>
      <c r="F413" s="2" t="s">
        <v>307</v>
      </c>
      <c r="H413" s="2" t="s">
        <v>448</v>
      </c>
      <c r="I413" s="2" t="s">
        <v>422</v>
      </c>
      <c r="J413" s="2">
        <v>2002</v>
      </c>
      <c r="K413" s="2">
        <v>9</v>
      </c>
      <c r="N413" s="3">
        <v>2500</v>
      </c>
      <c r="O413" s="3">
        <v>63</v>
      </c>
      <c r="P413" s="2">
        <v>32</v>
      </c>
      <c r="Q413" s="2">
        <v>48</v>
      </c>
      <c r="R413" s="2">
        <v>8</v>
      </c>
      <c r="T413" s="3">
        <v>93</v>
      </c>
      <c r="U413" s="3">
        <v>23.49</v>
      </c>
      <c r="V413" s="3">
        <v>198.64</v>
      </c>
      <c r="W413" s="3">
        <v>0.44</v>
      </c>
      <c r="Y413" s="3">
        <v>223.52</v>
      </c>
      <c r="AB413" s="3">
        <v>28.26</v>
      </c>
      <c r="AC413" s="3">
        <v>179.06</v>
      </c>
      <c r="AD413" s="3">
        <v>3.19</v>
      </c>
      <c r="AF413" s="3">
        <v>211.84</v>
      </c>
      <c r="AG413" s="3">
        <v>2.2366000000000001</v>
      </c>
      <c r="AH413" s="3">
        <v>0.89173125323720681</v>
      </c>
      <c r="AI413" s="3">
        <v>0.6411</v>
      </c>
      <c r="AJ413" s="3">
        <v>0.12369734031093883</v>
      </c>
      <c r="AM413" s="3">
        <v>1.4910000000000001</v>
      </c>
      <c r="AN413" s="3">
        <v>0.35893773554754649</v>
      </c>
      <c r="AR413" s="3" t="s">
        <v>457</v>
      </c>
      <c r="AS413" s="4" t="s">
        <v>458</v>
      </c>
      <c r="AT413" s="4">
        <v>47.75</v>
      </c>
      <c r="AU413" s="4" t="s">
        <v>806</v>
      </c>
      <c r="AW413" s="3" t="s">
        <v>405</v>
      </c>
    </row>
    <row r="414" spans="1:49" x14ac:dyDescent="0.15">
      <c r="A414" s="2">
        <v>413</v>
      </c>
      <c r="B414" s="2" t="s">
        <v>459</v>
      </c>
      <c r="C414" s="2" t="s">
        <v>460</v>
      </c>
      <c r="D414" s="2" t="s">
        <v>461</v>
      </c>
      <c r="E414" s="2" t="s">
        <v>627</v>
      </c>
      <c r="H414" s="2" t="s">
        <v>421</v>
      </c>
      <c r="I414" s="2" t="s">
        <v>462</v>
      </c>
      <c r="J414" s="2">
        <v>2006</v>
      </c>
      <c r="K414" s="2">
        <v>11</v>
      </c>
      <c r="L414" s="2">
        <v>2007</v>
      </c>
      <c r="M414" s="2">
        <v>8</v>
      </c>
      <c r="N414" s="3">
        <v>500</v>
      </c>
      <c r="O414" s="3">
        <f>54*3*4</f>
        <v>648</v>
      </c>
      <c r="P414" s="2">
        <v>22</v>
      </c>
      <c r="Q414" s="2">
        <v>34</v>
      </c>
      <c r="R414" s="2">
        <v>44</v>
      </c>
      <c r="S414" s="2">
        <v>11</v>
      </c>
      <c r="T414" s="3">
        <v>124</v>
      </c>
      <c r="U414" s="3">
        <v>0.52</v>
      </c>
      <c r="V414" s="3">
        <v>5.93</v>
      </c>
      <c r="W414" s="3">
        <v>1.1499999999999999</v>
      </c>
      <c r="X414" s="3">
        <v>7.88</v>
      </c>
      <c r="Y414" s="3">
        <v>17.37</v>
      </c>
      <c r="Z414" s="3">
        <f>STDEV(Y415:Y418)</f>
        <v>12.599579358057948</v>
      </c>
      <c r="AA414" s="3">
        <v>8</v>
      </c>
      <c r="AB414" s="3">
        <v>13</v>
      </c>
      <c r="AC414" s="3">
        <v>41</v>
      </c>
      <c r="AD414" s="3">
        <v>5</v>
      </c>
      <c r="AE414" s="3">
        <v>73</v>
      </c>
      <c r="AF414" s="3">
        <f>STDEV(AE415:AE418)</f>
        <v>28.751811537130433</v>
      </c>
      <c r="AG414" s="3">
        <f>AVERAGE(AG415:AG418)</f>
        <v>1.7050000000000001</v>
      </c>
      <c r="AH414" s="3">
        <f>STDEV(AG415:AG418)</f>
        <v>0.14798648586948737</v>
      </c>
      <c r="AI414" s="3">
        <f>AVERAGE(AI415:AI418)</f>
        <v>0.89749999999999996</v>
      </c>
      <c r="AJ414" s="3">
        <f>STDEV(AI415:AI418)</f>
        <v>4.7871355387816908E-2</v>
      </c>
      <c r="AM414" s="3">
        <f>AVERAGE(AM415:AM418)</f>
        <v>2.5425</v>
      </c>
      <c r="AN414" s="3">
        <f>STDEV(AM415:AM418)</f>
        <v>0.30761176830544151</v>
      </c>
      <c r="AR414" s="3" t="s">
        <v>425</v>
      </c>
      <c r="AT414" s="4">
        <v>47.75</v>
      </c>
      <c r="AU414" s="4" t="s">
        <v>806</v>
      </c>
      <c r="AW414" s="3" t="s">
        <v>463</v>
      </c>
    </row>
    <row r="415" spans="1:49" x14ac:dyDescent="0.15">
      <c r="A415" s="2">
        <v>414</v>
      </c>
      <c r="B415" s="2" t="s">
        <v>459</v>
      </c>
      <c r="C415" s="2" t="s">
        <v>460</v>
      </c>
      <c r="D415" s="2" t="s">
        <v>461</v>
      </c>
      <c r="E415" s="2" t="s">
        <v>627</v>
      </c>
      <c r="H415" s="2" t="s">
        <v>421</v>
      </c>
      <c r="I415" s="2" t="s">
        <v>462</v>
      </c>
      <c r="J415" s="2">
        <v>2007</v>
      </c>
      <c r="K415" s="2">
        <v>4</v>
      </c>
      <c r="N415" s="3">
        <v>500</v>
      </c>
      <c r="O415" s="3">
        <v>162</v>
      </c>
      <c r="U415" s="3">
        <v>0.34</v>
      </c>
      <c r="V415" s="3">
        <v>2.15</v>
      </c>
      <c r="W415" s="3">
        <v>1.86</v>
      </c>
      <c r="X415" s="3">
        <v>4.96</v>
      </c>
      <c r="Y415" s="3">
        <v>9.31</v>
      </c>
      <c r="AA415" s="3">
        <v>8</v>
      </c>
      <c r="AB415" s="3">
        <v>13</v>
      </c>
      <c r="AC415" s="3">
        <v>42</v>
      </c>
      <c r="AD415" s="3">
        <v>4</v>
      </c>
      <c r="AE415" s="3">
        <v>66</v>
      </c>
      <c r="AG415" s="3">
        <v>1.68</v>
      </c>
      <c r="AI415" s="3">
        <v>0.92</v>
      </c>
      <c r="AM415" s="3">
        <v>2.39</v>
      </c>
      <c r="AR415" s="3" t="s">
        <v>425</v>
      </c>
      <c r="AT415" s="4">
        <v>47.75</v>
      </c>
      <c r="AU415" s="4" t="s">
        <v>806</v>
      </c>
      <c r="AW415" s="3" t="s">
        <v>406</v>
      </c>
    </row>
    <row r="416" spans="1:49" x14ac:dyDescent="0.15">
      <c r="A416" s="2">
        <v>415</v>
      </c>
      <c r="B416" s="2" t="s">
        <v>459</v>
      </c>
      <c r="C416" s="2" t="s">
        <v>460</v>
      </c>
      <c r="D416" s="2" t="s">
        <v>461</v>
      </c>
      <c r="E416" s="2" t="s">
        <v>627</v>
      </c>
      <c r="H416" s="2" t="s">
        <v>421</v>
      </c>
      <c r="I416" s="2" t="s">
        <v>462</v>
      </c>
      <c r="J416" s="2">
        <v>2007</v>
      </c>
      <c r="K416" s="2">
        <v>1</v>
      </c>
      <c r="N416" s="3">
        <v>500</v>
      </c>
      <c r="O416" s="3">
        <v>162</v>
      </c>
      <c r="U416" s="3">
        <v>0.53</v>
      </c>
      <c r="V416" s="3">
        <v>4.09</v>
      </c>
      <c r="W416" s="3">
        <v>1.24</v>
      </c>
      <c r="X416" s="3">
        <v>4.57</v>
      </c>
      <c r="Y416" s="3">
        <v>11.65</v>
      </c>
      <c r="AA416" s="3">
        <v>8</v>
      </c>
      <c r="AB416" s="3">
        <v>21</v>
      </c>
      <c r="AC416" s="3">
        <v>67</v>
      </c>
      <c r="AD416" s="3">
        <v>9</v>
      </c>
      <c r="AE416" s="3">
        <v>114</v>
      </c>
      <c r="AG416" s="3">
        <v>1.89</v>
      </c>
      <c r="AI416" s="3">
        <v>0.83</v>
      </c>
      <c r="AM416" s="3">
        <v>2.96</v>
      </c>
      <c r="AR416" s="3" t="s">
        <v>425</v>
      </c>
      <c r="AT416" s="4">
        <v>47.75</v>
      </c>
      <c r="AU416" s="4" t="s">
        <v>806</v>
      </c>
      <c r="AW416" s="3" t="s">
        <v>406</v>
      </c>
    </row>
    <row r="417" spans="1:49" x14ac:dyDescent="0.15">
      <c r="A417" s="2">
        <v>416</v>
      </c>
      <c r="B417" s="2" t="s">
        <v>459</v>
      </c>
      <c r="C417" s="2" t="s">
        <v>460</v>
      </c>
      <c r="D417" s="2" t="s">
        <v>461</v>
      </c>
      <c r="E417" s="2" t="s">
        <v>627</v>
      </c>
      <c r="H417" s="2" t="s">
        <v>421</v>
      </c>
      <c r="I417" s="2" t="s">
        <v>462</v>
      </c>
      <c r="J417" s="2">
        <v>2007</v>
      </c>
      <c r="K417" s="2">
        <v>8</v>
      </c>
      <c r="N417" s="3">
        <v>500</v>
      </c>
      <c r="O417" s="3">
        <v>162</v>
      </c>
      <c r="U417" s="3">
        <v>0.94</v>
      </c>
      <c r="V417" s="3">
        <v>1.76</v>
      </c>
      <c r="W417" s="3">
        <v>0.54</v>
      </c>
      <c r="X417" s="3">
        <v>8.18</v>
      </c>
      <c r="Y417" s="3">
        <v>12.32</v>
      </c>
      <c r="AA417" s="3">
        <v>3</v>
      </c>
      <c r="AB417" s="3">
        <v>8</v>
      </c>
      <c r="AC417" s="3">
        <v>26</v>
      </c>
      <c r="AD417" s="3">
        <v>4</v>
      </c>
      <c r="AE417" s="3">
        <v>50</v>
      </c>
      <c r="AG417" s="3">
        <v>1.72</v>
      </c>
      <c r="AI417" s="3">
        <v>0.94</v>
      </c>
      <c r="AM417" s="3">
        <v>2.57</v>
      </c>
      <c r="AR417" s="3" t="s">
        <v>425</v>
      </c>
      <c r="AT417" s="4">
        <v>47.75</v>
      </c>
      <c r="AU417" s="4" t="s">
        <v>806</v>
      </c>
      <c r="AW417" s="3" t="s">
        <v>406</v>
      </c>
    </row>
    <row r="418" spans="1:49" x14ac:dyDescent="0.15">
      <c r="A418" s="2">
        <v>417</v>
      </c>
      <c r="B418" s="2" t="s">
        <v>459</v>
      </c>
      <c r="C418" s="2" t="s">
        <v>460</v>
      </c>
      <c r="D418" s="2" t="s">
        <v>461</v>
      </c>
      <c r="E418" s="2" t="s">
        <v>627</v>
      </c>
      <c r="H418" s="2" t="s">
        <v>421</v>
      </c>
      <c r="I418" s="2" t="s">
        <v>462</v>
      </c>
      <c r="J418" s="2">
        <v>2006</v>
      </c>
      <c r="K418" s="2">
        <v>11</v>
      </c>
      <c r="N418" s="3">
        <v>500</v>
      </c>
      <c r="O418" s="3">
        <v>162</v>
      </c>
      <c r="U418" s="3">
        <v>0.25</v>
      </c>
      <c r="V418" s="3">
        <v>15.72</v>
      </c>
      <c r="W418" s="3">
        <v>0.96</v>
      </c>
      <c r="X418" s="3">
        <v>13.8</v>
      </c>
      <c r="Y418" s="3">
        <v>36.159999999999997</v>
      </c>
      <c r="AA418" s="3">
        <v>11</v>
      </c>
      <c r="AB418" s="3">
        <v>11</v>
      </c>
      <c r="AC418" s="3">
        <v>28</v>
      </c>
      <c r="AD418" s="3">
        <v>3</v>
      </c>
      <c r="AE418" s="3">
        <v>58</v>
      </c>
      <c r="AG418" s="3">
        <v>1.53</v>
      </c>
      <c r="AI418" s="3">
        <v>0.9</v>
      </c>
      <c r="AM418" s="3">
        <v>2.25</v>
      </c>
      <c r="AR418" s="3" t="s">
        <v>425</v>
      </c>
      <c r="AT418" s="4">
        <v>47.75</v>
      </c>
      <c r="AU418" s="4" t="s">
        <v>806</v>
      </c>
      <c r="AW418" s="3" t="s">
        <v>406</v>
      </c>
    </row>
    <row r="419" spans="1:49" x14ac:dyDescent="0.15">
      <c r="A419" s="2">
        <v>418</v>
      </c>
      <c r="B419" s="2" t="s">
        <v>459</v>
      </c>
      <c r="C419" s="2" t="s">
        <v>460</v>
      </c>
      <c r="D419" s="2" t="s">
        <v>461</v>
      </c>
      <c r="E419" s="2" t="s">
        <v>627</v>
      </c>
      <c r="H419" s="2" t="s">
        <v>421</v>
      </c>
      <c r="I419" s="2" t="s">
        <v>462</v>
      </c>
      <c r="J419" s="2">
        <v>1981</v>
      </c>
      <c r="V419" s="3">
        <f>Y419*0.473</f>
        <v>2.6062299999999996</v>
      </c>
      <c r="W419" s="3">
        <f>Y419*0.318</f>
        <v>1.7521799999999998</v>
      </c>
      <c r="Y419" s="3">
        <v>5.51</v>
      </c>
      <c r="AE419" s="3">
        <v>89</v>
      </c>
      <c r="AT419" s="4">
        <v>47.75</v>
      </c>
      <c r="AU419" s="4" t="s">
        <v>806</v>
      </c>
      <c r="AV419" s="3" t="s">
        <v>446</v>
      </c>
      <c r="AW419" s="3" t="s">
        <v>406</v>
      </c>
    </row>
    <row r="420" spans="1:49" x14ac:dyDescent="0.15">
      <c r="A420" s="2">
        <v>419</v>
      </c>
      <c r="B420" s="2" t="s">
        <v>459</v>
      </c>
      <c r="C420" s="2" t="s">
        <v>460</v>
      </c>
      <c r="D420" s="2" t="s">
        <v>461</v>
      </c>
      <c r="E420" s="2" t="s">
        <v>627</v>
      </c>
      <c r="H420" s="2" t="s">
        <v>421</v>
      </c>
      <c r="I420" s="2" t="s">
        <v>462</v>
      </c>
      <c r="J420" s="2">
        <v>1982</v>
      </c>
      <c r="V420" s="3">
        <f>Y420*0.473</f>
        <v>2.6062299999999996</v>
      </c>
      <c r="W420" s="3">
        <f>Y420*0.318</f>
        <v>1.7521799999999998</v>
      </c>
      <c r="Y420" s="3">
        <v>5.51</v>
      </c>
      <c r="AE420" s="3">
        <v>89</v>
      </c>
      <c r="AT420" s="4">
        <v>47.75</v>
      </c>
      <c r="AU420" s="4" t="s">
        <v>806</v>
      </c>
      <c r="AV420" s="3" t="s">
        <v>446</v>
      </c>
      <c r="AW420" s="3" t="s">
        <v>406</v>
      </c>
    </row>
    <row r="421" spans="1:49" x14ac:dyDescent="0.15">
      <c r="A421" s="2">
        <v>420</v>
      </c>
      <c r="B421" s="2" t="s">
        <v>459</v>
      </c>
      <c r="C421" s="2" t="s">
        <v>460</v>
      </c>
      <c r="D421" s="2" t="s">
        <v>461</v>
      </c>
      <c r="E421" s="2" t="s">
        <v>627</v>
      </c>
      <c r="H421" s="2" t="s">
        <v>421</v>
      </c>
      <c r="I421" s="2" t="s">
        <v>462</v>
      </c>
      <c r="J421" s="2">
        <v>2002</v>
      </c>
      <c r="V421" s="3">
        <f>Y421*0.295</f>
        <v>7.28355</v>
      </c>
      <c r="W421" s="3">
        <f>Y421*0.373</f>
        <v>9.2093699999999998</v>
      </c>
      <c r="Y421" s="3">
        <v>24.69</v>
      </c>
      <c r="AE421" s="3">
        <v>169</v>
      </c>
      <c r="AT421" s="4">
        <v>47.75</v>
      </c>
      <c r="AU421" s="4" t="s">
        <v>806</v>
      </c>
      <c r="AV421" s="3" t="s">
        <v>446</v>
      </c>
      <c r="AW421" s="3" t="s">
        <v>406</v>
      </c>
    </row>
    <row r="422" spans="1:49" x14ac:dyDescent="0.15">
      <c r="A422" s="2">
        <v>421</v>
      </c>
      <c r="B422" s="2" t="s">
        <v>459</v>
      </c>
      <c r="C422" s="2" t="s">
        <v>460</v>
      </c>
      <c r="D422" s="2" t="s">
        <v>461</v>
      </c>
      <c r="E422" s="2" t="s">
        <v>627</v>
      </c>
      <c r="H422" s="2" t="s">
        <v>421</v>
      </c>
      <c r="I422" s="2" t="s">
        <v>462</v>
      </c>
      <c r="J422" s="2">
        <v>2003</v>
      </c>
      <c r="V422" s="3">
        <f>Y422*0.295</f>
        <v>7.28355</v>
      </c>
      <c r="W422" s="3">
        <f>Y422*0.373</f>
        <v>9.2093699999999998</v>
      </c>
      <c r="Y422" s="3">
        <v>24.69</v>
      </c>
      <c r="AE422" s="3">
        <v>169</v>
      </c>
      <c r="AT422" s="4">
        <v>47.75</v>
      </c>
      <c r="AU422" s="4" t="s">
        <v>806</v>
      </c>
      <c r="AV422" s="3" t="s">
        <v>446</v>
      </c>
      <c r="AW422" s="3" t="s">
        <v>406</v>
      </c>
    </row>
    <row r="423" spans="1:49" s="6" customFormat="1" x14ac:dyDescent="0.15">
      <c r="A423" s="2">
        <v>422</v>
      </c>
      <c r="B423" s="5" t="s">
        <v>464</v>
      </c>
      <c r="C423" s="5" t="s">
        <v>465</v>
      </c>
      <c r="D423" s="5" t="s">
        <v>115</v>
      </c>
      <c r="E423" s="5" t="s">
        <v>444</v>
      </c>
      <c r="F423" s="5"/>
      <c r="G423" s="5"/>
      <c r="H423" s="5" t="s">
        <v>457</v>
      </c>
      <c r="I423" s="5" t="s">
        <v>462</v>
      </c>
      <c r="J423" s="5">
        <v>2006</v>
      </c>
      <c r="K423" s="5">
        <v>9</v>
      </c>
      <c r="L423" s="5">
        <v>2007</v>
      </c>
      <c r="M423" s="5">
        <v>4</v>
      </c>
      <c r="N423" s="6">
        <v>625</v>
      </c>
      <c r="O423" s="6">
        <f>56*2</f>
        <v>112</v>
      </c>
      <c r="P423" s="5">
        <v>32</v>
      </c>
      <c r="Q423" s="5">
        <v>57</v>
      </c>
      <c r="R423" s="5">
        <v>31</v>
      </c>
      <c r="S423" s="5">
        <v>4</v>
      </c>
      <c r="T423" s="6">
        <v>130</v>
      </c>
      <c r="AT423" s="4">
        <v>47.75</v>
      </c>
      <c r="AU423" s="4" t="s">
        <v>806</v>
      </c>
    </row>
    <row r="424" spans="1:49" s="6" customFormat="1" x14ac:dyDescent="0.15">
      <c r="A424" s="2">
        <v>423</v>
      </c>
      <c r="B424" s="5" t="s">
        <v>464</v>
      </c>
      <c r="C424" s="5" t="s">
        <v>465</v>
      </c>
      <c r="D424" s="5" t="s">
        <v>115</v>
      </c>
      <c r="E424" s="5" t="s">
        <v>39</v>
      </c>
      <c r="F424" s="5"/>
      <c r="G424" s="5"/>
      <c r="H424" s="5" t="s">
        <v>60</v>
      </c>
      <c r="I424" s="5" t="s">
        <v>25</v>
      </c>
      <c r="J424" s="5">
        <v>2007</v>
      </c>
      <c r="K424" s="5">
        <v>9</v>
      </c>
      <c r="L424" s="5">
        <v>2007</v>
      </c>
      <c r="M424" s="5">
        <v>4</v>
      </c>
      <c r="N424" s="6">
        <v>625</v>
      </c>
      <c r="O424" s="6">
        <f>56*2</f>
        <v>112</v>
      </c>
      <c r="P424" s="5">
        <v>32</v>
      </c>
      <c r="Q424" s="5">
        <v>57</v>
      </c>
      <c r="R424" s="5">
        <v>31</v>
      </c>
      <c r="S424" s="5">
        <v>4</v>
      </c>
      <c r="T424" s="6">
        <v>130</v>
      </c>
      <c r="AT424" s="4">
        <v>47.75</v>
      </c>
      <c r="AU424" s="4" t="s">
        <v>806</v>
      </c>
    </row>
    <row r="425" spans="1:49" x14ac:dyDescent="0.15">
      <c r="A425" s="2">
        <v>424</v>
      </c>
      <c r="B425" s="2" t="s">
        <v>468</v>
      </c>
      <c r="C425" s="2" t="s">
        <v>469</v>
      </c>
      <c r="D425" s="2" t="s">
        <v>115</v>
      </c>
      <c r="E425" s="2" t="s">
        <v>470</v>
      </c>
      <c r="F425" s="2" t="s">
        <v>471</v>
      </c>
      <c r="H425" s="2" t="s">
        <v>421</v>
      </c>
      <c r="I425" s="2" t="s">
        <v>439</v>
      </c>
      <c r="J425" s="2">
        <v>2006</v>
      </c>
      <c r="N425" s="3">
        <v>500</v>
      </c>
      <c r="O425" s="3">
        <v>30</v>
      </c>
      <c r="P425" s="2">
        <v>5</v>
      </c>
      <c r="Q425" s="2">
        <v>22</v>
      </c>
      <c r="R425" s="2">
        <v>22</v>
      </c>
      <c r="S425" s="2">
        <v>5</v>
      </c>
      <c r="T425" s="3">
        <v>54</v>
      </c>
      <c r="U425" s="3">
        <v>0.38</v>
      </c>
      <c r="V425" s="3">
        <v>10.76</v>
      </c>
      <c r="W425" s="3">
        <v>1.85</v>
      </c>
      <c r="X425" s="3">
        <v>0.28000000000000003</v>
      </c>
      <c r="Y425" s="3">
        <v>18.600000000000001</v>
      </c>
      <c r="AA425" s="3">
        <v>19</v>
      </c>
      <c r="AB425" s="3">
        <v>157</v>
      </c>
      <c r="AC425" s="3">
        <v>151</v>
      </c>
      <c r="AD425" s="3">
        <v>8</v>
      </c>
      <c r="AE425" s="3">
        <v>349</v>
      </c>
      <c r="AG425" s="3">
        <v>2.5866666666666669</v>
      </c>
      <c r="AH425" s="3">
        <v>0.25772509040103619</v>
      </c>
      <c r="AI425" s="3">
        <v>0.78666666666666663</v>
      </c>
      <c r="AJ425" s="3">
        <v>3.8586123009300734E-2</v>
      </c>
      <c r="AR425" s="3" t="s">
        <v>421</v>
      </c>
      <c r="AS425" s="3" t="s">
        <v>476</v>
      </c>
      <c r="AT425" s="3">
        <v>43.5</v>
      </c>
      <c r="AU425" s="3" t="s">
        <v>86</v>
      </c>
      <c r="AW425" s="3" t="s">
        <v>474</v>
      </c>
    </row>
    <row r="426" spans="1:49" x14ac:dyDescent="0.15">
      <c r="A426" s="2">
        <v>425</v>
      </c>
      <c r="B426" s="2" t="s">
        <v>468</v>
      </c>
      <c r="C426" s="2" t="s">
        <v>469</v>
      </c>
      <c r="D426" s="2" t="s">
        <v>115</v>
      </c>
      <c r="E426" s="2" t="s">
        <v>470</v>
      </c>
      <c r="F426" s="2" t="s">
        <v>471</v>
      </c>
      <c r="H426" s="2" t="s">
        <v>421</v>
      </c>
      <c r="I426" s="2" t="s">
        <v>439</v>
      </c>
      <c r="J426" s="2">
        <v>1980</v>
      </c>
      <c r="V426" s="3">
        <f>7.8*0.6154</f>
        <v>4.8001199999999997</v>
      </c>
      <c r="W426" s="3">
        <f>7.8*0.3462</f>
        <v>2.7003599999999999</v>
      </c>
      <c r="Y426" s="3">
        <v>7.8</v>
      </c>
      <c r="AT426" s="3">
        <v>47.75</v>
      </c>
      <c r="AU426" s="3" t="s">
        <v>880</v>
      </c>
      <c r="AV426" s="3" t="s">
        <v>475</v>
      </c>
      <c r="AW426" s="3" t="s">
        <v>406</v>
      </c>
    </row>
    <row r="427" spans="1:49" x14ac:dyDescent="0.15">
      <c r="A427" s="2">
        <v>426</v>
      </c>
      <c r="B427" s="2" t="s">
        <v>468</v>
      </c>
      <c r="C427" s="2" t="s">
        <v>469</v>
      </c>
      <c r="D427" s="2" t="s">
        <v>115</v>
      </c>
      <c r="E427" s="2" t="s">
        <v>470</v>
      </c>
      <c r="F427" s="2" t="s">
        <v>471</v>
      </c>
      <c r="H427" s="2" t="s">
        <v>421</v>
      </c>
      <c r="I427" s="2" t="s">
        <v>439</v>
      </c>
      <c r="J427" s="2">
        <v>1982</v>
      </c>
      <c r="V427" s="3">
        <f>1.41*0.5674</f>
        <v>0.80003400000000002</v>
      </c>
      <c r="W427" s="3">
        <f>1.41*0.4326</f>
        <v>0.6099659999999999</v>
      </c>
      <c r="Y427" s="3">
        <v>1.41</v>
      </c>
      <c r="AE427" s="3">
        <v>125</v>
      </c>
      <c r="AT427" s="3">
        <v>47.75</v>
      </c>
      <c r="AU427" s="3" t="s">
        <v>880</v>
      </c>
      <c r="AV427" s="3" t="s">
        <v>475</v>
      </c>
      <c r="AW427" s="3" t="s">
        <v>406</v>
      </c>
    </row>
    <row r="428" spans="1:49" x14ac:dyDescent="0.15">
      <c r="A428" s="2">
        <v>427</v>
      </c>
      <c r="B428" s="5" t="s">
        <v>477</v>
      </c>
      <c r="AT428" s="3">
        <v>47.75</v>
      </c>
      <c r="AU428" s="3" t="s">
        <v>880</v>
      </c>
    </row>
    <row r="429" spans="1:49" x14ac:dyDescent="0.15">
      <c r="A429" s="2">
        <v>428</v>
      </c>
      <c r="B429" s="5" t="s">
        <v>478</v>
      </c>
      <c r="AT429" s="3">
        <v>47.75</v>
      </c>
      <c r="AU429" s="3" t="s">
        <v>880</v>
      </c>
    </row>
    <row r="430" spans="1:49" x14ac:dyDescent="0.15">
      <c r="A430" s="2">
        <v>429</v>
      </c>
      <c r="B430" s="2" t="s">
        <v>479</v>
      </c>
      <c r="C430" s="2" t="s">
        <v>480</v>
      </c>
      <c r="D430" s="2" t="s">
        <v>155</v>
      </c>
      <c r="H430" s="2" t="s">
        <v>421</v>
      </c>
      <c r="I430" s="2" t="s">
        <v>462</v>
      </c>
      <c r="J430" s="2">
        <v>2006</v>
      </c>
      <c r="N430" s="3">
        <v>500</v>
      </c>
      <c r="O430" s="3">
        <v>60</v>
      </c>
      <c r="P430" s="2">
        <v>37</v>
      </c>
      <c r="Q430" s="2">
        <v>23</v>
      </c>
      <c r="R430" s="2">
        <v>84</v>
      </c>
      <c r="S430" s="2">
        <v>6</v>
      </c>
      <c r="T430" s="3">
        <v>163</v>
      </c>
      <c r="W430" s="3">
        <v>5.5</v>
      </c>
      <c r="Y430" s="3">
        <v>13.81</v>
      </c>
      <c r="AE430" s="3">
        <v>845</v>
      </c>
      <c r="AR430" s="3" t="s">
        <v>425</v>
      </c>
      <c r="AS430" s="4" t="s">
        <v>481</v>
      </c>
      <c r="AT430" s="3">
        <v>47.75</v>
      </c>
      <c r="AU430" s="3" t="s">
        <v>880</v>
      </c>
      <c r="AW430" s="3" t="s">
        <v>406</v>
      </c>
    </row>
    <row r="431" spans="1:49" x14ac:dyDescent="0.15">
      <c r="A431" s="2">
        <v>430</v>
      </c>
      <c r="B431" s="2" t="s">
        <v>482</v>
      </c>
      <c r="C431" s="2" t="s">
        <v>847</v>
      </c>
      <c r="D431" s="2" t="s">
        <v>483</v>
      </c>
      <c r="E431" s="2" t="s">
        <v>438</v>
      </c>
      <c r="F431" s="2" t="s">
        <v>484</v>
      </c>
      <c r="H431" s="2" t="s">
        <v>485</v>
      </c>
      <c r="I431" s="2" t="s">
        <v>486</v>
      </c>
      <c r="J431" s="2">
        <v>2005</v>
      </c>
      <c r="K431" s="2">
        <v>6</v>
      </c>
      <c r="L431" s="2">
        <v>2006</v>
      </c>
      <c r="M431" s="2">
        <v>3</v>
      </c>
      <c r="N431" s="3">
        <v>1000</v>
      </c>
      <c r="O431" s="3">
        <v>54</v>
      </c>
      <c r="P431" s="2">
        <v>18</v>
      </c>
      <c r="Q431" s="2">
        <v>25</v>
      </c>
      <c r="R431" s="2">
        <v>52</v>
      </c>
      <c r="S431" s="2">
        <v>1</v>
      </c>
      <c r="T431" s="3">
        <v>101</v>
      </c>
      <c r="U431" s="3">
        <f>Y431*0.175</f>
        <v>26.655999999999999</v>
      </c>
      <c r="V431" s="3">
        <f>Y431*0.743</f>
        <v>113.17375999999999</v>
      </c>
      <c r="W431" s="3">
        <f>Y431*0.074</f>
        <v>11.271679999999998</v>
      </c>
      <c r="Y431" s="3">
        <v>152.32</v>
      </c>
      <c r="Z431" s="3">
        <v>62.28</v>
      </c>
      <c r="AA431" s="3">
        <f>2084*0.05</f>
        <v>104.2</v>
      </c>
      <c r="AB431" s="3">
        <f>2084*0.478</f>
        <v>996.15199999999993</v>
      </c>
      <c r="AC431" s="3">
        <f>2084*0.471</f>
        <v>981.56399999999996</v>
      </c>
      <c r="AE431" s="3">
        <v>2084</v>
      </c>
      <c r="AF431" s="3">
        <v>1039</v>
      </c>
      <c r="AR431" s="3" t="s">
        <v>485</v>
      </c>
      <c r="AS431" s="4" t="s">
        <v>487</v>
      </c>
      <c r="AT431" s="3">
        <v>47.75</v>
      </c>
      <c r="AU431" s="3" t="s">
        <v>880</v>
      </c>
      <c r="AW431" s="3" t="s">
        <v>488</v>
      </c>
    </row>
    <row r="432" spans="1:49" x14ac:dyDescent="0.15">
      <c r="A432" s="2">
        <v>431</v>
      </c>
      <c r="B432" s="2" t="s">
        <v>482</v>
      </c>
      <c r="C432" s="2" t="s">
        <v>847</v>
      </c>
      <c r="D432" s="2" t="s">
        <v>155</v>
      </c>
      <c r="E432" s="2" t="s">
        <v>438</v>
      </c>
      <c r="F432" s="2" t="s">
        <v>484</v>
      </c>
      <c r="H432" s="2" t="s">
        <v>60</v>
      </c>
      <c r="I432" s="2" t="s">
        <v>25</v>
      </c>
      <c r="J432" s="2">
        <v>2006</v>
      </c>
      <c r="K432" s="2">
        <v>3</v>
      </c>
      <c r="L432" s="2">
        <v>2006</v>
      </c>
      <c r="M432" s="2">
        <v>3</v>
      </c>
      <c r="N432" s="3">
        <v>1000</v>
      </c>
      <c r="O432" s="3">
        <v>54</v>
      </c>
      <c r="P432" s="2">
        <v>18</v>
      </c>
      <c r="Q432" s="2">
        <v>25</v>
      </c>
      <c r="R432" s="2">
        <v>52</v>
      </c>
      <c r="S432" s="2">
        <v>1</v>
      </c>
      <c r="T432" s="3">
        <v>101</v>
      </c>
      <c r="U432" s="3">
        <f>Y432*0.175</f>
        <v>26.655999999999999</v>
      </c>
      <c r="V432" s="3">
        <f>Y432*0.743</f>
        <v>113.17375999999999</v>
      </c>
      <c r="W432" s="3">
        <f>Y432*0.074</f>
        <v>11.271679999999998</v>
      </c>
      <c r="Y432" s="3">
        <v>152.32</v>
      </c>
      <c r="Z432" s="3">
        <v>62.28</v>
      </c>
      <c r="AA432" s="3">
        <f>2084*0.05</f>
        <v>104.2</v>
      </c>
      <c r="AB432" s="3">
        <f>2084*0.478</f>
        <v>996.15199999999993</v>
      </c>
      <c r="AC432" s="3">
        <f>2084*0.471</f>
        <v>981.56399999999996</v>
      </c>
      <c r="AE432" s="3">
        <v>2084</v>
      </c>
      <c r="AF432" s="3">
        <v>1039</v>
      </c>
      <c r="AR432" s="3" t="s">
        <v>60</v>
      </c>
      <c r="AS432" s="4" t="s">
        <v>487</v>
      </c>
      <c r="AT432" s="3">
        <v>47.75</v>
      </c>
      <c r="AU432" s="3" t="s">
        <v>880</v>
      </c>
      <c r="AW432" s="3" t="s">
        <v>234</v>
      </c>
    </row>
    <row r="433" spans="1:49" x14ac:dyDescent="0.15">
      <c r="A433" s="2">
        <v>432</v>
      </c>
      <c r="B433" s="2" t="s">
        <v>489</v>
      </c>
      <c r="C433" s="2" t="s">
        <v>847</v>
      </c>
      <c r="D433" s="2" t="s">
        <v>155</v>
      </c>
      <c r="E433" s="2" t="s">
        <v>39</v>
      </c>
      <c r="H433" s="2" t="s">
        <v>485</v>
      </c>
      <c r="I433" s="2" t="s">
        <v>486</v>
      </c>
      <c r="J433" s="2">
        <v>2010</v>
      </c>
      <c r="K433" s="2">
        <v>10</v>
      </c>
      <c r="L433" s="2">
        <v>2011</v>
      </c>
      <c r="M433" s="2">
        <v>4</v>
      </c>
      <c r="N433" s="3">
        <v>625</v>
      </c>
      <c r="O433" s="3">
        <v>42</v>
      </c>
      <c r="P433" s="2">
        <v>16</v>
      </c>
      <c r="Q433" s="2">
        <v>32</v>
      </c>
      <c r="R433" s="2">
        <v>13</v>
      </c>
      <c r="T433" s="3">
        <v>67</v>
      </c>
      <c r="AR433" s="3" t="s">
        <v>490</v>
      </c>
      <c r="AS433" s="3" t="s">
        <v>491</v>
      </c>
      <c r="AT433" s="3">
        <v>43.5</v>
      </c>
      <c r="AU433" s="3" t="s">
        <v>86</v>
      </c>
      <c r="AW433" s="3" t="s">
        <v>488</v>
      </c>
    </row>
    <row r="434" spans="1:49" x14ac:dyDescent="0.15">
      <c r="A434" s="2">
        <v>433</v>
      </c>
      <c r="B434" s="2" t="s">
        <v>489</v>
      </c>
      <c r="C434" s="2" t="s">
        <v>847</v>
      </c>
      <c r="D434" s="2" t="s">
        <v>155</v>
      </c>
      <c r="E434" s="2" t="s">
        <v>39</v>
      </c>
      <c r="H434" s="2" t="s">
        <v>485</v>
      </c>
      <c r="I434" s="2" t="s">
        <v>486</v>
      </c>
      <c r="J434" s="2">
        <v>2010</v>
      </c>
      <c r="K434" s="2">
        <v>10</v>
      </c>
      <c r="N434" s="3">
        <v>625</v>
      </c>
      <c r="O434" s="3">
        <v>21</v>
      </c>
      <c r="U434" s="3">
        <v>10.9</v>
      </c>
      <c r="V434" s="3">
        <v>61.7</v>
      </c>
      <c r="W434" s="3">
        <v>0.9</v>
      </c>
      <c r="Y434" s="3">
        <v>73.900000000000006</v>
      </c>
      <c r="Z434" s="3">
        <v>78.8</v>
      </c>
      <c r="AA434" s="3">
        <v>23</v>
      </c>
      <c r="AB434" s="3">
        <v>56</v>
      </c>
      <c r="AC434" s="3">
        <v>12</v>
      </c>
      <c r="AE434" s="3">
        <v>91</v>
      </c>
      <c r="AF434" s="3">
        <v>80</v>
      </c>
      <c r="AG434" s="3">
        <v>2.3199999999999998</v>
      </c>
      <c r="AH434" s="3">
        <v>0.66</v>
      </c>
      <c r="AI434" s="3">
        <v>0.79</v>
      </c>
      <c r="AJ434" s="3">
        <v>0.22</v>
      </c>
      <c r="AM434" s="3">
        <v>1.84</v>
      </c>
      <c r="AN434" s="3">
        <v>0.47</v>
      </c>
      <c r="AR434" s="3" t="s">
        <v>490</v>
      </c>
      <c r="AS434" s="3" t="s">
        <v>491</v>
      </c>
      <c r="AT434" s="3">
        <v>43.5</v>
      </c>
      <c r="AU434" s="3" t="s">
        <v>86</v>
      </c>
      <c r="AW434" s="3" t="s">
        <v>488</v>
      </c>
    </row>
    <row r="435" spans="1:49" x14ac:dyDescent="0.15">
      <c r="A435" s="2">
        <v>434</v>
      </c>
      <c r="B435" s="2" t="s">
        <v>489</v>
      </c>
      <c r="C435" s="2" t="s">
        <v>847</v>
      </c>
      <c r="D435" s="2" t="s">
        <v>155</v>
      </c>
      <c r="E435" s="2" t="s">
        <v>39</v>
      </c>
      <c r="H435" s="2" t="s">
        <v>485</v>
      </c>
      <c r="I435" s="2" t="s">
        <v>486</v>
      </c>
      <c r="J435" s="2">
        <v>2011</v>
      </c>
      <c r="K435" s="2">
        <v>4</v>
      </c>
      <c r="N435" s="3">
        <v>625</v>
      </c>
      <c r="O435" s="3">
        <v>21</v>
      </c>
      <c r="U435" s="3">
        <v>6.1</v>
      </c>
      <c r="V435" s="3">
        <v>37.1</v>
      </c>
      <c r="W435" s="3">
        <v>2.5</v>
      </c>
      <c r="Y435" s="3">
        <v>45.8</v>
      </c>
      <c r="Z435" s="3">
        <v>58</v>
      </c>
      <c r="AA435" s="3">
        <v>54</v>
      </c>
      <c r="AB435" s="3">
        <v>121</v>
      </c>
      <c r="AC435" s="3">
        <v>20</v>
      </c>
      <c r="AE435" s="3">
        <v>195</v>
      </c>
      <c r="AF435" s="3">
        <v>220</v>
      </c>
      <c r="AG435" s="3">
        <v>1.8</v>
      </c>
      <c r="AH435" s="3">
        <v>0.8</v>
      </c>
      <c r="AI435" s="3">
        <v>0.7</v>
      </c>
      <c r="AJ435" s="3">
        <v>0.26</v>
      </c>
      <c r="AM435" s="3">
        <v>1.37</v>
      </c>
      <c r="AN435" s="3">
        <v>0.51</v>
      </c>
      <c r="AR435" s="3" t="s">
        <v>490</v>
      </c>
      <c r="AS435" s="3" t="s">
        <v>491</v>
      </c>
      <c r="AT435" s="3">
        <v>43.5</v>
      </c>
      <c r="AU435" s="3" t="s">
        <v>86</v>
      </c>
      <c r="AW435" s="3" t="s">
        <v>488</v>
      </c>
    </row>
    <row r="436" spans="1:49" x14ac:dyDescent="0.15">
      <c r="A436" s="2">
        <v>435</v>
      </c>
      <c r="B436" s="2" t="s">
        <v>492</v>
      </c>
      <c r="C436" s="2" t="s">
        <v>493</v>
      </c>
      <c r="D436" s="2" t="s">
        <v>495</v>
      </c>
      <c r="E436" s="2" t="s">
        <v>496</v>
      </c>
      <c r="H436" s="2" t="s">
        <v>485</v>
      </c>
      <c r="I436" s="2" t="s">
        <v>486</v>
      </c>
      <c r="J436" s="2">
        <v>2009</v>
      </c>
      <c r="K436" s="2">
        <v>8</v>
      </c>
      <c r="N436" s="3">
        <v>625</v>
      </c>
      <c r="O436" s="3">
        <v>14</v>
      </c>
      <c r="P436" s="2">
        <v>2</v>
      </c>
      <c r="Q436" s="2">
        <v>14</v>
      </c>
      <c r="S436" s="2">
        <v>1</v>
      </c>
      <c r="T436" s="3">
        <v>17</v>
      </c>
      <c r="U436" s="3">
        <v>3029.8</v>
      </c>
      <c r="V436" s="3">
        <v>15886.5</v>
      </c>
      <c r="X436" s="3">
        <v>56</v>
      </c>
      <c r="Y436" s="3">
        <v>18972.3</v>
      </c>
      <c r="AA436" s="3">
        <v>471.4</v>
      </c>
      <c r="AB436" s="3">
        <v>6864.3</v>
      </c>
      <c r="AD436" s="3">
        <v>71.400000000000006</v>
      </c>
      <c r="AE436" s="3">
        <v>7407.1</v>
      </c>
      <c r="AG436" s="3">
        <v>2.0099999999999998</v>
      </c>
      <c r="AI436" s="3">
        <v>0.65</v>
      </c>
      <c r="AM436" s="3">
        <v>2.39</v>
      </c>
      <c r="AR436" s="3" t="s">
        <v>485</v>
      </c>
      <c r="AS436" s="4" t="s">
        <v>497</v>
      </c>
      <c r="AT436" s="4">
        <v>47.75</v>
      </c>
      <c r="AU436" s="4" t="s">
        <v>883</v>
      </c>
      <c r="AW436" s="3" t="s">
        <v>488</v>
      </c>
    </row>
    <row r="437" spans="1:49" x14ac:dyDescent="0.15">
      <c r="A437" s="2">
        <v>436</v>
      </c>
      <c r="B437" s="2" t="s">
        <v>492</v>
      </c>
      <c r="C437" s="2" t="s">
        <v>494</v>
      </c>
      <c r="D437" s="2" t="s">
        <v>115</v>
      </c>
      <c r="E437" s="2" t="s">
        <v>496</v>
      </c>
      <c r="H437" s="2" t="s">
        <v>485</v>
      </c>
      <c r="I437" s="2" t="s">
        <v>486</v>
      </c>
      <c r="J437" s="2">
        <v>2009</v>
      </c>
      <c r="K437" s="2">
        <v>8</v>
      </c>
      <c r="N437" s="3">
        <v>625</v>
      </c>
      <c r="O437" s="3">
        <v>14</v>
      </c>
      <c r="P437" s="2">
        <v>2</v>
      </c>
      <c r="Q437" s="2">
        <v>16</v>
      </c>
      <c r="R437" s="2">
        <v>1</v>
      </c>
      <c r="T437" s="3">
        <v>20</v>
      </c>
      <c r="U437" s="3">
        <v>3762.2</v>
      </c>
      <c r="V437" s="3">
        <v>10208.6</v>
      </c>
      <c r="W437" s="3">
        <v>17.8</v>
      </c>
      <c r="Y437" s="3">
        <v>14062</v>
      </c>
      <c r="AA437" s="3">
        <v>914.3</v>
      </c>
      <c r="AB437" s="3">
        <v>5600</v>
      </c>
      <c r="AC437" s="3">
        <v>21.4</v>
      </c>
      <c r="AE437" s="3">
        <v>6550</v>
      </c>
      <c r="AG437" s="3">
        <v>2.08</v>
      </c>
      <c r="AI437" s="3">
        <v>0.62</v>
      </c>
      <c r="AM437" s="3">
        <v>3.16</v>
      </c>
      <c r="AR437" s="3" t="s">
        <v>485</v>
      </c>
      <c r="AS437" s="4" t="s">
        <v>497</v>
      </c>
      <c r="AT437" s="4">
        <v>47.75</v>
      </c>
      <c r="AU437" s="4" t="s">
        <v>883</v>
      </c>
      <c r="AW437" s="3" t="s">
        <v>488</v>
      </c>
    </row>
    <row r="438" spans="1:49" x14ac:dyDescent="0.15">
      <c r="A438" s="2">
        <v>437</v>
      </c>
      <c r="B438" s="2" t="s">
        <v>498</v>
      </c>
      <c r="C438" s="2" t="s">
        <v>447</v>
      </c>
      <c r="D438" s="2" t="s">
        <v>400</v>
      </c>
      <c r="E438" s="2" t="s">
        <v>496</v>
      </c>
      <c r="F438" s="2" t="s">
        <v>307</v>
      </c>
      <c r="H438" s="2" t="s">
        <v>485</v>
      </c>
      <c r="I438" s="2" t="s">
        <v>499</v>
      </c>
      <c r="J438" s="2">
        <v>2002</v>
      </c>
      <c r="K438" s="2">
        <v>7</v>
      </c>
      <c r="N438" s="3">
        <v>2500</v>
      </c>
      <c r="O438" s="3">
        <f>27*7</f>
        <v>189</v>
      </c>
      <c r="P438" s="2">
        <v>48</v>
      </c>
      <c r="Q438" s="2">
        <v>110</v>
      </c>
      <c r="R438" s="2">
        <v>8</v>
      </c>
      <c r="T438" s="3">
        <v>188</v>
      </c>
      <c r="AR438" s="3" t="s">
        <v>500</v>
      </c>
      <c r="AS438" s="3" t="s">
        <v>501</v>
      </c>
      <c r="AT438" s="3">
        <v>43.5</v>
      </c>
      <c r="AU438" s="3" t="s">
        <v>86</v>
      </c>
      <c r="AW438" s="3" t="s">
        <v>488</v>
      </c>
    </row>
    <row r="439" spans="1:49" x14ac:dyDescent="0.15">
      <c r="A439" s="2">
        <v>438</v>
      </c>
      <c r="B439" s="2" t="s">
        <v>498</v>
      </c>
      <c r="C439" s="2" t="s">
        <v>447</v>
      </c>
      <c r="D439" s="2" t="s">
        <v>400</v>
      </c>
      <c r="E439" s="2" t="s">
        <v>496</v>
      </c>
      <c r="F439" s="2" t="s">
        <v>307</v>
      </c>
      <c r="H439" s="2" t="s">
        <v>485</v>
      </c>
      <c r="I439" s="2" t="s">
        <v>499</v>
      </c>
      <c r="J439" s="2">
        <v>2002</v>
      </c>
      <c r="K439" s="2">
        <v>7</v>
      </c>
      <c r="N439" s="3">
        <v>2500</v>
      </c>
      <c r="O439" s="3">
        <v>27</v>
      </c>
      <c r="Y439" s="3">
        <v>126</v>
      </c>
      <c r="AE439" s="3">
        <v>345</v>
      </c>
      <c r="AG439" s="3">
        <v>2.86</v>
      </c>
      <c r="AI439" s="3">
        <v>0.52</v>
      </c>
      <c r="AO439" s="3">
        <v>6.9</v>
      </c>
      <c r="AP439" s="3">
        <v>20.65</v>
      </c>
      <c r="AR439" s="3" t="s">
        <v>500</v>
      </c>
      <c r="AS439" s="3" t="s">
        <v>501</v>
      </c>
      <c r="AT439" s="3">
        <v>43.5</v>
      </c>
      <c r="AU439" s="3" t="s">
        <v>86</v>
      </c>
      <c r="AW439" s="3" t="s">
        <v>502</v>
      </c>
    </row>
    <row r="440" spans="1:49" x14ac:dyDescent="0.15">
      <c r="A440" s="2">
        <v>439</v>
      </c>
      <c r="B440" s="2" t="s">
        <v>498</v>
      </c>
      <c r="C440" s="2" t="s">
        <v>447</v>
      </c>
      <c r="D440" s="2" t="s">
        <v>400</v>
      </c>
      <c r="E440" s="2" t="s">
        <v>496</v>
      </c>
      <c r="F440" s="2" t="s">
        <v>307</v>
      </c>
      <c r="H440" s="2" t="s">
        <v>485</v>
      </c>
      <c r="I440" s="2" t="s">
        <v>499</v>
      </c>
      <c r="J440" s="2">
        <v>2002</v>
      </c>
      <c r="K440" s="2">
        <v>7</v>
      </c>
      <c r="N440" s="3">
        <v>2500</v>
      </c>
      <c r="O440" s="3">
        <v>27</v>
      </c>
      <c r="Y440" s="3">
        <v>91</v>
      </c>
      <c r="AE440" s="3">
        <v>210</v>
      </c>
      <c r="AG440" s="3">
        <v>2.46</v>
      </c>
      <c r="AI440" s="3">
        <v>0.56000000000000005</v>
      </c>
      <c r="AO440" s="3">
        <v>7.6</v>
      </c>
      <c r="AP440" s="3">
        <v>19.63</v>
      </c>
      <c r="AR440" s="3" t="s">
        <v>500</v>
      </c>
      <c r="AS440" s="3" t="s">
        <v>501</v>
      </c>
      <c r="AT440" s="3">
        <v>43.5</v>
      </c>
      <c r="AU440" s="3" t="s">
        <v>86</v>
      </c>
      <c r="AW440" s="3" t="s">
        <v>502</v>
      </c>
    </row>
    <row r="441" spans="1:49" x14ac:dyDescent="0.15">
      <c r="A441" s="2">
        <v>440</v>
      </c>
      <c r="B441" s="2" t="s">
        <v>498</v>
      </c>
      <c r="C441" s="2" t="s">
        <v>447</v>
      </c>
      <c r="D441" s="2" t="s">
        <v>400</v>
      </c>
      <c r="E441" s="2" t="s">
        <v>496</v>
      </c>
      <c r="F441" s="2" t="s">
        <v>307</v>
      </c>
      <c r="H441" s="2" t="s">
        <v>485</v>
      </c>
      <c r="I441" s="2" t="s">
        <v>499</v>
      </c>
      <c r="J441" s="2">
        <v>2002</v>
      </c>
      <c r="K441" s="2">
        <v>7</v>
      </c>
      <c r="N441" s="3">
        <v>2500</v>
      </c>
      <c r="O441" s="3">
        <v>27</v>
      </c>
      <c r="Y441" s="3">
        <v>145</v>
      </c>
      <c r="AE441" s="3">
        <v>396</v>
      </c>
      <c r="AG441" s="3">
        <v>1.73</v>
      </c>
      <c r="AI441" s="3">
        <v>0.35</v>
      </c>
      <c r="AO441" s="3">
        <v>7.2</v>
      </c>
      <c r="AP441" s="3">
        <v>19.350000000000001</v>
      </c>
      <c r="AR441" s="3" t="s">
        <v>500</v>
      </c>
      <c r="AS441" s="3" t="s">
        <v>501</v>
      </c>
      <c r="AT441" s="3">
        <v>43.5</v>
      </c>
      <c r="AU441" s="3" t="s">
        <v>86</v>
      </c>
      <c r="AW441" s="3" t="s">
        <v>502</v>
      </c>
    </row>
    <row r="442" spans="1:49" x14ac:dyDescent="0.15">
      <c r="A442" s="2">
        <v>441</v>
      </c>
      <c r="B442" s="2" t="s">
        <v>498</v>
      </c>
      <c r="C442" s="2" t="s">
        <v>447</v>
      </c>
      <c r="D442" s="2" t="s">
        <v>400</v>
      </c>
      <c r="E442" s="2" t="s">
        <v>496</v>
      </c>
      <c r="F442" s="2" t="s">
        <v>307</v>
      </c>
      <c r="H442" s="2" t="s">
        <v>485</v>
      </c>
      <c r="I442" s="2" t="s">
        <v>499</v>
      </c>
      <c r="J442" s="2">
        <v>2002</v>
      </c>
      <c r="K442" s="2">
        <v>7</v>
      </c>
      <c r="N442" s="3">
        <v>2500</v>
      </c>
      <c r="O442" s="3">
        <v>27</v>
      </c>
      <c r="Y442" s="3">
        <v>92</v>
      </c>
      <c r="AE442" s="3">
        <v>191</v>
      </c>
      <c r="AG442" s="3">
        <v>1.6</v>
      </c>
      <c r="AI442" s="3">
        <v>0.53</v>
      </c>
      <c r="AO442" s="3">
        <v>7.6</v>
      </c>
      <c r="AP442" s="3">
        <v>17.559999999999999</v>
      </c>
      <c r="AR442" s="3" t="s">
        <v>500</v>
      </c>
      <c r="AS442" s="3" t="s">
        <v>501</v>
      </c>
      <c r="AT442" s="3">
        <v>43.5</v>
      </c>
      <c r="AU442" s="3" t="s">
        <v>86</v>
      </c>
      <c r="AW442" s="3" t="s">
        <v>502</v>
      </c>
    </row>
    <row r="443" spans="1:49" x14ac:dyDescent="0.15">
      <c r="A443" s="2">
        <v>442</v>
      </c>
      <c r="B443" s="2" t="s">
        <v>498</v>
      </c>
      <c r="C443" s="2" t="s">
        <v>447</v>
      </c>
      <c r="D443" s="2" t="s">
        <v>400</v>
      </c>
      <c r="E443" s="2" t="s">
        <v>496</v>
      </c>
      <c r="F443" s="2" t="s">
        <v>307</v>
      </c>
      <c r="H443" s="2" t="s">
        <v>485</v>
      </c>
      <c r="I443" s="2" t="s">
        <v>499</v>
      </c>
      <c r="J443" s="2">
        <v>2002</v>
      </c>
      <c r="K443" s="2">
        <v>7</v>
      </c>
      <c r="N443" s="3">
        <v>2500</v>
      </c>
      <c r="O443" s="3">
        <v>27</v>
      </c>
      <c r="Y443" s="3">
        <v>56</v>
      </c>
      <c r="AE443" s="3">
        <v>152</v>
      </c>
      <c r="AG443" s="3">
        <v>3.26</v>
      </c>
      <c r="AI443" s="3">
        <v>0.67</v>
      </c>
      <c r="AO443" s="3">
        <v>7.3</v>
      </c>
      <c r="AP443" s="3">
        <v>11.35</v>
      </c>
      <c r="AR443" s="3" t="s">
        <v>500</v>
      </c>
      <c r="AS443" s="3" t="s">
        <v>501</v>
      </c>
      <c r="AT443" s="3">
        <v>43.5</v>
      </c>
      <c r="AU443" s="3" t="s">
        <v>86</v>
      </c>
      <c r="AW443" s="3" t="s">
        <v>502</v>
      </c>
    </row>
    <row r="444" spans="1:49" x14ac:dyDescent="0.15">
      <c r="A444" s="2">
        <v>443</v>
      </c>
      <c r="B444" s="2" t="s">
        <v>498</v>
      </c>
      <c r="C444" s="2" t="s">
        <v>447</v>
      </c>
      <c r="D444" s="2" t="s">
        <v>400</v>
      </c>
      <c r="E444" s="2" t="s">
        <v>496</v>
      </c>
      <c r="F444" s="2" t="s">
        <v>307</v>
      </c>
      <c r="H444" s="2" t="s">
        <v>485</v>
      </c>
      <c r="I444" s="2" t="s">
        <v>499</v>
      </c>
      <c r="J444" s="2">
        <v>2002</v>
      </c>
      <c r="K444" s="2">
        <v>7</v>
      </c>
      <c r="N444" s="3">
        <v>2500</v>
      </c>
      <c r="O444" s="3">
        <v>27</v>
      </c>
      <c r="Y444" s="3">
        <v>167</v>
      </c>
      <c r="AE444" s="3">
        <v>425</v>
      </c>
      <c r="AG444" s="3">
        <v>2.0499999999999998</v>
      </c>
      <c r="AI444" s="3">
        <v>0.47</v>
      </c>
      <c r="AO444" s="3">
        <v>7.4</v>
      </c>
      <c r="AP444" s="3">
        <v>26.54</v>
      </c>
      <c r="AR444" s="3" t="s">
        <v>500</v>
      </c>
      <c r="AS444" s="3" t="s">
        <v>501</v>
      </c>
      <c r="AT444" s="3">
        <v>43.5</v>
      </c>
      <c r="AU444" s="3" t="s">
        <v>86</v>
      </c>
      <c r="AW444" s="3" t="s">
        <v>502</v>
      </c>
    </row>
    <row r="445" spans="1:49" x14ac:dyDescent="0.15">
      <c r="A445" s="2">
        <v>444</v>
      </c>
      <c r="B445" s="2" t="s">
        <v>498</v>
      </c>
      <c r="C445" s="2" t="s">
        <v>447</v>
      </c>
      <c r="D445" s="2" t="s">
        <v>400</v>
      </c>
      <c r="E445" s="2" t="s">
        <v>496</v>
      </c>
      <c r="F445" s="2" t="s">
        <v>307</v>
      </c>
      <c r="H445" s="2" t="s">
        <v>485</v>
      </c>
      <c r="I445" s="2" t="s">
        <v>499</v>
      </c>
      <c r="J445" s="2">
        <v>2002</v>
      </c>
      <c r="K445" s="2">
        <v>7</v>
      </c>
      <c r="N445" s="3">
        <v>2500</v>
      </c>
      <c r="O445" s="3">
        <v>27</v>
      </c>
      <c r="Y445" s="3">
        <v>92</v>
      </c>
      <c r="AE445" s="3">
        <v>229</v>
      </c>
      <c r="AG445" s="3">
        <v>1.95</v>
      </c>
      <c r="AI445" s="3">
        <v>0.65</v>
      </c>
      <c r="AO445" s="3">
        <v>8</v>
      </c>
      <c r="AP445" s="3">
        <v>20.350000000000001</v>
      </c>
      <c r="AR445" s="3" t="s">
        <v>500</v>
      </c>
      <c r="AS445" s="3" t="s">
        <v>501</v>
      </c>
      <c r="AT445" s="3">
        <v>43.5</v>
      </c>
      <c r="AU445" s="3" t="s">
        <v>86</v>
      </c>
      <c r="AW445" s="3" t="s">
        <v>502</v>
      </c>
    </row>
    <row r="446" spans="1:49" x14ac:dyDescent="0.15">
      <c r="A446" s="2">
        <v>445</v>
      </c>
      <c r="B446" s="2" t="s">
        <v>503</v>
      </c>
      <c r="C446" s="2" t="s">
        <v>486</v>
      </c>
      <c r="D446" s="2" t="s">
        <v>486</v>
      </c>
      <c r="E446" s="2" t="s">
        <v>496</v>
      </c>
      <c r="H446" s="2" t="s">
        <v>485</v>
      </c>
      <c r="I446" s="2" t="s">
        <v>486</v>
      </c>
      <c r="J446" s="2">
        <v>2000</v>
      </c>
      <c r="K446" s="2">
        <v>11</v>
      </c>
      <c r="L446" s="2">
        <v>2001</v>
      </c>
      <c r="M446" s="2">
        <v>4</v>
      </c>
      <c r="N446" s="3">
        <v>1000</v>
      </c>
      <c r="O446" s="3">
        <v>44</v>
      </c>
      <c r="P446" s="2">
        <v>118</v>
      </c>
      <c r="Q446" s="2">
        <v>131</v>
      </c>
      <c r="R446" s="2">
        <v>95</v>
      </c>
      <c r="S446" s="2">
        <v>48</v>
      </c>
      <c r="T446" s="3">
        <v>392</v>
      </c>
      <c r="U446" s="3">
        <v>1.22</v>
      </c>
      <c r="V446" s="3">
        <v>0.61</v>
      </c>
      <c r="W446" s="3">
        <v>2.59</v>
      </c>
      <c r="X446" s="3">
        <v>2.27</v>
      </c>
      <c r="Y446" s="3">
        <v>8</v>
      </c>
      <c r="AR446" s="3" t="s">
        <v>500</v>
      </c>
      <c r="AT446" s="3">
        <v>47.75</v>
      </c>
      <c r="AU446" s="3" t="s">
        <v>884</v>
      </c>
      <c r="AW446" s="3" t="s">
        <v>488</v>
      </c>
    </row>
    <row r="447" spans="1:49" x14ac:dyDescent="0.15">
      <c r="A447" s="2">
        <v>446</v>
      </c>
      <c r="B447" s="2" t="s">
        <v>503</v>
      </c>
      <c r="C447" s="2" t="s">
        <v>486</v>
      </c>
      <c r="D447" s="2" t="s">
        <v>486</v>
      </c>
      <c r="E447" s="2" t="s">
        <v>496</v>
      </c>
      <c r="H447" s="2" t="s">
        <v>485</v>
      </c>
      <c r="I447" s="2" t="s">
        <v>486</v>
      </c>
      <c r="J447" s="2">
        <v>2001</v>
      </c>
      <c r="K447" s="2">
        <v>4</v>
      </c>
      <c r="N447" s="3">
        <v>1000</v>
      </c>
      <c r="O447" s="3">
        <v>22</v>
      </c>
      <c r="U447" s="3">
        <v>0.46</v>
      </c>
      <c r="V447" s="3">
        <v>0.46</v>
      </c>
      <c r="W447" s="3">
        <v>3.09</v>
      </c>
      <c r="X447" s="3">
        <v>3.05</v>
      </c>
      <c r="Y447" s="3">
        <v>7.21</v>
      </c>
      <c r="AA447" s="3">
        <v>30.23</v>
      </c>
      <c r="AB447" s="3">
        <v>6.59</v>
      </c>
      <c r="AC447" s="3">
        <v>74.319999999999993</v>
      </c>
      <c r="AD447" s="3">
        <v>8.86</v>
      </c>
      <c r="AE447" s="3">
        <v>132.94999999999999</v>
      </c>
      <c r="AR447" s="3" t="s">
        <v>500</v>
      </c>
      <c r="AT447" s="3">
        <v>47.75</v>
      </c>
      <c r="AU447" s="3" t="s">
        <v>884</v>
      </c>
      <c r="AW447" s="3" t="s">
        <v>488</v>
      </c>
    </row>
    <row r="448" spans="1:49" x14ac:dyDescent="0.15">
      <c r="A448" s="2">
        <v>447</v>
      </c>
      <c r="B448" s="2" t="s">
        <v>503</v>
      </c>
      <c r="C448" s="2" t="s">
        <v>486</v>
      </c>
      <c r="D448" s="2" t="s">
        <v>486</v>
      </c>
      <c r="E448" s="2" t="s">
        <v>496</v>
      </c>
      <c r="H448" s="2" t="s">
        <v>485</v>
      </c>
      <c r="I448" s="2" t="s">
        <v>486</v>
      </c>
      <c r="J448" s="2">
        <v>2000</v>
      </c>
      <c r="K448" s="2">
        <v>11</v>
      </c>
      <c r="N448" s="3">
        <v>1000</v>
      </c>
      <c r="O448" s="3">
        <v>22</v>
      </c>
      <c r="U448" s="3">
        <v>1.98</v>
      </c>
      <c r="V448" s="3">
        <v>0.76</v>
      </c>
      <c r="W448" s="3">
        <v>4.09</v>
      </c>
      <c r="X448" s="3">
        <v>1.49</v>
      </c>
      <c r="Y448" s="3">
        <v>8.7899999999999991</v>
      </c>
      <c r="AA448" s="3">
        <v>22.14</v>
      </c>
      <c r="AB448" s="3">
        <v>19.96</v>
      </c>
      <c r="AC448" s="3">
        <v>52.55</v>
      </c>
      <c r="AD448" s="3">
        <v>4.7699999999999996</v>
      </c>
      <c r="AE448" s="3">
        <v>101.45</v>
      </c>
      <c r="AR448" s="3" t="s">
        <v>500</v>
      </c>
      <c r="AT448" s="3">
        <v>47.75</v>
      </c>
      <c r="AU448" s="3" t="s">
        <v>884</v>
      </c>
      <c r="AW448" s="3" t="s">
        <v>488</v>
      </c>
    </row>
    <row r="449" spans="1:49" x14ac:dyDescent="0.15">
      <c r="A449" s="2">
        <v>448</v>
      </c>
      <c r="B449" s="2" t="s">
        <v>503</v>
      </c>
      <c r="C449" s="2" t="s">
        <v>486</v>
      </c>
      <c r="D449" s="2" t="s">
        <v>486</v>
      </c>
      <c r="E449" s="2" t="s">
        <v>496</v>
      </c>
      <c r="H449" s="2" t="s">
        <v>485</v>
      </c>
      <c r="I449" s="2" t="s">
        <v>486</v>
      </c>
      <c r="J449" s="2">
        <v>1976</v>
      </c>
      <c r="K449" s="2">
        <v>8</v>
      </c>
      <c r="U449" s="3">
        <v>1.1000000000000001</v>
      </c>
      <c r="V449" s="3">
        <v>5.4</v>
      </c>
      <c r="W449" s="3">
        <v>2.6</v>
      </c>
      <c r="X449" s="3">
        <v>1</v>
      </c>
      <c r="Y449" s="3">
        <v>11.8</v>
      </c>
      <c r="AR449" s="3" t="s">
        <v>500</v>
      </c>
      <c r="AT449" s="3">
        <v>47.75</v>
      </c>
      <c r="AU449" s="3" t="s">
        <v>884</v>
      </c>
      <c r="AV449" s="3" t="s">
        <v>504</v>
      </c>
      <c r="AW449" s="3" t="s">
        <v>488</v>
      </c>
    </row>
    <row r="450" spans="1:49" x14ac:dyDescent="0.15">
      <c r="A450" s="2">
        <v>449</v>
      </c>
      <c r="B450" s="2" t="s">
        <v>503</v>
      </c>
      <c r="C450" s="2" t="s">
        <v>486</v>
      </c>
      <c r="D450" s="2" t="s">
        <v>486</v>
      </c>
      <c r="E450" s="2" t="s">
        <v>496</v>
      </c>
      <c r="H450" s="2" t="s">
        <v>485</v>
      </c>
      <c r="I450" s="2" t="s">
        <v>486</v>
      </c>
      <c r="J450" s="2">
        <v>1959</v>
      </c>
      <c r="K450" s="2">
        <v>5</v>
      </c>
      <c r="U450" s="3">
        <v>0.94</v>
      </c>
      <c r="V450" s="3">
        <v>2.94</v>
      </c>
      <c r="W450" s="3">
        <v>2.89</v>
      </c>
      <c r="X450" s="3">
        <v>29.6</v>
      </c>
      <c r="Y450" s="3">
        <v>38.93</v>
      </c>
      <c r="AR450" s="3" t="s">
        <v>500</v>
      </c>
      <c r="AT450" s="3">
        <v>47.75</v>
      </c>
      <c r="AU450" s="3" t="s">
        <v>884</v>
      </c>
      <c r="AV450" s="3" t="s">
        <v>504</v>
      </c>
      <c r="AW450" s="3" t="s">
        <v>488</v>
      </c>
    </row>
    <row r="451" spans="1:49" x14ac:dyDescent="0.15">
      <c r="A451" s="2">
        <v>450</v>
      </c>
      <c r="B451" s="2" t="s">
        <v>503</v>
      </c>
      <c r="C451" s="2" t="s">
        <v>486</v>
      </c>
      <c r="D451" s="2" t="s">
        <v>486</v>
      </c>
      <c r="E451" s="2" t="s">
        <v>496</v>
      </c>
      <c r="H451" s="2" t="s">
        <v>485</v>
      </c>
      <c r="I451" s="2" t="s">
        <v>486</v>
      </c>
      <c r="J451" s="2">
        <v>1959</v>
      </c>
      <c r="K451" s="2">
        <v>10</v>
      </c>
      <c r="U451" s="3">
        <v>1.35</v>
      </c>
      <c r="V451" s="3">
        <v>3.09</v>
      </c>
      <c r="W451" s="3">
        <v>3.19</v>
      </c>
      <c r="X451" s="3">
        <v>17.149999999999999</v>
      </c>
      <c r="Y451" s="3">
        <v>26.99</v>
      </c>
      <c r="AR451" s="3" t="s">
        <v>500</v>
      </c>
      <c r="AT451" s="3">
        <v>47.75</v>
      </c>
      <c r="AU451" s="3" t="s">
        <v>884</v>
      </c>
      <c r="AV451" s="3" t="s">
        <v>504</v>
      </c>
      <c r="AW451" s="3" t="s">
        <v>488</v>
      </c>
    </row>
    <row r="452" spans="1:49" x14ac:dyDescent="0.15">
      <c r="A452" s="2">
        <v>451</v>
      </c>
      <c r="B452" s="2" t="s">
        <v>505</v>
      </c>
      <c r="C452" s="2" t="s">
        <v>845</v>
      </c>
      <c r="D452" s="2" t="s">
        <v>506</v>
      </c>
      <c r="E452" s="2" t="s">
        <v>496</v>
      </c>
      <c r="H452" s="2" t="s">
        <v>485</v>
      </c>
      <c r="I452" s="2" t="s">
        <v>506</v>
      </c>
      <c r="J452" s="2">
        <v>2000</v>
      </c>
      <c r="K452" s="2">
        <v>10</v>
      </c>
      <c r="L452" s="2">
        <v>2001</v>
      </c>
      <c r="M452" s="2">
        <v>3</v>
      </c>
      <c r="N452" s="3">
        <v>1000</v>
      </c>
      <c r="O452" s="3">
        <v>34</v>
      </c>
      <c r="P452" s="2">
        <v>83</v>
      </c>
      <c r="Q452" s="2">
        <v>76</v>
      </c>
      <c r="R452" s="2">
        <v>84</v>
      </c>
      <c r="S452" s="2">
        <v>29</v>
      </c>
      <c r="T452" s="3">
        <v>272</v>
      </c>
      <c r="AR452" s="3" t="s">
        <v>500</v>
      </c>
      <c r="AS452" s="4" t="s">
        <v>497</v>
      </c>
      <c r="AT452" s="3">
        <v>47.75</v>
      </c>
      <c r="AU452" s="3" t="s">
        <v>884</v>
      </c>
      <c r="AW452" s="3" t="s">
        <v>488</v>
      </c>
    </row>
    <row r="453" spans="1:49" x14ac:dyDescent="0.15">
      <c r="A453" s="2">
        <v>452</v>
      </c>
      <c r="B453" s="2" t="s">
        <v>505</v>
      </c>
      <c r="C453" s="2" t="s">
        <v>845</v>
      </c>
      <c r="D453" s="2" t="s">
        <v>506</v>
      </c>
      <c r="E453" s="2" t="s">
        <v>496</v>
      </c>
      <c r="H453" s="2" t="s">
        <v>485</v>
      </c>
      <c r="I453" s="2" t="s">
        <v>506</v>
      </c>
      <c r="J453" s="2">
        <v>2001</v>
      </c>
      <c r="K453" s="2">
        <v>3</v>
      </c>
      <c r="U453" s="3">
        <v>0.56000000000000005</v>
      </c>
      <c r="V453" s="3">
        <v>1.32</v>
      </c>
      <c r="W453" s="3">
        <v>3.58</v>
      </c>
      <c r="X453" s="3">
        <v>5.32</v>
      </c>
      <c r="Y453" s="3">
        <v>15.3</v>
      </c>
      <c r="AA453" s="3">
        <v>40.68</v>
      </c>
      <c r="AB453" s="3">
        <v>26.18</v>
      </c>
      <c r="AC453" s="3">
        <v>75.349999999999994</v>
      </c>
      <c r="AD453" s="3">
        <v>1.18</v>
      </c>
      <c r="AE453" s="3">
        <v>160.91</v>
      </c>
      <c r="AR453" s="3" t="s">
        <v>500</v>
      </c>
      <c r="AS453" s="4" t="s">
        <v>497</v>
      </c>
      <c r="AT453" s="3">
        <v>47.75</v>
      </c>
      <c r="AU453" s="3" t="s">
        <v>884</v>
      </c>
      <c r="AW453" s="3" t="s">
        <v>488</v>
      </c>
    </row>
    <row r="454" spans="1:49" x14ac:dyDescent="0.15">
      <c r="A454" s="2">
        <v>453</v>
      </c>
      <c r="B454" s="2" t="s">
        <v>505</v>
      </c>
      <c r="C454" s="2" t="s">
        <v>845</v>
      </c>
      <c r="D454" s="2" t="s">
        <v>506</v>
      </c>
      <c r="E454" s="2" t="s">
        <v>496</v>
      </c>
      <c r="H454" s="2" t="s">
        <v>485</v>
      </c>
      <c r="I454" s="2" t="s">
        <v>506</v>
      </c>
      <c r="J454" s="2">
        <v>2000</v>
      </c>
      <c r="K454" s="2">
        <v>10</v>
      </c>
      <c r="U454" s="3">
        <v>7.11</v>
      </c>
      <c r="V454" s="3">
        <v>5.7</v>
      </c>
      <c r="W454" s="3">
        <v>7.67</v>
      </c>
      <c r="X454" s="3">
        <v>7.17</v>
      </c>
      <c r="Y454" s="3">
        <v>45.39</v>
      </c>
      <c r="AA454" s="3">
        <v>48.24</v>
      </c>
      <c r="AB454" s="3">
        <v>26.18</v>
      </c>
      <c r="AC454" s="3">
        <v>46.76</v>
      </c>
      <c r="AD454" s="3">
        <v>1.18</v>
      </c>
      <c r="AE454" s="3">
        <v>152.79</v>
      </c>
      <c r="AR454" s="3" t="s">
        <v>500</v>
      </c>
      <c r="AS454" s="4" t="s">
        <v>497</v>
      </c>
      <c r="AT454" s="3">
        <v>47.75</v>
      </c>
      <c r="AU454" s="3" t="s">
        <v>884</v>
      </c>
      <c r="AW454" s="3" t="s">
        <v>488</v>
      </c>
    </row>
    <row r="455" spans="1:49" x14ac:dyDescent="0.15">
      <c r="A455" s="2">
        <v>454</v>
      </c>
      <c r="B455" s="2" t="s">
        <v>505</v>
      </c>
      <c r="C455" s="2" t="s">
        <v>845</v>
      </c>
      <c r="D455" s="2" t="s">
        <v>506</v>
      </c>
      <c r="E455" s="2" t="s">
        <v>496</v>
      </c>
      <c r="H455" s="2" t="s">
        <v>485</v>
      </c>
      <c r="I455" s="2" t="s">
        <v>506</v>
      </c>
      <c r="J455" s="2">
        <v>1959</v>
      </c>
      <c r="K455" s="2">
        <v>4</v>
      </c>
      <c r="AA455" s="3">
        <v>1.79</v>
      </c>
      <c r="AB455" s="3">
        <v>10.81</v>
      </c>
      <c r="AC455" s="3">
        <v>4.09</v>
      </c>
      <c r="AD455" s="3">
        <v>5.08</v>
      </c>
      <c r="AE455" s="3">
        <v>26.63</v>
      </c>
      <c r="AR455" s="3" t="s">
        <v>500</v>
      </c>
      <c r="AS455" s="4" t="s">
        <v>497</v>
      </c>
      <c r="AT455" s="3">
        <v>47.75</v>
      </c>
      <c r="AU455" s="3" t="s">
        <v>884</v>
      </c>
      <c r="AV455" s="3" t="s">
        <v>504</v>
      </c>
      <c r="AW455" s="3" t="s">
        <v>488</v>
      </c>
    </row>
    <row r="456" spans="1:49" x14ac:dyDescent="0.15">
      <c r="A456" s="2">
        <v>455</v>
      </c>
      <c r="B456" s="2" t="s">
        <v>505</v>
      </c>
      <c r="C456" s="2" t="s">
        <v>845</v>
      </c>
      <c r="D456" s="2" t="s">
        <v>506</v>
      </c>
      <c r="E456" s="2" t="s">
        <v>496</v>
      </c>
      <c r="H456" s="2" t="s">
        <v>485</v>
      </c>
      <c r="I456" s="2" t="s">
        <v>506</v>
      </c>
      <c r="J456" s="2">
        <v>1959</v>
      </c>
      <c r="K456" s="2">
        <v>10</v>
      </c>
      <c r="AA456" s="3">
        <v>0.73</v>
      </c>
      <c r="AB456" s="3">
        <v>6.5</v>
      </c>
      <c r="AC456" s="3">
        <v>3.52</v>
      </c>
      <c r="AD456" s="3">
        <v>4.08</v>
      </c>
      <c r="AE456" s="3">
        <v>16.39</v>
      </c>
      <c r="AR456" s="3" t="s">
        <v>500</v>
      </c>
      <c r="AS456" s="4" t="s">
        <v>497</v>
      </c>
      <c r="AT456" s="3">
        <v>47.75</v>
      </c>
      <c r="AU456" s="3" t="s">
        <v>884</v>
      </c>
      <c r="AV456" s="3" t="s">
        <v>504</v>
      </c>
      <c r="AW456" s="3" t="s">
        <v>488</v>
      </c>
    </row>
    <row r="457" spans="1:49" x14ac:dyDescent="0.15">
      <c r="A457" s="2">
        <v>456</v>
      </c>
      <c r="B457" s="2" t="s">
        <v>507</v>
      </c>
      <c r="C457" s="2" t="s">
        <v>210</v>
      </c>
      <c r="D457" s="2" t="s">
        <v>210</v>
      </c>
      <c r="E457" s="2" t="s">
        <v>496</v>
      </c>
      <c r="H457" s="2" t="s">
        <v>485</v>
      </c>
      <c r="I457" s="2" t="s">
        <v>486</v>
      </c>
      <c r="J457" s="2">
        <v>2005</v>
      </c>
      <c r="K457" s="2">
        <v>5</v>
      </c>
      <c r="L457" s="2">
        <v>2006</v>
      </c>
      <c r="M457" s="2">
        <v>6</v>
      </c>
      <c r="N457" s="3">
        <v>1000</v>
      </c>
      <c r="O457" s="3">
        <v>170</v>
      </c>
      <c r="P457" s="2">
        <v>67</v>
      </c>
      <c r="Q457" s="2">
        <v>122</v>
      </c>
      <c r="R457" s="2">
        <v>83</v>
      </c>
      <c r="S457" s="2">
        <v>23</v>
      </c>
      <c r="T457" s="3">
        <v>330</v>
      </c>
      <c r="Y457" s="3">
        <v>12.8</v>
      </c>
      <c r="Z457" s="3">
        <v>2.2999999999999998</v>
      </c>
      <c r="AE457" s="3">
        <v>146.4</v>
      </c>
      <c r="AF457" s="3">
        <v>22.3</v>
      </c>
      <c r="AG457" s="3">
        <v>1.72</v>
      </c>
      <c r="AH457" s="3">
        <v>0.16</v>
      </c>
      <c r="AI457" s="3">
        <v>0.64</v>
      </c>
      <c r="AJ457" s="3">
        <v>0.04</v>
      </c>
      <c r="AM457" s="3">
        <v>1.37</v>
      </c>
      <c r="AN457" s="3">
        <v>0.19</v>
      </c>
      <c r="AR457" s="3" t="s">
        <v>500</v>
      </c>
      <c r="AT457" s="3">
        <v>47.75</v>
      </c>
      <c r="AU457" s="3" t="s">
        <v>884</v>
      </c>
      <c r="AW457" s="3" t="s">
        <v>488</v>
      </c>
    </row>
    <row r="458" spans="1:49" x14ac:dyDescent="0.15">
      <c r="A458" s="2">
        <v>457</v>
      </c>
      <c r="B458" s="2" t="s">
        <v>507</v>
      </c>
      <c r="C458" s="2" t="s">
        <v>846</v>
      </c>
      <c r="D458" s="2" t="s">
        <v>210</v>
      </c>
      <c r="E458" s="2" t="s">
        <v>496</v>
      </c>
      <c r="H458" s="2" t="s">
        <v>485</v>
      </c>
      <c r="I458" s="2" t="s">
        <v>486</v>
      </c>
      <c r="J458" s="2">
        <v>2005</v>
      </c>
      <c r="K458" s="2">
        <v>5</v>
      </c>
      <c r="L458" s="2">
        <v>2006</v>
      </c>
      <c r="M458" s="2">
        <v>6</v>
      </c>
      <c r="N458" s="3">
        <v>1000</v>
      </c>
      <c r="O458" s="3">
        <v>42</v>
      </c>
      <c r="Y458" s="3">
        <v>3.2</v>
      </c>
      <c r="Z458" s="3">
        <v>2.5</v>
      </c>
      <c r="AE458" s="3">
        <v>25.5</v>
      </c>
      <c r="AF458" s="3">
        <v>7.3</v>
      </c>
      <c r="AG458" s="3">
        <v>0.67</v>
      </c>
      <c r="AH458" s="3">
        <v>0.17</v>
      </c>
      <c r="AI458" s="3">
        <v>0.44</v>
      </c>
      <c r="AJ458" s="3">
        <v>0.1</v>
      </c>
      <c r="AM458" s="3">
        <v>0.28000000000000003</v>
      </c>
      <c r="AN458" s="3">
        <v>0.08</v>
      </c>
      <c r="AR458" s="3" t="s">
        <v>500</v>
      </c>
      <c r="AT458" s="3">
        <v>47.75</v>
      </c>
      <c r="AU458" s="3" t="s">
        <v>884</v>
      </c>
      <c r="AW458" s="3" t="s">
        <v>488</v>
      </c>
    </row>
    <row r="459" spans="1:49" x14ac:dyDescent="0.15">
      <c r="A459" s="2">
        <v>458</v>
      </c>
      <c r="B459" s="2" t="s">
        <v>507</v>
      </c>
      <c r="C459" s="2" t="s">
        <v>116</v>
      </c>
      <c r="D459" s="2" t="s">
        <v>210</v>
      </c>
      <c r="E459" s="2" t="s">
        <v>496</v>
      </c>
      <c r="H459" s="2" t="s">
        <v>485</v>
      </c>
      <c r="I459" s="2" t="s">
        <v>486</v>
      </c>
      <c r="J459" s="2">
        <v>2005</v>
      </c>
      <c r="K459" s="2">
        <v>5</v>
      </c>
      <c r="L459" s="2">
        <v>2006</v>
      </c>
      <c r="M459" s="2">
        <v>6</v>
      </c>
      <c r="N459" s="3">
        <v>1000</v>
      </c>
      <c r="O459" s="3">
        <v>18</v>
      </c>
      <c r="Y459" s="3">
        <v>10</v>
      </c>
      <c r="Z459" s="3">
        <v>9.5</v>
      </c>
      <c r="AE459" s="3">
        <v>21.1</v>
      </c>
      <c r="AF459" s="3">
        <v>7.9</v>
      </c>
      <c r="AG459" s="3">
        <v>0.85</v>
      </c>
      <c r="AH459" s="3">
        <v>0.41</v>
      </c>
      <c r="AI459" s="3">
        <v>0.59</v>
      </c>
      <c r="AJ459" s="3">
        <v>0.24</v>
      </c>
      <c r="AM459" s="3">
        <v>0.34</v>
      </c>
      <c r="AN459" s="3">
        <v>0.19</v>
      </c>
      <c r="AR459" s="3" t="s">
        <v>500</v>
      </c>
      <c r="AT459" s="3">
        <v>47.75</v>
      </c>
      <c r="AU459" s="3" t="s">
        <v>884</v>
      </c>
      <c r="AW459" s="3" t="s">
        <v>488</v>
      </c>
    </row>
    <row r="460" spans="1:49" x14ac:dyDescent="0.15">
      <c r="A460" s="2">
        <v>459</v>
      </c>
      <c r="B460" s="2" t="s">
        <v>507</v>
      </c>
      <c r="C460" s="2" t="s">
        <v>210</v>
      </c>
      <c r="D460" s="2" t="s">
        <v>210</v>
      </c>
      <c r="E460" s="2" t="s">
        <v>496</v>
      </c>
      <c r="H460" s="2" t="s">
        <v>485</v>
      </c>
      <c r="I460" s="2" t="s">
        <v>486</v>
      </c>
      <c r="J460" s="2">
        <v>2005</v>
      </c>
      <c r="K460" s="2">
        <v>5</v>
      </c>
      <c r="L460" s="2">
        <v>2006</v>
      </c>
      <c r="M460" s="2">
        <v>6</v>
      </c>
      <c r="N460" s="3">
        <v>1000</v>
      </c>
      <c r="O460" s="3">
        <v>50</v>
      </c>
      <c r="U460" s="3">
        <v>2.96</v>
      </c>
      <c r="V460" s="3">
        <v>4.83</v>
      </c>
      <c r="W460" s="3">
        <v>8.64</v>
      </c>
      <c r="X460" s="3">
        <v>2.35</v>
      </c>
      <c r="Y460" s="3">
        <v>19.899999999999999</v>
      </c>
      <c r="Z460" s="3">
        <v>5.2</v>
      </c>
      <c r="AE460" s="3">
        <v>173.7</v>
      </c>
      <c r="AF460" s="3">
        <v>40.200000000000003</v>
      </c>
      <c r="AG460" s="3">
        <v>1.73</v>
      </c>
      <c r="AH460" s="3">
        <v>0.25</v>
      </c>
      <c r="AI460" s="3">
        <v>0.65</v>
      </c>
      <c r="AJ460" s="3">
        <v>7.0000000000000007E-2</v>
      </c>
      <c r="AM460" s="3">
        <v>1.19</v>
      </c>
      <c r="AN460" s="3">
        <v>0.27</v>
      </c>
      <c r="AR460" s="3" t="s">
        <v>500</v>
      </c>
      <c r="AT460" s="3">
        <v>47.75</v>
      </c>
      <c r="AU460" s="3" t="s">
        <v>884</v>
      </c>
      <c r="AW460" s="3" t="s">
        <v>488</v>
      </c>
    </row>
    <row r="461" spans="1:49" x14ac:dyDescent="0.15">
      <c r="A461" s="2">
        <v>460</v>
      </c>
      <c r="B461" s="2" t="s">
        <v>507</v>
      </c>
      <c r="C461" s="2" t="s">
        <v>132</v>
      </c>
      <c r="D461" s="2" t="s">
        <v>210</v>
      </c>
      <c r="E461" s="2" t="s">
        <v>496</v>
      </c>
      <c r="H461" s="2" t="s">
        <v>485</v>
      </c>
      <c r="I461" s="2" t="s">
        <v>486</v>
      </c>
      <c r="J461" s="2">
        <v>2005</v>
      </c>
      <c r="K461" s="2">
        <v>5</v>
      </c>
      <c r="L461" s="2">
        <v>2006</v>
      </c>
      <c r="M461" s="2">
        <v>6</v>
      </c>
      <c r="N461" s="3">
        <v>1000</v>
      </c>
      <c r="O461" s="3">
        <v>44</v>
      </c>
      <c r="Y461" s="3">
        <v>14.8</v>
      </c>
      <c r="Z461" s="3">
        <v>5.4</v>
      </c>
      <c r="AE461" s="3">
        <v>128.4</v>
      </c>
      <c r="AF461" s="3">
        <v>35.5</v>
      </c>
      <c r="AG461" s="3">
        <v>1.74</v>
      </c>
      <c r="AH461" s="3">
        <v>0.25</v>
      </c>
      <c r="AI461" s="3">
        <v>0.73</v>
      </c>
      <c r="AJ461" s="3">
        <v>0.08</v>
      </c>
      <c r="AM461" s="3">
        <v>1.17</v>
      </c>
      <c r="AN461" s="3">
        <v>0.27</v>
      </c>
      <c r="AR461" s="3" t="s">
        <v>500</v>
      </c>
      <c r="AT461" s="3">
        <v>47.75</v>
      </c>
      <c r="AU461" s="3" t="s">
        <v>884</v>
      </c>
      <c r="AW461" s="3" t="s">
        <v>488</v>
      </c>
    </row>
    <row r="462" spans="1:49" x14ac:dyDescent="0.15">
      <c r="A462" s="2">
        <v>461</v>
      </c>
      <c r="B462" s="2" t="s">
        <v>507</v>
      </c>
      <c r="C462" s="2" t="s">
        <v>486</v>
      </c>
      <c r="D462" s="2" t="s">
        <v>210</v>
      </c>
      <c r="E462" s="2" t="s">
        <v>496</v>
      </c>
      <c r="H462" s="2" t="s">
        <v>485</v>
      </c>
      <c r="I462" s="2" t="s">
        <v>486</v>
      </c>
      <c r="J462" s="2">
        <v>2005</v>
      </c>
      <c r="K462" s="2">
        <v>5</v>
      </c>
      <c r="L462" s="2">
        <v>2006</v>
      </c>
      <c r="M462" s="2">
        <v>6</v>
      </c>
      <c r="N462" s="3">
        <v>1000</v>
      </c>
      <c r="O462" s="3">
        <v>24</v>
      </c>
      <c r="Y462" s="3">
        <v>12.7</v>
      </c>
      <c r="Z462" s="3">
        <v>2</v>
      </c>
      <c r="AE462" s="3">
        <v>386.3</v>
      </c>
      <c r="AF462" s="3">
        <v>81.400000000000006</v>
      </c>
      <c r="AG462" s="3">
        <v>3.88</v>
      </c>
      <c r="AH462" s="3">
        <v>0.31</v>
      </c>
      <c r="AI462" s="3">
        <v>0.83</v>
      </c>
      <c r="AJ462" s="3">
        <v>0.05</v>
      </c>
      <c r="AM462" s="3">
        <v>4.45</v>
      </c>
      <c r="AN462" s="3">
        <v>0.51</v>
      </c>
      <c r="AR462" s="3" t="s">
        <v>500</v>
      </c>
      <c r="AT462" s="3">
        <v>47.75</v>
      </c>
      <c r="AU462" s="3" t="s">
        <v>884</v>
      </c>
      <c r="AW462" s="3" t="s">
        <v>488</v>
      </c>
    </row>
    <row r="463" spans="1:49" x14ac:dyDescent="0.15">
      <c r="A463" s="2">
        <v>462</v>
      </c>
      <c r="B463" s="2" t="s">
        <v>507</v>
      </c>
      <c r="C463" s="2" t="s">
        <v>210</v>
      </c>
      <c r="D463" s="2" t="s">
        <v>210</v>
      </c>
      <c r="E463" s="2" t="s">
        <v>39</v>
      </c>
      <c r="H463" s="2" t="s">
        <v>60</v>
      </c>
      <c r="I463" s="2" t="s">
        <v>25</v>
      </c>
      <c r="J463" s="2">
        <v>2006</v>
      </c>
      <c r="K463" s="2">
        <v>6</v>
      </c>
      <c r="N463" s="3">
        <v>1000</v>
      </c>
      <c r="O463" s="3">
        <v>170</v>
      </c>
      <c r="P463" s="2">
        <v>67</v>
      </c>
      <c r="Q463" s="2">
        <v>122</v>
      </c>
      <c r="R463" s="2">
        <v>83</v>
      </c>
      <c r="S463" s="2">
        <v>23</v>
      </c>
      <c r="T463" s="3">
        <v>330</v>
      </c>
      <c r="Y463" s="3">
        <v>12.8</v>
      </c>
      <c r="Z463" s="3">
        <v>2.2999999999999998</v>
      </c>
      <c r="AE463" s="3">
        <v>146.4</v>
      </c>
      <c r="AF463" s="3">
        <v>22.3</v>
      </c>
      <c r="AG463" s="3">
        <v>1.72</v>
      </c>
      <c r="AH463" s="3">
        <v>0.16</v>
      </c>
      <c r="AI463" s="3">
        <v>0.64</v>
      </c>
      <c r="AJ463" s="3">
        <v>0.04</v>
      </c>
      <c r="AM463" s="3">
        <v>1.37</v>
      </c>
      <c r="AN463" s="3">
        <v>0.19</v>
      </c>
      <c r="AR463" s="3" t="s">
        <v>65</v>
      </c>
      <c r="AT463" s="3">
        <v>47.75</v>
      </c>
      <c r="AU463" s="3" t="s">
        <v>884</v>
      </c>
      <c r="AW463" s="3" t="s">
        <v>234</v>
      </c>
    </row>
    <row r="464" spans="1:49" x14ac:dyDescent="0.15">
      <c r="A464" s="2">
        <v>463</v>
      </c>
      <c r="B464" s="2" t="s">
        <v>507</v>
      </c>
      <c r="C464" s="2" t="s">
        <v>846</v>
      </c>
      <c r="D464" s="2" t="s">
        <v>210</v>
      </c>
      <c r="E464" s="2" t="s">
        <v>39</v>
      </c>
      <c r="H464" s="2" t="s">
        <v>60</v>
      </c>
      <c r="I464" s="2" t="s">
        <v>25</v>
      </c>
      <c r="J464" s="2">
        <v>2006</v>
      </c>
      <c r="K464" s="2">
        <v>6</v>
      </c>
      <c r="N464" s="3">
        <v>1000</v>
      </c>
      <c r="O464" s="3">
        <v>42</v>
      </c>
      <c r="Y464" s="3">
        <v>3.2</v>
      </c>
      <c r="Z464" s="3">
        <v>2.5</v>
      </c>
      <c r="AE464" s="3">
        <v>25.5</v>
      </c>
      <c r="AF464" s="3">
        <v>7.3</v>
      </c>
      <c r="AG464" s="3">
        <v>0.67</v>
      </c>
      <c r="AH464" s="3">
        <v>0.17</v>
      </c>
      <c r="AI464" s="3">
        <v>0.44</v>
      </c>
      <c r="AJ464" s="3">
        <v>0.1</v>
      </c>
      <c r="AM464" s="3">
        <v>0.28000000000000003</v>
      </c>
      <c r="AN464" s="3">
        <v>0.08</v>
      </c>
      <c r="AR464" s="3" t="s">
        <v>65</v>
      </c>
      <c r="AT464" s="3">
        <v>47.75</v>
      </c>
      <c r="AU464" s="3" t="s">
        <v>884</v>
      </c>
      <c r="AW464" s="3" t="s">
        <v>234</v>
      </c>
    </row>
    <row r="465" spans="1:49" x14ac:dyDescent="0.15">
      <c r="A465" s="2">
        <v>464</v>
      </c>
      <c r="B465" s="2" t="s">
        <v>507</v>
      </c>
      <c r="C465" s="2" t="s">
        <v>116</v>
      </c>
      <c r="D465" s="2" t="s">
        <v>210</v>
      </c>
      <c r="E465" s="2" t="s">
        <v>39</v>
      </c>
      <c r="H465" s="2" t="s">
        <v>60</v>
      </c>
      <c r="I465" s="2" t="s">
        <v>25</v>
      </c>
      <c r="J465" s="2">
        <v>2006</v>
      </c>
      <c r="K465" s="2">
        <v>6</v>
      </c>
      <c r="N465" s="3">
        <v>1000</v>
      </c>
      <c r="O465" s="3">
        <v>18</v>
      </c>
      <c r="Y465" s="3">
        <v>10</v>
      </c>
      <c r="Z465" s="3">
        <v>9.5</v>
      </c>
      <c r="AE465" s="3">
        <v>21.1</v>
      </c>
      <c r="AF465" s="3">
        <v>7.9</v>
      </c>
      <c r="AG465" s="3">
        <v>0.85</v>
      </c>
      <c r="AH465" s="3">
        <v>0.41</v>
      </c>
      <c r="AI465" s="3">
        <v>0.59</v>
      </c>
      <c r="AJ465" s="3">
        <v>0.24</v>
      </c>
      <c r="AM465" s="3">
        <v>0.34</v>
      </c>
      <c r="AN465" s="3">
        <v>0.19</v>
      </c>
      <c r="AR465" s="3" t="s">
        <v>65</v>
      </c>
      <c r="AT465" s="3">
        <v>47.75</v>
      </c>
      <c r="AU465" s="3" t="s">
        <v>884</v>
      </c>
      <c r="AW465" s="3" t="s">
        <v>234</v>
      </c>
    </row>
    <row r="466" spans="1:49" x14ac:dyDescent="0.15">
      <c r="A466" s="2">
        <v>465</v>
      </c>
      <c r="B466" s="2" t="s">
        <v>507</v>
      </c>
      <c r="C466" s="2" t="s">
        <v>210</v>
      </c>
      <c r="D466" s="2" t="s">
        <v>210</v>
      </c>
      <c r="E466" s="2" t="s">
        <v>39</v>
      </c>
      <c r="H466" s="2" t="s">
        <v>60</v>
      </c>
      <c r="I466" s="2" t="s">
        <v>25</v>
      </c>
      <c r="J466" s="2">
        <v>2006</v>
      </c>
      <c r="K466" s="2">
        <v>6</v>
      </c>
      <c r="N466" s="3">
        <v>1000</v>
      </c>
      <c r="O466" s="3">
        <v>50</v>
      </c>
      <c r="U466" s="3">
        <v>2.96</v>
      </c>
      <c r="V466" s="3">
        <v>4.83</v>
      </c>
      <c r="W466" s="3">
        <v>8.64</v>
      </c>
      <c r="X466" s="3">
        <v>2.35</v>
      </c>
      <c r="Y466" s="3">
        <v>19.899999999999999</v>
      </c>
      <c r="Z466" s="3">
        <v>5.2</v>
      </c>
      <c r="AE466" s="3">
        <v>173.7</v>
      </c>
      <c r="AF466" s="3">
        <v>40.200000000000003</v>
      </c>
      <c r="AG466" s="3">
        <v>1.73</v>
      </c>
      <c r="AH466" s="3">
        <v>0.25</v>
      </c>
      <c r="AI466" s="3">
        <v>0.65</v>
      </c>
      <c r="AJ466" s="3">
        <v>7.0000000000000007E-2</v>
      </c>
      <c r="AM466" s="3">
        <v>1.19</v>
      </c>
      <c r="AN466" s="3">
        <v>0.27</v>
      </c>
      <c r="AR466" s="3" t="s">
        <v>65</v>
      </c>
      <c r="AT466" s="3">
        <v>47.75</v>
      </c>
      <c r="AU466" s="3" t="s">
        <v>884</v>
      </c>
      <c r="AW466" s="3" t="s">
        <v>234</v>
      </c>
    </row>
    <row r="467" spans="1:49" x14ac:dyDescent="0.15">
      <c r="A467" s="2">
        <v>466</v>
      </c>
      <c r="B467" s="2" t="s">
        <v>507</v>
      </c>
      <c r="C467" s="2" t="s">
        <v>132</v>
      </c>
      <c r="D467" s="2" t="s">
        <v>210</v>
      </c>
      <c r="E467" s="2" t="s">
        <v>39</v>
      </c>
      <c r="H467" s="2" t="s">
        <v>60</v>
      </c>
      <c r="I467" s="2" t="s">
        <v>25</v>
      </c>
      <c r="J467" s="2">
        <v>2006</v>
      </c>
      <c r="K467" s="2">
        <v>6</v>
      </c>
      <c r="N467" s="3">
        <v>1000</v>
      </c>
      <c r="O467" s="3">
        <v>44</v>
      </c>
      <c r="Y467" s="3">
        <v>14.8</v>
      </c>
      <c r="Z467" s="3">
        <v>5.4</v>
      </c>
      <c r="AE467" s="3">
        <v>128.4</v>
      </c>
      <c r="AF467" s="3">
        <v>35.5</v>
      </c>
      <c r="AG467" s="3">
        <v>1.74</v>
      </c>
      <c r="AH467" s="3">
        <v>0.25</v>
      </c>
      <c r="AI467" s="3">
        <v>0.73</v>
      </c>
      <c r="AJ467" s="3">
        <v>0.08</v>
      </c>
      <c r="AM467" s="3">
        <v>1.17</v>
      </c>
      <c r="AN467" s="3">
        <v>0.27</v>
      </c>
      <c r="AR467" s="3" t="s">
        <v>65</v>
      </c>
      <c r="AT467" s="3">
        <v>47.75</v>
      </c>
      <c r="AU467" s="3" t="s">
        <v>884</v>
      </c>
      <c r="AW467" s="3" t="s">
        <v>234</v>
      </c>
    </row>
    <row r="468" spans="1:49" x14ac:dyDescent="0.15">
      <c r="A468" s="2">
        <v>467</v>
      </c>
      <c r="B468" s="2" t="s">
        <v>507</v>
      </c>
      <c r="C468" s="2" t="s">
        <v>25</v>
      </c>
      <c r="D468" s="2" t="s">
        <v>210</v>
      </c>
      <c r="E468" s="2" t="s">
        <v>39</v>
      </c>
      <c r="H468" s="2" t="s">
        <v>60</v>
      </c>
      <c r="I468" s="2" t="s">
        <v>25</v>
      </c>
      <c r="J468" s="2">
        <v>2006</v>
      </c>
      <c r="K468" s="2">
        <v>6</v>
      </c>
      <c r="N468" s="3">
        <v>1000</v>
      </c>
      <c r="O468" s="3">
        <v>24</v>
      </c>
      <c r="Y468" s="3">
        <v>12.7</v>
      </c>
      <c r="Z468" s="3">
        <v>2</v>
      </c>
      <c r="AE468" s="3">
        <v>386.3</v>
      </c>
      <c r="AF468" s="3">
        <v>81.400000000000006</v>
      </c>
      <c r="AG468" s="3">
        <v>3.88</v>
      </c>
      <c r="AH468" s="3">
        <v>0.31</v>
      </c>
      <c r="AI468" s="3">
        <v>0.83</v>
      </c>
      <c r="AJ468" s="3">
        <v>0.05</v>
      </c>
      <c r="AM468" s="3">
        <v>4.45</v>
      </c>
      <c r="AN468" s="3">
        <v>0.51</v>
      </c>
      <c r="AR468" s="3" t="s">
        <v>65</v>
      </c>
      <c r="AT468" s="3">
        <v>47.75</v>
      </c>
      <c r="AU468" s="3" t="s">
        <v>884</v>
      </c>
      <c r="AW468" s="3" t="s">
        <v>234</v>
      </c>
    </row>
    <row r="469" spans="1:49" x14ac:dyDescent="0.15">
      <c r="A469" s="2">
        <v>468</v>
      </c>
      <c r="B469" s="2" t="s">
        <v>507</v>
      </c>
      <c r="C469" s="2" t="s">
        <v>846</v>
      </c>
      <c r="D469" s="2" t="s">
        <v>210</v>
      </c>
      <c r="E469" s="2" t="s">
        <v>496</v>
      </c>
      <c r="H469" s="2" t="s">
        <v>485</v>
      </c>
      <c r="I469" s="2" t="s">
        <v>486</v>
      </c>
      <c r="J469" s="2">
        <v>1985</v>
      </c>
      <c r="L469" s="2">
        <v>1986</v>
      </c>
      <c r="U469" s="3">
        <v>1.73</v>
      </c>
      <c r="V469" s="3">
        <v>10.26</v>
      </c>
      <c r="W469" s="3">
        <v>3.45</v>
      </c>
      <c r="X469" s="3">
        <v>4.1900000000000004</v>
      </c>
      <c r="Y469" s="3">
        <v>21.75</v>
      </c>
      <c r="AT469" s="3">
        <v>47.75</v>
      </c>
      <c r="AU469" s="3" t="s">
        <v>884</v>
      </c>
      <c r="AV469" s="3" t="s">
        <v>504</v>
      </c>
      <c r="AW469" s="3" t="s">
        <v>488</v>
      </c>
    </row>
    <row r="470" spans="1:49" x14ac:dyDescent="0.15">
      <c r="A470" s="2">
        <v>469</v>
      </c>
      <c r="B470" s="2" t="s">
        <v>507</v>
      </c>
      <c r="C470" s="2" t="s">
        <v>846</v>
      </c>
      <c r="D470" s="2" t="s">
        <v>210</v>
      </c>
      <c r="E470" s="2" t="s">
        <v>39</v>
      </c>
      <c r="H470" s="2" t="s">
        <v>60</v>
      </c>
      <c r="I470" s="2" t="s">
        <v>25</v>
      </c>
      <c r="J470" s="2">
        <v>1986</v>
      </c>
      <c r="U470" s="3">
        <v>1.73</v>
      </c>
      <c r="V470" s="3">
        <v>10.26</v>
      </c>
      <c r="W470" s="3">
        <v>3.45</v>
      </c>
      <c r="X470" s="3">
        <v>4.1900000000000004</v>
      </c>
      <c r="Y470" s="3">
        <v>21.75</v>
      </c>
      <c r="AT470" s="3">
        <v>47.75</v>
      </c>
      <c r="AU470" s="3" t="s">
        <v>884</v>
      </c>
      <c r="AV470" s="3" t="s">
        <v>504</v>
      </c>
      <c r="AW470" s="3" t="s">
        <v>234</v>
      </c>
    </row>
    <row r="471" spans="1:49" x14ac:dyDescent="0.15">
      <c r="A471" s="2">
        <v>470</v>
      </c>
      <c r="B471" s="2" t="s">
        <v>507</v>
      </c>
      <c r="C471" s="2" t="s">
        <v>846</v>
      </c>
      <c r="D471" s="2" t="s">
        <v>210</v>
      </c>
      <c r="E471" s="2" t="s">
        <v>496</v>
      </c>
      <c r="H471" s="2" t="s">
        <v>485</v>
      </c>
      <c r="I471" s="2" t="s">
        <v>486</v>
      </c>
      <c r="J471" s="2">
        <v>1959</v>
      </c>
      <c r="U471" s="3">
        <v>0.81</v>
      </c>
      <c r="V471" s="3">
        <v>5.15</v>
      </c>
      <c r="W471" s="3">
        <v>3.63</v>
      </c>
      <c r="X471" s="3">
        <v>9.61</v>
      </c>
      <c r="Y471" s="3">
        <v>21.95</v>
      </c>
      <c r="AT471" s="3">
        <v>47.75</v>
      </c>
      <c r="AU471" s="3" t="s">
        <v>884</v>
      </c>
      <c r="AV471" s="3" t="s">
        <v>504</v>
      </c>
      <c r="AW471" s="3" t="s">
        <v>488</v>
      </c>
    </row>
    <row r="472" spans="1:49" x14ac:dyDescent="0.15">
      <c r="A472" s="2">
        <v>471</v>
      </c>
      <c r="B472" s="2" t="s">
        <v>508</v>
      </c>
      <c r="C472" s="2" t="s">
        <v>172</v>
      </c>
      <c r="D472" s="2" t="s">
        <v>509</v>
      </c>
      <c r="E472" s="2" t="s">
        <v>39</v>
      </c>
      <c r="H472" s="2" t="s">
        <v>485</v>
      </c>
      <c r="I472" s="2" t="s">
        <v>509</v>
      </c>
      <c r="J472" s="2">
        <v>2007</v>
      </c>
      <c r="K472" s="2">
        <v>7</v>
      </c>
      <c r="N472" s="3">
        <v>1000</v>
      </c>
      <c r="O472" s="3">
        <v>58</v>
      </c>
      <c r="P472" s="2">
        <v>19</v>
      </c>
      <c r="Q472" s="2">
        <v>24</v>
      </c>
      <c r="R472" s="2">
        <v>24</v>
      </c>
      <c r="S472" s="2">
        <v>6</v>
      </c>
      <c r="T472" s="3">
        <v>79</v>
      </c>
      <c r="U472" s="3">
        <v>1.86</v>
      </c>
      <c r="V472" s="3">
        <v>6.92</v>
      </c>
      <c r="W472" s="3">
        <v>4.1500000000000004</v>
      </c>
      <c r="X472" s="3">
        <v>8.64</v>
      </c>
      <c r="Y472" s="3">
        <v>22.75</v>
      </c>
      <c r="Z472" s="3">
        <v>7.55</v>
      </c>
      <c r="AA472" s="3">
        <v>12.76</v>
      </c>
      <c r="AB472" s="3">
        <v>30.52</v>
      </c>
      <c r="AC472" s="3">
        <v>14.48</v>
      </c>
      <c r="AD472" s="3">
        <v>6.38</v>
      </c>
      <c r="AE472" s="3">
        <v>68.28</v>
      </c>
      <c r="AF472" s="3">
        <v>17.190000000000001</v>
      </c>
      <c r="AG472" s="3">
        <v>2.41</v>
      </c>
      <c r="AM472" s="3">
        <v>1.58</v>
      </c>
      <c r="AR472" s="3" t="s">
        <v>510</v>
      </c>
      <c r="AS472" s="4" t="s">
        <v>511</v>
      </c>
      <c r="AT472" s="3">
        <v>47.75</v>
      </c>
      <c r="AU472" s="3" t="s">
        <v>884</v>
      </c>
      <c r="AW472" s="3" t="s">
        <v>512</v>
      </c>
    </row>
    <row r="473" spans="1:49" x14ac:dyDescent="0.15">
      <c r="A473" s="2">
        <v>472</v>
      </c>
      <c r="B473" s="2" t="s">
        <v>513</v>
      </c>
      <c r="C473" s="2" t="s">
        <v>514</v>
      </c>
      <c r="D473" s="2" t="s">
        <v>514</v>
      </c>
      <c r="E473" s="2" t="s">
        <v>515</v>
      </c>
      <c r="H473" s="2" t="s">
        <v>516</v>
      </c>
      <c r="I473" s="2" t="s">
        <v>514</v>
      </c>
      <c r="J473" s="2">
        <v>2007</v>
      </c>
      <c r="K473" s="2">
        <v>1</v>
      </c>
      <c r="N473" s="3">
        <v>1000</v>
      </c>
      <c r="O473" s="3">
        <v>156</v>
      </c>
      <c r="P473" s="2">
        <v>82</v>
      </c>
      <c r="Q473" s="2">
        <v>62</v>
      </c>
      <c r="R473" s="2">
        <v>147</v>
      </c>
      <c r="S473" s="2">
        <v>15</v>
      </c>
      <c r="T473" s="3">
        <v>322</v>
      </c>
      <c r="U473" s="3">
        <v>1.92</v>
      </c>
      <c r="V473" s="3">
        <v>3.95</v>
      </c>
      <c r="W473" s="3">
        <v>6.67</v>
      </c>
      <c r="X473" s="3">
        <v>12.85</v>
      </c>
      <c r="Y473" s="3">
        <v>38.86</v>
      </c>
      <c r="AA473" s="3">
        <v>553</v>
      </c>
      <c r="AB473" s="3">
        <v>347</v>
      </c>
      <c r="AC473" s="3">
        <v>858</v>
      </c>
      <c r="AD473" s="3">
        <v>79</v>
      </c>
      <c r="AE473" s="3">
        <v>1883</v>
      </c>
      <c r="AR473" s="3" t="s">
        <v>510</v>
      </c>
      <c r="AT473" s="3">
        <v>47.75</v>
      </c>
      <c r="AU473" s="3" t="s">
        <v>884</v>
      </c>
      <c r="AW473" s="3" t="s">
        <v>517</v>
      </c>
    </row>
    <row r="474" spans="1:49" x14ac:dyDescent="0.15">
      <c r="A474" s="2">
        <v>473</v>
      </c>
      <c r="B474" s="2" t="s">
        <v>518</v>
      </c>
      <c r="C474" s="2" t="s">
        <v>519</v>
      </c>
      <c r="D474" s="2" t="s">
        <v>519</v>
      </c>
      <c r="E474" s="2" t="s">
        <v>39</v>
      </c>
      <c r="H474" s="2" t="s">
        <v>516</v>
      </c>
      <c r="I474" s="2" t="s">
        <v>520</v>
      </c>
      <c r="J474" s="2">
        <v>2008</v>
      </c>
      <c r="K474" s="2">
        <v>8</v>
      </c>
      <c r="N474" s="3">
        <v>500</v>
      </c>
      <c r="O474" s="3">
        <v>69</v>
      </c>
      <c r="P474" s="2">
        <f>300*0.34</f>
        <v>102.00000000000001</v>
      </c>
      <c r="Q474" s="2">
        <f>300*0.27</f>
        <v>81</v>
      </c>
      <c r="R474" s="2">
        <f>300*0.33</f>
        <v>99</v>
      </c>
      <c r="S474" s="2">
        <f>300*0.03</f>
        <v>9</v>
      </c>
      <c r="T474" s="3">
        <v>300</v>
      </c>
      <c r="U474" s="3">
        <v>3</v>
      </c>
      <c r="V474" s="3">
        <v>1.73</v>
      </c>
      <c r="W474" s="3">
        <v>3.64</v>
      </c>
      <c r="X474" s="3">
        <v>0.7</v>
      </c>
      <c r="Y474" s="3">
        <v>11.78</v>
      </c>
      <c r="AA474" s="3">
        <v>389.6</v>
      </c>
      <c r="AB474" s="3">
        <v>230.14</v>
      </c>
      <c r="AC474" s="3">
        <v>405.9</v>
      </c>
      <c r="AD474" s="3">
        <v>53.99</v>
      </c>
      <c r="AE474" s="3">
        <v>1094.7</v>
      </c>
      <c r="AR474" s="3" t="s">
        <v>510</v>
      </c>
      <c r="AT474" s="3">
        <v>47.75</v>
      </c>
      <c r="AU474" s="3" t="s">
        <v>884</v>
      </c>
      <c r="AW474" s="3" t="s">
        <v>521</v>
      </c>
    </row>
    <row r="475" spans="1:49" x14ac:dyDescent="0.15">
      <c r="A475" s="2">
        <v>474</v>
      </c>
      <c r="B475" s="2" t="s">
        <v>522</v>
      </c>
      <c r="C475" s="2" t="s">
        <v>523</v>
      </c>
      <c r="D475" s="2" t="s">
        <v>396</v>
      </c>
      <c r="E475" s="2" t="s">
        <v>39</v>
      </c>
      <c r="H475" s="2" t="s">
        <v>516</v>
      </c>
      <c r="I475" s="2" t="s">
        <v>519</v>
      </c>
      <c r="J475" s="2">
        <v>2010</v>
      </c>
      <c r="K475" s="2">
        <v>6</v>
      </c>
      <c r="N475" s="3">
        <v>625</v>
      </c>
      <c r="O475" s="3">
        <v>102</v>
      </c>
      <c r="P475" s="2">
        <v>5</v>
      </c>
      <c r="Q475" s="2">
        <v>13</v>
      </c>
      <c r="R475" s="2">
        <v>1</v>
      </c>
      <c r="T475" s="3">
        <v>20</v>
      </c>
      <c r="U475" s="3">
        <v>229.5</v>
      </c>
      <c r="V475" s="3">
        <v>4080.8</v>
      </c>
      <c r="W475" s="3">
        <v>1.5</v>
      </c>
      <c r="Y475" s="3">
        <v>4312.5</v>
      </c>
      <c r="AA475" s="3">
        <v>793</v>
      </c>
      <c r="AB475" s="3">
        <v>2171</v>
      </c>
      <c r="AC475" s="3">
        <v>1</v>
      </c>
      <c r="AE475" s="3">
        <v>2966</v>
      </c>
      <c r="AG475" s="3">
        <v>1.3</v>
      </c>
      <c r="AI475" s="3">
        <v>0.59</v>
      </c>
      <c r="AK475" s="3">
        <v>0.69</v>
      </c>
      <c r="AR475" s="3" t="s">
        <v>524</v>
      </c>
      <c r="AS475" s="3" t="s">
        <v>525</v>
      </c>
      <c r="AT475" s="3">
        <v>43.5</v>
      </c>
      <c r="AU475" s="3" t="s">
        <v>525</v>
      </c>
      <c r="AW475" s="3" t="s">
        <v>521</v>
      </c>
    </row>
    <row r="476" spans="1:49" x14ac:dyDescent="0.15">
      <c r="A476" s="2">
        <v>475</v>
      </c>
      <c r="B476" s="2" t="s">
        <v>526</v>
      </c>
      <c r="C476" s="2" t="s">
        <v>846</v>
      </c>
      <c r="D476" s="2" t="s">
        <v>527</v>
      </c>
      <c r="E476" s="2" t="s">
        <v>528</v>
      </c>
      <c r="H476" s="2" t="s">
        <v>516</v>
      </c>
      <c r="I476" s="2" t="s">
        <v>529</v>
      </c>
      <c r="J476" s="2">
        <v>2004</v>
      </c>
      <c r="K476" s="2">
        <v>2</v>
      </c>
      <c r="L476" s="2">
        <v>2004</v>
      </c>
      <c r="M476" s="2">
        <v>11</v>
      </c>
      <c r="N476" s="3">
        <v>1000</v>
      </c>
      <c r="O476" s="3">
        <v>320</v>
      </c>
      <c r="P476" s="2">
        <v>27</v>
      </c>
      <c r="Q476" s="2">
        <v>51</v>
      </c>
      <c r="R476" s="2">
        <v>102</v>
      </c>
      <c r="S476" s="2">
        <v>7</v>
      </c>
      <c r="T476" s="3">
        <v>202</v>
      </c>
      <c r="U476" s="3">
        <v>93</v>
      </c>
      <c r="V476" s="3">
        <v>8.43</v>
      </c>
      <c r="W476" s="3">
        <v>5.28</v>
      </c>
      <c r="X476" s="3">
        <v>2.75</v>
      </c>
      <c r="Y476" s="3">
        <v>19.100000000000001</v>
      </c>
      <c r="AA476" s="3">
        <v>9.4</v>
      </c>
      <c r="AB476" s="3">
        <v>83.4</v>
      </c>
      <c r="AC476" s="3">
        <v>390.3</v>
      </c>
      <c r="AD476" s="3">
        <v>8.6999999999999993</v>
      </c>
      <c r="AE476" s="3">
        <v>526.79999999999995</v>
      </c>
      <c r="AR476" s="3" t="s">
        <v>510</v>
      </c>
      <c r="AS476" s="3" t="s">
        <v>525</v>
      </c>
      <c r="AT476" s="3">
        <v>43.5</v>
      </c>
      <c r="AU476" s="3" t="s">
        <v>525</v>
      </c>
      <c r="AW476" s="3" t="s">
        <v>521</v>
      </c>
    </row>
    <row r="477" spans="1:49" x14ac:dyDescent="0.15">
      <c r="A477" s="2">
        <v>476</v>
      </c>
      <c r="B477" s="2" t="s">
        <v>526</v>
      </c>
      <c r="C477" s="2" t="s">
        <v>846</v>
      </c>
      <c r="D477" s="2" t="s">
        <v>527</v>
      </c>
      <c r="E477" s="2" t="s">
        <v>528</v>
      </c>
      <c r="H477" s="2" t="s">
        <v>516</v>
      </c>
      <c r="I477" s="2" t="s">
        <v>529</v>
      </c>
      <c r="J477" s="2">
        <v>2004</v>
      </c>
      <c r="K477" s="2">
        <v>2</v>
      </c>
      <c r="O477" s="3">
        <v>80</v>
      </c>
      <c r="P477" s="2">
        <v>11</v>
      </c>
      <c r="Q477" s="2">
        <v>32</v>
      </c>
      <c r="R477" s="2">
        <v>71</v>
      </c>
      <c r="S477" s="2">
        <v>3</v>
      </c>
      <c r="T477" s="3">
        <v>127</v>
      </c>
      <c r="U477" s="3">
        <v>0.4</v>
      </c>
      <c r="V477" s="3">
        <v>8</v>
      </c>
      <c r="W477" s="3">
        <v>6.6</v>
      </c>
      <c r="X477" s="3">
        <v>2.1</v>
      </c>
      <c r="Y477" s="3">
        <v>19.7</v>
      </c>
      <c r="AA477" s="3">
        <v>10.4</v>
      </c>
      <c r="AB477" s="3">
        <v>52.5</v>
      </c>
      <c r="AC477" s="3">
        <v>195.7</v>
      </c>
      <c r="AD477" s="3">
        <v>7.5</v>
      </c>
      <c r="AE477" s="3">
        <v>375</v>
      </c>
      <c r="AR477" s="3" t="s">
        <v>510</v>
      </c>
      <c r="AS477" s="3" t="s">
        <v>525</v>
      </c>
      <c r="AT477" s="3">
        <v>43.5</v>
      </c>
      <c r="AU477" s="3" t="s">
        <v>525</v>
      </c>
      <c r="AW477" s="3" t="s">
        <v>521</v>
      </c>
    </row>
    <row r="478" spans="1:49" x14ac:dyDescent="0.15">
      <c r="A478" s="2">
        <v>477</v>
      </c>
      <c r="B478" s="2" t="s">
        <v>526</v>
      </c>
      <c r="C478" s="2" t="s">
        <v>846</v>
      </c>
      <c r="D478" s="2" t="s">
        <v>527</v>
      </c>
      <c r="E478" s="2" t="s">
        <v>528</v>
      </c>
      <c r="H478" s="2" t="s">
        <v>516</v>
      </c>
      <c r="I478" s="2" t="s">
        <v>529</v>
      </c>
      <c r="J478" s="2">
        <v>2004</v>
      </c>
      <c r="K478" s="2">
        <v>5</v>
      </c>
      <c r="P478" s="2">
        <v>14</v>
      </c>
      <c r="Q478" s="2">
        <v>32</v>
      </c>
      <c r="R478" s="2">
        <v>53</v>
      </c>
      <c r="S478" s="2">
        <v>5</v>
      </c>
      <c r="T478" s="3">
        <v>110</v>
      </c>
      <c r="U478" s="3">
        <v>1.5</v>
      </c>
      <c r="V478" s="3">
        <v>12.2</v>
      </c>
      <c r="W478" s="3">
        <v>4.4000000000000004</v>
      </c>
      <c r="X478" s="3">
        <v>2.8</v>
      </c>
      <c r="Y478" s="3">
        <v>23.4</v>
      </c>
      <c r="AA478" s="3">
        <v>22.6</v>
      </c>
      <c r="AB478" s="3">
        <v>128.9</v>
      </c>
      <c r="AC478" s="3">
        <v>445.6</v>
      </c>
      <c r="AD478" s="3">
        <v>7</v>
      </c>
      <c r="AE478" s="3">
        <v>623</v>
      </c>
      <c r="AR478" s="3" t="s">
        <v>510</v>
      </c>
      <c r="AS478" s="3" t="s">
        <v>525</v>
      </c>
      <c r="AT478" s="3">
        <v>43.5</v>
      </c>
      <c r="AU478" s="3" t="s">
        <v>525</v>
      </c>
      <c r="AW478" s="3" t="s">
        <v>521</v>
      </c>
    </row>
    <row r="479" spans="1:49" x14ac:dyDescent="0.15">
      <c r="A479" s="2">
        <v>478</v>
      </c>
      <c r="B479" s="2" t="s">
        <v>526</v>
      </c>
      <c r="C479" s="2" t="s">
        <v>846</v>
      </c>
      <c r="D479" s="2" t="s">
        <v>527</v>
      </c>
      <c r="E479" s="2" t="s">
        <v>528</v>
      </c>
      <c r="H479" s="2" t="s">
        <v>516</v>
      </c>
      <c r="I479" s="2" t="s">
        <v>529</v>
      </c>
      <c r="J479" s="2">
        <v>2004</v>
      </c>
      <c r="K479" s="2">
        <v>8</v>
      </c>
      <c r="P479" s="2">
        <v>15</v>
      </c>
      <c r="Q479" s="2">
        <v>18</v>
      </c>
      <c r="R479" s="2">
        <v>41</v>
      </c>
      <c r="S479" s="2">
        <v>3</v>
      </c>
      <c r="T479" s="3">
        <v>83</v>
      </c>
      <c r="U479" s="3">
        <v>1.2</v>
      </c>
      <c r="V479" s="3">
        <v>5.5</v>
      </c>
      <c r="W479" s="3">
        <v>3.9</v>
      </c>
      <c r="X479" s="3">
        <v>2</v>
      </c>
      <c r="Y479" s="3">
        <v>12.6</v>
      </c>
      <c r="AA479" s="3">
        <v>32.700000000000003</v>
      </c>
      <c r="AB479" s="3">
        <v>70.7</v>
      </c>
      <c r="AC479" s="3">
        <v>497.5</v>
      </c>
      <c r="AD479" s="3">
        <v>7.7</v>
      </c>
      <c r="AE479" s="3">
        <v>312.7</v>
      </c>
      <c r="AR479" s="3" t="s">
        <v>510</v>
      </c>
      <c r="AS479" s="3" t="s">
        <v>525</v>
      </c>
      <c r="AT479" s="3">
        <v>43.5</v>
      </c>
      <c r="AU479" s="3" t="s">
        <v>525</v>
      </c>
      <c r="AW479" s="3" t="s">
        <v>521</v>
      </c>
    </row>
    <row r="480" spans="1:49" x14ac:dyDescent="0.15">
      <c r="A480" s="2">
        <v>479</v>
      </c>
      <c r="B480" s="2" t="s">
        <v>526</v>
      </c>
      <c r="C480" s="2" t="s">
        <v>846</v>
      </c>
      <c r="D480" s="2" t="s">
        <v>527</v>
      </c>
      <c r="E480" s="2" t="s">
        <v>528</v>
      </c>
      <c r="H480" s="2" t="s">
        <v>516</v>
      </c>
      <c r="I480" s="2" t="s">
        <v>529</v>
      </c>
      <c r="J480" s="2">
        <v>2004</v>
      </c>
      <c r="K480" s="2">
        <v>11</v>
      </c>
      <c r="P480" s="2">
        <v>12</v>
      </c>
      <c r="Q480" s="2">
        <v>19</v>
      </c>
      <c r="R480" s="2">
        <v>52</v>
      </c>
      <c r="S480" s="2">
        <v>6</v>
      </c>
      <c r="T480" s="3">
        <v>96</v>
      </c>
      <c r="U480" s="3">
        <v>0.6</v>
      </c>
      <c r="V480" s="3">
        <v>8</v>
      </c>
      <c r="W480" s="3">
        <v>6.2</v>
      </c>
      <c r="X480" s="3">
        <v>4.0999999999999996</v>
      </c>
      <c r="Y480" s="3">
        <v>19.5</v>
      </c>
      <c r="AA480" s="3">
        <v>34</v>
      </c>
      <c r="AB480" s="3">
        <v>81.3</v>
      </c>
      <c r="AC480" s="3">
        <v>622.4</v>
      </c>
      <c r="AD480" s="3">
        <v>15.2</v>
      </c>
      <c r="AE480" s="3">
        <v>780.9</v>
      </c>
      <c r="AR480" s="3" t="s">
        <v>510</v>
      </c>
      <c r="AS480" s="3" t="s">
        <v>525</v>
      </c>
      <c r="AT480" s="3">
        <v>43.5</v>
      </c>
      <c r="AU480" s="3" t="s">
        <v>525</v>
      </c>
      <c r="AW480" s="3" t="s">
        <v>521</v>
      </c>
    </row>
    <row r="481" spans="1:49" x14ac:dyDescent="0.15">
      <c r="A481" s="2">
        <v>480</v>
      </c>
      <c r="B481" s="2" t="s">
        <v>530</v>
      </c>
      <c r="C481" s="2" t="s">
        <v>427</v>
      </c>
      <c r="D481" s="2" t="s">
        <v>531</v>
      </c>
      <c r="E481" s="2" t="s">
        <v>429</v>
      </c>
      <c r="F481" s="2" t="s">
        <v>430</v>
      </c>
      <c r="H481" s="2" t="s">
        <v>524</v>
      </c>
      <c r="I481" s="2" t="s">
        <v>520</v>
      </c>
      <c r="J481" s="2">
        <v>2011</v>
      </c>
      <c r="K481" s="2">
        <v>6</v>
      </c>
      <c r="N481" s="3">
        <v>500</v>
      </c>
      <c r="O481" s="3">
        <v>156</v>
      </c>
      <c r="P481" s="2">
        <v>15</v>
      </c>
      <c r="Q481" s="2">
        <v>41</v>
      </c>
      <c r="R481" s="2">
        <v>38</v>
      </c>
      <c r="S481" s="2">
        <v>3</v>
      </c>
      <c r="T481" s="3">
        <v>100</v>
      </c>
      <c r="U481" s="3">
        <f>AVERAGE(U482:U484)</f>
        <v>5.1466666666666674</v>
      </c>
      <c r="V481" s="3">
        <f t="shared" ref="V481:Y481" si="9">AVERAGE(V482:V484)</f>
        <v>31.186666666666667</v>
      </c>
      <c r="W481" s="3">
        <f t="shared" si="9"/>
        <v>14.413333333333332</v>
      </c>
      <c r="X481" s="3">
        <f t="shared" si="9"/>
        <v>6.1533333333333333</v>
      </c>
      <c r="Y481" s="3">
        <f t="shared" si="9"/>
        <v>62.526666666666664</v>
      </c>
      <c r="AA481" s="3">
        <f>AVERAGE(AA482:AA484)</f>
        <v>273.33333333333331</v>
      </c>
      <c r="AB481" s="3">
        <f t="shared" ref="AB481:AE481" si="10">AVERAGE(AB482:AB484)</f>
        <v>35410</v>
      </c>
      <c r="AC481" s="3">
        <f t="shared" si="10"/>
        <v>2660</v>
      </c>
      <c r="AD481" s="3">
        <f t="shared" si="10"/>
        <v>63.333333333333336</v>
      </c>
      <c r="AE481" s="3">
        <f t="shared" si="10"/>
        <v>38431.666666666664</v>
      </c>
      <c r="AR481" s="3" t="s">
        <v>64</v>
      </c>
      <c r="AT481" s="3">
        <v>47.75</v>
      </c>
      <c r="AU481" s="3" t="s">
        <v>880</v>
      </c>
      <c r="AW481" s="3" t="s">
        <v>234</v>
      </c>
    </row>
    <row r="482" spans="1:49" x14ac:dyDescent="0.15">
      <c r="A482" s="2">
        <v>481</v>
      </c>
      <c r="B482" s="2" t="s">
        <v>530</v>
      </c>
      <c r="C482" s="2" t="s">
        <v>427</v>
      </c>
      <c r="D482" s="2" t="s">
        <v>531</v>
      </c>
      <c r="E482" s="2" t="s">
        <v>429</v>
      </c>
      <c r="F482" s="2" t="s">
        <v>432</v>
      </c>
      <c r="H482" s="2" t="s">
        <v>524</v>
      </c>
      <c r="I482" s="2" t="s">
        <v>520</v>
      </c>
      <c r="J482" s="2">
        <v>2011</v>
      </c>
      <c r="K482" s="2">
        <v>6</v>
      </c>
      <c r="N482" s="3">
        <v>500</v>
      </c>
      <c r="O482" s="3">
        <v>52</v>
      </c>
      <c r="P482" s="2">
        <v>10</v>
      </c>
      <c r="Q482" s="2">
        <v>28</v>
      </c>
      <c r="R482" s="2">
        <v>28</v>
      </c>
      <c r="S482" s="2">
        <v>1</v>
      </c>
      <c r="T482" s="3">
        <v>69</v>
      </c>
      <c r="U482" s="3">
        <v>3.34</v>
      </c>
      <c r="V482" s="3">
        <v>24</v>
      </c>
      <c r="W482" s="3">
        <v>15.57</v>
      </c>
      <c r="X482" s="3">
        <v>0.24</v>
      </c>
      <c r="Y482" s="3">
        <v>46.89</v>
      </c>
      <c r="AA482" s="3">
        <v>310</v>
      </c>
      <c r="AB482" s="3">
        <v>3200</v>
      </c>
      <c r="AC482" s="3">
        <v>1645</v>
      </c>
      <c r="AD482" s="3">
        <v>105</v>
      </c>
      <c r="AE482" s="3">
        <v>5280</v>
      </c>
      <c r="AG482" s="3">
        <v>1.22</v>
      </c>
      <c r="AH482" s="3">
        <v>0.5</v>
      </c>
      <c r="AI482" s="3">
        <v>0.45</v>
      </c>
      <c r="AJ482" s="3">
        <v>0.16</v>
      </c>
      <c r="AM482" s="3">
        <v>2.5499999999999998</v>
      </c>
      <c r="AN482" s="3">
        <v>0.79</v>
      </c>
      <c r="AR482" s="3" t="s">
        <v>64</v>
      </c>
      <c r="AT482" s="3">
        <v>47.75</v>
      </c>
      <c r="AU482" s="3" t="s">
        <v>880</v>
      </c>
      <c r="AW482" s="3" t="s">
        <v>234</v>
      </c>
    </row>
    <row r="483" spans="1:49" x14ac:dyDescent="0.15">
      <c r="A483" s="2">
        <v>482</v>
      </c>
      <c r="B483" s="2" t="s">
        <v>530</v>
      </c>
      <c r="C483" s="2" t="s">
        <v>427</v>
      </c>
      <c r="D483" s="2" t="s">
        <v>531</v>
      </c>
      <c r="E483" s="2" t="s">
        <v>429</v>
      </c>
      <c r="F483" s="2" t="s">
        <v>433</v>
      </c>
      <c r="H483" s="2" t="s">
        <v>524</v>
      </c>
      <c r="I483" s="2" t="s">
        <v>520</v>
      </c>
      <c r="J483" s="2">
        <v>2011</v>
      </c>
      <c r="K483" s="2">
        <v>6</v>
      </c>
      <c r="N483" s="3">
        <v>500</v>
      </c>
      <c r="O483" s="3">
        <v>52</v>
      </c>
      <c r="P483" s="2">
        <v>8</v>
      </c>
      <c r="Q483" s="2">
        <v>28</v>
      </c>
      <c r="R483" s="2">
        <v>27</v>
      </c>
      <c r="S483" s="2">
        <v>2</v>
      </c>
      <c r="T483" s="3">
        <v>67</v>
      </c>
      <c r="U483" s="3">
        <v>4.66</v>
      </c>
      <c r="V483" s="3">
        <v>21.82</v>
      </c>
      <c r="W483" s="3">
        <v>2.95</v>
      </c>
      <c r="X483" s="3">
        <v>16.760000000000002</v>
      </c>
      <c r="Y483" s="3">
        <v>46.36</v>
      </c>
      <c r="AA483" s="3">
        <v>230</v>
      </c>
      <c r="AB483" s="3">
        <v>3015</v>
      </c>
      <c r="AC483" s="3">
        <v>1070</v>
      </c>
      <c r="AD483" s="3">
        <v>55</v>
      </c>
      <c r="AE483" s="3">
        <v>4385</v>
      </c>
      <c r="AG483" s="3">
        <v>1.23</v>
      </c>
      <c r="AH483" s="3">
        <v>0.56000000000000005</v>
      </c>
      <c r="AI483" s="3">
        <v>0.46</v>
      </c>
      <c r="AJ483" s="3">
        <v>0.2</v>
      </c>
      <c r="AM483" s="3">
        <v>2.6</v>
      </c>
      <c r="AN483" s="3">
        <v>0.75</v>
      </c>
      <c r="AR483" s="3" t="s">
        <v>64</v>
      </c>
      <c r="AT483" s="3">
        <v>47.75</v>
      </c>
      <c r="AU483" s="3" t="s">
        <v>880</v>
      </c>
      <c r="AW483" s="3" t="s">
        <v>234</v>
      </c>
    </row>
    <row r="484" spans="1:49" x14ac:dyDescent="0.15">
      <c r="A484" s="2">
        <v>483</v>
      </c>
      <c r="B484" s="2" t="s">
        <v>530</v>
      </c>
      <c r="C484" s="2" t="s">
        <v>427</v>
      </c>
      <c r="D484" s="2" t="s">
        <v>531</v>
      </c>
      <c r="E484" s="2" t="s">
        <v>429</v>
      </c>
      <c r="F484" s="2" t="s">
        <v>434</v>
      </c>
      <c r="H484" s="2" t="s">
        <v>524</v>
      </c>
      <c r="I484" s="2" t="s">
        <v>520</v>
      </c>
      <c r="J484" s="2">
        <v>2011</v>
      </c>
      <c r="K484" s="2">
        <v>6</v>
      </c>
      <c r="N484" s="3">
        <v>500</v>
      </c>
      <c r="O484" s="3">
        <v>52</v>
      </c>
      <c r="P484" s="2">
        <v>10</v>
      </c>
      <c r="Q484" s="2">
        <v>34</v>
      </c>
      <c r="R484" s="2">
        <v>28</v>
      </c>
      <c r="S484" s="2">
        <v>2</v>
      </c>
      <c r="T484" s="3">
        <v>76</v>
      </c>
      <c r="U484" s="3">
        <v>7.44</v>
      </c>
      <c r="V484" s="3">
        <v>47.74</v>
      </c>
      <c r="W484" s="3">
        <v>24.72</v>
      </c>
      <c r="X484" s="3">
        <v>1.46</v>
      </c>
      <c r="Y484" s="3">
        <v>94.33</v>
      </c>
      <c r="AA484" s="3">
        <v>280</v>
      </c>
      <c r="AB484" s="3">
        <v>100015</v>
      </c>
      <c r="AC484" s="3">
        <v>5265</v>
      </c>
      <c r="AD484" s="3">
        <v>30</v>
      </c>
      <c r="AE484" s="3">
        <v>105630</v>
      </c>
      <c r="AG484" s="3">
        <v>1.59</v>
      </c>
      <c r="AH484" s="3">
        <v>0.28999999999999998</v>
      </c>
      <c r="AI484" s="3">
        <v>0.59</v>
      </c>
      <c r="AJ484" s="3">
        <v>0.1</v>
      </c>
      <c r="AM484" s="3">
        <v>2.41</v>
      </c>
      <c r="AN484" s="3">
        <v>1.02</v>
      </c>
      <c r="AR484" s="3" t="s">
        <v>64</v>
      </c>
      <c r="AT484" s="3">
        <v>47.75</v>
      </c>
      <c r="AU484" s="3" t="s">
        <v>880</v>
      </c>
      <c r="AW484" s="3" t="s">
        <v>234</v>
      </c>
    </row>
    <row r="485" spans="1:49" s="6" customFormat="1" x14ac:dyDescent="0.15">
      <c r="A485" s="2">
        <v>484</v>
      </c>
      <c r="B485" s="5" t="s">
        <v>532</v>
      </c>
      <c r="C485" s="5" t="s">
        <v>533</v>
      </c>
      <c r="D485" s="5" t="s">
        <v>358</v>
      </c>
      <c r="E485" s="5" t="s">
        <v>534</v>
      </c>
      <c r="F485" s="5"/>
      <c r="G485" s="5"/>
      <c r="H485" s="5" t="s">
        <v>535</v>
      </c>
      <c r="I485" s="5" t="s">
        <v>536</v>
      </c>
      <c r="J485" s="5">
        <v>2005</v>
      </c>
      <c r="K485" s="5">
        <v>10</v>
      </c>
      <c r="L485" s="5">
        <v>2006</v>
      </c>
      <c r="M485" s="5">
        <v>5</v>
      </c>
      <c r="N485" s="6">
        <v>500</v>
      </c>
      <c r="O485" s="6">
        <v>104</v>
      </c>
      <c r="P485" s="5">
        <v>33</v>
      </c>
      <c r="Q485" s="5">
        <v>44</v>
      </c>
      <c r="R485" s="5">
        <v>121</v>
      </c>
      <c r="S485" s="5">
        <v>14</v>
      </c>
      <c r="T485" s="6">
        <v>222</v>
      </c>
      <c r="U485" s="6">
        <v>2.96</v>
      </c>
      <c r="V485" s="6">
        <v>47.61</v>
      </c>
      <c r="W485" s="6">
        <v>6.72</v>
      </c>
      <c r="X485" s="6">
        <v>0.45</v>
      </c>
      <c r="Y485" s="6">
        <v>58.87</v>
      </c>
      <c r="AA485" s="6">
        <v>79</v>
      </c>
      <c r="AB485" s="6">
        <v>193.5</v>
      </c>
      <c r="AC485" s="6">
        <v>935.8</v>
      </c>
      <c r="AD485" s="6">
        <v>8.3000000000000007</v>
      </c>
      <c r="AE485" s="6">
        <v>1237.5</v>
      </c>
      <c r="AG485" s="6">
        <v>3.16</v>
      </c>
      <c r="AI485" s="6">
        <v>0.71</v>
      </c>
      <c r="AM485" s="6">
        <v>3.48</v>
      </c>
      <c r="AR485" s="6" t="s">
        <v>537</v>
      </c>
      <c r="AS485" s="6" t="s">
        <v>538</v>
      </c>
      <c r="AT485" s="6">
        <v>43.5</v>
      </c>
      <c r="AU485" s="6" t="s">
        <v>86</v>
      </c>
      <c r="AV485" s="6" t="s">
        <v>540</v>
      </c>
      <c r="AW485" s="6" t="s">
        <v>539</v>
      </c>
    </row>
    <row r="486" spans="1:49" s="6" customFormat="1" x14ac:dyDescent="0.15">
      <c r="A486" s="2">
        <v>485</v>
      </c>
      <c r="B486" s="5" t="s">
        <v>532</v>
      </c>
      <c r="C486" s="5" t="s">
        <v>161</v>
      </c>
      <c r="D486" s="5" t="s">
        <v>155</v>
      </c>
      <c r="E486" s="5" t="s">
        <v>39</v>
      </c>
      <c r="F486" s="5"/>
      <c r="G486" s="5"/>
      <c r="H486" s="5" t="s">
        <v>60</v>
      </c>
      <c r="I486" s="5" t="s">
        <v>25</v>
      </c>
      <c r="J486" s="5">
        <v>2006</v>
      </c>
      <c r="K486" s="5">
        <v>5</v>
      </c>
      <c r="L486" s="5"/>
      <c r="M486" s="5"/>
      <c r="N486" s="6">
        <v>500</v>
      </c>
      <c r="O486" s="6">
        <v>104</v>
      </c>
      <c r="P486" s="5">
        <v>33</v>
      </c>
      <c r="Q486" s="5">
        <v>44</v>
      </c>
      <c r="R486" s="5">
        <v>121</v>
      </c>
      <c r="S486" s="5">
        <v>14</v>
      </c>
      <c r="T486" s="6">
        <v>222</v>
      </c>
      <c r="U486" s="6">
        <v>2.96</v>
      </c>
      <c r="V486" s="6">
        <v>47.61</v>
      </c>
      <c r="W486" s="6">
        <v>6.72</v>
      </c>
      <c r="X486" s="6">
        <v>0.45</v>
      </c>
      <c r="Y486" s="6">
        <v>58.87</v>
      </c>
      <c r="AA486" s="6">
        <v>79</v>
      </c>
      <c r="AB486" s="6">
        <v>193.5</v>
      </c>
      <c r="AC486" s="6">
        <v>935.8</v>
      </c>
      <c r="AD486" s="6">
        <v>8.3000000000000007</v>
      </c>
      <c r="AE486" s="6">
        <v>1237.5</v>
      </c>
      <c r="AG486" s="6">
        <v>3.16</v>
      </c>
      <c r="AI486" s="6">
        <v>0.71</v>
      </c>
      <c r="AM486" s="6">
        <v>3.48</v>
      </c>
      <c r="AR486" s="6" t="s">
        <v>64</v>
      </c>
      <c r="AS486" s="6" t="s">
        <v>86</v>
      </c>
      <c r="AT486" s="6">
        <v>43.5</v>
      </c>
      <c r="AU486" s="6" t="s">
        <v>86</v>
      </c>
      <c r="AV486" s="6" t="s">
        <v>540</v>
      </c>
      <c r="AW486" s="6" t="s">
        <v>234</v>
      </c>
    </row>
    <row r="487" spans="1:49" x14ac:dyDescent="0.15">
      <c r="A487" s="2">
        <v>486</v>
      </c>
      <c r="B487" s="2" t="s">
        <v>544</v>
      </c>
      <c r="C487" s="2" t="s">
        <v>541</v>
      </c>
      <c r="D487" s="2" t="s">
        <v>542</v>
      </c>
      <c r="E487" s="2" t="s">
        <v>534</v>
      </c>
      <c r="H487" s="2" t="s">
        <v>543</v>
      </c>
      <c r="I487" s="2" t="s">
        <v>536</v>
      </c>
      <c r="J487" s="2">
        <v>2005</v>
      </c>
      <c r="K487" s="2">
        <v>10</v>
      </c>
      <c r="L487" s="2">
        <v>2006</v>
      </c>
      <c r="M487" s="2">
        <v>5</v>
      </c>
      <c r="N487" s="3">
        <v>625</v>
      </c>
      <c r="O487" s="3">
        <v>72</v>
      </c>
      <c r="P487" s="2">
        <v>52</v>
      </c>
      <c r="Q487" s="2">
        <v>75</v>
      </c>
      <c r="R487" s="2">
        <v>77</v>
      </c>
      <c r="S487" s="2">
        <v>7</v>
      </c>
      <c r="T487" s="3">
        <v>228</v>
      </c>
      <c r="U487" s="3">
        <v>2.83</v>
      </c>
      <c r="V487" s="3">
        <v>5.38</v>
      </c>
      <c r="W487" s="3">
        <v>3.35</v>
      </c>
      <c r="X487" s="3">
        <v>0.1</v>
      </c>
      <c r="Y487" s="3">
        <v>12.14</v>
      </c>
      <c r="AA487" s="3">
        <v>48.6</v>
      </c>
      <c r="AB487" s="3">
        <v>314.2</v>
      </c>
      <c r="AC487" s="3">
        <v>204.7</v>
      </c>
      <c r="AD487" s="3">
        <v>0.7</v>
      </c>
      <c r="AE487" s="3">
        <v>571.5</v>
      </c>
      <c r="AG487" s="3">
        <v>3.419</v>
      </c>
      <c r="AH487" s="3">
        <v>0.27</v>
      </c>
      <c r="AI487" s="3">
        <v>0.8</v>
      </c>
      <c r="AJ487" s="3">
        <v>4.1000000000000002E-2</v>
      </c>
      <c r="AM487" s="3">
        <v>3.2709999999999999</v>
      </c>
      <c r="AN487" s="3">
        <v>0.317</v>
      </c>
      <c r="AR487" s="3" t="s">
        <v>546</v>
      </c>
      <c r="AS487" s="4" t="s">
        <v>547</v>
      </c>
      <c r="AT487" s="4">
        <v>47.75</v>
      </c>
      <c r="AU487" s="4" t="s">
        <v>885</v>
      </c>
      <c r="AW487" s="6" t="s">
        <v>539</v>
      </c>
    </row>
    <row r="488" spans="1:49" x14ac:dyDescent="0.15">
      <c r="A488" s="2">
        <v>487</v>
      </c>
      <c r="B488" s="2" t="s">
        <v>544</v>
      </c>
      <c r="C488" s="2" t="s">
        <v>541</v>
      </c>
      <c r="D488" s="2" t="s">
        <v>542</v>
      </c>
      <c r="E488" s="2" t="s">
        <v>39</v>
      </c>
      <c r="H488" s="2" t="s">
        <v>543</v>
      </c>
      <c r="I488" s="2" t="s">
        <v>536</v>
      </c>
      <c r="J488" s="2">
        <v>2005</v>
      </c>
      <c r="K488" s="2">
        <v>10</v>
      </c>
      <c r="L488" s="2">
        <v>2006</v>
      </c>
      <c r="M488" s="2">
        <v>5</v>
      </c>
      <c r="N488" s="3">
        <v>625</v>
      </c>
      <c r="O488" s="3">
        <v>12</v>
      </c>
      <c r="P488" s="2">
        <v>28</v>
      </c>
      <c r="Q488" s="2">
        <v>23</v>
      </c>
      <c r="R488" s="2">
        <v>24</v>
      </c>
      <c r="S488" s="2">
        <v>0</v>
      </c>
      <c r="T488" s="3">
        <v>78</v>
      </c>
      <c r="Y488" s="3">
        <v>9.9</v>
      </c>
      <c r="AE488" s="3">
        <v>234.5</v>
      </c>
      <c r="AG488" s="3">
        <v>3.1920000000000002</v>
      </c>
      <c r="AI488" s="3">
        <v>0.83899999999999997</v>
      </c>
      <c r="AM488" s="3">
        <v>2.6960000000000002</v>
      </c>
      <c r="AR488" s="3" t="s">
        <v>546</v>
      </c>
      <c r="AS488" s="4" t="s">
        <v>547</v>
      </c>
      <c r="AT488" s="4">
        <v>47.75</v>
      </c>
      <c r="AU488" s="4" t="s">
        <v>885</v>
      </c>
      <c r="AW488" s="6" t="s">
        <v>539</v>
      </c>
    </row>
    <row r="489" spans="1:49" x14ac:dyDescent="0.15">
      <c r="A489" s="2">
        <v>488</v>
      </c>
      <c r="B489" s="2" t="s">
        <v>544</v>
      </c>
      <c r="C489" s="2" t="s">
        <v>541</v>
      </c>
      <c r="D489" s="2" t="s">
        <v>542</v>
      </c>
      <c r="E489" s="2" t="s">
        <v>438</v>
      </c>
      <c r="H489" s="2" t="s">
        <v>543</v>
      </c>
      <c r="I489" s="2" t="s">
        <v>536</v>
      </c>
      <c r="J489" s="2">
        <v>2005</v>
      </c>
      <c r="K489" s="2">
        <v>10</v>
      </c>
      <c r="L489" s="2">
        <v>2006</v>
      </c>
      <c r="M489" s="2">
        <v>5</v>
      </c>
      <c r="N489" s="3">
        <v>625</v>
      </c>
      <c r="O489" s="3">
        <v>12</v>
      </c>
      <c r="P489" s="2">
        <v>15</v>
      </c>
      <c r="Q489" s="2">
        <v>17</v>
      </c>
      <c r="R489" s="2">
        <v>23</v>
      </c>
      <c r="S489" s="2">
        <v>0</v>
      </c>
      <c r="T489" s="3">
        <v>58</v>
      </c>
      <c r="Y489" s="3">
        <v>14.850000000000001</v>
      </c>
      <c r="AE489" s="3">
        <v>1713.5</v>
      </c>
      <c r="AG489" s="3">
        <v>2.254</v>
      </c>
      <c r="AI489" s="3">
        <v>0.59599999999999997</v>
      </c>
      <c r="AM489" s="3">
        <v>1.98</v>
      </c>
      <c r="AR489" s="3" t="s">
        <v>546</v>
      </c>
      <c r="AS489" s="4" t="s">
        <v>547</v>
      </c>
      <c r="AT489" s="4">
        <v>47.75</v>
      </c>
      <c r="AU489" s="4" t="s">
        <v>885</v>
      </c>
      <c r="AW489" s="6" t="s">
        <v>539</v>
      </c>
    </row>
    <row r="490" spans="1:49" x14ac:dyDescent="0.15">
      <c r="A490" s="2">
        <v>489</v>
      </c>
      <c r="B490" s="2" t="s">
        <v>544</v>
      </c>
      <c r="C490" s="2" t="s">
        <v>541</v>
      </c>
      <c r="D490" s="2" t="s">
        <v>542</v>
      </c>
      <c r="E490" s="2" t="s">
        <v>438</v>
      </c>
      <c r="H490" s="2" t="s">
        <v>543</v>
      </c>
      <c r="I490" s="2" t="s">
        <v>536</v>
      </c>
      <c r="J490" s="2">
        <v>2005</v>
      </c>
      <c r="K490" s="2">
        <v>10</v>
      </c>
      <c r="L490" s="2">
        <v>2006</v>
      </c>
      <c r="M490" s="2">
        <v>5</v>
      </c>
      <c r="N490" s="3">
        <v>625</v>
      </c>
      <c r="O490" s="3">
        <v>12</v>
      </c>
      <c r="P490" s="2">
        <v>24</v>
      </c>
      <c r="Q490" s="2">
        <v>31</v>
      </c>
      <c r="R490" s="2">
        <v>37</v>
      </c>
      <c r="S490" s="2">
        <v>1</v>
      </c>
      <c r="T490" s="3">
        <v>103</v>
      </c>
      <c r="Y490" s="3">
        <v>9.5499999999999989</v>
      </c>
      <c r="AE490" s="3">
        <v>441</v>
      </c>
      <c r="AG490" s="3">
        <v>3.899</v>
      </c>
      <c r="AI490" s="3">
        <v>0.85099999999999998</v>
      </c>
      <c r="AM490" s="3">
        <v>3.8740000000000001</v>
      </c>
      <c r="AR490" s="3" t="s">
        <v>546</v>
      </c>
      <c r="AS490" s="4" t="s">
        <v>547</v>
      </c>
      <c r="AT490" s="4">
        <v>47.75</v>
      </c>
      <c r="AU490" s="4" t="s">
        <v>885</v>
      </c>
      <c r="AW490" s="6" t="s">
        <v>539</v>
      </c>
    </row>
    <row r="491" spans="1:49" x14ac:dyDescent="0.15">
      <c r="A491" s="2">
        <v>490</v>
      </c>
      <c r="B491" s="2" t="s">
        <v>544</v>
      </c>
      <c r="C491" s="2" t="s">
        <v>541</v>
      </c>
      <c r="D491" s="2" t="s">
        <v>542</v>
      </c>
      <c r="E491" s="2" t="s">
        <v>438</v>
      </c>
      <c r="H491" s="2" t="s">
        <v>543</v>
      </c>
      <c r="I491" s="2" t="s">
        <v>536</v>
      </c>
      <c r="J491" s="2">
        <v>2005</v>
      </c>
      <c r="K491" s="2">
        <v>10</v>
      </c>
      <c r="L491" s="2">
        <v>2006</v>
      </c>
      <c r="M491" s="2">
        <v>5</v>
      </c>
      <c r="N491" s="3">
        <v>625</v>
      </c>
      <c r="O491" s="3">
        <v>12</v>
      </c>
      <c r="P491" s="2">
        <v>24</v>
      </c>
      <c r="Q491" s="2">
        <v>28</v>
      </c>
      <c r="R491" s="2">
        <v>23</v>
      </c>
      <c r="S491" s="2">
        <v>2</v>
      </c>
      <c r="T491" s="3">
        <v>83</v>
      </c>
      <c r="Y491" s="3">
        <v>18.850000000000001</v>
      </c>
      <c r="AE491" s="3">
        <v>274.5</v>
      </c>
      <c r="AG491" s="3">
        <v>3.4340000000000002</v>
      </c>
      <c r="AI491" s="3">
        <v>0.84499999999999997</v>
      </c>
      <c r="AM491" s="3">
        <v>2.8889999999999998</v>
      </c>
      <c r="AR491" s="3" t="s">
        <v>546</v>
      </c>
      <c r="AS491" s="4" t="s">
        <v>547</v>
      </c>
      <c r="AT491" s="4">
        <v>47.75</v>
      </c>
      <c r="AU491" s="4" t="s">
        <v>885</v>
      </c>
      <c r="AW491" s="6" t="s">
        <v>539</v>
      </c>
    </row>
    <row r="492" spans="1:49" x14ac:dyDescent="0.15">
      <c r="A492" s="2">
        <v>491</v>
      </c>
      <c r="B492" s="2" t="s">
        <v>544</v>
      </c>
      <c r="C492" s="2" t="s">
        <v>541</v>
      </c>
      <c r="D492" s="2" t="s">
        <v>542</v>
      </c>
      <c r="E492" s="2" t="s">
        <v>545</v>
      </c>
      <c r="H492" s="2" t="s">
        <v>543</v>
      </c>
      <c r="I492" s="2" t="s">
        <v>536</v>
      </c>
      <c r="J492" s="2">
        <v>2005</v>
      </c>
      <c r="K492" s="2">
        <v>10</v>
      </c>
      <c r="L492" s="2">
        <v>2006</v>
      </c>
      <c r="M492" s="2">
        <v>5</v>
      </c>
      <c r="N492" s="3">
        <v>625</v>
      </c>
      <c r="O492" s="3">
        <v>12</v>
      </c>
      <c r="P492" s="2">
        <v>16</v>
      </c>
      <c r="Q492" s="2">
        <v>30</v>
      </c>
      <c r="R492" s="2">
        <v>27</v>
      </c>
      <c r="S492" s="2">
        <v>1</v>
      </c>
      <c r="T492" s="3">
        <v>77</v>
      </c>
      <c r="Y492" s="3">
        <v>5.45</v>
      </c>
      <c r="AE492" s="3">
        <v>289.5</v>
      </c>
      <c r="AG492" s="3">
        <v>3.5430000000000001</v>
      </c>
      <c r="AI492" s="3">
        <v>0.83499999999999996</v>
      </c>
      <c r="AM492" s="3">
        <v>3.2050000000000001</v>
      </c>
      <c r="AR492" s="3" t="s">
        <v>546</v>
      </c>
      <c r="AS492" s="4" t="s">
        <v>547</v>
      </c>
      <c r="AT492" s="4">
        <v>47.75</v>
      </c>
      <c r="AU492" s="4" t="s">
        <v>885</v>
      </c>
      <c r="AW492" s="6" t="s">
        <v>539</v>
      </c>
    </row>
    <row r="493" spans="1:49" x14ac:dyDescent="0.15">
      <c r="A493" s="2">
        <v>492</v>
      </c>
      <c r="B493" s="2" t="s">
        <v>544</v>
      </c>
      <c r="C493" s="2" t="s">
        <v>541</v>
      </c>
      <c r="D493" s="2" t="s">
        <v>542</v>
      </c>
      <c r="E493" s="2" t="s">
        <v>534</v>
      </c>
      <c r="H493" s="2" t="s">
        <v>543</v>
      </c>
      <c r="I493" s="2" t="s">
        <v>536</v>
      </c>
      <c r="J493" s="2">
        <v>2005</v>
      </c>
      <c r="K493" s="2">
        <v>10</v>
      </c>
      <c r="L493" s="2">
        <v>2006</v>
      </c>
      <c r="M493" s="2">
        <v>5</v>
      </c>
      <c r="N493" s="3">
        <v>625</v>
      </c>
      <c r="O493" s="3">
        <v>12</v>
      </c>
      <c r="P493" s="2">
        <v>14</v>
      </c>
      <c r="Q493" s="2">
        <v>24</v>
      </c>
      <c r="R493" s="2">
        <v>51</v>
      </c>
      <c r="S493" s="2">
        <v>4</v>
      </c>
      <c r="T493" s="3">
        <v>98</v>
      </c>
      <c r="Y493" s="3">
        <v>7</v>
      </c>
      <c r="AE493" s="3">
        <v>476.5</v>
      </c>
      <c r="AG493" s="3">
        <v>4.1890000000000001</v>
      </c>
      <c r="AI493" s="3">
        <v>0.83299999999999996</v>
      </c>
      <c r="AM493" s="3">
        <v>4.9790000000000001</v>
      </c>
      <c r="AR493" s="3" t="s">
        <v>546</v>
      </c>
      <c r="AS493" s="4" t="s">
        <v>547</v>
      </c>
      <c r="AT493" s="4">
        <v>47.75</v>
      </c>
      <c r="AU493" s="4" t="s">
        <v>885</v>
      </c>
      <c r="AW493" s="6" t="s">
        <v>539</v>
      </c>
    </row>
    <row r="494" spans="1:49" x14ac:dyDescent="0.15">
      <c r="A494" s="2">
        <v>493</v>
      </c>
      <c r="B494" s="2" t="s">
        <v>544</v>
      </c>
      <c r="C494" s="2" t="s">
        <v>161</v>
      </c>
      <c r="D494" s="2" t="s">
        <v>155</v>
      </c>
      <c r="E494" s="2" t="s">
        <v>39</v>
      </c>
      <c r="H494" s="2" t="s">
        <v>60</v>
      </c>
      <c r="I494" s="2" t="s">
        <v>25</v>
      </c>
      <c r="J494" s="2">
        <v>2006</v>
      </c>
      <c r="K494" s="2">
        <v>5</v>
      </c>
      <c r="N494" s="3">
        <v>625</v>
      </c>
      <c r="O494" s="3">
        <v>72</v>
      </c>
      <c r="P494" s="2">
        <v>52</v>
      </c>
      <c r="Q494" s="2">
        <v>75</v>
      </c>
      <c r="R494" s="2">
        <v>77</v>
      </c>
      <c r="S494" s="2">
        <v>7</v>
      </c>
      <c r="T494" s="3">
        <v>228</v>
      </c>
      <c r="U494" s="3">
        <v>2.83</v>
      </c>
      <c r="V494" s="3">
        <v>5.38</v>
      </c>
      <c r="W494" s="3">
        <v>3.35</v>
      </c>
      <c r="X494" s="3">
        <v>0.1</v>
      </c>
      <c r="Y494" s="3">
        <v>12.14</v>
      </c>
      <c r="AA494" s="3">
        <v>48.6</v>
      </c>
      <c r="AB494" s="3">
        <v>314.2</v>
      </c>
      <c r="AC494" s="3">
        <v>204.7</v>
      </c>
      <c r="AD494" s="3">
        <v>0.7</v>
      </c>
      <c r="AE494" s="3">
        <v>571.5</v>
      </c>
      <c r="AG494" s="3">
        <v>3.419</v>
      </c>
      <c r="AH494" s="3">
        <v>0.27</v>
      </c>
      <c r="AI494" s="3">
        <v>0.8</v>
      </c>
      <c r="AJ494" s="3">
        <v>4.1000000000000002E-2</v>
      </c>
      <c r="AM494" s="3">
        <v>3.2709999999999999</v>
      </c>
      <c r="AN494" s="3">
        <v>0.317</v>
      </c>
      <c r="AR494" s="3" t="s">
        <v>65</v>
      </c>
      <c r="AS494" s="4" t="s">
        <v>78</v>
      </c>
      <c r="AT494" s="4">
        <v>47.75</v>
      </c>
      <c r="AU494" s="4" t="s">
        <v>885</v>
      </c>
      <c r="AW494" s="6" t="s">
        <v>234</v>
      </c>
    </row>
    <row r="495" spans="1:49" x14ac:dyDescent="0.15">
      <c r="A495" s="2">
        <v>494</v>
      </c>
      <c r="B495" s="2" t="s">
        <v>544</v>
      </c>
      <c r="C495" s="2" t="s">
        <v>161</v>
      </c>
      <c r="D495" s="2" t="s">
        <v>155</v>
      </c>
      <c r="E495" s="2" t="s">
        <v>39</v>
      </c>
      <c r="H495" s="2" t="s">
        <v>60</v>
      </c>
      <c r="I495" s="2" t="s">
        <v>25</v>
      </c>
      <c r="J495" s="2">
        <v>2006</v>
      </c>
      <c r="K495" s="2">
        <v>5</v>
      </c>
      <c r="N495" s="3">
        <v>625</v>
      </c>
      <c r="O495" s="3">
        <v>12</v>
      </c>
      <c r="P495" s="2">
        <v>28</v>
      </c>
      <c r="Q495" s="2">
        <v>23</v>
      </c>
      <c r="R495" s="2">
        <v>24</v>
      </c>
      <c r="S495" s="2">
        <v>0</v>
      </c>
      <c r="T495" s="3">
        <v>78</v>
      </c>
      <c r="Y495" s="3">
        <v>9.9</v>
      </c>
      <c r="AE495" s="3">
        <v>234.5</v>
      </c>
      <c r="AG495" s="3">
        <v>3.1920000000000002</v>
      </c>
      <c r="AI495" s="3">
        <v>0.83899999999999997</v>
      </c>
      <c r="AM495" s="3">
        <v>2.6960000000000002</v>
      </c>
      <c r="AR495" s="3" t="s">
        <v>65</v>
      </c>
      <c r="AS495" s="4" t="s">
        <v>78</v>
      </c>
      <c r="AT495" s="4">
        <v>47.75</v>
      </c>
      <c r="AU495" s="4" t="s">
        <v>885</v>
      </c>
      <c r="AW495" s="6" t="s">
        <v>234</v>
      </c>
    </row>
    <row r="496" spans="1:49" x14ac:dyDescent="0.15">
      <c r="A496" s="2">
        <v>495</v>
      </c>
      <c r="B496" s="2" t="s">
        <v>544</v>
      </c>
      <c r="C496" s="2" t="s">
        <v>161</v>
      </c>
      <c r="D496" s="2" t="s">
        <v>155</v>
      </c>
      <c r="E496" s="2" t="s">
        <v>438</v>
      </c>
      <c r="H496" s="2" t="s">
        <v>60</v>
      </c>
      <c r="I496" s="2" t="s">
        <v>25</v>
      </c>
      <c r="J496" s="2">
        <v>2006</v>
      </c>
      <c r="K496" s="2">
        <v>5</v>
      </c>
      <c r="N496" s="3">
        <v>625</v>
      </c>
      <c r="O496" s="3">
        <v>12</v>
      </c>
      <c r="P496" s="2">
        <v>15</v>
      </c>
      <c r="Q496" s="2">
        <v>17</v>
      </c>
      <c r="R496" s="2">
        <v>23</v>
      </c>
      <c r="S496" s="2">
        <v>0</v>
      </c>
      <c r="T496" s="3">
        <v>58</v>
      </c>
      <c r="Y496" s="3">
        <v>14.850000000000001</v>
      </c>
      <c r="AE496" s="3">
        <v>1713.5</v>
      </c>
      <c r="AG496" s="3">
        <v>2.254</v>
      </c>
      <c r="AI496" s="3">
        <v>0.59599999999999997</v>
      </c>
      <c r="AM496" s="3">
        <v>1.98</v>
      </c>
      <c r="AR496" s="3" t="s">
        <v>65</v>
      </c>
      <c r="AS496" s="4" t="s">
        <v>78</v>
      </c>
      <c r="AT496" s="4">
        <v>47.75</v>
      </c>
      <c r="AU496" s="4" t="s">
        <v>885</v>
      </c>
      <c r="AW496" s="6" t="s">
        <v>234</v>
      </c>
    </row>
    <row r="497" spans="1:49" x14ac:dyDescent="0.15">
      <c r="A497" s="2">
        <v>496</v>
      </c>
      <c r="B497" s="2" t="s">
        <v>544</v>
      </c>
      <c r="C497" s="2" t="s">
        <v>161</v>
      </c>
      <c r="D497" s="2" t="s">
        <v>155</v>
      </c>
      <c r="E497" s="2" t="s">
        <v>438</v>
      </c>
      <c r="H497" s="2" t="s">
        <v>60</v>
      </c>
      <c r="I497" s="2" t="s">
        <v>25</v>
      </c>
      <c r="J497" s="2">
        <v>2006</v>
      </c>
      <c r="K497" s="2">
        <v>5</v>
      </c>
      <c r="N497" s="3">
        <v>625</v>
      </c>
      <c r="O497" s="3">
        <v>12</v>
      </c>
      <c r="P497" s="2">
        <v>24</v>
      </c>
      <c r="Q497" s="2">
        <v>31</v>
      </c>
      <c r="R497" s="2">
        <v>37</v>
      </c>
      <c r="S497" s="2">
        <v>1</v>
      </c>
      <c r="T497" s="3">
        <v>103</v>
      </c>
      <c r="Y497" s="3">
        <v>9.5499999999999989</v>
      </c>
      <c r="AE497" s="3">
        <v>441</v>
      </c>
      <c r="AG497" s="3">
        <v>3.899</v>
      </c>
      <c r="AI497" s="3">
        <v>0.85099999999999998</v>
      </c>
      <c r="AM497" s="3">
        <v>3.8740000000000001</v>
      </c>
      <c r="AR497" s="3" t="s">
        <v>65</v>
      </c>
      <c r="AS497" s="4" t="s">
        <v>78</v>
      </c>
      <c r="AT497" s="4">
        <v>47.75</v>
      </c>
      <c r="AU497" s="4" t="s">
        <v>885</v>
      </c>
      <c r="AW497" s="6" t="s">
        <v>234</v>
      </c>
    </row>
    <row r="498" spans="1:49" x14ac:dyDescent="0.15">
      <c r="A498" s="2">
        <v>497</v>
      </c>
      <c r="B498" s="2" t="s">
        <v>544</v>
      </c>
      <c r="C498" s="2" t="s">
        <v>161</v>
      </c>
      <c r="D498" s="2" t="s">
        <v>155</v>
      </c>
      <c r="E498" s="2" t="s">
        <v>438</v>
      </c>
      <c r="H498" s="2" t="s">
        <v>60</v>
      </c>
      <c r="I498" s="2" t="s">
        <v>25</v>
      </c>
      <c r="J498" s="2">
        <v>2006</v>
      </c>
      <c r="K498" s="2">
        <v>5</v>
      </c>
      <c r="N498" s="3">
        <v>625</v>
      </c>
      <c r="O498" s="3">
        <v>12</v>
      </c>
      <c r="P498" s="2">
        <v>24</v>
      </c>
      <c r="Q498" s="2">
        <v>28</v>
      </c>
      <c r="R498" s="2">
        <v>23</v>
      </c>
      <c r="S498" s="2">
        <v>2</v>
      </c>
      <c r="T498" s="3">
        <v>83</v>
      </c>
      <c r="Y498" s="3">
        <v>18.850000000000001</v>
      </c>
      <c r="AE498" s="3">
        <v>274.5</v>
      </c>
      <c r="AG498" s="3">
        <v>3.4340000000000002</v>
      </c>
      <c r="AI498" s="3">
        <v>0.84499999999999997</v>
      </c>
      <c r="AM498" s="3">
        <v>2.8889999999999998</v>
      </c>
      <c r="AR498" s="3" t="s">
        <v>65</v>
      </c>
      <c r="AS498" s="4" t="s">
        <v>78</v>
      </c>
      <c r="AT498" s="4">
        <v>47.75</v>
      </c>
      <c r="AU498" s="4" t="s">
        <v>885</v>
      </c>
      <c r="AW498" s="6" t="s">
        <v>234</v>
      </c>
    </row>
    <row r="499" spans="1:49" x14ac:dyDescent="0.15">
      <c r="A499" s="2">
        <v>498</v>
      </c>
      <c r="B499" s="2" t="s">
        <v>544</v>
      </c>
      <c r="C499" s="2" t="s">
        <v>161</v>
      </c>
      <c r="D499" s="2" t="s">
        <v>155</v>
      </c>
      <c r="E499" s="2" t="s">
        <v>438</v>
      </c>
      <c r="H499" s="2" t="s">
        <v>60</v>
      </c>
      <c r="I499" s="2" t="s">
        <v>25</v>
      </c>
      <c r="J499" s="2">
        <v>2006</v>
      </c>
      <c r="K499" s="2">
        <v>5</v>
      </c>
      <c r="N499" s="3">
        <v>625</v>
      </c>
      <c r="O499" s="3">
        <v>12</v>
      </c>
      <c r="P499" s="2">
        <v>16</v>
      </c>
      <c r="Q499" s="2">
        <v>30</v>
      </c>
      <c r="R499" s="2">
        <v>27</v>
      </c>
      <c r="S499" s="2">
        <v>1</v>
      </c>
      <c r="T499" s="3">
        <v>77</v>
      </c>
      <c r="Y499" s="3">
        <v>5.45</v>
      </c>
      <c r="AE499" s="3">
        <v>289.5</v>
      </c>
      <c r="AG499" s="3">
        <v>3.5430000000000001</v>
      </c>
      <c r="AI499" s="3">
        <v>0.83499999999999996</v>
      </c>
      <c r="AM499" s="3">
        <v>3.2050000000000001</v>
      </c>
      <c r="AR499" s="3" t="s">
        <v>65</v>
      </c>
      <c r="AS499" s="4" t="s">
        <v>78</v>
      </c>
      <c r="AT499" s="4">
        <v>47.75</v>
      </c>
      <c r="AU499" s="4" t="s">
        <v>885</v>
      </c>
      <c r="AW499" s="6" t="s">
        <v>234</v>
      </c>
    </row>
    <row r="500" spans="1:49" x14ac:dyDescent="0.15">
      <c r="A500" s="2">
        <v>499</v>
      </c>
      <c r="B500" s="2" t="s">
        <v>544</v>
      </c>
      <c r="C500" s="2" t="s">
        <v>161</v>
      </c>
      <c r="D500" s="2" t="s">
        <v>155</v>
      </c>
      <c r="E500" s="2" t="s">
        <v>39</v>
      </c>
      <c r="H500" s="2" t="s">
        <v>60</v>
      </c>
      <c r="I500" s="2" t="s">
        <v>25</v>
      </c>
      <c r="J500" s="2">
        <v>2006</v>
      </c>
      <c r="K500" s="2">
        <v>5</v>
      </c>
      <c r="N500" s="3">
        <v>625</v>
      </c>
      <c r="O500" s="3">
        <v>12</v>
      </c>
      <c r="P500" s="2">
        <v>14</v>
      </c>
      <c r="Q500" s="2">
        <v>24</v>
      </c>
      <c r="R500" s="2">
        <v>51</v>
      </c>
      <c r="S500" s="2">
        <v>4</v>
      </c>
      <c r="T500" s="3">
        <v>98</v>
      </c>
      <c r="Y500" s="3">
        <v>7</v>
      </c>
      <c r="AE500" s="3">
        <v>476.5</v>
      </c>
      <c r="AG500" s="3">
        <v>4.1890000000000001</v>
      </c>
      <c r="AI500" s="3">
        <v>0.83299999999999996</v>
      </c>
      <c r="AM500" s="3">
        <v>4.9790000000000001</v>
      </c>
      <c r="AR500" s="3" t="s">
        <v>65</v>
      </c>
      <c r="AS500" s="4" t="s">
        <v>78</v>
      </c>
      <c r="AT500" s="4">
        <v>47.75</v>
      </c>
      <c r="AU500" s="4" t="s">
        <v>885</v>
      </c>
      <c r="AW500" s="6" t="s">
        <v>234</v>
      </c>
    </row>
    <row r="501" spans="1:49" x14ac:dyDescent="0.15">
      <c r="A501" s="2">
        <v>500</v>
      </c>
      <c r="B501" s="2" t="s">
        <v>548</v>
      </c>
      <c r="C501" s="2" t="s">
        <v>73</v>
      </c>
      <c r="D501" s="2" t="s">
        <v>115</v>
      </c>
      <c r="E501" s="2" t="s">
        <v>534</v>
      </c>
      <c r="H501" s="2" t="s">
        <v>543</v>
      </c>
      <c r="I501" s="2" t="s">
        <v>25</v>
      </c>
      <c r="J501" s="2">
        <v>2009</v>
      </c>
      <c r="K501" s="2">
        <v>4</v>
      </c>
      <c r="L501" s="2">
        <v>2010</v>
      </c>
      <c r="M501" s="2">
        <v>1</v>
      </c>
      <c r="N501" s="3">
        <v>625</v>
      </c>
      <c r="O501" s="3">
        <f>64*3</f>
        <v>192</v>
      </c>
      <c r="P501" s="2">
        <v>24</v>
      </c>
      <c r="Q501" s="2">
        <v>57</v>
      </c>
      <c r="R501" s="2">
        <v>6</v>
      </c>
      <c r="S501" s="2">
        <v>2</v>
      </c>
      <c r="T501" s="3">
        <v>125</v>
      </c>
      <c r="U501" s="3">
        <v>2083.36</v>
      </c>
      <c r="V501" s="3">
        <v>449.36</v>
      </c>
      <c r="W501" s="3">
        <v>3.24</v>
      </c>
      <c r="Y501" s="3">
        <v>2851.63</v>
      </c>
      <c r="AA501" s="3">
        <v>762</v>
      </c>
      <c r="AB501" s="3">
        <v>699</v>
      </c>
      <c r="AC501" s="3">
        <v>254</v>
      </c>
      <c r="AE501" s="3">
        <v>1637</v>
      </c>
      <c r="AG501" s="3">
        <v>1.63</v>
      </c>
      <c r="AH501" s="3">
        <f>STDEV(AG502:AG504)/1.7</f>
        <v>0.14741134218990168</v>
      </c>
      <c r="AI501" s="3">
        <v>0.35</v>
      </c>
      <c r="AJ501" s="3">
        <f>STDEV(AI502:AI504)/1.7</f>
        <v>2.9607193863806853E-2</v>
      </c>
      <c r="AM501" s="3">
        <v>3.36</v>
      </c>
      <c r="AN501" s="3">
        <f>STDEV(AM502:AM504)/1.7</f>
        <v>0.12427413237247703</v>
      </c>
      <c r="AR501" s="3" t="s">
        <v>551</v>
      </c>
      <c r="AT501" s="4">
        <v>47.75</v>
      </c>
      <c r="AU501" s="4" t="s">
        <v>885</v>
      </c>
      <c r="AW501" s="3" t="s">
        <v>539</v>
      </c>
    </row>
    <row r="502" spans="1:49" x14ac:dyDescent="0.15">
      <c r="A502" s="2">
        <v>501</v>
      </c>
      <c r="B502" s="2" t="s">
        <v>548</v>
      </c>
      <c r="C502" s="2" t="s">
        <v>73</v>
      </c>
      <c r="D502" s="2" t="s">
        <v>115</v>
      </c>
      <c r="E502" s="2" t="s">
        <v>534</v>
      </c>
      <c r="H502" s="2" t="s">
        <v>543</v>
      </c>
      <c r="I502" s="2" t="s">
        <v>25</v>
      </c>
      <c r="J502" s="2">
        <v>2009</v>
      </c>
      <c r="K502" s="2">
        <v>4</v>
      </c>
      <c r="L502" s="2">
        <v>2010</v>
      </c>
      <c r="M502" s="2">
        <v>1</v>
      </c>
      <c r="N502" s="3">
        <v>625</v>
      </c>
      <c r="O502" s="3">
        <v>64</v>
      </c>
      <c r="P502" s="2">
        <v>22</v>
      </c>
      <c r="Q502" s="2">
        <v>55</v>
      </c>
      <c r="R502" s="2">
        <v>5</v>
      </c>
      <c r="S502" s="2">
        <v>1</v>
      </c>
      <c r="T502" s="3">
        <v>116</v>
      </c>
      <c r="U502" s="3">
        <v>2371.2399999999998</v>
      </c>
      <c r="V502" s="3">
        <v>531.33000000000004</v>
      </c>
      <c r="W502" s="3">
        <v>3.15</v>
      </c>
      <c r="Y502" s="3">
        <v>3372.09</v>
      </c>
      <c r="AA502" s="3">
        <v>680</v>
      </c>
      <c r="AB502" s="3">
        <v>604</v>
      </c>
      <c r="AC502" s="3">
        <v>40</v>
      </c>
      <c r="AE502" s="3">
        <v>1350</v>
      </c>
      <c r="AG502" s="3">
        <v>1.87</v>
      </c>
      <c r="AI502" s="3">
        <v>0.4</v>
      </c>
      <c r="AM502" s="3">
        <v>3.39</v>
      </c>
      <c r="AR502" s="3" t="s">
        <v>551</v>
      </c>
      <c r="AT502" s="4">
        <v>47.75</v>
      </c>
      <c r="AU502" s="4" t="s">
        <v>885</v>
      </c>
    </row>
    <row r="503" spans="1:49" x14ac:dyDescent="0.15">
      <c r="A503" s="2">
        <v>502</v>
      </c>
      <c r="B503" s="2" t="s">
        <v>548</v>
      </c>
      <c r="C503" s="2" t="s">
        <v>73</v>
      </c>
      <c r="D503" s="2" t="s">
        <v>115</v>
      </c>
      <c r="E503" s="2" t="s">
        <v>534</v>
      </c>
      <c r="H503" s="2" t="s">
        <v>543</v>
      </c>
      <c r="I503" s="2" t="s">
        <v>25</v>
      </c>
      <c r="J503" s="2">
        <v>2009</v>
      </c>
      <c r="K503" s="2">
        <v>4</v>
      </c>
      <c r="L503" s="2">
        <v>2010</v>
      </c>
      <c r="M503" s="2">
        <v>1</v>
      </c>
      <c r="N503" s="3">
        <v>625</v>
      </c>
      <c r="O503" s="3">
        <v>64</v>
      </c>
      <c r="P503" s="2">
        <v>19</v>
      </c>
      <c r="Q503" s="2">
        <v>42</v>
      </c>
      <c r="R503" s="2">
        <v>6</v>
      </c>
      <c r="S503" s="2">
        <v>1</v>
      </c>
      <c r="T503" s="3">
        <v>94</v>
      </c>
      <c r="U503" s="3">
        <v>2336.4699999999998</v>
      </c>
      <c r="V503" s="3">
        <v>407.3</v>
      </c>
      <c r="W503" s="3">
        <v>4.6100000000000003</v>
      </c>
      <c r="Y503" s="3">
        <v>3137.64</v>
      </c>
      <c r="AA503" s="3">
        <v>1140</v>
      </c>
      <c r="AB503" s="3">
        <v>1046</v>
      </c>
      <c r="AC503" s="3">
        <v>179</v>
      </c>
      <c r="AE503" s="3">
        <v>2382</v>
      </c>
      <c r="AG503" s="3">
        <v>1.65</v>
      </c>
      <c r="AI503" s="3">
        <v>0.34</v>
      </c>
      <c r="AM503" s="3">
        <v>3.56</v>
      </c>
      <c r="AR503" s="3" t="s">
        <v>551</v>
      </c>
      <c r="AT503" s="4">
        <v>47.75</v>
      </c>
      <c r="AU503" s="4" t="s">
        <v>885</v>
      </c>
    </row>
    <row r="504" spans="1:49" x14ac:dyDescent="0.15">
      <c r="A504" s="2">
        <v>503</v>
      </c>
      <c r="B504" s="2" t="s">
        <v>548</v>
      </c>
      <c r="C504" s="2" t="s">
        <v>73</v>
      </c>
      <c r="D504" s="2" t="s">
        <v>115</v>
      </c>
      <c r="E504" s="2" t="s">
        <v>534</v>
      </c>
      <c r="H504" s="2" t="s">
        <v>543</v>
      </c>
      <c r="I504" s="2" t="s">
        <v>25</v>
      </c>
      <c r="J504" s="2">
        <v>2009</v>
      </c>
      <c r="K504" s="2">
        <v>4</v>
      </c>
      <c r="L504" s="2">
        <v>2010</v>
      </c>
      <c r="M504" s="2">
        <v>1</v>
      </c>
      <c r="N504" s="3">
        <v>625</v>
      </c>
      <c r="O504" s="3">
        <v>64</v>
      </c>
      <c r="P504" s="2">
        <v>19</v>
      </c>
      <c r="Q504" s="2">
        <v>37</v>
      </c>
      <c r="R504" s="2">
        <v>6</v>
      </c>
      <c r="S504" s="2">
        <v>1</v>
      </c>
      <c r="T504" s="3">
        <v>83</v>
      </c>
      <c r="U504" s="3">
        <v>1542.38</v>
      </c>
      <c r="V504" s="3">
        <v>409.45</v>
      </c>
      <c r="W504" s="3">
        <v>1.97</v>
      </c>
      <c r="Y504" s="3">
        <v>2045.18</v>
      </c>
      <c r="AA504" s="3">
        <v>466</v>
      </c>
      <c r="AB504" s="3">
        <v>447</v>
      </c>
      <c r="AC504" s="3">
        <v>251</v>
      </c>
      <c r="AE504" s="3">
        <v>1179</v>
      </c>
      <c r="AG504" s="3">
        <v>1.37</v>
      </c>
      <c r="AI504" s="3">
        <v>0.3</v>
      </c>
      <c r="AM504" s="3">
        <v>3.14</v>
      </c>
      <c r="AR504" s="3" t="s">
        <v>551</v>
      </c>
      <c r="AT504" s="4">
        <v>47.75</v>
      </c>
      <c r="AU504" s="4" t="s">
        <v>885</v>
      </c>
    </row>
    <row r="505" spans="1:49" x14ac:dyDescent="0.15">
      <c r="A505" s="2">
        <v>504</v>
      </c>
      <c r="B505" s="2" t="s">
        <v>548</v>
      </c>
      <c r="C505" s="2" t="s">
        <v>73</v>
      </c>
      <c r="D505" s="2" t="s">
        <v>115</v>
      </c>
      <c r="E505" s="2" t="s">
        <v>534</v>
      </c>
      <c r="H505" s="2" t="s">
        <v>549</v>
      </c>
      <c r="I505" s="2" t="s">
        <v>25</v>
      </c>
      <c r="J505" s="2">
        <v>2009</v>
      </c>
      <c r="K505" s="2">
        <v>4</v>
      </c>
      <c r="L505" s="2">
        <v>2010</v>
      </c>
      <c r="M505" s="2">
        <v>1</v>
      </c>
      <c r="N505" s="3">
        <v>625</v>
      </c>
      <c r="O505" s="3">
        <v>48</v>
      </c>
      <c r="P505" s="2">
        <v>4</v>
      </c>
      <c r="Q505" s="2">
        <v>15</v>
      </c>
      <c r="T505" s="3">
        <v>23</v>
      </c>
      <c r="U505" s="3">
        <v>507.29</v>
      </c>
      <c r="V505" s="3">
        <v>99.49</v>
      </c>
      <c r="W505" s="3">
        <v>0.1</v>
      </c>
      <c r="Y505" s="3">
        <v>607.16999999999996</v>
      </c>
      <c r="AA505" s="3">
        <v>252</v>
      </c>
      <c r="AB505" s="3">
        <v>733</v>
      </c>
      <c r="AC505" s="3">
        <v>1</v>
      </c>
      <c r="AE505" s="3">
        <v>986</v>
      </c>
      <c r="AT505" s="4">
        <v>47.75</v>
      </c>
      <c r="AU505" s="4" t="s">
        <v>885</v>
      </c>
    </row>
    <row r="506" spans="1:49" x14ac:dyDescent="0.15">
      <c r="A506" s="2">
        <v>505</v>
      </c>
      <c r="B506" s="2" t="s">
        <v>548</v>
      </c>
      <c r="C506" s="2" t="s">
        <v>73</v>
      </c>
      <c r="D506" s="2" t="s">
        <v>115</v>
      </c>
      <c r="E506" s="2" t="s">
        <v>534</v>
      </c>
      <c r="H506" s="2" t="s">
        <v>843</v>
      </c>
      <c r="I506" s="2" t="s">
        <v>25</v>
      </c>
      <c r="J506" s="2">
        <v>2009</v>
      </c>
      <c r="K506" s="2">
        <v>4</v>
      </c>
      <c r="L506" s="2">
        <v>2010</v>
      </c>
      <c r="M506" s="2">
        <v>1</v>
      </c>
      <c r="N506" s="3">
        <v>625</v>
      </c>
      <c r="O506" s="3">
        <v>96</v>
      </c>
      <c r="P506" s="2">
        <v>19</v>
      </c>
      <c r="Q506" s="2">
        <v>42</v>
      </c>
      <c r="R506" s="2">
        <v>6</v>
      </c>
      <c r="T506" s="3">
        <v>94</v>
      </c>
      <c r="U506" s="3">
        <v>5682.11</v>
      </c>
      <c r="V506" s="3">
        <v>1046.44</v>
      </c>
      <c r="W506" s="3">
        <v>3.41</v>
      </c>
      <c r="Y506" s="3">
        <v>6809.02</v>
      </c>
      <c r="AA506" s="3">
        <v>1998</v>
      </c>
      <c r="AB506" s="3">
        <v>1022</v>
      </c>
      <c r="AC506" s="3">
        <v>44</v>
      </c>
      <c r="AE506" s="3">
        <v>3069</v>
      </c>
      <c r="AT506" s="4">
        <v>47.75</v>
      </c>
      <c r="AU506" s="4" t="s">
        <v>885</v>
      </c>
    </row>
    <row r="507" spans="1:49" x14ac:dyDescent="0.15">
      <c r="A507" s="2">
        <v>506</v>
      </c>
      <c r="B507" s="2" t="s">
        <v>548</v>
      </c>
      <c r="C507" s="2" t="s">
        <v>73</v>
      </c>
      <c r="D507" s="2" t="s">
        <v>115</v>
      </c>
      <c r="E507" s="2" t="s">
        <v>534</v>
      </c>
      <c r="H507" s="2" t="s">
        <v>550</v>
      </c>
      <c r="I507" s="2" t="s">
        <v>25</v>
      </c>
      <c r="J507" s="2">
        <v>2009</v>
      </c>
      <c r="K507" s="2">
        <v>4</v>
      </c>
      <c r="L507" s="2">
        <v>2010</v>
      </c>
      <c r="M507" s="2">
        <v>1</v>
      </c>
      <c r="N507" s="3">
        <v>625</v>
      </c>
      <c r="O507" s="3">
        <v>48</v>
      </c>
      <c r="P507" s="2">
        <v>14</v>
      </c>
      <c r="Q507" s="2">
        <v>43</v>
      </c>
      <c r="R507" s="2">
        <v>5</v>
      </c>
      <c r="S507" s="2">
        <v>2</v>
      </c>
      <c r="T507" s="3">
        <v>93</v>
      </c>
      <c r="U507" s="3">
        <v>68.42</v>
      </c>
      <c r="V507" s="3">
        <v>202.25</v>
      </c>
      <c r="W507" s="3">
        <v>6.22</v>
      </c>
      <c r="Y507" s="3">
        <v>1145.7</v>
      </c>
      <c r="AA507" s="3">
        <v>49</v>
      </c>
      <c r="AB507" s="3">
        <v>322</v>
      </c>
      <c r="AC507" s="3">
        <v>424</v>
      </c>
      <c r="AE507" s="3">
        <v>848</v>
      </c>
      <c r="AT507" s="4">
        <v>47.75</v>
      </c>
      <c r="AU507" s="4" t="s">
        <v>885</v>
      </c>
    </row>
    <row r="508" spans="1:49" x14ac:dyDescent="0.15">
      <c r="A508" s="2">
        <v>507</v>
      </c>
      <c r="B508" s="2" t="s">
        <v>548</v>
      </c>
      <c r="C508" s="2" t="s">
        <v>73</v>
      </c>
      <c r="D508" s="2" t="s">
        <v>115</v>
      </c>
      <c r="E508" s="2" t="s">
        <v>39</v>
      </c>
      <c r="H508" s="2" t="s">
        <v>60</v>
      </c>
      <c r="I508" s="2" t="s">
        <v>25</v>
      </c>
      <c r="J508" s="2">
        <v>2010</v>
      </c>
      <c r="K508" s="2">
        <v>1</v>
      </c>
      <c r="N508" s="3">
        <v>625</v>
      </c>
      <c r="O508" s="3">
        <f>64*3</f>
        <v>192</v>
      </c>
      <c r="P508" s="2">
        <v>24</v>
      </c>
      <c r="Q508" s="2">
        <v>57</v>
      </c>
      <c r="R508" s="2">
        <v>6</v>
      </c>
      <c r="S508" s="2">
        <v>2</v>
      </c>
      <c r="T508" s="3">
        <v>125</v>
      </c>
      <c r="U508" s="3">
        <v>2083.36</v>
      </c>
      <c r="V508" s="3">
        <v>449.36</v>
      </c>
      <c r="W508" s="3">
        <v>3.24</v>
      </c>
      <c r="Y508" s="3">
        <v>2851.63</v>
      </c>
      <c r="AA508" s="3">
        <v>762</v>
      </c>
      <c r="AB508" s="3">
        <v>699</v>
      </c>
      <c r="AC508" s="3">
        <v>254</v>
      </c>
      <c r="AE508" s="3">
        <v>1637</v>
      </c>
      <c r="AG508" s="3">
        <v>1.63</v>
      </c>
      <c r="AH508" s="3">
        <f>STDEV(AG509:AG511)/1.7</f>
        <v>0.14741134218990168</v>
      </c>
      <c r="AI508" s="3">
        <v>0.35</v>
      </c>
      <c r="AJ508" s="3">
        <f>STDEV(AI509:AI511)/1.7</f>
        <v>2.9607193863806853E-2</v>
      </c>
      <c r="AM508" s="3">
        <v>3.36</v>
      </c>
      <c r="AN508" s="3">
        <f>STDEV(AM509:AM511)/1.7</f>
        <v>0.12427413237247703</v>
      </c>
      <c r="AR508" s="3" t="s">
        <v>60</v>
      </c>
      <c r="AT508" s="4">
        <v>47.75</v>
      </c>
      <c r="AU508" s="4" t="s">
        <v>885</v>
      </c>
      <c r="AW508" s="3" t="s">
        <v>234</v>
      </c>
    </row>
    <row r="509" spans="1:49" x14ac:dyDescent="0.15">
      <c r="A509" s="2">
        <v>508</v>
      </c>
      <c r="B509" s="2" t="s">
        <v>548</v>
      </c>
      <c r="C509" s="2" t="s">
        <v>73</v>
      </c>
      <c r="D509" s="2" t="s">
        <v>115</v>
      </c>
      <c r="E509" s="2" t="s">
        <v>39</v>
      </c>
      <c r="H509" s="2" t="s">
        <v>60</v>
      </c>
      <c r="I509" s="2" t="s">
        <v>25</v>
      </c>
      <c r="J509" s="2">
        <v>2010</v>
      </c>
      <c r="K509" s="2">
        <v>1</v>
      </c>
      <c r="N509" s="3">
        <v>625</v>
      </c>
      <c r="O509" s="3">
        <v>64</v>
      </c>
      <c r="P509" s="2">
        <v>22</v>
      </c>
      <c r="Q509" s="2">
        <v>55</v>
      </c>
      <c r="R509" s="2">
        <v>5</v>
      </c>
      <c r="S509" s="2">
        <v>1</v>
      </c>
      <c r="T509" s="3">
        <v>116</v>
      </c>
      <c r="U509" s="3">
        <v>2371.2399999999998</v>
      </c>
      <c r="V509" s="3">
        <v>531.33000000000004</v>
      </c>
      <c r="W509" s="3">
        <v>3.15</v>
      </c>
      <c r="Y509" s="3">
        <v>3372.09</v>
      </c>
      <c r="AA509" s="3">
        <v>680</v>
      </c>
      <c r="AB509" s="3">
        <v>604</v>
      </c>
      <c r="AC509" s="3">
        <v>40</v>
      </c>
      <c r="AE509" s="3">
        <v>1350</v>
      </c>
      <c r="AG509" s="3">
        <v>1.87</v>
      </c>
      <c r="AI509" s="3">
        <v>0.4</v>
      </c>
      <c r="AM509" s="3">
        <v>3.39</v>
      </c>
      <c r="AR509" s="3" t="s">
        <v>60</v>
      </c>
      <c r="AT509" s="4">
        <v>47.75</v>
      </c>
      <c r="AU509" s="4" t="s">
        <v>885</v>
      </c>
    </row>
    <row r="510" spans="1:49" x14ac:dyDescent="0.15">
      <c r="A510" s="2">
        <v>509</v>
      </c>
      <c r="B510" s="2" t="s">
        <v>548</v>
      </c>
      <c r="C510" s="2" t="s">
        <v>73</v>
      </c>
      <c r="D510" s="2" t="s">
        <v>115</v>
      </c>
      <c r="E510" s="2" t="s">
        <v>39</v>
      </c>
      <c r="H510" s="2" t="s">
        <v>60</v>
      </c>
      <c r="I510" s="2" t="s">
        <v>25</v>
      </c>
      <c r="J510" s="2">
        <v>2010</v>
      </c>
      <c r="K510" s="2">
        <v>1</v>
      </c>
      <c r="N510" s="3">
        <v>625</v>
      </c>
      <c r="O510" s="3">
        <v>64</v>
      </c>
      <c r="P510" s="2">
        <v>19</v>
      </c>
      <c r="Q510" s="2">
        <v>42</v>
      </c>
      <c r="R510" s="2">
        <v>6</v>
      </c>
      <c r="S510" s="2">
        <v>1</v>
      </c>
      <c r="T510" s="3">
        <v>94</v>
      </c>
      <c r="U510" s="3">
        <v>2336.4699999999998</v>
      </c>
      <c r="V510" s="3">
        <v>407.3</v>
      </c>
      <c r="W510" s="3">
        <v>4.6100000000000003</v>
      </c>
      <c r="Y510" s="3">
        <v>3137.64</v>
      </c>
      <c r="AA510" s="3">
        <v>1140</v>
      </c>
      <c r="AB510" s="3">
        <v>1046</v>
      </c>
      <c r="AC510" s="3">
        <v>179</v>
      </c>
      <c r="AE510" s="3">
        <v>2382</v>
      </c>
      <c r="AG510" s="3">
        <v>1.65</v>
      </c>
      <c r="AI510" s="3">
        <v>0.34</v>
      </c>
      <c r="AM510" s="3">
        <v>3.56</v>
      </c>
      <c r="AR510" s="3" t="s">
        <v>60</v>
      </c>
      <c r="AT510" s="4">
        <v>47.75</v>
      </c>
      <c r="AU510" s="4" t="s">
        <v>885</v>
      </c>
    </row>
    <row r="511" spans="1:49" x14ac:dyDescent="0.15">
      <c r="A511" s="2">
        <v>510</v>
      </c>
      <c r="B511" s="2" t="s">
        <v>548</v>
      </c>
      <c r="C511" s="2" t="s">
        <v>73</v>
      </c>
      <c r="D511" s="2" t="s">
        <v>115</v>
      </c>
      <c r="E511" s="2" t="s">
        <v>39</v>
      </c>
      <c r="H511" s="2" t="s">
        <v>60</v>
      </c>
      <c r="I511" s="2" t="s">
        <v>25</v>
      </c>
      <c r="J511" s="2">
        <v>2010</v>
      </c>
      <c r="K511" s="2">
        <v>1</v>
      </c>
      <c r="N511" s="3">
        <v>625</v>
      </c>
      <c r="O511" s="3">
        <v>64</v>
      </c>
      <c r="P511" s="2">
        <v>19</v>
      </c>
      <c r="Q511" s="2">
        <v>37</v>
      </c>
      <c r="R511" s="2">
        <v>6</v>
      </c>
      <c r="S511" s="2">
        <v>1</v>
      </c>
      <c r="T511" s="3">
        <v>83</v>
      </c>
      <c r="U511" s="3">
        <v>1542.38</v>
      </c>
      <c r="V511" s="3">
        <v>409.45</v>
      </c>
      <c r="W511" s="3">
        <v>1.97</v>
      </c>
      <c r="Y511" s="3">
        <v>2045.18</v>
      </c>
      <c r="AA511" s="3">
        <v>466</v>
      </c>
      <c r="AB511" s="3">
        <v>447</v>
      </c>
      <c r="AC511" s="3">
        <v>251</v>
      </c>
      <c r="AE511" s="3">
        <v>1179</v>
      </c>
      <c r="AG511" s="3">
        <v>1.37</v>
      </c>
      <c r="AI511" s="3">
        <v>0.3</v>
      </c>
      <c r="AM511" s="3">
        <v>3.14</v>
      </c>
      <c r="AR511" s="3" t="s">
        <v>60</v>
      </c>
      <c r="AT511" s="4">
        <v>47.75</v>
      </c>
      <c r="AU511" s="4" t="s">
        <v>885</v>
      </c>
    </row>
    <row r="512" spans="1:49" x14ac:dyDescent="0.15">
      <c r="A512" s="2">
        <v>511</v>
      </c>
      <c r="B512" s="2" t="s">
        <v>548</v>
      </c>
      <c r="C512" s="2" t="s">
        <v>73</v>
      </c>
      <c r="D512" s="2" t="s">
        <v>115</v>
      </c>
      <c r="E512" s="2" t="s">
        <v>39</v>
      </c>
      <c r="H512" s="2" t="s">
        <v>42</v>
      </c>
      <c r="I512" s="2" t="s">
        <v>25</v>
      </c>
      <c r="J512" s="2">
        <v>2010</v>
      </c>
      <c r="K512" s="2">
        <v>1</v>
      </c>
      <c r="N512" s="3">
        <v>625</v>
      </c>
      <c r="O512" s="3">
        <v>48</v>
      </c>
      <c r="P512" s="2">
        <v>4</v>
      </c>
      <c r="Q512" s="2">
        <v>15</v>
      </c>
      <c r="T512" s="3">
        <v>23</v>
      </c>
      <c r="U512" s="3">
        <v>507.29</v>
      </c>
      <c r="V512" s="3">
        <v>99.49</v>
      </c>
      <c r="W512" s="3">
        <v>0.1</v>
      </c>
      <c r="Y512" s="3">
        <v>607.16999999999996</v>
      </c>
      <c r="AA512" s="3">
        <v>252</v>
      </c>
      <c r="AB512" s="3">
        <v>733</v>
      </c>
      <c r="AC512" s="3">
        <v>1</v>
      </c>
      <c r="AE512" s="3">
        <v>986</v>
      </c>
      <c r="AT512" s="4">
        <v>47.75</v>
      </c>
      <c r="AU512" s="4" t="s">
        <v>885</v>
      </c>
    </row>
    <row r="513" spans="1:49" x14ac:dyDescent="0.15">
      <c r="A513" s="2">
        <v>512</v>
      </c>
      <c r="B513" s="2" t="s">
        <v>548</v>
      </c>
      <c r="C513" s="2" t="s">
        <v>73</v>
      </c>
      <c r="D513" s="2" t="s">
        <v>115</v>
      </c>
      <c r="E513" s="2" t="s">
        <v>39</v>
      </c>
      <c r="H513" s="2" t="s">
        <v>843</v>
      </c>
      <c r="I513" s="2" t="s">
        <v>25</v>
      </c>
      <c r="J513" s="2">
        <v>2010</v>
      </c>
      <c r="K513" s="2">
        <v>1</v>
      </c>
      <c r="N513" s="3">
        <v>625</v>
      </c>
      <c r="O513" s="3">
        <v>96</v>
      </c>
      <c r="P513" s="2">
        <v>19</v>
      </c>
      <c r="Q513" s="2">
        <v>42</v>
      </c>
      <c r="R513" s="2">
        <v>6</v>
      </c>
      <c r="T513" s="3">
        <v>94</v>
      </c>
      <c r="U513" s="3">
        <v>5682.11</v>
      </c>
      <c r="V513" s="3">
        <v>1046.44</v>
      </c>
      <c r="W513" s="3">
        <v>3.41</v>
      </c>
      <c r="Y513" s="3">
        <v>6809.02</v>
      </c>
      <c r="AA513" s="3">
        <v>1998</v>
      </c>
      <c r="AB513" s="3">
        <v>1022</v>
      </c>
      <c r="AC513" s="3">
        <v>44</v>
      </c>
      <c r="AE513" s="3">
        <v>3069</v>
      </c>
      <c r="AT513" s="4">
        <v>47.75</v>
      </c>
      <c r="AU513" s="4" t="s">
        <v>885</v>
      </c>
    </row>
    <row r="514" spans="1:49" x14ac:dyDescent="0.15">
      <c r="A514" s="2">
        <v>513</v>
      </c>
      <c r="B514" s="2" t="s">
        <v>548</v>
      </c>
      <c r="C514" s="2" t="s">
        <v>73</v>
      </c>
      <c r="D514" s="2" t="s">
        <v>115</v>
      </c>
      <c r="E514" s="2" t="s">
        <v>39</v>
      </c>
      <c r="H514" s="2" t="s">
        <v>43</v>
      </c>
      <c r="I514" s="2" t="s">
        <v>25</v>
      </c>
      <c r="J514" s="2">
        <v>2010</v>
      </c>
      <c r="K514" s="2">
        <v>1</v>
      </c>
      <c r="N514" s="3">
        <v>625</v>
      </c>
      <c r="O514" s="3">
        <v>48</v>
      </c>
      <c r="P514" s="2">
        <v>14</v>
      </c>
      <c r="Q514" s="2">
        <v>43</v>
      </c>
      <c r="R514" s="2">
        <v>5</v>
      </c>
      <c r="S514" s="2">
        <v>2</v>
      </c>
      <c r="T514" s="3">
        <v>93</v>
      </c>
      <c r="U514" s="3">
        <v>68.42</v>
      </c>
      <c r="V514" s="3">
        <v>202.25</v>
      </c>
      <c r="W514" s="3">
        <v>6.22</v>
      </c>
      <c r="Y514" s="3">
        <v>1145.7</v>
      </c>
      <c r="AA514" s="3">
        <v>49</v>
      </c>
      <c r="AB514" s="3">
        <v>322</v>
      </c>
      <c r="AC514" s="3">
        <v>424</v>
      </c>
      <c r="AE514" s="3">
        <v>848</v>
      </c>
      <c r="AT514" s="4">
        <v>47.75</v>
      </c>
      <c r="AU514" s="4" t="s">
        <v>885</v>
      </c>
    </row>
    <row r="515" spans="1:49" x14ac:dyDescent="0.15">
      <c r="A515" s="2">
        <v>514</v>
      </c>
      <c r="B515" s="2" t="s">
        <v>552</v>
      </c>
      <c r="C515" s="2" t="s">
        <v>92</v>
      </c>
      <c r="D515" s="2" t="s">
        <v>553</v>
      </c>
      <c r="E515" s="2" t="s">
        <v>39</v>
      </c>
      <c r="H515" s="2" t="s">
        <v>543</v>
      </c>
      <c r="I515" s="2" t="s">
        <v>553</v>
      </c>
      <c r="J515" s="2">
        <v>2011</v>
      </c>
      <c r="K515" s="2">
        <v>5</v>
      </c>
      <c r="L515" s="2">
        <v>2011</v>
      </c>
      <c r="M515" s="2">
        <v>8</v>
      </c>
      <c r="N515" s="3">
        <v>500</v>
      </c>
      <c r="O515" s="3">
        <v>60</v>
      </c>
      <c r="P515" s="2">
        <v>5</v>
      </c>
      <c r="Q515" s="2">
        <v>12</v>
      </c>
      <c r="R515" s="2">
        <v>6</v>
      </c>
      <c r="S515" s="2">
        <v>2</v>
      </c>
      <c r="T515" s="3">
        <v>29</v>
      </c>
      <c r="Y515" s="3">
        <v>31.38</v>
      </c>
      <c r="AE515" s="3">
        <v>83.75</v>
      </c>
      <c r="AR515" s="3" t="s">
        <v>537</v>
      </c>
      <c r="AT515" s="4">
        <v>47.75</v>
      </c>
      <c r="AU515" s="4" t="s">
        <v>885</v>
      </c>
      <c r="AW515" s="3" t="s">
        <v>555</v>
      </c>
    </row>
    <row r="516" spans="1:49" x14ac:dyDescent="0.15">
      <c r="A516" s="2">
        <v>515</v>
      </c>
      <c r="B516" s="2" t="s">
        <v>552</v>
      </c>
      <c r="C516" s="2" t="s">
        <v>92</v>
      </c>
      <c r="D516" s="2" t="s">
        <v>553</v>
      </c>
      <c r="E516" s="2" t="s">
        <v>39</v>
      </c>
      <c r="H516" s="2" t="s">
        <v>543</v>
      </c>
      <c r="I516" s="2" t="s">
        <v>553</v>
      </c>
      <c r="J516" s="2">
        <v>2011</v>
      </c>
      <c r="K516" s="2">
        <v>8</v>
      </c>
      <c r="N516" s="3">
        <v>500</v>
      </c>
      <c r="O516" s="3">
        <v>60</v>
      </c>
      <c r="P516" s="2">
        <v>8</v>
      </c>
      <c r="Q516" s="2">
        <v>15</v>
      </c>
      <c r="R516" s="2">
        <v>7</v>
      </c>
      <c r="S516" s="2">
        <v>2</v>
      </c>
      <c r="T516" s="3">
        <v>36</v>
      </c>
      <c r="Y516" s="3">
        <v>22.71</v>
      </c>
      <c r="AE516" s="3">
        <v>107.25</v>
      </c>
      <c r="AR516" s="3" t="s">
        <v>537</v>
      </c>
      <c r="AT516" s="4">
        <v>47.75</v>
      </c>
      <c r="AU516" s="4" t="s">
        <v>885</v>
      </c>
      <c r="AW516" s="3" t="s">
        <v>555</v>
      </c>
    </row>
    <row r="517" spans="1:49" x14ac:dyDescent="0.15">
      <c r="A517" s="2">
        <v>516</v>
      </c>
      <c r="B517" s="2" t="s">
        <v>552</v>
      </c>
      <c r="C517" s="2" t="s">
        <v>92</v>
      </c>
      <c r="D517" s="2" t="s">
        <v>553</v>
      </c>
      <c r="E517" s="2" t="s">
        <v>39</v>
      </c>
      <c r="H517" s="2" t="s">
        <v>543</v>
      </c>
      <c r="I517" s="2" t="s">
        <v>553</v>
      </c>
      <c r="J517" s="2">
        <v>1983</v>
      </c>
      <c r="K517" s="2">
        <v>5</v>
      </c>
      <c r="T517" s="3">
        <v>122</v>
      </c>
      <c r="Y517" s="3">
        <v>52.6</v>
      </c>
      <c r="AE517" s="3">
        <v>196</v>
      </c>
      <c r="AR517" s="3" t="s">
        <v>537</v>
      </c>
      <c r="AT517" s="4">
        <v>47.75</v>
      </c>
      <c r="AU517" s="4" t="s">
        <v>885</v>
      </c>
      <c r="AV517" s="3" t="s">
        <v>556</v>
      </c>
      <c r="AW517" s="3" t="s">
        <v>555</v>
      </c>
    </row>
    <row r="518" spans="1:49" x14ac:dyDescent="0.15">
      <c r="A518" s="2">
        <v>517</v>
      </c>
      <c r="B518" s="2" t="s">
        <v>552</v>
      </c>
      <c r="C518" s="2" t="s">
        <v>92</v>
      </c>
      <c r="D518" s="2" t="s">
        <v>553</v>
      </c>
      <c r="E518" s="2" t="s">
        <v>39</v>
      </c>
      <c r="H518" s="2" t="s">
        <v>543</v>
      </c>
      <c r="I518" s="2" t="s">
        <v>553</v>
      </c>
      <c r="J518" s="2">
        <v>1983</v>
      </c>
      <c r="K518" s="2">
        <v>8</v>
      </c>
      <c r="T518" s="3">
        <v>87</v>
      </c>
      <c r="Y518" s="3">
        <v>32.1</v>
      </c>
      <c r="AE518" s="3">
        <v>122</v>
      </c>
      <c r="AR518" s="3" t="s">
        <v>537</v>
      </c>
      <c r="AT518" s="4">
        <v>47.75</v>
      </c>
      <c r="AU518" s="4" t="s">
        <v>885</v>
      </c>
      <c r="AV518" s="3" t="s">
        <v>556</v>
      </c>
      <c r="AW518" s="3" t="s">
        <v>555</v>
      </c>
    </row>
    <row r="519" spans="1:49" x14ac:dyDescent="0.15">
      <c r="A519" s="2">
        <v>518</v>
      </c>
      <c r="B519" s="2" t="s">
        <v>552</v>
      </c>
      <c r="C519" s="2" t="s">
        <v>92</v>
      </c>
      <c r="D519" s="2" t="s">
        <v>553</v>
      </c>
      <c r="E519" s="2" t="s">
        <v>39</v>
      </c>
      <c r="H519" s="2" t="s">
        <v>543</v>
      </c>
      <c r="I519" s="2" t="s">
        <v>553</v>
      </c>
      <c r="J519" s="2">
        <v>1998</v>
      </c>
      <c r="K519" s="2">
        <v>5</v>
      </c>
      <c r="T519" s="3">
        <v>98</v>
      </c>
      <c r="Y519" s="3">
        <v>92.4</v>
      </c>
      <c r="AE519" s="3">
        <v>510</v>
      </c>
      <c r="AR519" s="3" t="s">
        <v>537</v>
      </c>
      <c r="AT519" s="4">
        <v>47.75</v>
      </c>
      <c r="AU519" s="4" t="s">
        <v>885</v>
      </c>
      <c r="AV519" s="3" t="s">
        <v>556</v>
      </c>
      <c r="AW519" s="3" t="s">
        <v>555</v>
      </c>
    </row>
    <row r="520" spans="1:49" x14ac:dyDescent="0.15">
      <c r="A520" s="2">
        <v>519</v>
      </c>
      <c r="B520" s="2" t="s">
        <v>552</v>
      </c>
      <c r="C520" s="2" t="s">
        <v>92</v>
      </c>
      <c r="D520" s="2" t="s">
        <v>553</v>
      </c>
      <c r="E520" s="2" t="s">
        <v>39</v>
      </c>
      <c r="H520" s="2" t="s">
        <v>543</v>
      </c>
      <c r="I520" s="2" t="s">
        <v>553</v>
      </c>
      <c r="J520" s="2">
        <v>1998</v>
      </c>
      <c r="K520" s="2">
        <v>8</v>
      </c>
      <c r="T520" s="3">
        <v>107</v>
      </c>
      <c r="Y520" s="3">
        <v>76.5</v>
      </c>
      <c r="AE520" s="3">
        <v>625</v>
      </c>
      <c r="AR520" s="3" t="s">
        <v>537</v>
      </c>
      <c r="AT520" s="4">
        <v>47.75</v>
      </c>
      <c r="AU520" s="4" t="s">
        <v>885</v>
      </c>
      <c r="AV520" s="3" t="s">
        <v>556</v>
      </c>
      <c r="AW520" s="3" t="s">
        <v>555</v>
      </c>
    </row>
    <row r="521" spans="1:49" x14ac:dyDescent="0.15">
      <c r="A521" s="2">
        <v>520</v>
      </c>
      <c r="B521" s="2" t="s">
        <v>552</v>
      </c>
      <c r="C521" s="2" t="s">
        <v>92</v>
      </c>
      <c r="D521" s="2" t="s">
        <v>553</v>
      </c>
      <c r="E521" s="2" t="s">
        <v>39</v>
      </c>
      <c r="H521" s="2" t="s">
        <v>543</v>
      </c>
      <c r="I521" s="2" t="s">
        <v>553</v>
      </c>
      <c r="J521" s="2">
        <v>2004</v>
      </c>
      <c r="K521" s="2">
        <v>5</v>
      </c>
      <c r="T521" s="3">
        <v>69</v>
      </c>
      <c r="Y521" s="3">
        <v>7.34</v>
      </c>
      <c r="AE521" s="3">
        <v>894.31</v>
      </c>
      <c r="AR521" s="3" t="s">
        <v>537</v>
      </c>
      <c r="AT521" s="4">
        <v>47.75</v>
      </c>
      <c r="AU521" s="4" t="s">
        <v>885</v>
      </c>
      <c r="AW521" s="3" t="s">
        <v>555</v>
      </c>
    </row>
    <row r="522" spans="1:49" x14ac:dyDescent="0.15">
      <c r="A522" s="2">
        <v>521</v>
      </c>
      <c r="B522" s="2" t="s">
        <v>552</v>
      </c>
      <c r="C522" s="2" t="s">
        <v>92</v>
      </c>
      <c r="D522" s="2" t="s">
        <v>553</v>
      </c>
      <c r="E522" s="2" t="s">
        <v>39</v>
      </c>
      <c r="H522" s="2" t="s">
        <v>543</v>
      </c>
      <c r="I522" s="2" t="s">
        <v>553</v>
      </c>
      <c r="J522" s="2">
        <v>2003</v>
      </c>
      <c r="K522" s="2">
        <v>7</v>
      </c>
      <c r="T522" s="3">
        <v>80</v>
      </c>
      <c r="Y522" s="3">
        <v>56.18</v>
      </c>
      <c r="AE522" s="3">
        <v>375.34</v>
      </c>
      <c r="AR522" s="3" t="s">
        <v>537</v>
      </c>
      <c r="AT522" s="4">
        <v>47.75</v>
      </c>
      <c r="AU522" s="4" t="s">
        <v>885</v>
      </c>
      <c r="AW522" s="3" t="s">
        <v>555</v>
      </c>
    </row>
    <row r="523" spans="1:49" x14ac:dyDescent="0.15">
      <c r="A523" s="2">
        <v>522</v>
      </c>
      <c r="B523" s="2" t="s">
        <v>552</v>
      </c>
      <c r="C523" s="2" t="s">
        <v>92</v>
      </c>
      <c r="D523" s="2" t="s">
        <v>553</v>
      </c>
      <c r="E523" s="2" t="s">
        <v>39</v>
      </c>
      <c r="H523" s="2" t="s">
        <v>543</v>
      </c>
      <c r="I523" s="2" t="s">
        <v>553</v>
      </c>
      <c r="J523" s="2">
        <v>2004</v>
      </c>
      <c r="K523" s="2">
        <v>5</v>
      </c>
      <c r="T523" s="3">
        <v>36</v>
      </c>
      <c r="Y523" s="3">
        <v>24.11</v>
      </c>
      <c r="AE523" s="3">
        <v>170.69</v>
      </c>
      <c r="AR523" s="3" t="s">
        <v>537</v>
      </c>
      <c r="AT523" s="4">
        <v>47.75</v>
      </c>
      <c r="AU523" s="4" t="s">
        <v>885</v>
      </c>
      <c r="AW523" s="3" t="s">
        <v>555</v>
      </c>
    </row>
    <row r="524" spans="1:49" x14ac:dyDescent="0.15">
      <c r="A524" s="2">
        <v>523</v>
      </c>
      <c r="B524" s="2" t="s">
        <v>552</v>
      </c>
      <c r="C524" s="2" t="s">
        <v>92</v>
      </c>
      <c r="D524" s="2" t="s">
        <v>553</v>
      </c>
      <c r="E524" s="2" t="s">
        <v>39</v>
      </c>
      <c r="H524" s="2" t="s">
        <v>543</v>
      </c>
      <c r="I524" s="2" t="s">
        <v>553</v>
      </c>
      <c r="J524" s="2">
        <v>2004</v>
      </c>
      <c r="K524" s="2">
        <v>8</v>
      </c>
      <c r="N524" s="3">
        <v>500</v>
      </c>
      <c r="O524" s="3">
        <v>60</v>
      </c>
      <c r="T524" s="3">
        <v>27</v>
      </c>
      <c r="Y524" s="3">
        <v>31.43</v>
      </c>
      <c r="AE524" s="3">
        <v>411.34</v>
      </c>
      <c r="AR524" s="3" t="s">
        <v>537</v>
      </c>
      <c r="AT524" s="4">
        <v>47.75</v>
      </c>
      <c r="AU524" s="4" t="s">
        <v>885</v>
      </c>
      <c r="AW524" s="3" t="s">
        <v>555</v>
      </c>
    </row>
    <row r="525" spans="1:49" x14ac:dyDescent="0.15">
      <c r="A525" s="2">
        <v>524</v>
      </c>
      <c r="B525" s="2" t="s">
        <v>552</v>
      </c>
      <c r="C525" s="2" t="s">
        <v>92</v>
      </c>
      <c r="D525" s="2" t="s">
        <v>553</v>
      </c>
      <c r="E525" s="2" t="s">
        <v>39</v>
      </c>
      <c r="H525" s="2" t="s">
        <v>543</v>
      </c>
      <c r="I525" s="2" t="s">
        <v>553</v>
      </c>
      <c r="J525" s="2">
        <v>2005</v>
      </c>
      <c r="K525" s="2">
        <v>5</v>
      </c>
      <c r="N525" s="3">
        <v>500</v>
      </c>
      <c r="O525" s="3">
        <v>60</v>
      </c>
      <c r="T525" s="3">
        <v>58</v>
      </c>
      <c r="Y525" s="3">
        <v>16.04</v>
      </c>
      <c r="AE525" s="3">
        <v>43.87</v>
      </c>
      <c r="AR525" s="3" t="s">
        <v>537</v>
      </c>
      <c r="AT525" s="4">
        <v>47.75</v>
      </c>
      <c r="AU525" s="4" t="s">
        <v>885</v>
      </c>
      <c r="AW525" s="3" t="s">
        <v>555</v>
      </c>
    </row>
    <row r="526" spans="1:49" x14ac:dyDescent="0.15">
      <c r="A526" s="2">
        <v>525</v>
      </c>
      <c r="B526" s="2" t="s">
        <v>552</v>
      </c>
      <c r="C526" s="2" t="s">
        <v>92</v>
      </c>
      <c r="D526" s="2" t="s">
        <v>553</v>
      </c>
      <c r="E526" s="2" t="s">
        <v>39</v>
      </c>
      <c r="H526" s="2" t="s">
        <v>543</v>
      </c>
      <c r="I526" s="2" t="s">
        <v>553</v>
      </c>
      <c r="J526" s="2">
        <v>2005</v>
      </c>
      <c r="K526" s="2">
        <v>8</v>
      </c>
      <c r="N526" s="3">
        <v>500</v>
      </c>
      <c r="O526" s="3">
        <v>60</v>
      </c>
      <c r="T526" s="3">
        <v>59</v>
      </c>
      <c r="Y526" s="3">
        <v>16.45</v>
      </c>
      <c r="AE526" s="3">
        <v>69.47</v>
      </c>
      <c r="AR526" s="3" t="s">
        <v>537</v>
      </c>
      <c r="AT526" s="4">
        <v>47.75</v>
      </c>
      <c r="AU526" s="4" t="s">
        <v>885</v>
      </c>
      <c r="AW526" s="3" t="s">
        <v>555</v>
      </c>
    </row>
    <row r="527" spans="1:49" x14ac:dyDescent="0.15">
      <c r="A527" s="2">
        <v>526</v>
      </c>
      <c r="B527" s="2" t="s">
        <v>552</v>
      </c>
      <c r="C527" s="2" t="s">
        <v>92</v>
      </c>
      <c r="D527" s="2" t="s">
        <v>553</v>
      </c>
      <c r="E527" s="2" t="s">
        <v>39</v>
      </c>
      <c r="H527" s="2" t="s">
        <v>543</v>
      </c>
      <c r="I527" s="2" t="s">
        <v>553</v>
      </c>
      <c r="J527" s="2">
        <v>2006</v>
      </c>
      <c r="K527" s="2">
        <v>5</v>
      </c>
      <c r="N527" s="3">
        <v>500</v>
      </c>
      <c r="O527" s="3">
        <v>60</v>
      </c>
      <c r="T527" s="3">
        <v>38</v>
      </c>
      <c r="Y527" s="3">
        <v>9.69</v>
      </c>
      <c r="AE527" s="3">
        <v>35.33</v>
      </c>
      <c r="AR527" s="3" t="s">
        <v>537</v>
      </c>
      <c r="AT527" s="4">
        <v>47.75</v>
      </c>
      <c r="AU527" s="4" t="s">
        <v>885</v>
      </c>
      <c r="AW527" s="3" t="s">
        <v>555</v>
      </c>
    </row>
    <row r="528" spans="1:49" x14ac:dyDescent="0.15">
      <c r="A528" s="2">
        <v>527</v>
      </c>
      <c r="B528" s="2" t="s">
        <v>552</v>
      </c>
      <c r="C528" s="2" t="s">
        <v>92</v>
      </c>
      <c r="D528" s="2" t="s">
        <v>553</v>
      </c>
      <c r="E528" s="2" t="s">
        <v>39</v>
      </c>
      <c r="H528" s="2" t="s">
        <v>543</v>
      </c>
      <c r="I528" s="2" t="s">
        <v>553</v>
      </c>
      <c r="J528" s="2">
        <v>2006</v>
      </c>
      <c r="K528" s="2">
        <v>8</v>
      </c>
      <c r="N528" s="3">
        <v>500</v>
      </c>
      <c r="O528" s="3">
        <v>60</v>
      </c>
      <c r="T528" s="3">
        <v>33</v>
      </c>
      <c r="Y528" s="3">
        <v>32.85</v>
      </c>
      <c r="AE528" s="3">
        <v>219.07</v>
      </c>
      <c r="AR528" s="3" t="s">
        <v>537</v>
      </c>
      <c r="AT528" s="4">
        <v>47.75</v>
      </c>
      <c r="AU528" s="4" t="s">
        <v>885</v>
      </c>
      <c r="AW528" s="3" t="s">
        <v>555</v>
      </c>
    </row>
    <row r="529" spans="1:49" x14ac:dyDescent="0.15">
      <c r="A529" s="2">
        <v>528</v>
      </c>
      <c r="B529" s="2" t="s">
        <v>552</v>
      </c>
      <c r="C529" s="2" t="s">
        <v>92</v>
      </c>
      <c r="D529" s="2" t="s">
        <v>553</v>
      </c>
      <c r="E529" s="2" t="s">
        <v>39</v>
      </c>
      <c r="H529" s="2" t="s">
        <v>543</v>
      </c>
      <c r="I529" s="2" t="s">
        <v>553</v>
      </c>
      <c r="J529" s="2">
        <v>2007</v>
      </c>
      <c r="K529" s="2">
        <v>5</v>
      </c>
      <c r="N529" s="3">
        <v>500</v>
      </c>
      <c r="O529" s="3">
        <v>60</v>
      </c>
      <c r="T529" s="3">
        <v>44</v>
      </c>
      <c r="Y529" s="3" t="s">
        <v>554</v>
      </c>
      <c r="AE529" s="3">
        <v>405.9</v>
      </c>
      <c r="AR529" s="3" t="s">
        <v>537</v>
      </c>
      <c r="AT529" s="4">
        <v>47.75</v>
      </c>
      <c r="AU529" s="4" t="s">
        <v>885</v>
      </c>
      <c r="AW529" s="3" t="s">
        <v>555</v>
      </c>
    </row>
    <row r="530" spans="1:49" x14ac:dyDescent="0.15">
      <c r="A530" s="2">
        <v>529</v>
      </c>
      <c r="B530" s="2" t="s">
        <v>552</v>
      </c>
      <c r="C530" s="2" t="s">
        <v>92</v>
      </c>
      <c r="D530" s="2" t="s">
        <v>553</v>
      </c>
      <c r="E530" s="2" t="s">
        <v>39</v>
      </c>
      <c r="H530" s="2" t="s">
        <v>543</v>
      </c>
      <c r="I530" s="2" t="s">
        <v>553</v>
      </c>
      <c r="J530" s="2">
        <v>2007</v>
      </c>
      <c r="K530" s="2">
        <v>8</v>
      </c>
      <c r="N530" s="3">
        <v>500</v>
      </c>
      <c r="O530" s="3">
        <v>60</v>
      </c>
      <c r="T530" s="3">
        <v>29</v>
      </c>
      <c r="Y530" s="3">
        <v>10.51</v>
      </c>
      <c r="AE530" s="3">
        <v>120.9</v>
      </c>
      <c r="AR530" s="3" t="s">
        <v>537</v>
      </c>
      <c r="AT530" s="4">
        <v>47.75</v>
      </c>
      <c r="AU530" s="4" t="s">
        <v>885</v>
      </c>
      <c r="AW530" s="3" t="s">
        <v>555</v>
      </c>
    </row>
    <row r="531" spans="1:49" x14ac:dyDescent="0.15">
      <c r="A531" s="2">
        <v>530</v>
      </c>
      <c r="B531" s="2" t="s">
        <v>552</v>
      </c>
      <c r="C531" s="2" t="s">
        <v>92</v>
      </c>
      <c r="D531" s="2" t="s">
        <v>553</v>
      </c>
      <c r="E531" s="2" t="s">
        <v>39</v>
      </c>
      <c r="H531" s="2" t="s">
        <v>543</v>
      </c>
      <c r="I531" s="2" t="s">
        <v>553</v>
      </c>
      <c r="J531" s="2">
        <v>2008</v>
      </c>
      <c r="K531" s="2">
        <v>5</v>
      </c>
      <c r="N531" s="3">
        <v>500</v>
      </c>
      <c r="O531" s="3">
        <v>60</v>
      </c>
      <c r="T531" s="3">
        <v>33</v>
      </c>
      <c r="Y531" s="3">
        <v>19.45</v>
      </c>
      <c r="AE531" s="3">
        <v>62.3</v>
      </c>
      <c r="AR531" s="3" t="s">
        <v>537</v>
      </c>
      <c r="AT531" s="4">
        <v>47.75</v>
      </c>
      <c r="AU531" s="4" t="s">
        <v>885</v>
      </c>
      <c r="AW531" s="3" t="s">
        <v>555</v>
      </c>
    </row>
    <row r="532" spans="1:49" x14ac:dyDescent="0.15">
      <c r="A532" s="2">
        <v>531</v>
      </c>
      <c r="B532" s="2" t="s">
        <v>552</v>
      </c>
      <c r="C532" s="2" t="s">
        <v>92</v>
      </c>
      <c r="D532" s="2" t="s">
        <v>553</v>
      </c>
      <c r="E532" s="2" t="s">
        <v>39</v>
      </c>
      <c r="H532" s="2" t="s">
        <v>543</v>
      </c>
      <c r="I532" s="2" t="s">
        <v>553</v>
      </c>
      <c r="J532" s="2">
        <v>2008</v>
      </c>
      <c r="K532" s="2">
        <v>8</v>
      </c>
      <c r="N532" s="3">
        <v>500</v>
      </c>
      <c r="O532" s="3">
        <v>60</v>
      </c>
      <c r="T532" s="3">
        <v>31</v>
      </c>
      <c r="Y532" s="3">
        <v>10.09</v>
      </c>
      <c r="AE532" s="3">
        <v>50.8</v>
      </c>
      <c r="AR532" s="3" t="s">
        <v>537</v>
      </c>
      <c r="AT532" s="4">
        <v>47.75</v>
      </c>
      <c r="AU532" s="4" t="s">
        <v>885</v>
      </c>
      <c r="AW532" s="3" t="s">
        <v>555</v>
      </c>
    </row>
    <row r="533" spans="1:49" x14ac:dyDescent="0.15">
      <c r="A533" s="2">
        <v>532</v>
      </c>
      <c r="B533" s="2" t="s">
        <v>552</v>
      </c>
      <c r="C533" s="2" t="s">
        <v>92</v>
      </c>
      <c r="D533" s="2" t="s">
        <v>553</v>
      </c>
      <c r="E533" s="2" t="s">
        <v>39</v>
      </c>
      <c r="H533" s="2" t="s">
        <v>543</v>
      </c>
      <c r="I533" s="2" t="s">
        <v>553</v>
      </c>
      <c r="J533" s="2">
        <v>2009</v>
      </c>
      <c r="K533" s="2">
        <v>5</v>
      </c>
      <c r="N533" s="3">
        <v>500</v>
      </c>
      <c r="O533" s="3">
        <v>60</v>
      </c>
      <c r="AR533" s="3" t="s">
        <v>537</v>
      </c>
      <c r="AT533" s="4">
        <v>47.75</v>
      </c>
      <c r="AU533" s="4" t="s">
        <v>885</v>
      </c>
      <c r="AW533" s="3" t="s">
        <v>555</v>
      </c>
    </row>
    <row r="534" spans="1:49" x14ac:dyDescent="0.15">
      <c r="A534" s="2">
        <v>533</v>
      </c>
      <c r="B534" s="2" t="s">
        <v>552</v>
      </c>
      <c r="C534" s="2" t="s">
        <v>92</v>
      </c>
      <c r="D534" s="2" t="s">
        <v>553</v>
      </c>
      <c r="E534" s="2" t="s">
        <v>39</v>
      </c>
      <c r="H534" s="2" t="s">
        <v>543</v>
      </c>
      <c r="I534" s="2" t="s">
        <v>553</v>
      </c>
      <c r="J534" s="2">
        <v>2009</v>
      </c>
      <c r="K534" s="2">
        <v>8</v>
      </c>
      <c r="N534" s="3">
        <v>500</v>
      </c>
      <c r="O534" s="3">
        <v>60</v>
      </c>
      <c r="T534" s="3">
        <v>25</v>
      </c>
      <c r="Y534" s="3">
        <v>11.96</v>
      </c>
      <c r="AE534" s="3">
        <v>180.8</v>
      </c>
      <c r="AR534" s="3" t="s">
        <v>537</v>
      </c>
      <c r="AT534" s="4">
        <v>47.75</v>
      </c>
      <c r="AU534" s="4" t="s">
        <v>885</v>
      </c>
      <c r="AW534" s="3" t="s">
        <v>555</v>
      </c>
    </row>
    <row r="535" spans="1:49" x14ac:dyDescent="0.15">
      <c r="A535" s="2">
        <v>534</v>
      </c>
      <c r="B535" s="2" t="s">
        <v>552</v>
      </c>
      <c r="C535" s="2" t="s">
        <v>92</v>
      </c>
      <c r="D535" s="2" t="s">
        <v>553</v>
      </c>
      <c r="E535" s="2" t="s">
        <v>39</v>
      </c>
      <c r="H535" s="2" t="s">
        <v>543</v>
      </c>
      <c r="I535" s="2" t="s">
        <v>553</v>
      </c>
      <c r="J535" s="2">
        <v>2010</v>
      </c>
      <c r="K535" s="2">
        <v>5</v>
      </c>
      <c r="N535" s="3">
        <v>500</v>
      </c>
      <c r="O535" s="3">
        <v>60</v>
      </c>
      <c r="AR535" s="3" t="s">
        <v>537</v>
      </c>
      <c r="AT535" s="4">
        <v>47.75</v>
      </c>
      <c r="AU535" s="4" t="s">
        <v>885</v>
      </c>
      <c r="AW535" s="3" t="s">
        <v>555</v>
      </c>
    </row>
    <row r="536" spans="1:49" x14ac:dyDescent="0.15">
      <c r="A536" s="2">
        <v>535</v>
      </c>
      <c r="B536" s="2" t="s">
        <v>552</v>
      </c>
      <c r="C536" s="2" t="s">
        <v>92</v>
      </c>
      <c r="D536" s="2" t="s">
        <v>553</v>
      </c>
      <c r="E536" s="2" t="s">
        <v>39</v>
      </c>
      <c r="H536" s="2" t="s">
        <v>543</v>
      </c>
      <c r="I536" s="2" t="s">
        <v>553</v>
      </c>
      <c r="J536" s="2">
        <v>2010</v>
      </c>
      <c r="K536" s="2">
        <v>8</v>
      </c>
      <c r="N536" s="3">
        <v>500</v>
      </c>
      <c r="O536" s="3">
        <v>60</v>
      </c>
      <c r="T536" s="3">
        <v>35</v>
      </c>
      <c r="Y536" s="3">
        <v>52.8</v>
      </c>
      <c r="AE536" s="3">
        <v>204</v>
      </c>
      <c r="AR536" s="3" t="s">
        <v>537</v>
      </c>
      <c r="AT536" s="4">
        <v>47.75</v>
      </c>
      <c r="AU536" s="4" t="s">
        <v>885</v>
      </c>
      <c r="AW536" s="3" t="s">
        <v>555</v>
      </c>
    </row>
    <row r="537" spans="1:49" x14ac:dyDescent="0.15">
      <c r="A537" s="2">
        <v>536</v>
      </c>
      <c r="B537" s="2" t="s">
        <v>557</v>
      </c>
      <c r="C537" s="2" t="s">
        <v>558</v>
      </c>
      <c r="D537" s="2" t="s">
        <v>115</v>
      </c>
      <c r="E537" s="2" t="s">
        <v>39</v>
      </c>
      <c r="H537" s="2" t="s">
        <v>543</v>
      </c>
      <c r="I537" s="2" t="s">
        <v>536</v>
      </c>
      <c r="J537" s="2">
        <v>2005</v>
      </c>
      <c r="K537" s="2">
        <v>7</v>
      </c>
      <c r="N537" s="3">
        <v>1000</v>
      </c>
      <c r="O537" s="3">
        <v>150</v>
      </c>
      <c r="P537" s="2">
        <v>7</v>
      </c>
      <c r="Q537" s="2">
        <v>13</v>
      </c>
      <c r="R537" s="2">
        <v>16</v>
      </c>
      <c r="S537" s="2">
        <v>8</v>
      </c>
      <c r="T537" s="3">
        <v>46</v>
      </c>
      <c r="U537" s="3">
        <v>14.85</v>
      </c>
      <c r="V537" s="3">
        <v>335.7</v>
      </c>
      <c r="W537" s="3">
        <v>23.6</v>
      </c>
      <c r="X537" s="3">
        <v>68.349999999999994</v>
      </c>
      <c r="Y537" s="3">
        <v>460.25</v>
      </c>
      <c r="AA537" s="3">
        <v>17</v>
      </c>
      <c r="AB537" s="3">
        <v>82</v>
      </c>
      <c r="AC537" s="3">
        <v>62</v>
      </c>
      <c r="AD537" s="3">
        <v>19</v>
      </c>
      <c r="AE537" s="3">
        <v>180</v>
      </c>
      <c r="AG537" s="3">
        <v>4.63</v>
      </c>
      <c r="AI537" s="3">
        <v>0.84</v>
      </c>
      <c r="AM537" s="3">
        <v>4.6500000000000004</v>
      </c>
      <c r="AR537" s="3" t="s">
        <v>559</v>
      </c>
      <c r="AS537" s="4" t="s">
        <v>561</v>
      </c>
      <c r="AT537" s="4">
        <v>43.5</v>
      </c>
      <c r="AU537" s="4" t="s">
        <v>86</v>
      </c>
      <c r="AV537" s="3" t="s">
        <v>562</v>
      </c>
      <c r="AW537" s="3" t="s">
        <v>560</v>
      </c>
    </row>
    <row r="538" spans="1:49" x14ac:dyDescent="0.15">
      <c r="A538" s="2">
        <v>537</v>
      </c>
      <c r="B538" s="2" t="s">
        <v>564</v>
      </c>
      <c r="C538" s="2" t="s">
        <v>73</v>
      </c>
      <c r="D538" s="2" t="s">
        <v>115</v>
      </c>
      <c r="E538" s="2" t="s">
        <v>563</v>
      </c>
      <c r="H538" s="2" t="s">
        <v>543</v>
      </c>
      <c r="I538" s="2" t="s">
        <v>25</v>
      </c>
      <c r="J538" s="2">
        <v>2011</v>
      </c>
      <c r="K538" s="2">
        <v>7</v>
      </c>
      <c r="L538" s="2">
        <v>2011</v>
      </c>
      <c r="M538" s="2">
        <v>8</v>
      </c>
      <c r="N538" s="3">
        <v>625</v>
      </c>
      <c r="O538" s="3">
        <v>84</v>
      </c>
      <c r="P538" s="2">
        <v>22</v>
      </c>
      <c r="Q538" s="2">
        <v>20</v>
      </c>
      <c r="R538" s="2">
        <v>7</v>
      </c>
      <c r="S538" s="2">
        <v>2</v>
      </c>
      <c r="T538" s="3">
        <v>102</v>
      </c>
      <c r="U538" s="3">
        <f>AVERAGE(U539:U545)</f>
        <v>1540.1414285714288</v>
      </c>
      <c r="V538" s="3">
        <f t="shared" ref="V538:Y538" si="11">AVERAGE(V539:V545)</f>
        <v>158.8857142857143</v>
      </c>
      <c r="W538" s="3">
        <f t="shared" si="11"/>
        <v>2.9042857142857144</v>
      </c>
      <c r="Y538" s="3">
        <f t="shared" si="11"/>
        <v>1814.8485714285714</v>
      </c>
      <c r="Z538" s="3">
        <v>347.03</v>
      </c>
      <c r="AA538" s="3">
        <f>AVERAGE(AA539:AA545)</f>
        <v>380.14285714285717</v>
      </c>
      <c r="AB538" s="3">
        <f t="shared" ref="AB538:AE538" si="12">AVERAGE(AB539:AB545)</f>
        <v>174.71428571428572</v>
      </c>
      <c r="AC538" s="3">
        <f t="shared" si="12"/>
        <v>47.571428571428569</v>
      </c>
      <c r="AE538" s="3">
        <f t="shared" si="12"/>
        <v>863.71428571428567</v>
      </c>
      <c r="AF538" s="3">
        <v>126</v>
      </c>
      <c r="AG538" s="3">
        <v>2.79</v>
      </c>
      <c r="AI538" s="3">
        <v>0.62</v>
      </c>
      <c r="AM538" s="3">
        <v>2.41</v>
      </c>
      <c r="AR538" s="3" t="s">
        <v>543</v>
      </c>
      <c r="AS538" s="4" t="s">
        <v>547</v>
      </c>
      <c r="AT538" s="4">
        <v>47.75</v>
      </c>
      <c r="AU538" s="4" t="s">
        <v>806</v>
      </c>
      <c r="AW538" s="3" t="s">
        <v>560</v>
      </c>
    </row>
    <row r="539" spans="1:49" x14ac:dyDescent="0.15">
      <c r="A539" s="2">
        <v>538</v>
      </c>
      <c r="B539" s="2" t="s">
        <v>564</v>
      </c>
      <c r="C539" s="2" t="s">
        <v>73</v>
      </c>
      <c r="D539" s="2" t="s">
        <v>115</v>
      </c>
      <c r="E539" s="2" t="s">
        <v>563</v>
      </c>
      <c r="H539" s="2" t="s">
        <v>543</v>
      </c>
      <c r="I539" s="2" t="s">
        <v>25</v>
      </c>
      <c r="J539" s="2">
        <v>2011</v>
      </c>
      <c r="K539" s="2">
        <v>7</v>
      </c>
      <c r="N539" s="3">
        <v>625</v>
      </c>
      <c r="O539" s="3">
        <v>12</v>
      </c>
      <c r="P539" s="2">
        <v>16</v>
      </c>
      <c r="Q539" s="2">
        <v>17</v>
      </c>
      <c r="R539" s="2">
        <v>3</v>
      </c>
      <c r="S539" s="2">
        <v>2</v>
      </c>
      <c r="T539" s="3">
        <v>79</v>
      </c>
      <c r="U539" s="3">
        <v>3430</v>
      </c>
      <c r="V539" s="3">
        <v>649.46</v>
      </c>
      <c r="W539" s="3">
        <v>1.39</v>
      </c>
      <c r="Y539" s="3">
        <v>4198.62</v>
      </c>
      <c r="Z539" s="3">
        <v>1637.42</v>
      </c>
      <c r="AA539" s="3">
        <v>840</v>
      </c>
      <c r="AB539" s="3">
        <v>735</v>
      </c>
      <c r="AC539" s="3">
        <v>7</v>
      </c>
      <c r="AE539" s="3">
        <v>1860</v>
      </c>
      <c r="AF539" s="3">
        <v>710</v>
      </c>
      <c r="AG539" s="3">
        <v>2.21</v>
      </c>
      <c r="AI539" s="3">
        <v>0.49</v>
      </c>
      <c r="AM539" s="3">
        <v>2.0299999999999998</v>
      </c>
      <c r="AR539" s="3" t="s">
        <v>543</v>
      </c>
      <c r="AS539" s="4" t="s">
        <v>547</v>
      </c>
      <c r="AT539" s="4">
        <v>47.75</v>
      </c>
      <c r="AU539" s="4" t="s">
        <v>806</v>
      </c>
      <c r="AW539" s="3" t="s">
        <v>560</v>
      </c>
    </row>
    <row r="540" spans="1:49" x14ac:dyDescent="0.15">
      <c r="A540" s="2">
        <v>539</v>
      </c>
      <c r="B540" s="2" t="s">
        <v>564</v>
      </c>
      <c r="C540" s="2" t="s">
        <v>73</v>
      </c>
      <c r="D540" s="2" t="s">
        <v>115</v>
      </c>
      <c r="E540" s="2" t="s">
        <v>563</v>
      </c>
      <c r="H540" s="2" t="s">
        <v>543</v>
      </c>
      <c r="I540" s="2" t="s">
        <v>25</v>
      </c>
      <c r="J540" s="2">
        <v>2011</v>
      </c>
      <c r="K540" s="2">
        <v>7</v>
      </c>
      <c r="N540" s="3">
        <v>625</v>
      </c>
      <c r="O540" s="3">
        <v>12</v>
      </c>
      <c r="P540" s="2">
        <v>13</v>
      </c>
      <c r="Q540" s="2">
        <v>8</v>
      </c>
      <c r="R540" s="2">
        <v>4</v>
      </c>
      <c r="S540" s="2">
        <v>0</v>
      </c>
      <c r="T540" s="3">
        <v>54</v>
      </c>
      <c r="U540" s="3">
        <v>2579.36</v>
      </c>
      <c r="V540" s="3">
        <v>266.79000000000002</v>
      </c>
      <c r="W540" s="3">
        <v>9.4499999999999993</v>
      </c>
      <c r="Y540" s="3">
        <v>3108.49</v>
      </c>
      <c r="Z540" s="3">
        <v>1145.18</v>
      </c>
      <c r="AA540" s="3">
        <v>619</v>
      </c>
      <c r="AB540" s="3">
        <v>149</v>
      </c>
      <c r="AC540" s="3">
        <v>91</v>
      </c>
      <c r="AE540" s="3">
        <v>1087</v>
      </c>
      <c r="AF540" s="3">
        <v>313</v>
      </c>
      <c r="AG540" s="3">
        <v>2.48</v>
      </c>
      <c r="AI540" s="3">
        <v>0.52</v>
      </c>
      <c r="AM540" s="3">
        <v>2.58</v>
      </c>
      <c r="AR540" s="3" t="s">
        <v>543</v>
      </c>
      <c r="AS540" s="4" t="s">
        <v>547</v>
      </c>
      <c r="AT540" s="4">
        <v>47.75</v>
      </c>
      <c r="AU540" s="4" t="s">
        <v>806</v>
      </c>
      <c r="AW540" s="3" t="s">
        <v>560</v>
      </c>
    </row>
    <row r="541" spans="1:49" x14ac:dyDescent="0.15">
      <c r="A541" s="2">
        <v>540</v>
      </c>
      <c r="B541" s="2" t="s">
        <v>564</v>
      </c>
      <c r="C541" s="2" t="s">
        <v>73</v>
      </c>
      <c r="D541" s="2" t="s">
        <v>115</v>
      </c>
      <c r="E541" s="2" t="s">
        <v>563</v>
      </c>
      <c r="H541" s="2" t="s">
        <v>543</v>
      </c>
      <c r="I541" s="2" t="s">
        <v>25</v>
      </c>
      <c r="J541" s="2">
        <v>2011</v>
      </c>
      <c r="K541" s="2">
        <v>7</v>
      </c>
      <c r="N541" s="3">
        <v>625</v>
      </c>
      <c r="O541" s="3">
        <v>12</v>
      </c>
      <c r="P541" s="2">
        <v>3</v>
      </c>
      <c r="Q541" s="2">
        <v>2</v>
      </c>
      <c r="R541" s="2">
        <v>1</v>
      </c>
      <c r="S541" s="2">
        <v>0</v>
      </c>
      <c r="T541" s="3">
        <v>15</v>
      </c>
      <c r="U541" s="3">
        <v>1679.42</v>
      </c>
      <c r="V541" s="3">
        <v>44.67</v>
      </c>
      <c r="W541" s="3">
        <v>0</v>
      </c>
      <c r="Y541" s="3">
        <v>1755.26</v>
      </c>
      <c r="Z541" s="3">
        <v>683.46</v>
      </c>
      <c r="AA541" s="3">
        <v>387</v>
      </c>
      <c r="AB541" s="3">
        <v>23</v>
      </c>
      <c r="AC541" s="3">
        <v>0</v>
      </c>
      <c r="AE541" s="3">
        <v>916</v>
      </c>
      <c r="AF541" s="3">
        <v>192</v>
      </c>
      <c r="AG541" s="3">
        <v>3.66</v>
      </c>
      <c r="AI541" s="3">
        <v>0.79</v>
      </c>
      <c r="AM541" s="3">
        <v>2.91</v>
      </c>
      <c r="AR541" s="3" t="s">
        <v>543</v>
      </c>
      <c r="AS541" s="4" t="s">
        <v>547</v>
      </c>
      <c r="AT541" s="4">
        <v>47.75</v>
      </c>
      <c r="AU541" s="4" t="s">
        <v>806</v>
      </c>
      <c r="AW541" s="3" t="s">
        <v>560</v>
      </c>
    </row>
    <row r="542" spans="1:49" x14ac:dyDescent="0.15">
      <c r="A542" s="2">
        <v>541</v>
      </c>
      <c r="B542" s="2" t="s">
        <v>564</v>
      </c>
      <c r="C542" s="2" t="s">
        <v>73</v>
      </c>
      <c r="D542" s="2" t="s">
        <v>115</v>
      </c>
      <c r="E542" s="2" t="s">
        <v>563</v>
      </c>
      <c r="H542" s="2" t="s">
        <v>543</v>
      </c>
      <c r="I542" s="2" t="s">
        <v>25</v>
      </c>
      <c r="J542" s="2">
        <v>2011</v>
      </c>
      <c r="K542" s="2">
        <v>7</v>
      </c>
      <c r="N542" s="3">
        <v>625</v>
      </c>
      <c r="O542" s="3">
        <v>12</v>
      </c>
      <c r="P542" s="2">
        <v>6</v>
      </c>
      <c r="Q542" s="2">
        <v>8</v>
      </c>
      <c r="R542" s="2">
        <v>3</v>
      </c>
      <c r="S542" s="2">
        <v>0</v>
      </c>
      <c r="T542" s="3">
        <v>39</v>
      </c>
      <c r="U542" s="3">
        <v>612.51</v>
      </c>
      <c r="V542" s="3">
        <v>43.26</v>
      </c>
      <c r="W542" s="3">
        <v>1.34</v>
      </c>
      <c r="Y542" s="3">
        <v>754.12</v>
      </c>
      <c r="Z542" s="3">
        <v>346.97</v>
      </c>
      <c r="AA542" s="3">
        <v>244</v>
      </c>
      <c r="AB542" s="3">
        <v>33</v>
      </c>
      <c r="AC542" s="3">
        <v>135</v>
      </c>
      <c r="AE542" s="3">
        <v>508</v>
      </c>
      <c r="AF542" s="3">
        <v>135</v>
      </c>
      <c r="AG542" s="3">
        <v>3.42</v>
      </c>
      <c r="AI542" s="3">
        <v>0.71</v>
      </c>
      <c r="AM542" s="3">
        <v>2.98</v>
      </c>
      <c r="AR542" s="3" t="s">
        <v>543</v>
      </c>
      <c r="AS542" s="4" t="s">
        <v>547</v>
      </c>
      <c r="AT542" s="4">
        <v>47.75</v>
      </c>
      <c r="AU542" s="4" t="s">
        <v>806</v>
      </c>
      <c r="AW542" s="3" t="s">
        <v>560</v>
      </c>
    </row>
    <row r="543" spans="1:49" x14ac:dyDescent="0.15">
      <c r="A543" s="2">
        <v>542</v>
      </c>
      <c r="B543" s="2" t="s">
        <v>564</v>
      </c>
      <c r="C543" s="2" t="s">
        <v>73</v>
      </c>
      <c r="D543" s="2" t="s">
        <v>115</v>
      </c>
      <c r="E543" s="2" t="s">
        <v>563</v>
      </c>
      <c r="H543" s="2" t="s">
        <v>543</v>
      </c>
      <c r="I543" s="2" t="s">
        <v>25</v>
      </c>
      <c r="J543" s="2">
        <v>2011</v>
      </c>
      <c r="K543" s="2">
        <v>7</v>
      </c>
      <c r="N543" s="3">
        <v>625</v>
      </c>
      <c r="O543" s="3">
        <v>12</v>
      </c>
      <c r="P543" s="2">
        <v>8</v>
      </c>
      <c r="Q543" s="2">
        <v>6</v>
      </c>
      <c r="R543" s="2">
        <v>4</v>
      </c>
      <c r="S543" s="2">
        <v>0</v>
      </c>
      <c r="T543" s="3">
        <v>36</v>
      </c>
      <c r="U543" s="3">
        <v>2050.36</v>
      </c>
      <c r="V543" s="3">
        <v>39.26</v>
      </c>
      <c r="W543" s="3">
        <v>1.94</v>
      </c>
      <c r="Y543" s="3">
        <v>2201.42</v>
      </c>
      <c r="Z543" s="3">
        <v>715.96</v>
      </c>
      <c r="AA543" s="3">
        <v>456</v>
      </c>
      <c r="AB543" s="3">
        <v>56</v>
      </c>
      <c r="AC543" s="3">
        <v>19</v>
      </c>
      <c r="AE543" s="3">
        <v>835</v>
      </c>
      <c r="AF543" s="3">
        <v>140</v>
      </c>
      <c r="AG543" s="3">
        <v>2.72</v>
      </c>
      <c r="AI543" s="3">
        <v>0.59</v>
      </c>
      <c r="AM543" s="3">
        <v>2.67</v>
      </c>
      <c r="AR543" s="3" t="s">
        <v>543</v>
      </c>
      <c r="AS543" s="4" t="s">
        <v>547</v>
      </c>
      <c r="AT543" s="4">
        <v>47.75</v>
      </c>
      <c r="AU543" s="4" t="s">
        <v>806</v>
      </c>
      <c r="AW543" s="3" t="s">
        <v>560</v>
      </c>
    </row>
    <row r="544" spans="1:49" x14ac:dyDescent="0.15">
      <c r="A544" s="2">
        <v>543</v>
      </c>
      <c r="B544" s="2" t="s">
        <v>564</v>
      </c>
      <c r="C544" s="2" t="s">
        <v>73</v>
      </c>
      <c r="D544" s="2" t="s">
        <v>115</v>
      </c>
      <c r="E544" s="2" t="s">
        <v>563</v>
      </c>
      <c r="H544" s="2" t="s">
        <v>543</v>
      </c>
      <c r="I544" s="2" t="s">
        <v>25</v>
      </c>
      <c r="J544" s="2">
        <v>2011</v>
      </c>
      <c r="K544" s="2">
        <v>7</v>
      </c>
      <c r="N544" s="3">
        <v>625</v>
      </c>
      <c r="O544" s="3">
        <v>12</v>
      </c>
      <c r="P544" s="2">
        <v>8</v>
      </c>
      <c r="Q544" s="2">
        <v>12</v>
      </c>
      <c r="R544" s="2">
        <v>4</v>
      </c>
      <c r="S544" s="2">
        <v>0</v>
      </c>
      <c r="T544" s="3">
        <v>50</v>
      </c>
      <c r="U544" s="3">
        <v>10.55</v>
      </c>
      <c r="V544" s="3">
        <v>18.39</v>
      </c>
      <c r="W544" s="3">
        <v>5.27</v>
      </c>
      <c r="Y544" s="3">
        <v>80.62</v>
      </c>
      <c r="Z544" s="3">
        <v>36.49</v>
      </c>
      <c r="AA544" s="3">
        <v>8</v>
      </c>
      <c r="AB544" s="3">
        <v>36</v>
      </c>
      <c r="AC544" s="3">
        <v>37</v>
      </c>
      <c r="AE544" s="3">
        <v>303</v>
      </c>
      <c r="AF544" s="3">
        <v>58</v>
      </c>
      <c r="AG544" s="3">
        <v>3.35</v>
      </c>
      <c r="AI544" s="3">
        <v>0.69</v>
      </c>
      <c r="AM544" s="3">
        <v>2.89</v>
      </c>
      <c r="AR544" s="3" t="s">
        <v>543</v>
      </c>
      <c r="AS544" s="4" t="s">
        <v>547</v>
      </c>
      <c r="AT544" s="4">
        <v>47.75</v>
      </c>
      <c r="AU544" s="4" t="s">
        <v>806</v>
      </c>
      <c r="AW544" s="3" t="s">
        <v>560</v>
      </c>
    </row>
    <row r="545" spans="1:49" x14ac:dyDescent="0.15">
      <c r="A545" s="2">
        <v>544</v>
      </c>
      <c r="B545" s="2" t="s">
        <v>564</v>
      </c>
      <c r="C545" s="2" t="s">
        <v>73</v>
      </c>
      <c r="D545" s="2" t="s">
        <v>115</v>
      </c>
      <c r="E545" s="2" t="s">
        <v>563</v>
      </c>
      <c r="H545" s="2" t="s">
        <v>543</v>
      </c>
      <c r="I545" s="2" t="s">
        <v>25</v>
      </c>
      <c r="J545" s="2">
        <v>2011</v>
      </c>
      <c r="K545" s="2">
        <v>7</v>
      </c>
      <c r="N545" s="3">
        <v>625</v>
      </c>
      <c r="O545" s="3">
        <v>12</v>
      </c>
      <c r="P545" s="2">
        <v>8</v>
      </c>
      <c r="Q545" s="2">
        <v>9</v>
      </c>
      <c r="R545" s="2">
        <v>3</v>
      </c>
      <c r="S545" s="2">
        <v>0</v>
      </c>
      <c r="T545" s="3">
        <v>37</v>
      </c>
      <c r="U545" s="3">
        <v>418.79</v>
      </c>
      <c r="V545" s="3">
        <v>50.37</v>
      </c>
      <c r="W545" s="3">
        <v>0.94</v>
      </c>
      <c r="Y545" s="3">
        <v>605.41</v>
      </c>
      <c r="Z545" s="3">
        <v>274.39999999999998</v>
      </c>
      <c r="AA545" s="3">
        <v>107</v>
      </c>
      <c r="AB545" s="3">
        <v>191</v>
      </c>
      <c r="AC545" s="3">
        <v>44</v>
      </c>
      <c r="AE545" s="3">
        <v>537</v>
      </c>
      <c r="AF545" s="3">
        <v>133</v>
      </c>
      <c r="AG545" s="3">
        <v>1.67</v>
      </c>
      <c r="AI545" s="3">
        <v>0.53</v>
      </c>
      <c r="AM545" s="3">
        <v>0.81</v>
      </c>
      <c r="AR545" s="3" t="s">
        <v>543</v>
      </c>
      <c r="AS545" s="4" t="s">
        <v>547</v>
      </c>
      <c r="AT545" s="4">
        <v>47.75</v>
      </c>
      <c r="AU545" s="4" t="s">
        <v>806</v>
      </c>
      <c r="AW545" s="3" t="s">
        <v>560</v>
      </c>
    </row>
    <row r="546" spans="1:49" x14ac:dyDescent="0.15">
      <c r="A546" s="2">
        <v>545</v>
      </c>
      <c r="B546" s="2" t="s">
        <v>565</v>
      </c>
      <c r="C546" s="2" t="s">
        <v>566</v>
      </c>
      <c r="D546" s="2" t="s">
        <v>115</v>
      </c>
      <c r="E546" s="2" t="s">
        <v>534</v>
      </c>
      <c r="H546" s="2" t="s">
        <v>543</v>
      </c>
      <c r="I546" s="2" t="s">
        <v>536</v>
      </c>
      <c r="J546" s="2">
        <v>2006</v>
      </c>
      <c r="K546" s="2">
        <v>5</v>
      </c>
      <c r="N546" s="3">
        <v>625</v>
      </c>
      <c r="O546" s="3">
        <v>12</v>
      </c>
      <c r="P546" s="2">
        <v>9</v>
      </c>
      <c r="Q546" s="2">
        <v>18</v>
      </c>
      <c r="T546" s="3">
        <v>33</v>
      </c>
      <c r="U546" s="3">
        <f>AVERAGE(280,62,510)</f>
        <v>284</v>
      </c>
      <c r="V546" s="3">
        <v>134</v>
      </c>
      <c r="Y546" s="3">
        <v>484</v>
      </c>
      <c r="AA546" s="3">
        <v>21</v>
      </c>
      <c r="AB546" s="3">
        <v>341</v>
      </c>
      <c r="AE546" s="3">
        <v>362</v>
      </c>
      <c r="AG546" s="3">
        <v>1.64</v>
      </c>
      <c r="AI546" s="3">
        <v>0.68</v>
      </c>
      <c r="AK546" s="3">
        <v>0.31</v>
      </c>
      <c r="AM546" s="3">
        <v>2.5499999999999998</v>
      </c>
      <c r="AR546" s="3" t="s">
        <v>546</v>
      </c>
      <c r="AS546" s="4" t="s">
        <v>547</v>
      </c>
      <c r="AT546" s="4">
        <v>47.75</v>
      </c>
      <c r="AU546" s="4" t="s">
        <v>806</v>
      </c>
      <c r="AW546" s="3" t="s">
        <v>571</v>
      </c>
    </row>
    <row r="547" spans="1:49" x14ac:dyDescent="0.15">
      <c r="A547" s="2">
        <v>546</v>
      </c>
      <c r="B547" s="2" t="s">
        <v>565</v>
      </c>
      <c r="C547" s="2" t="s">
        <v>566</v>
      </c>
      <c r="D547" s="2" t="s">
        <v>115</v>
      </c>
      <c r="E547" s="2" t="s">
        <v>534</v>
      </c>
      <c r="H547" s="2" t="s">
        <v>543</v>
      </c>
      <c r="I547" s="2" t="s">
        <v>536</v>
      </c>
      <c r="J547" s="2">
        <v>2006</v>
      </c>
      <c r="K547" s="2">
        <v>5</v>
      </c>
      <c r="N547" s="3">
        <v>625</v>
      </c>
      <c r="O547" s="3">
        <v>12</v>
      </c>
      <c r="P547" s="2">
        <v>4</v>
      </c>
      <c r="Q547" s="2">
        <v>9</v>
      </c>
      <c r="T547" s="3">
        <v>17</v>
      </c>
      <c r="U547" s="3">
        <v>111</v>
      </c>
      <c r="V547" s="3">
        <v>218</v>
      </c>
      <c r="Y547" s="3">
        <v>308</v>
      </c>
      <c r="AA547" s="3">
        <v>42</v>
      </c>
      <c r="AB547" s="3">
        <v>275</v>
      </c>
      <c r="AE547" s="3">
        <v>318</v>
      </c>
      <c r="AG547" s="3">
        <v>1.06</v>
      </c>
      <c r="AI547" s="3">
        <v>0.48</v>
      </c>
      <c r="AK547" s="3">
        <v>0.55000000000000004</v>
      </c>
      <c r="AM547" s="3">
        <v>1.9</v>
      </c>
      <c r="AR547" s="3" t="s">
        <v>546</v>
      </c>
      <c r="AS547" s="4" t="s">
        <v>547</v>
      </c>
      <c r="AT547" s="4">
        <v>47.75</v>
      </c>
      <c r="AU547" s="4" t="s">
        <v>806</v>
      </c>
      <c r="AW547" s="3" t="s">
        <v>571</v>
      </c>
    </row>
    <row r="548" spans="1:49" x14ac:dyDescent="0.15">
      <c r="A548" s="2">
        <v>547</v>
      </c>
      <c r="B548" s="2" t="s">
        <v>572</v>
      </c>
      <c r="C548" s="2" t="s">
        <v>71</v>
      </c>
      <c r="D548" s="2" t="s">
        <v>115</v>
      </c>
      <c r="E548" s="2" t="s">
        <v>627</v>
      </c>
      <c r="H548" s="2" t="s">
        <v>535</v>
      </c>
      <c r="I548" s="2" t="s">
        <v>536</v>
      </c>
      <c r="J548" s="2">
        <v>2006</v>
      </c>
      <c r="K548" s="2">
        <v>11</v>
      </c>
      <c r="L548" s="2">
        <v>2007</v>
      </c>
      <c r="M548" s="2">
        <v>4</v>
      </c>
      <c r="N548" s="3">
        <v>625</v>
      </c>
      <c r="O548" s="3">
        <v>120</v>
      </c>
      <c r="P548" s="2">
        <v>21</v>
      </c>
      <c r="Q548" s="2">
        <v>62</v>
      </c>
      <c r="R548" s="2">
        <v>14</v>
      </c>
      <c r="S548" s="2">
        <v>5</v>
      </c>
      <c r="T548" s="3">
        <v>121</v>
      </c>
      <c r="Y548" s="3">
        <v>3642.1</v>
      </c>
      <c r="AE548" s="3">
        <v>1657</v>
      </c>
      <c r="AG548" s="3">
        <f>AVERAGE(AG550:AG565)</f>
        <v>2.2324999999999999</v>
      </c>
      <c r="AH548" s="3">
        <f>_xlfn.STDEV.P(AG550:AG565)/SQRT(8)</f>
        <v>0.20906974015863719</v>
      </c>
      <c r="AI548" s="3">
        <f>AVERAGE(AI550:AI565)</f>
        <v>0.69750000000000001</v>
      </c>
      <c r="AJ548" s="3">
        <f>_xlfn.STDEV.P(AI550:AI565)/SQRT(8)</f>
        <v>3.810962804856538E-2</v>
      </c>
      <c r="AK548" s="3">
        <f>AVERAGE(AK550:AK565)</f>
        <v>0.80562499999999981</v>
      </c>
      <c r="AL548" s="3">
        <f>_xlfn.STDEV.P(AK550:AK565)/SQRT(8)</f>
        <v>4.1192549955969472E-2</v>
      </c>
      <c r="AM548" s="3">
        <f>AVERAGE(AM550:AM565)</f>
        <v>3.3256249999999996</v>
      </c>
      <c r="AN548" s="3">
        <f>_xlfn.STDEV.P(AM550:AM565)/SQRT(8)</f>
        <v>0.44722751611665768</v>
      </c>
      <c r="AR548" s="3" t="s">
        <v>537</v>
      </c>
      <c r="AT548" s="4">
        <v>47.75</v>
      </c>
      <c r="AU548" s="4" t="s">
        <v>806</v>
      </c>
      <c r="AW548" s="3" t="s">
        <v>571</v>
      </c>
    </row>
    <row r="549" spans="1:49" x14ac:dyDescent="0.15">
      <c r="A549" s="2">
        <v>548</v>
      </c>
      <c r="B549" s="2" t="s">
        <v>572</v>
      </c>
      <c r="C549" s="2" t="s">
        <v>71</v>
      </c>
      <c r="D549" s="2" t="s">
        <v>115</v>
      </c>
      <c r="E549" s="2" t="s">
        <v>627</v>
      </c>
      <c r="H549" s="2" t="s">
        <v>535</v>
      </c>
      <c r="I549" s="2" t="s">
        <v>536</v>
      </c>
      <c r="J549" s="2">
        <v>2007</v>
      </c>
      <c r="K549" s="2">
        <v>4</v>
      </c>
      <c r="N549" s="3">
        <v>625</v>
      </c>
      <c r="O549" s="3">
        <v>120</v>
      </c>
      <c r="P549" s="2">
        <v>19</v>
      </c>
      <c r="Q549" s="2">
        <v>73</v>
      </c>
      <c r="R549" s="2">
        <v>20</v>
      </c>
      <c r="S549" s="2">
        <v>4</v>
      </c>
      <c r="T549" s="3">
        <v>164</v>
      </c>
      <c r="Y549" s="3">
        <v>8890.76</v>
      </c>
      <c r="AE549" s="3">
        <v>3436</v>
      </c>
      <c r="AG549" s="3">
        <v>2.2324999999999999</v>
      </c>
      <c r="AH549" s="3">
        <v>0.20906974015863719</v>
      </c>
      <c r="AI549" s="3">
        <v>0.69750000000000001</v>
      </c>
      <c r="AJ549" s="3">
        <v>3.810962804856538E-2</v>
      </c>
      <c r="AK549" s="3">
        <v>0.80562499999999981</v>
      </c>
      <c r="AL549" s="3">
        <v>4.1192549955969472E-2</v>
      </c>
      <c r="AM549" s="3">
        <v>3.3256249999999996</v>
      </c>
      <c r="AN549" s="3">
        <v>0.44722751611665768</v>
      </c>
      <c r="AR549" s="3" t="s">
        <v>537</v>
      </c>
      <c r="AT549" s="4">
        <v>47.75</v>
      </c>
      <c r="AU549" s="4" t="s">
        <v>806</v>
      </c>
      <c r="AW549" s="3" t="s">
        <v>571</v>
      </c>
    </row>
    <row r="550" spans="1:49" x14ac:dyDescent="0.15">
      <c r="A550" s="2">
        <v>549</v>
      </c>
      <c r="B550" s="2" t="s">
        <v>572</v>
      </c>
      <c r="C550" s="2" t="s">
        <v>71</v>
      </c>
      <c r="D550" s="2" t="s">
        <v>115</v>
      </c>
      <c r="E550" s="2" t="s">
        <v>627</v>
      </c>
      <c r="H550" s="2" t="s">
        <v>535</v>
      </c>
      <c r="I550" s="2" t="s">
        <v>536</v>
      </c>
      <c r="J550" s="2">
        <v>2006</v>
      </c>
      <c r="K550" s="2">
        <v>11</v>
      </c>
      <c r="N550" s="3">
        <v>625</v>
      </c>
      <c r="O550" s="3">
        <v>15</v>
      </c>
      <c r="P550" s="2">
        <v>6</v>
      </c>
      <c r="Q550" s="2">
        <v>21</v>
      </c>
      <c r="R550" s="2">
        <v>7</v>
      </c>
      <c r="S550" s="2">
        <v>1</v>
      </c>
      <c r="T550" s="3">
        <v>49</v>
      </c>
      <c r="Y550" s="3">
        <v>3747.81</v>
      </c>
      <c r="AE550" s="3">
        <v>1702</v>
      </c>
      <c r="AG550" s="3">
        <v>2.34</v>
      </c>
      <c r="AI550" s="3">
        <v>0.66</v>
      </c>
      <c r="AK550" s="3">
        <v>0.87</v>
      </c>
      <c r="AM550" s="3">
        <v>3.98</v>
      </c>
      <c r="AR550" s="3" t="s">
        <v>537</v>
      </c>
      <c r="AT550" s="4">
        <v>47.75</v>
      </c>
      <c r="AU550" s="4" t="s">
        <v>806</v>
      </c>
      <c r="AW550" s="3" t="s">
        <v>539</v>
      </c>
    </row>
    <row r="551" spans="1:49" x14ac:dyDescent="0.15">
      <c r="A551" s="2">
        <v>550</v>
      </c>
      <c r="B551" s="2" t="s">
        <v>572</v>
      </c>
      <c r="C551" s="2" t="s">
        <v>71</v>
      </c>
      <c r="D551" s="2" t="s">
        <v>115</v>
      </c>
      <c r="E551" s="2" t="s">
        <v>627</v>
      </c>
      <c r="H551" s="2" t="s">
        <v>535</v>
      </c>
      <c r="I551" s="2" t="s">
        <v>536</v>
      </c>
      <c r="J551" s="2">
        <v>2007</v>
      </c>
      <c r="K551" s="2">
        <v>4</v>
      </c>
      <c r="N551" s="3">
        <v>625</v>
      </c>
      <c r="O551" s="3">
        <v>15</v>
      </c>
      <c r="P551" s="2">
        <v>11</v>
      </c>
      <c r="Q551" s="2">
        <v>24</v>
      </c>
      <c r="R551" s="2">
        <v>10</v>
      </c>
      <c r="S551" s="2">
        <v>2</v>
      </c>
      <c r="T551" s="3">
        <v>67</v>
      </c>
      <c r="Y551" s="3">
        <v>16057.96</v>
      </c>
      <c r="AE551" s="3">
        <v>5865</v>
      </c>
      <c r="AG551" s="3">
        <v>2.61</v>
      </c>
      <c r="AI551" s="3">
        <v>0.7</v>
      </c>
      <c r="AK551" s="3">
        <v>0.85</v>
      </c>
      <c r="AM551" s="3">
        <v>4.1900000000000004</v>
      </c>
      <c r="AR551" s="3" t="s">
        <v>537</v>
      </c>
      <c r="AT551" s="4">
        <v>47.75</v>
      </c>
      <c r="AU551" s="4" t="s">
        <v>806</v>
      </c>
      <c r="AW551" s="3" t="s">
        <v>539</v>
      </c>
    </row>
    <row r="552" spans="1:49" x14ac:dyDescent="0.15">
      <c r="A552" s="2">
        <v>551</v>
      </c>
      <c r="B552" s="2" t="s">
        <v>572</v>
      </c>
      <c r="C552" s="2" t="s">
        <v>71</v>
      </c>
      <c r="D552" s="2" t="s">
        <v>115</v>
      </c>
      <c r="E552" s="2" t="s">
        <v>627</v>
      </c>
      <c r="H552" s="2" t="s">
        <v>535</v>
      </c>
      <c r="I552" s="2" t="s">
        <v>536</v>
      </c>
      <c r="J552" s="2">
        <v>2006</v>
      </c>
      <c r="K552" s="2">
        <v>11</v>
      </c>
      <c r="N552" s="3">
        <v>625</v>
      </c>
      <c r="O552" s="3">
        <v>15</v>
      </c>
      <c r="P552" s="2">
        <v>8</v>
      </c>
      <c r="Q552" s="2">
        <v>24</v>
      </c>
      <c r="R552" s="2">
        <v>12</v>
      </c>
      <c r="S552" s="2">
        <v>0</v>
      </c>
      <c r="T552" s="3">
        <v>48</v>
      </c>
      <c r="Y552" s="3">
        <v>7867.25</v>
      </c>
      <c r="AE552" s="3">
        <v>3610</v>
      </c>
      <c r="AG552" s="3">
        <v>2.06</v>
      </c>
      <c r="AI552" s="3">
        <v>0.56000000000000005</v>
      </c>
      <c r="AK552" s="3">
        <v>0.82</v>
      </c>
      <c r="AM552" s="3">
        <v>4.09</v>
      </c>
      <c r="AR552" s="3" t="s">
        <v>537</v>
      </c>
      <c r="AT552" s="4">
        <v>47.75</v>
      </c>
      <c r="AU552" s="4" t="s">
        <v>806</v>
      </c>
      <c r="AW552" s="3" t="s">
        <v>539</v>
      </c>
    </row>
    <row r="553" spans="1:49" x14ac:dyDescent="0.15">
      <c r="A553" s="2">
        <v>552</v>
      </c>
      <c r="B553" s="2" t="s">
        <v>572</v>
      </c>
      <c r="C553" s="2" t="s">
        <v>71</v>
      </c>
      <c r="D553" s="2" t="s">
        <v>115</v>
      </c>
      <c r="E553" s="2" t="s">
        <v>627</v>
      </c>
      <c r="H553" s="2" t="s">
        <v>535</v>
      </c>
      <c r="I553" s="2" t="s">
        <v>536</v>
      </c>
      <c r="J553" s="2">
        <v>2007</v>
      </c>
      <c r="K553" s="2">
        <v>4</v>
      </c>
      <c r="N553" s="3">
        <v>625</v>
      </c>
      <c r="O553" s="3">
        <v>15</v>
      </c>
      <c r="P553" s="2">
        <v>10</v>
      </c>
      <c r="Q553" s="2">
        <v>25</v>
      </c>
      <c r="R553" s="2">
        <v>6</v>
      </c>
      <c r="S553" s="2">
        <v>3</v>
      </c>
      <c r="T553" s="3">
        <v>70</v>
      </c>
      <c r="Y553" s="3">
        <v>9614.8799999999992</v>
      </c>
      <c r="AE553" s="3">
        <v>3310</v>
      </c>
      <c r="AG553" s="3">
        <v>2.9</v>
      </c>
      <c r="AI553" s="3">
        <v>0.85</v>
      </c>
      <c r="AK553" s="3">
        <v>0.91</v>
      </c>
      <c r="AM553" s="3">
        <v>3.15</v>
      </c>
      <c r="AR553" s="3" t="s">
        <v>537</v>
      </c>
      <c r="AT553" s="4">
        <v>47.75</v>
      </c>
      <c r="AU553" s="4" t="s">
        <v>806</v>
      </c>
      <c r="AW553" s="3" t="s">
        <v>539</v>
      </c>
    </row>
    <row r="554" spans="1:49" x14ac:dyDescent="0.15">
      <c r="A554" s="2">
        <v>553</v>
      </c>
      <c r="B554" s="2" t="s">
        <v>572</v>
      </c>
      <c r="C554" s="2" t="s">
        <v>71</v>
      </c>
      <c r="D554" s="2" t="s">
        <v>115</v>
      </c>
      <c r="E554" s="2" t="s">
        <v>627</v>
      </c>
      <c r="H554" s="2" t="s">
        <v>535</v>
      </c>
      <c r="I554" s="2" t="s">
        <v>536</v>
      </c>
      <c r="J554" s="2">
        <v>2006</v>
      </c>
      <c r="K554" s="2">
        <v>11</v>
      </c>
      <c r="N554" s="3">
        <v>625</v>
      </c>
      <c r="O554" s="3">
        <v>15</v>
      </c>
      <c r="P554" s="2">
        <v>8</v>
      </c>
      <c r="Q554" s="2">
        <v>39</v>
      </c>
      <c r="R554" s="2">
        <v>3</v>
      </c>
      <c r="S554" s="2">
        <v>2</v>
      </c>
      <c r="T554" s="3">
        <v>58</v>
      </c>
      <c r="Y554" s="3">
        <v>4434.13</v>
      </c>
      <c r="AE554" s="3">
        <v>1724</v>
      </c>
      <c r="AG554" s="3">
        <v>2.36</v>
      </c>
      <c r="AI554" s="3">
        <v>0.63</v>
      </c>
      <c r="AK554" s="3">
        <v>0.85</v>
      </c>
      <c r="AM554" s="3">
        <v>4.91</v>
      </c>
      <c r="AR554" s="3" t="s">
        <v>537</v>
      </c>
      <c r="AT554" s="4">
        <v>47.75</v>
      </c>
      <c r="AU554" s="4" t="s">
        <v>806</v>
      </c>
      <c r="AW554" s="3" t="s">
        <v>539</v>
      </c>
    </row>
    <row r="555" spans="1:49" x14ac:dyDescent="0.15">
      <c r="A555" s="2">
        <v>554</v>
      </c>
      <c r="B555" s="2" t="s">
        <v>572</v>
      </c>
      <c r="C555" s="2" t="s">
        <v>71</v>
      </c>
      <c r="D555" s="2" t="s">
        <v>115</v>
      </c>
      <c r="E555" s="2" t="s">
        <v>627</v>
      </c>
      <c r="H555" s="2" t="s">
        <v>535</v>
      </c>
      <c r="I555" s="2" t="s">
        <v>536</v>
      </c>
      <c r="J555" s="2">
        <v>2007</v>
      </c>
      <c r="K555" s="2">
        <v>4</v>
      </c>
      <c r="N555" s="3">
        <v>625</v>
      </c>
      <c r="O555" s="3">
        <v>15</v>
      </c>
      <c r="P555" s="2">
        <v>8</v>
      </c>
      <c r="Q555" s="2">
        <v>29</v>
      </c>
      <c r="R555" s="2">
        <v>1</v>
      </c>
      <c r="S555" s="2">
        <v>1</v>
      </c>
      <c r="T555" s="3">
        <v>50</v>
      </c>
      <c r="Y555" s="3">
        <v>19826.63</v>
      </c>
      <c r="AE555" s="3">
        <v>8354</v>
      </c>
      <c r="AG555" s="3">
        <v>1.65</v>
      </c>
      <c r="AI555" s="3">
        <v>0.48</v>
      </c>
      <c r="AK555" s="3">
        <v>0.59</v>
      </c>
      <c r="AM555" s="3">
        <v>3.08</v>
      </c>
      <c r="AR555" s="3" t="s">
        <v>537</v>
      </c>
      <c r="AT555" s="4">
        <v>47.75</v>
      </c>
      <c r="AU555" s="4" t="s">
        <v>806</v>
      </c>
      <c r="AW555" s="3" t="s">
        <v>539</v>
      </c>
    </row>
    <row r="556" spans="1:49" x14ac:dyDescent="0.15">
      <c r="A556" s="2">
        <v>555</v>
      </c>
      <c r="B556" s="2" t="s">
        <v>572</v>
      </c>
      <c r="C556" s="2" t="s">
        <v>71</v>
      </c>
      <c r="D556" s="2" t="s">
        <v>115</v>
      </c>
      <c r="E556" s="2" t="s">
        <v>627</v>
      </c>
      <c r="H556" s="2" t="s">
        <v>535</v>
      </c>
      <c r="I556" s="2" t="s">
        <v>536</v>
      </c>
      <c r="J556" s="2">
        <v>2006</v>
      </c>
      <c r="K556" s="2">
        <v>11</v>
      </c>
      <c r="N556" s="3">
        <v>625</v>
      </c>
      <c r="O556" s="3">
        <v>15</v>
      </c>
      <c r="P556" s="2">
        <v>9</v>
      </c>
      <c r="Q556" s="2">
        <v>29</v>
      </c>
      <c r="R556" s="2">
        <v>3</v>
      </c>
      <c r="S556" s="2">
        <v>1</v>
      </c>
      <c r="T556" s="3">
        <v>47</v>
      </c>
      <c r="Y556" s="3">
        <v>3095.25</v>
      </c>
      <c r="AE556" s="3">
        <v>848</v>
      </c>
      <c r="AG556" s="3">
        <v>2.33</v>
      </c>
      <c r="AI556" s="3">
        <v>0.67</v>
      </c>
      <c r="AK556" s="3">
        <v>0.85</v>
      </c>
      <c r="AM556" s="3">
        <v>4.08</v>
      </c>
      <c r="AR556" s="3" t="s">
        <v>537</v>
      </c>
      <c r="AT556" s="4">
        <v>47.75</v>
      </c>
      <c r="AU556" s="4" t="s">
        <v>806</v>
      </c>
      <c r="AW556" s="3" t="s">
        <v>539</v>
      </c>
    </row>
    <row r="557" spans="1:49" x14ac:dyDescent="0.15">
      <c r="A557" s="2">
        <v>556</v>
      </c>
      <c r="B557" s="2" t="s">
        <v>572</v>
      </c>
      <c r="C557" s="2" t="s">
        <v>71</v>
      </c>
      <c r="D557" s="2" t="s">
        <v>115</v>
      </c>
      <c r="E557" s="2" t="s">
        <v>627</v>
      </c>
      <c r="H557" s="2" t="s">
        <v>535</v>
      </c>
      <c r="I557" s="2" t="s">
        <v>536</v>
      </c>
      <c r="J557" s="2">
        <v>2007</v>
      </c>
      <c r="K557" s="2">
        <v>4</v>
      </c>
      <c r="N557" s="3">
        <v>625</v>
      </c>
      <c r="O557" s="3">
        <v>15</v>
      </c>
      <c r="P557" s="2">
        <v>6</v>
      </c>
      <c r="Q557" s="2">
        <v>36</v>
      </c>
      <c r="R557" s="2">
        <v>4</v>
      </c>
      <c r="S557" s="2">
        <v>4</v>
      </c>
      <c r="T557" s="3">
        <v>57</v>
      </c>
      <c r="Y557" s="3">
        <v>3815.02</v>
      </c>
      <c r="AE557" s="3">
        <v>1546</v>
      </c>
      <c r="AG557" s="3">
        <v>2.81</v>
      </c>
      <c r="AI557" s="3">
        <v>0.75</v>
      </c>
      <c r="AK557" s="3">
        <v>0.9</v>
      </c>
      <c r="AM557" s="3">
        <v>4.8600000000000003</v>
      </c>
      <c r="AR557" s="3" t="s">
        <v>537</v>
      </c>
      <c r="AT557" s="4">
        <v>47.75</v>
      </c>
      <c r="AU557" s="4" t="s">
        <v>806</v>
      </c>
      <c r="AW557" s="3" t="s">
        <v>539</v>
      </c>
    </row>
    <row r="558" spans="1:49" x14ac:dyDescent="0.15">
      <c r="A558" s="2">
        <v>557</v>
      </c>
      <c r="B558" s="2" t="s">
        <v>572</v>
      </c>
      <c r="C558" s="2" t="s">
        <v>71</v>
      </c>
      <c r="D558" s="2" t="s">
        <v>115</v>
      </c>
      <c r="E558" s="2" t="s">
        <v>627</v>
      </c>
      <c r="H558" s="2" t="s">
        <v>535</v>
      </c>
      <c r="I558" s="2" t="s">
        <v>536</v>
      </c>
      <c r="J558" s="2">
        <v>2006</v>
      </c>
      <c r="K558" s="2">
        <v>11</v>
      </c>
      <c r="N558" s="3">
        <v>625</v>
      </c>
      <c r="O558" s="3">
        <v>15</v>
      </c>
      <c r="P558" s="2">
        <v>8</v>
      </c>
      <c r="Q558" s="2">
        <v>28</v>
      </c>
      <c r="R558" s="2">
        <v>2</v>
      </c>
      <c r="S558" s="2">
        <v>4</v>
      </c>
      <c r="T558" s="3">
        <v>50</v>
      </c>
      <c r="Y558" s="3">
        <v>2906.27</v>
      </c>
      <c r="AE558" s="3">
        <v>1426</v>
      </c>
      <c r="AG558" s="3">
        <v>2.15</v>
      </c>
      <c r="AI558" s="3">
        <v>0.61</v>
      </c>
      <c r="AK558" s="3">
        <v>0.8</v>
      </c>
      <c r="AM558" s="3">
        <v>4.07</v>
      </c>
      <c r="AR558" s="3" t="s">
        <v>537</v>
      </c>
      <c r="AT558" s="4">
        <v>47.75</v>
      </c>
      <c r="AU558" s="4" t="s">
        <v>806</v>
      </c>
      <c r="AW558" s="3" t="s">
        <v>539</v>
      </c>
    </row>
    <row r="559" spans="1:49" x14ac:dyDescent="0.15">
      <c r="A559" s="2">
        <v>558</v>
      </c>
      <c r="B559" s="2" t="s">
        <v>572</v>
      </c>
      <c r="C559" s="2" t="s">
        <v>71</v>
      </c>
      <c r="D559" s="2" t="s">
        <v>115</v>
      </c>
      <c r="E559" s="2" t="s">
        <v>627</v>
      </c>
      <c r="H559" s="2" t="s">
        <v>535</v>
      </c>
      <c r="I559" s="2" t="s">
        <v>536</v>
      </c>
      <c r="J559" s="2">
        <v>2007</v>
      </c>
      <c r="K559" s="2">
        <v>4</v>
      </c>
      <c r="N559" s="3">
        <v>625</v>
      </c>
      <c r="O559" s="3">
        <v>15</v>
      </c>
      <c r="P559" s="2">
        <v>4</v>
      </c>
      <c r="Q559" s="2">
        <v>25</v>
      </c>
      <c r="R559" s="2">
        <v>6</v>
      </c>
      <c r="S559" s="2">
        <v>3</v>
      </c>
      <c r="T559" s="3">
        <v>51</v>
      </c>
      <c r="Y559" s="3">
        <v>11767.1</v>
      </c>
      <c r="AE559" s="3">
        <v>5199</v>
      </c>
      <c r="AG559" s="3">
        <v>2.4700000000000002</v>
      </c>
      <c r="AI559" s="3">
        <v>0.71</v>
      </c>
      <c r="AK559" s="3">
        <v>0.87</v>
      </c>
      <c r="AM559" s="3">
        <v>3.21</v>
      </c>
      <c r="AR559" s="3" t="s">
        <v>537</v>
      </c>
      <c r="AT559" s="4">
        <v>47.75</v>
      </c>
      <c r="AU559" s="4" t="s">
        <v>806</v>
      </c>
      <c r="AW559" s="3" t="s">
        <v>539</v>
      </c>
    </row>
    <row r="560" spans="1:49" x14ac:dyDescent="0.15">
      <c r="A560" s="2">
        <v>559</v>
      </c>
      <c r="B560" s="2" t="s">
        <v>572</v>
      </c>
      <c r="C560" s="2" t="s">
        <v>71</v>
      </c>
      <c r="D560" s="2" t="s">
        <v>115</v>
      </c>
      <c r="E560" s="2" t="s">
        <v>627</v>
      </c>
      <c r="H560" s="2" t="s">
        <v>535</v>
      </c>
      <c r="I560" s="2" t="s">
        <v>536</v>
      </c>
      <c r="J560" s="2">
        <v>2006</v>
      </c>
      <c r="K560" s="2">
        <v>11</v>
      </c>
      <c r="N560" s="3">
        <v>625</v>
      </c>
      <c r="O560" s="3">
        <v>15</v>
      </c>
      <c r="P560" s="2">
        <v>5</v>
      </c>
      <c r="Q560" s="2">
        <v>12</v>
      </c>
      <c r="R560" s="2">
        <v>2</v>
      </c>
      <c r="S560" s="2">
        <v>1</v>
      </c>
      <c r="T560" s="3">
        <v>28</v>
      </c>
      <c r="Y560" s="3">
        <v>7011.13</v>
      </c>
      <c r="AE560" s="3">
        <v>3850</v>
      </c>
      <c r="AG560" s="3">
        <v>1.85</v>
      </c>
      <c r="AI560" s="3">
        <v>0.61</v>
      </c>
      <c r="AK560" s="3">
        <v>0.74</v>
      </c>
      <c r="AM560" s="3">
        <v>2.14</v>
      </c>
      <c r="AR560" s="3" t="s">
        <v>537</v>
      </c>
      <c r="AT560" s="4">
        <v>47.75</v>
      </c>
      <c r="AU560" s="4" t="s">
        <v>806</v>
      </c>
      <c r="AW560" s="3" t="s">
        <v>539</v>
      </c>
    </row>
    <row r="561" spans="1:49" x14ac:dyDescent="0.15">
      <c r="A561" s="2">
        <v>560</v>
      </c>
      <c r="B561" s="2" t="s">
        <v>572</v>
      </c>
      <c r="C561" s="2" t="s">
        <v>71</v>
      </c>
      <c r="D561" s="2" t="s">
        <v>115</v>
      </c>
      <c r="E561" s="2" t="s">
        <v>627</v>
      </c>
      <c r="H561" s="2" t="s">
        <v>535</v>
      </c>
      <c r="I561" s="2" t="s">
        <v>536</v>
      </c>
      <c r="J561" s="2">
        <v>2007</v>
      </c>
      <c r="K561" s="2">
        <v>4</v>
      </c>
      <c r="N561" s="3">
        <v>625</v>
      </c>
      <c r="O561" s="3">
        <v>15</v>
      </c>
      <c r="P561" s="2">
        <v>5</v>
      </c>
      <c r="Q561" s="2">
        <v>30</v>
      </c>
      <c r="R561" s="2">
        <v>7</v>
      </c>
      <c r="S561" s="2">
        <v>4</v>
      </c>
      <c r="T561" s="3">
        <v>69</v>
      </c>
      <c r="Y561" s="3">
        <v>9681.94</v>
      </c>
      <c r="AE561" s="3">
        <v>2810</v>
      </c>
      <c r="AG561" s="3">
        <v>3.1</v>
      </c>
      <c r="AI561" s="3">
        <v>0.86</v>
      </c>
      <c r="AK561" s="3">
        <v>0.93</v>
      </c>
      <c r="AM561" s="3">
        <v>3.87</v>
      </c>
      <c r="AR561" s="3" t="s">
        <v>537</v>
      </c>
      <c r="AT561" s="4">
        <v>47.75</v>
      </c>
      <c r="AU561" s="4" t="s">
        <v>806</v>
      </c>
      <c r="AW561" s="3" t="s">
        <v>539</v>
      </c>
    </row>
    <row r="562" spans="1:49" x14ac:dyDescent="0.15">
      <c r="A562" s="2">
        <v>561</v>
      </c>
      <c r="B562" s="2" t="s">
        <v>572</v>
      </c>
      <c r="C562" s="2" t="s">
        <v>71</v>
      </c>
      <c r="D562" s="2" t="s">
        <v>115</v>
      </c>
      <c r="E562" s="2" t="s">
        <v>627</v>
      </c>
      <c r="H562" s="2" t="s">
        <v>535</v>
      </c>
      <c r="I562" s="2" t="s">
        <v>536</v>
      </c>
      <c r="J562" s="2">
        <v>2006</v>
      </c>
      <c r="K562" s="2">
        <v>11</v>
      </c>
      <c r="N562" s="3">
        <v>625</v>
      </c>
      <c r="O562" s="3">
        <v>15</v>
      </c>
      <c r="P562" s="2">
        <v>1</v>
      </c>
      <c r="Q562" s="2">
        <v>5</v>
      </c>
      <c r="R562" s="2">
        <v>3</v>
      </c>
      <c r="S562" s="2">
        <v>1</v>
      </c>
      <c r="T562" s="3">
        <v>10</v>
      </c>
      <c r="Y562" s="3">
        <v>6.52</v>
      </c>
      <c r="AE562" s="3">
        <v>51</v>
      </c>
      <c r="AG562" s="3">
        <v>1.39</v>
      </c>
      <c r="AI562" s="3">
        <v>0.71</v>
      </c>
      <c r="AK562" s="3">
        <v>0.68</v>
      </c>
      <c r="AM562" s="3">
        <v>1.19</v>
      </c>
      <c r="AR562" s="3" t="s">
        <v>537</v>
      </c>
      <c r="AT562" s="4">
        <v>47.75</v>
      </c>
      <c r="AU562" s="4" t="s">
        <v>806</v>
      </c>
      <c r="AW562" s="3" t="s">
        <v>539</v>
      </c>
    </row>
    <row r="563" spans="1:49" x14ac:dyDescent="0.15">
      <c r="A563" s="2">
        <v>562</v>
      </c>
      <c r="B563" s="2" t="s">
        <v>572</v>
      </c>
      <c r="C563" s="2" t="s">
        <v>71</v>
      </c>
      <c r="D563" s="2" t="s">
        <v>115</v>
      </c>
      <c r="E563" s="2" t="s">
        <v>627</v>
      </c>
      <c r="H563" s="2" t="s">
        <v>535</v>
      </c>
      <c r="I563" s="2" t="s">
        <v>536</v>
      </c>
      <c r="J563" s="2">
        <v>2007</v>
      </c>
      <c r="K563" s="2">
        <v>4</v>
      </c>
      <c r="N563" s="3">
        <v>625</v>
      </c>
      <c r="O563" s="3">
        <v>15</v>
      </c>
      <c r="P563" s="2">
        <v>4</v>
      </c>
      <c r="Q563" s="2">
        <v>33</v>
      </c>
      <c r="R563" s="2">
        <v>4</v>
      </c>
      <c r="S563" s="2">
        <v>1</v>
      </c>
      <c r="T563" s="3">
        <v>44</v>
      </c>
      <c r="Y563" s="3">
        <v>302.39999999999998</v>
      </c>
      <c r="AE563" s="3">
        <v>319</v>
      </c>
      <c r="AG563" s="3">
        <v>3.06</v>
      </c>
      <c r="AI563" s="3">
        <v>0.9</v>
      </c>
      <c r="AK563" s="3">
        <v>0.94</v>
      </c>
      <c r="AM563" s="3">
        <v>4.2300000000000004</v>
      </c>
      <c r="AR563" s="3" t="s">
        <v>537</v>
      </c>
      <c r="AT563" s="4">
        <v>47.75</v>
      </c>
      <c r="AU563" s="4" t="s">
        <v>806</v>
      </c>
      <c r="AW563" s="3" t="s">
        <v>539</v>
      </c>
    </row>
    <row r="564" spans="1:49" x14ac:dyDescent="0.15">
      <c r="A564" s="2">
        <v>563</v>
      </c>
      <c r="B564" s="2" t="s">
        <v>572</v>
      </c>
      <c r="C564" s="2" t="s">
        <v>71</v>
      </c>
      <c r="D564" s="2" t="s">
        <v>115</v>
      </c>
      <c r="E564" s="2" t="s">
        <v>627</v>
      </c>
      <c r="H564" s="2" t="s">
        <v>535</v>
      </c>
      <c r="I564" s="2" t="s">
        <v>536</v>
      </c>
      <c r="J564" s="2">
        <v>2006</v>
      </c>
      <c r="K564" s="2">
        <v>11</v>
      </c>
      <c r="N564" s="3">
        <v>625</v>
      </c>
      <c r="O564" s="3">
        <v>15</v>
      </c>
      <c r="P564" s="2">
        <v>2</v>
      </c>
      <c r="Q564" s="2">
        <v>7</v>
      </c>
      <c r="R564" s="2">
        <v>2</v>
      </c>
      <c r="S564" s="2">
        <v>0</v>
      </c>
      <c r="T564" s="3">
        <v>11</v>
      </c>
      <c r="Y564" s="3">
        <v>68.430000000000007</v>
      </c>
      <c r="AE564" s="3">
        <v>47</v>
      </c>
      <c r="AG564" s="3">
        <v>1.67</v>
      </c>
      <c r="AI564" s="3">
        <v>0.76</v>
      </c>
      <c r="AK564" s="3">
        <v>0.77</v>
      </c>
      <c r="AM564" s="3">
        <v>1.62</v>
      </c>
      <c r="AR564" s="3" t="s">
        <v>537</v>
      </c>
      <c r="AT564" s="4">
        <v>47.75</v>
      </c>
      <c r="AU564" s="4" t="s">
        <v>806</v>
      </c>
      <c r="AW564" s="3" t="s">
        <v>539</v>
      </c>
    </row>
    <row r="565" spans="1:49" x14ac:dyDescent="0.15">
      <c r="A565" s="2">
        <v>564</v>
      </c>
      <c r="B565" s="2" t="s">
        <v>572</v>
      </c>
      <c r="C565" s="2" t="s">
        <v>71</v>
      </c>
      <c r="D565" s="2" t="s">
        <v>115</v>
      </c>
      <c r="E565" s="2" t="s">
        <v>627</v>
      </c>
      <c r="H565" s="2" t="s">
        <v>535</v>
      </c>
      <c r="I565" s="2" t="s">
        <v>536</v>
      </c>
      <c r="J565" s="2">
        <v>2007</v>
      </c>
      <c r="K565" s="2">
        <v>4</v>
      </c>
      <c r="N565" s="3">
        <v>625</v>
      </c>
      <c r="O565" s="3">
        <v>15</v>
      </c>
      <c r="P565" s="2">
        <v>0</v>
      </c>
      <c r="Q565" s="2">
        <v>4</v>
      </c>
      <c r="R565" s="2">
        <v>1</v>
      </c>
      <c r="S565" s="2">
        <v>0</v>
      </c>
      <c r="T565" s="3">
        <v>5</v>
      </c>
      <c r="Y565" s="3">
        <v>60.17</v>
      </c>
      <c r="AE565" s="3">
        <v>84</v>
      </c>
      <c r="AG565" s="3">
        <v>0.97</v>
      </c>
      <c r="AI565" s="3">
        <v>0.7</v>
      </c>
      <c r="AK565" s="3">
        <v>0.52</v>
      </c>
      <c r="AM565" s="3">
        <v>0.54</v>
      </c>
      <c r="AR565" s="3" t="s">
        <v>537</v>
      </c>
      <c r="AT565" s="4">
        <v>47.75</v>
      </c>
      <c r="AU565" s="4" t="s">
        <v>806</v>
      </c>
      <c r="AW565" s="3" t="s">
        <v>539</v>
      </c>
    </row>
    <row r="566" spans="1:49" x14ac:dyDescent="0.15">
      <c r="A566" s="2">
        <v>565</v>
      </c>
      <c r="B566" s="2" t="s">
        <v>573</v>
      </c>
      <c r="C566" s="2" t="s">
        <v>574</v>
      </c>
      <c r="D566" s="2" t="s">
        <v>294</v>
      </c>
      <c r="E566" s="2" t="s">
        <v>575</v>
      </c>
      <c r="H566" s="2" t="s">
        <v>543</v>
      </c>
      <c r="I566" s="2" t="s">
        <v>576</v>
      </c>
      <c r="J566" s="2">
        <v>2007</v>
      </c>
      <c r="K566" s="2">
        <v>4</v>
      </c>
      <c r="L566" s="2">
        <v>2007</v>
      </c>
      <c r="M566" s="2">
        <v>10</v>
      </c>
      <c r="N566" s="3">
        <v>500</v>
      </c>
      <c r="O566" s="3">
        <v>56</v>
      </c>
      <c r="P566" s="2">
        <v>49</v>
      </c>
      <c r="Q566" s="2">
        <v>25</v>
      </c>
      <c r="R566" s="2">
        <v>54</v>
      </c>
      <c r="S566" s="2">
        <v>5</v>
      </c>
      <c r="T566" s="3">
        <v>141</v>
      </c>
      <c r="U566" s="3">
        <v>2.31</v>
      </c>
      <c r="V566" s="3">
        <v>15.87</v>
      </c>
      <c r="W566" s="3">
        <v>4.03</v>
      </c>
      <c r="X566" s="3">
        <v>13.36</v>
      </c>
      <c r="Y566" s="3">
        <v>39.82</v>
      </c>
      <c r="AA566" s="3">
        <v>473</v>
      </c>
      <c r="AB566" s="3">
        <v>227</v>
      </c>
      <c r="AC566" s="3">
        <v>1113</v>
      </c>
      <c r="AD566" s="3">
        <v>34</v>
      </c>
      <c r="AE566" s="3">
        <v>1885</v>
      </c>
      <c r="AG566" s="3">
        <v>3.35</v>
      </c>
      <c r="AI566" s="3">
        <v>0.93</v>
      </c>
      <c r="AM566" s="3">
        <v>2.08</v>
      </c>
      <c r="AR566" s="3" t="s">
        <v>577</v>
      </c>
      <c r="AS566" s="4" t="s">
        <v>547</v>
      </c>
      <c r="AT566" s="4">
        <v>47.75</v>
      </c>
      <c r="AU566" s="4" t="s">
        <v>806</v>
      </c>
      <c r="AW566" s="3" t="s">
        <v>578</v>
      </c>
    </row>
    <row r="567" spans="1:49" s="6" customFormat="1" x14ac:dyDescent="0.15">
      <c r="A567" s="2">
        <v>566</v>
      </c>
      <c r="B567" s="5" t="s">
        <v>579</v>
      </c>
      <c r="C567" s="5" t="s">
        <v>87</v>
      </c>
      <c r="D567" s="5" t="s">
        <v>115</v>
      </c>
      <c r="E567" s="5" t="s">
        <v>39</v>
      </c>
      <c r="F567" s="5"/>
      <c r="G567" s="5"/>
      <c r="H567" s="5" t="s">
        <v>543</v>
      </c>
      <c r="I567" s="5" t="s">
        <v>25</v>
      </c>
      <c r="J567" s="5">
        <v>2011</v>
      </c>
      <c r="K567" s="5">
        <v>7</v>
      </c>
      <c r="L567" s="5"/>
      <c r="M567" s="5"/>
      <c r="N567" s="6">
        <v>900</v>
      </c>
      <c r="O567" s="6">
        <v>18</v>
      </c>
      <c r="P567" s="5">
        <v>6</v>
      </c>
      <c r="Q567" s="5">
        <v>12</v>
      </c>
      <c r="R567" s="5">
        <v>6</v>
      </c>
      <c r="S567" s="5"/>
      <c r="T567" s="6">
        <v>28</v>
      </c>
      <c r="AT567" s="4">
        <v>47.75</v>
      </c>
      <c r="AU567" s="4" t="s">
        <v>806</v>
      </c>
    </row>
    <row r="568" spans="1:49" s="6" customFormat="1" x14ac:dyDescent="0.15">
      <c r="A568" s="2">
        <v>567</v>
      </c>
      <c r="B568" s="5" t="s">
        <v>579</v>
      </c>
      <c r="C568" s="5" t="s">
        <v>87</v>
      </c>
      <c r="D568" s="5" t="s">
        <v>115</v>
      </c>
      <c r="E568" s="5" t="s">
        <v>438</v>
      </c>
      <c r="F568" s="5"/>
      <c r="G568" s="5"/>
      <c r="H568" s="5" t="s">
        <v>535</v>
      </c>
      <c r="I568" s="5" t="s">
        <v>25</v>
      </c>
      <c r="J568" s="5">
        <v>2011</v>
      </c>
      <c r="K568" s="5">
        <v>7</v>
      </c>
      <c r="L568" s="5"/>
      <c r="M568" s="5"/>
      <c r="N568" s="6">
        <v>900</v>
      </c>
      <c r="O568" s="6">
        <v>18</v>
      </c>
      <c r="P568" s="5">
        <v>5</v>
      </c>
      <c r="Q568" s="5">
        <v>6</v>
      </c>
      <c r="R568" s="5">
        <v>6</v>
      </c>
      <c r="S568" s="5"/>
      <c r="T568" s="6">
        <v>22</v>
      </c>
      <c r="AT568" s="4">
        <v>47.75</v>
      </c>
      <c r="AU568" s="4" t="s">
        <v>806</v>
      </c>
    </row>
    <row r="569" spans="1:49" x14ac:dyDescent="0.15">
      <c r="A569" s="2">
        <v>568</v>
      </c>
      <c r="B569" s="2" t="s">
        <v>580</v>
      </c>
      <c r="C569" s="2" t="s">
        <v>116</v>
      </c>
      <c r="D569" s="2" t="s">
        <v>115</v>
      </c>
      <c r="E569" s="2" t="s">
        <v>534</v>
      </c>
      <c r="H569" s="2" t="s">
        <v>543</v>
      </c>
      <c r="I569" s="2" t="s">
        <v>536</v>
      </c>
      <c r="J569" s="2">
        <v>2006</v>
      </c>
      <c r="K569" s="2">
        <v>7</v>
      </c>
      <c r="L569" s="2">
        <v>2007</v>
      </c>
      <c r="M569" s="2">
        <v>11</v>
      </c>
      <c r="N569" s="3">
        <v>500</v>
      </c>
      <c r="O569" s="3">
        <f>33*4*2</f>
        <v>264</v>
      </c>
      <c r="P569" s="2">
        <v>22</v>
      </c>
      <c r="Q569" s="2">
        <v>19</v>
      </c>
      <c r="R569" s="2">
        <v>46</v>
      </c>
      <c r="T569" s="3">
        <v>113</v>
      </c>
      <c r="U569" s="3">
        <f>AVERAGE(U570:U573)</f>
        <v>0.1925</v>
      </c>
      <c r="V569" s="3">
        <f t="shared" ref="V569:AF569" si="13">AVERAGE(V570:V573)</f>
        <v>0.18</v>
      </c>
      <c r="W569" s="3">
        <f t="shared" si="13"/>
        <v>0.49250000000000005</v>
      </c>
      <c r="X569" s="3">
        <f t="shared" si="13"/>
        <v>1.1975</v>
      </c>
      <c r="Y569" s="3">
        <f t="shared" si="13"/>
        <v>3.6050000000000004</v>
      </c>
      <c r="Z569" s="3">
        <f t="shared" si="13"/>
        <v>2.1924999999999999</v>
      </c>
      <c r="AA569" s="3">
        <f t="shared" si="13"/>
        <v>2.16</v>
      </c>
      <c r="AB569" s="3">
        <f t="shared" si="13"/>
        <v>2.0425000000000004</v>
      </c>
      <c r="AC569" s="3">
        <f t="shared" si="13"/>
        <v>13.2575</v>
      </c>
      <c r="AD569" s="3">
        <f t="shared" si="13"/>
        <v>1.1375</v>
      </c>
      <c r="AE569" s="3">
        <f t="shared" si="13"/>
        <v>21.137500000000003</v>
      </c>
      <c r="AF569" s="3">
        <f t="shared" si="13"/>
        <v>5.5175000000000001</v>
      </c>
      <c r="AG569" s="3">
        <f>AVERAGE(AG570:AG573)</f>
        <v>0.75750000000000006</v>
      </c>
      <c r="AH569" s="3">
        <f t="shared" ref="AH569:AN569" si="14">AVERAGE(AH570:AH573)</f>
        <v>0.125</v>
      </c>
      <c r="AI569" s="3">
        <f t="shared" si="14"/>
        <v>0.63</v>
      </c>
      <c r="AJ569" s="3">
        <f t="shared" si="14"/>
        <v>8.7500000000000008E-2</v>
      </c>
      <c r="AK569" s="3">
        <f t="shared" si="14"/>
        <v>0.44</v>
      </c>
      <c r="AL569" s="3">
        <f t="shared" si="14"/>
        <v>6.5000000000000002E-2</v>
      </c>
      <c r="AM569" s="3">
        <f t="shared" si="14"/>
        <v>0.55999999999999994</v>
      </c>
      <c r="AN569" s="3">
        <f t="shared" si="14"/>
        <v>0.10999999999999999</v>
      </c>
      <c r="AR569" s="3" t="s">
        <v>577</v>
      </c>
      <c r="AT569" s="4">
        <v>47.75</v>
      </c>
      <c r="AU569" s="4" t="s">
        <v>806</v>
      </c>
      <c r="AW569" s="3" t="s">
        <v>539</v>
      </c>
    </row>
    <row r="570" spans="1:49" x14ac:dyDescent="0.15">
      <c r="A570" s="2">
        <v>569</v>
      </c>
      <c r="B570" s="2" t="s">
        <v>580</v>
      </c>
      <c r="C570" s="2" t="s">
        <v>116</v>
      </c>
      <c r="D570" s="2" t="s">
        <v>115</v>
      </c>
      <c r="E570" s="2" t="s">
        <v>534</v>
      </c>
      <c r="H570" s="2" t="s">
        <v>543</v>
      </c>
      <c r="I570" s="2" t="s">
        <v>536</v>
      </c>
      <c r="J570" s="2">
        <v>2007</v>
      </c>
      <c r="K570" s="2">
        <v>4</v>
      </c>
      <c r="N570" s="3">
        <v>500</v>
      </c>
      <c r="O570" s="3">
        <v>66</v>
      </c>
      <c r="U570" s="3">
        <v>7.0000000000000007E-2</v>
      </c>
      <c r="V570" s="3">
        <v>0.17</v>
      </c>
      <c r="W570" s="3">
        <v>0.46</v>
      </c>
      <c r="X570" s="3">
        <v>2.5099999999999998</v>
      </c>
      <c r="Y570" s="3">
        <v>5.59</v>
      </c>
      <c r="Z570" s="3">
        <v>4.5199999999999996</v>
      </c>
      <c r="AA570" s="3">
        <v>1.67</v>
      </c>
      <c r="AB570" s="3">
        <v>3.18</v>
      </c>
      <c r="AC570" s="3">
        <v>14.39</v>
      </c>
      <c r="AD570" s="3">
        <v>1.97</v>
      </c>
      <c r="AE570" s="3">
        <v>25</v>
      </c>
      <c r="AF570" s="3">
        <v>7.66</v>
      </c>
      <c r="AG570" s="3">
        <v>0.82</v>
      </c>
      <c r="AH570" s="3">
        <v>0.12</v>
      </c>
      <c r="AI570" s="3">
        <v>0.72</v>
      </c>
      <c r="AJ570" s="3">
        <v>0.08</v>
      </c>
      <c r="AK570" s="3">
        <v>0.48</v>
      </c>
      <c r="AL570" s="3">
        <v>0.06</v>
      </c>
      <c r="AM570" s="3">
        <v>0.61</v>
      </c>
      <c r="AN570" s="3">
        <v>0.12</v>
      </c>
      <c r="AR570" s="3" t="s">
        <v>577</v>
      </c>
      <c r="AT570" s="4">
        <v>47.75</v>
      </c>
      <c r="AU570" s="4" t="s">
        <v>806</v>
      </c>
      <c r="AW570" s="3" t="s">
        <v>539</v>
      </c>
    </row>
    <row r="571" spans="1:49" x14ac:dyDescent="0.15">
      <c r="A571" s="2">
        <v>570</v>
      </c>
      <c r="B571" s="2" t="s">
        <v>580</v>
      </c>
      <c r="C571" s="2" t="s">
        <v>116</v>
      </c>
      <c r="D571" s="2" t="s">
        <v>115</v>
      </c>
      <c r="E571" s="2" t="s">
        <v>534</v>
      </c>
      <c r="H571" s="2" t="s">
        <v>543</v>
      </c>
      <c r="I571" s="2" t="s">
        <v>536</v>
      </c>
      <c r="J571" s="2">
        <v>2006</v>
      </c>
      <c r="K571" s="2">
        <v>7</v>
      </c>
      <c r="N571" s="3">
        <v>500</v>
      </c>
      <c r="O571" s="3">
        <v>66</v>
      </c>
      <c r="U571" s="3">
        <v>0.34</v>
      </c>
      <c r="V571" s="3">
        <v>0.15</v>
      </c>
      <c r="W571" s="3">
        <v>0.55000000000000004</v>
      </c>
      <c r="X571" s="3">
        <v>1.1599999999999999</v>
      </c>
      <c r="Y571" s="3">
        <v>3.14</v>
      </c>
      <c r="Z571" s="3">
        <v>1.33</v>
      </c>
      <c r="AA571" s="3">
        <v>5.15</v>
      </c>
      <c r="AB571" s="3">
        <v>2.12</v>
      </c>
      <c r="AC571" s="3">
        <v>19.850000000000001</v>
      </c>
      <c r="AD571" s="3">
        <v>0.91</v>
      </c>
      <c r="AE571" s="3">
        <v>30.15</v>
      </c>
      <c r="AF571" s="3">
        <v>5.09</v>
      </c>
      <c r="AG571" s="3">
        <v>0.89</v>
      </c>
      <c r="AH571" s="3">
        <v>0.11</v>
      </c>
      <c r="AI571" s="3">
        <v>0.69</v>
      </c>
      <c r="AJ571" s="3">
        <v>7.0000000000000007E-2</v>
      </c>
      <c r="AK571" s="3">
        <v>0.49</v>
      </c>
      <c r="AL571" s="3">
        <v>0.06</v>
      </c>
      <c r="AM571" s="3">
        <v>0.67</v>
      </c>
      <c r="AN571" s="3">
        <v>0.1</v>
      </c>
      <c r="AR571" s="3" t="s">
        <v>577</v>
      </c>
      <c r="AT571" s="4">
        <v>47.75</v>
      </c>
      <c r="AU571" s="4" t="s">
        <v>806</v>
      </c>
      <c r="AW571" s="3" t="s">
        <v>539</v>
      </c>
    </row>
    <row r="572" spans="1:49" x14ac:dyDescent="0.15">
      <c r="A572" s="2">
        <v>571</v>
      </c>
      <c r="B572" s="2" t="s">
        <v>580</v>
      </c>
      <c r="C572" s="2" t="s">
        <v>116</v>
      </c>
      <c r="D572" s="2" t="s">
        <v>115</v>
      </c>
      <c r="E572" s="2" t="s">
        <v>534</v>
      </c>
      <c r="H572" s="2" t="s">
        <v>543</v>
      </c>
      <c r="I572" s="2" t="s">
        <v>536</v>
      </c>
      <c r="J572" s="2">
        <v>2007</v>
      </c>
      <c r="K572" s="2">
        <v>10</v>
      </c>
      <c r="N572" s="3">
        <v>500</v>
      </c>
      <c r="O572" s="3">
        <v>66</v>
      </c>
      <c r="U572" s="3">
        <v>0.11</v>
      </c>
      <c r="V572" s="3">
        <v>0.03</v>
      </c>
      <c r="W572" s="3">
        <v>0.33</v>
      </c>
      <c r="X572" s="3">
        <v>0.05</v>
      </c>
      <c r="Y572" s="3">
        <v>0.96</v>
      </c>
      <c r="Z572" s="3">
        <v>0.32</v>
      </c>
      <c r="AA572" s="3">
        <v>0.91</v>
      </c>
      <c r="AB572" s="3">
        <v>0.45</v>
      </c>
      <c r="AC572" s="3">
        <v>6.06</v>
      </c>
      <c r="AD572" s="3">
        <v>1.06</v>
      </c>
      <c r="AE572" s="3">
        <v>9.5500000000000007</v>
      </c>
      <c r="AF572" s="3">
        <v>3.58</v>
      </c>
      <c r="AG572" s="3">
        <v>0.52</v>
      </c>
      <c r="AH572" s="3">
        <v>0.16</v>
      </c>
      <c r="AI572" s="3">
        <v>0.43</v>
      </c>
      <c r="AJ572" s="3">
        <v>0.12</v>
      </c>
      <c r="AK572" s="3">
        <v>0.31</v>
      </c>
      <c r="AL572" s="3">
        <v>0.08</v>
      </c>
      <c r="AM572" s="3">
        <v>0.39</v>
      </c>
      <c r="AN572" s="3">
        <v>0.13</v>
      </c>
      <c r="AR572" s="3" t="s">
        <v>577</v>
      </c>
      <c r="AT572" s="4">
        <v>47.75</v>
      </c>
      <c r="AU572" s="4" t="s">
        <v>806</v>
      </c>
      <c r="AW572" s="3" t="s">
        <v>539</v>
      </c>
    </row>
    <row r="573" spans="1:49" x14ac:dyDescent="0.15">
      <c r="A573" s="2">
        <v>572</v>
      </c>
      <c r="B573" s="2" t="s">
        <v>580</v>
      </c>
      <c r="C573" s="2" t="s">
        <v>116</v>
      </c>
      <c r="D573" s="2" t="s">
        <v>115</v>
      </c>
      <c r="E573" s="2" t="s">
        <v>534</v>
      </c>
      <c r="H573" s="2" t="s">
        <v>543</v>
      </c>
      <c r="I573" s="2" t="s">
        <v>536</v>
      </c>
      <c r="J573" s="2">
        <v>2006</v>
      </c>
      <c r="K573" s="2">
        <v>12</v>
      </c>
      <c r="N573" s="3">
        <v>500</v>
      </c>
      <c r="O573" s="3">
        <v>66</v>
      </c>
      <c r="U573" s="3">
        <v>0.25</v>
      </c>
      <c r="V573" s="3">
        <v>0.37</v>
      </c>
      <c r="W573" s="3">
        <v>0.63</v>
      </c>
      <c r="X573" s="3">
        <v>1.07</v>
      </c>
      <c r="Y573" s="3">
        <v>4.7300000000000004</v>
      </c>
      <c r="Z573" s="3">
        <v>2.6</v>
      </c>
      <c r="AA573" s="3">
        <v>0.91</v>
      </c>
      <c r="AB573" s="3">
        <v>2.42</v>
      </c>
      <c r="AC573" s="3">
        <v>12.73</v>
      </c>
      <c r="AD573" s="3">
        <v>0.61</v>
      </c>
      <c r="AE573" s="3">
        <v>19.850000000000001</v>
      </c>
      <c r="AF573" s="3">
        <v>5.74</v>
      </c>
      <c r="AG573" s="3">
        <v>0.8</v>
      </c>
      <c r="AH573" s="3">
        <v>0.11</v>
      </c>
      <c r="AI573" s="3">
        <v>0.68</v>
      </c>
      <c r="AJ573" s="3">
        <v>0.08</v>
      </c>
      <c r="AK573" s="3">
        <v>0.48</v>
      </c>
      <c r="AL573" s="3">
        <v>0.06</v>
      </c>
      <c r="AM573" s="3">
        <v>0.56999999999999995</v>
      </c>
      <c r="AN573" s="3">
        <v>0.09</v>
      </c>
      <c r="AR573" s="3" t="s">
        <v>577</v>
      </c>
      <c r="AT573" s="4">
        <v>47.75</v>
      </c>
      <c r="AU573" s="4" t="s">
        <v>806</v>
      </c>
      <c r="AW573" s="3" t="s">
        <v>539</v>
      </c>
    </row>
    <row r="574" spans="1:49" x14ac:dyDescent="0.15">
      <c r="A574" s="2">
        <v>573</v>
      </c>
      <c r="B574" s="2" t="s">
        <v>581</v>
      </c>
      <c r="C574" s="2" t="s">
        <v>582</v>
      </c>
      <c r="D574" s="2" t="s">
        <v>583</v>
      </c>
      <c r="E574" s="2" t="s">
        <v>39</v>
      </c>
      <c r="H574" s="2" t="s">
        <v>543</v>
      </c>
      <c r="I574" s="2" t="s">
        <v>25</v>
      </c>
      <c r="J574" s="2">
        <v>2006</v>
      </c>
      <c r="K574" s="2">
        <v>5</v>
      </c>
      <c r="L574" s="2">
        <v>2007</v>
      </c>
      <c r="M574" s="2">
        <v>1</v>
      </c>
      <c r="N574" s="3">
        <v>1000</v>
      </c>
      <c r="O574" s="3">
        <v>80</v>
      </c>
      <c r="Q574" s="2">
        <v>23</v>
      </c>
      <c r="R574" s="2">
        <v>23</v>
      </c>
      <c r="T574" s="3">
        <v>65</v>
      </c>
      <c r="U574" s="3">
        <v>1.47</v>
      </c>
      <c r="V574" s="3">
        <v>9.9700000000000006</v>
      </c>
      <c r="W574" s="3">
        <v>1.81</v>
      </c>
      <c r="X574" s="3">
        <v>0.81</v>
      </c>
      <c r="Y574" s="3">
        <v>19.66</v>
      </c>
      <c r="AA574" s="3">
        <v>4</v>
      </c>
      <c r="AB574" s="3">
        <v>50</v>
      </c>
      <c r="AC574" s="3">
        <v>70</v>
      </c>
      <c r="AD574" s="3">
        <v>4</v>
      </c>
      <c r="AE574" s="3">
        <v>131</v>
      </c>
      <c r="AG574" s="3">
        <v>1.27</v>
      </c>
      <c r="AH574" s="3">
        <v>0.13</v>
      </c>
      <c r="AI574" s="3">
        <v>0.9</v>
      </c>
      <c r="AJ574" s="3">
        <v>0.04</v>
      </c>
      <c r="AK574" s="3">
        <v>0.35</v>
      </c>
      <c r="AL574" s="3">
        <v>0.05</v>
      </c>
      <c r="AM574" s="3">
        <v>0.61</v>
      </c>
      <c r="AN574" s="3">
        <v>0.08</v>
      </c>
      <c r="AR574" s="3" t="s">
        <v>546</v>
      </c>
      <c r="AS574" s="4" t="s">
        <v>547</v>
      </c>
      <c r="AT574" s="4">
        <v>47.75</v>
      </c>
      <c r="AU574" s="4" t="s">
        <v>806</v>
      </c>
      <c r="AW574" s="3" t="s">
        <v>539</v>
      </c>
    </row>
    <row r="575" spans="1:49" x14ac:dyDescent="0.15">
      <c r="A575" s="2">
        <v>574</v>
      </c>
      <c r="B575" s="2" t="s">
        <v>581</v>
      </c>
      <c r="C575" s="2" t="s">
        <v>582</v>
      </c>
      <c r="D575" s="2" t="s">
        <v>115</v>
      </c>
      <c r="E575" s="2" t="s">
        <v>39</v>
      </c>
      <c r="H575" s="2" t="s">
        <v>60</v>
      </c>
      <c r="I575" s="2" t="s">
        <v>25</v>
      </c>
      <c r="J575" s="2">
        <v>2007</v>
      </c>
      <c r="K575" s="2">
        <v>1</v>
      </c>
      <c r="N575" s="3">
        <v>1000</v>
      </c>
      <c r="O575" s="3">
        <v>80</v>
      </c>
      <c r="Q575" s="2">
        <v>23</v>
      </c>
      <c r="R575" s="2">
        <v>23</v>
      </c>
      <c r="T575" s="3">
        <v>65</v>
      </c>
      <c r="U575" s="3">
        <v>1.47</v>
      </c>
      <c r="V575" s="3">
        <v>9.9700000000000006</v>
      </c>
      <c r="W575" s="3">
        <v>1.81</v>
      </c>
      <c r="X575" s="3">
        <v>0.81</v>
      </c>
      <c r="Y575" s="3">
        <v>19.66</v>
      </c>
      <c r="AA575" s="3">
        <v>4</v>
      </c>
      <c r="AB575" s="3">
        <v>50</v>
      </c>
      <c r="AC575" s="3">
        <v>70</v>
      </c>
      <c r="AD575" s="3">
        <v>4</v>
      </c>
      <c r="AE575" s="3">
        <v>131</v>
      </c>
      <c r="AG575" s="3">
        <v>1.27</v>
      </c>
      <c r="AH575" s="3">
        <v>0.13</v>
      </c>
      <c r="AI575" s="3">
        <v>0.9</v>
      </c>
      <c r="AJ575" s="3">
        <v>0.04</v>
      </c>
      <c r="AK575" s="3">
        <v>0.35</v>
      </c>
      <c r="AL575" s="3">
        <v>0.05</v>
      </c>
      <c r="AM575" s="3">
        <v>0.61</v>
      </c>
      <c r="AN575" s="3">
        <v>0.08</v>
      </c>
      <c r="AR575" s="3" t="s">
        <v>65</v>
      </c>
      <c r="AS575" s="4" t="s">
        <v>78</v>
      </c>
      <c r="AT575" s="4">
        <v>47.75</v>
      </c>
      <c r="AU575" s="4" t="s">
        <v>806</v>
      </c>
      <c r="AW575" s="3" t="s">
        <v>234</v>
      </c>
    </row>
    <row r="576" spans="1:49" x14ac:dyDescent="0.15">
      <c r="A576" s="2">
        <v>575</v>
      </c>
      <c r="B576" s="2" t="s">
        <v>584</v>
      </c>
      <c r="C576" s="2" t="s">
        <v>585</v>
      </c>
      <c r="D576" s="2" t="s">
        <v>583</v>
      </c>
      <c r="E576" s="2" t="s">
        <v>534</v>
      </c>
      <c r="H576" s="2" t="s">
        <v>543</v>
      </c>
      <c r="I576" s="2" t="s">
        <v>25</v>
      </c>
      <c r="J576" s="2">
        <v>2006</v>
      </c>
      <c r="K576" s="2">
        <v>2</v>
      </c>
      <c r="L576" s="2">
        <v>2006</v>
      </c>
      <c r="M576" s="2">
        <v>10</v>
      </c>
      <c r="N576" s="3">
        <v>625</v>
      </c>
      <c r="O576" s="3">
        <v>120</v>
      </c>
      <c r="P576" s="2">
        <v>36</v>
      </c>
      <c r="Q576" s="2">
        <v>59</v>
      </c>
      <c r="R576" s="2">
        <v>30</v>
      </c>
      <c r="S576" s="2">
        <v>2</v>
      </c>
      <c r="T576" s="3">
        <v>146</v>
      </c>
      <c r="U576" s="3">
        <v>400.1</v>
      </c>
      <c r="V576" s="3">
        <v>1016.2</v>
      </c>
      <c r="W576" s="3">
        <v>2.0099999999999998</v>
      </c>
      <c r="X576" s="3">
        <v>0.05</v>
      </c>
      <c r="Y576" s="3">
        <v>1446.11</v>
      </c>
      <c r="AA576" s="3">
        <v>364</v>
      </c>
      <c r="AB576" s="3">
        <v>540</v>
      </c>
      <c r="AC576" s="3">
        <v>62</v>
      </c>
      <c r="AD576" s="3">
        <v>1</v>
      </c>
      <c r="AE576" s="3">
        <v>972</v>
      </c>
      <c r="AG576" s="3">
        <v>1.77</v>
      </c>
      <c r="AH576" s="3">
        <v>0.47</v>
      </c>
      <c r="AI576" s="3">
        <v>0.7</v>
      </c>
      <c r="AJ576" s="3">
        <v>7.0000000000000007E-2</v>
      </c>
      <c r="AK576" s="3">
        <v>0.3</v>
      </c>
      <c r="AL576" s="3">
        <v>0.14000000000000001</v>
      </c>
      <c r="AM576" s="3">
        <v>0.86</v>
      </c>
      <c r="AN576" s="3">
        <v>0.32</v>
      </c>
      <c r="AR576" s="3" t="s">
        <v>543</v>
      </c>
      <c r="AS576" s="4" t="s">
        <v>547</v>
      </c>
      <c r="AT576" s="4">
        <v>47.75</v>
      </c>
      <c r="AU576" s="4" t="s">
        <v>806</v>
      </c>
      <c r="AW576" s="3" t="s">
        <v>586</v>
      </c>
    </row>
    <row r="577" spans="1:49" x14ac:dyDescent="0.15">
      <c r="A577" s="2">
        <v>576</v>
      </c>
      <c r="B577" s="2" t="s">
        <v>587</v>
      </c>
      <c r="C577" s="2" t="s">
        <v>588</v>
      </c>
      <c r="D577" s="2" t="s">
        <v>115</v>
      </c>
      <c r="E577" s="2" t="s">
        <v>39</v>
      </c>
      <c r="H577" s="2" t="s">
        <v>543</v>
      </c>
      <c r="I577" s="2" t="s">
        <v>25</v>
      </c>
      <c r="J577" s="2">
        <v>2005</v>
      </c>
      <c r="K577" s="2">
        <v>5</v>
      </c>
      <c r="N577" s="3">
        <v>625</v>
      </c>
      <c r="O577" s="3">
        <v>56</v>
      </c>
      <c r="P577" s="2">
        <v>6</v>
      </c>
      <c r="Q577" s="2">
        <v>16</v>
      </c>
      <c r="R577" s="2">
        <v>1</v>
      </c>
      <c r="T577" s="3">
        <v>26</v>
      </c>
      <c r="U577" s="3">
        <f>AVERAGE(U578:U581)</f>
        <v>32.227499999999999</v>
      </c>
      <c r="V577" s="3">
        <f t="shared" ref="V577:AC577" si="15">AVERAGE(V578:V581)</f>
        <v>208.34500000000003</v>
      </c>
      <c r="W577" s="3">
        <f t="shared" si="15"/>
        <v>16.853333333333335</v>
      </c>
      <c r="Y577" s="3">
        <f t="shared" si="15"/>
        <v>279.22249999999997</v>
      </c>
      <c r="AA577" s="3">
        <f t="shared" si="15"/>
        <v>32.75</v>
      </c>
      <c r="AB577" s="3">
        <f t="shared" si="15"/>
        <v>329.25</v>
      </c>
      <c r="AC577" s="3">
        <f t="shared" si="15"/>
        <v>158</v>
      </c>
      <c r="AE577" s="3">
        <v>493</v>
      </c>
      <c r="AG577" s="3">
        <v>1.49</v>
      </c>
      <c r="AH577" s="3">
        <v>0.42899999999999999</v>
      </c>
      <c r="AI577" s="3">
        <v>0.65400000000000003</v>
      </c>
      <c r="AJ577" s="3">
        <v>0.104</v>
      </c>
      <c r="AM577" s="3">
        <v>1.22</v>
      </c>
      <c r="AN577" s="3">
        <v>465</v>
      </c>
      <c r="AR577" s="3" t="s">
        <v>543</v>
      </c>
      <c r="AT577" s="4">
        <v>47.75</v>
      </c>
      <c r="AU577" s="4" t="s">
        <v>806</v>
      </c>
      <c r="AW577" s="3" t="s">
        <v>234</v>
      </c>
    </row>
    <row r="578" spans="1:49" x14ac:dyDescent="0.15">
      <c r="A578" s="2">
        <v>577</v>
      </c>
      <c r="B578" s="2" t="s">
        <v>587</v>
      </c>
      <c r="C578" s="2" t="s">
        <v>588</v>
      </c>
      <c r="D578" s="2" t="s">
        <v>115</v>
      </c>
      <c r="E578" s="2" t="s">
        <v>39</v>
      </c>
      <c r="H578" s="2" t="s">
        <v>60</v>
      </c>
      <c r="I578" s="2" t="s">
        <v>25</v>
      </c>
      <c r="J578" s="2">
        <v>2005</v>
      </c>
      <c r="K578" s="2">
        <v>5</v>
      </c>
      <c r="N578" s="3">
        <v>625</v>
      </c>
      <c r="O578" s="3">
        <v>14</v>
      </c>
      <c r="P578" s="2">
        <v>4</v>
      </c>
      <c r="Q578" s="2">
        <v>8</v>
      </c>
      <c r="R578" s="2">
        <v>1</v>
      </c>
      <c r="T578" s="3">
        <v>14</v>
      </c>
      <c r="U578" s="3">
        <v>32.950000000000003</v>
      </c>
      <c r="V578" s="3">
        <v>90.35</v>
      </c>
      <c r="W578" s="3">
        <v>8.27</v>
      </c>
      <c r="Y578" s="3">
        <v>179.25</v>
      </c>
      <c r="AA578" s="3">
        <v>32</v>
      </c>
      <c r="AB578" s="3">
        <v>92</v>
      </c>
      <c r="AC578" s="3">
        <v>63</v>
      </c>
      <c r="AE578" s="3">
        <v>203</v>
      </c>
      <c r="AG578" s="3">
        <v>2.1</v>
      </c>
      <c r="AI578" s="3">
        <v>0.8</v>
      </c>
      <c r="AM578" s="3">
        <v>1.9</v>
      </c>
      <c r="AR578" s="3" t="s">
        <v>543</v>
      </c>
      <c r="AT578" s="4">
        <v>47.75</v>
      </c>
      <c r="AU578" s="4" t="s">
        <v>806</v>
      </c>
      <c r="AW578" s="3" t="s">
        <v>234</v>
      </c>
    </row>
    <row r="579" spans="1:49" x14ac:dyDescent="0.15">
      <c r="A579" s="2">
        <v>578</v>
      </c>
      <c r="B579" s="2" t="s">
        <v>587</v>
      </c>
      <c r="C579" s="2" t="s">
        <v>588</v>
      </c>
      <c r="D579" s="2" t="s">
        <v>115</v>
      </c>
      <c r="E579" s="2" t="s">
        <v>39</v>
      </c>
      <c r="H579" s="2" t="s">
        <v>60</v>
      </c>
      <c r="I579" s="2" t="s">
        <v>25</v>
      </c>
      <c r="J579" s="2">
        <v>2005</v>
      </c>
      <c r="K579" s="2">
        <v>5</v>
      </c>
      <c r="N579" s="3">
        <v>625</v>
      </c>
      <c r="O579" s="3">
        <v>14</v>
      </c>
      <c r="P579" s="2">
        <v>3</v>
      </c>
      <c r="Q579" s="2">
        <v>7</v>
      </c>
      <c r="R579" s="2">
        <v>1</v>
      </c>
      <c r="T579" s="3">
        <v>12</v>
      </c>
      <c r="U579" s="3">
        <v>44.64</v>
      </c>
      <c r="V579" s="3">
        <v>134.96</v>
      </c>
      <c r="W579" s="3">
        <v>4.8</v>
      </c>
      <c r="Y579" s="3">
        <v>184.4</v>
      </c>
      <c r="AA579" s="3">
        <v>27</v>
      </c>
      <c r="AB579" s="3">
        <v>154</v>
      </c>
      <c r="AC579" s="3">
        <v>127</v>
      </c>
      <c r="AE579" s="3">
        <v>308</v>
      </c>
      <c r="AG579" s="3">
        <v>1.2</v>
      </c>
      <c r="AI579" s="3">
        <v>0.6</v>
      </c>
      <c r="AM579" s="3">
        <v>1.04</v>
      </c>
      <c r="AR579" s="3" t="s">
        <v>543</v>
      </c>
      <c r="AT579" s="4">
        <v>47.75</v>
      </c>
      <c r="AU579" s="4" t="s">
        <v>806</v>
      </c>
      <c r="AW579" s="3" t="s">
        <v>234</v>
      </c>
    </row>
    <row r="580" spans="1:49" x14ac:dyDescent="0.15">
      <c r="A580" s="2">
        <v>579</v>
      </c>
      <c r="B580" s="2" t="s">
        <v>587</v>
      </c>
      <c r="C580" s="2" t="s">
        <v>588</v>
      </c>
      <c r="D580" s="2" t="s">
        <v>115</v>
      </c>
      <c r="E580" s="2" t="s">
        <v>39</v>
      </c>
      <c r="H580" s="2" t="s">
        <v>60</v>
      </c>
      <c r="I580" s="2" t="s">
        <v>25</v>
      </c>
      <c r="J580" s="2">
        <v>2005</v>
      </c>
      <c r="K580" s="2">
        <v>5</v>
      </c>
      <c r="N580" s="3">
        <v>625</v>
      </c>
      <c r="O580" s="3">
        <v>14</v>
      </c>
      <c r="P580" s="2">
        <v>2</v>
      </c>
      <c r="Q580" s="2">
        <v>5</v>
      </c>
      <c r="R580" s="2">
        <v>0</v>
      </c>
      <c r="T580" s="3">
        <v>8</v>
      </c>
      <c r="U580" s="3">
        <v>24.16</v>
      </c>
      <c r="V580" s="3">
        <v>560.62</v>
      </c>
      <c r="Y580" s="3">
        <v>603.54</v>
      </c>
      <c r="AA580" s="3">
        <v>24</v>
      </c>
      <c r="AB580" s="3">
        <v>861</v>
      </c>
      <c r="AE580" s="3">
        <v>901</v>
      </c>
      <c r="AG580" s="3">
        <v>1.2</v>
      </c>
      <c r="AI580" s="3">
        <v>0.56000000000000005</v>
      </c>
      <c r="AM580" s="3">
        <v>0.83</v>
      </c>
      <c r="AR580" s="3" t="s">
        <v>543</v>
      </c>
      <c r="AT580" s="4">
        <v>47.75</v>
      </c>
      <c r="AU580" s="4" t="s">
        <v>806</v>
      </c>
      <c r="AW580" s="3" t="s">
        <v>234</v>
      </c>
    </row>
    <row r="581" spans="1:49" x14ac:dyDescent="0.15">
      <c r="A581" s="2">
        <v>580</v>
      </c>
      <c r="B581" s="2" t="s">
        <v>587</v>
      </c>
      <c r="C581" s="2" t="s">
        <v>588</v>
      </c>
      <c r="D581" s="2" t="s">
        <v>115</v>
      </c>
      <c r="E581" s="2" t="s">
        <v>39</v>
      </c>
      <c r="H581" s="2" t="s">
        <v>60</v>
      </c>
      <c r="I581" s="2" t="s">
        <v>25</v>
      </c>
      <c r="J581" s="2">
        <v>2005</v>
      </c>
      <c r="K581" s="2">
        <v>5</v>
      </c>
      <c r="N581" s="3">
        <v>625</v>
      </c>
      <c r="O581" s="3">
        <v>14</v>
      </c>
      <c r="P581" s="2">
        <v>2</v>
      </c>
      <c r="Q581" s="2">
        <v>5</v>
      </c>
      <c r="R581" s="2">
        <v>1</v>
      </c>
      <c r="T581" s="3">
        <v>9</v>
      </c>
      <c r="U581" s="3">
        <v>27.16</v>
      </c>
      <c r="V581" s="3">
        <v>47.45</v>
      </c>
      <c r="W581" s="3">
        <v>37.49</v>
      </c>
      <c r="Y581" s="3">
        <v>149.69999999999999</v>
      </c>
      <c r="AA581" s="3">
        <v>48</v>
      </c>
      <c r="AB581" s="3">
        <v>210</v>
      </c>
      <c r="AC581" s="3">
        <v>284</v>
      </c>
      <c r="AE581" s="3">
        <v>558</v>
      </c>
      <c r="AG581" s="3">
        <v>1.4</v>
      </c>
      <c r="AI581" s="3">
        <v>0.65</v>
      </c>
      <c r="AM581" s="3">
        <v>1.1000000000000001</v>
      </c>
      <c r="AR581" s="3" t="s">
        <v>543</v>
      </c>
      <c r="AT581" s="4">
        <v>47.75</v>
      </c>
      <c r="AU581" s="4" t="s">
        <v>806</v>
      </c>
      <c r="AW581" s="3" t="s">
        <v>234</v>
      </c>
    </row>
    <row r="582" spans="1:49" x14ac:dyDescent="0.15">
      <c r="A582" s="2">
        <v>581</v>
      </c>
      <c r="B582" s="2" t="s">
        <v>589</v>
      </c>
      <c r="C582" s="2" t="s">
        <v>590</v>
      </c>
      <c r="D582" s="2" t="s">
        <v>590</v>
      </c>
      <c r="E582" s="2" t="s">
        <v>591</v>
      </c>
      <c r="H582" s="2" t="s">
        <v>592</v>
      </c>
      <c r="I582" s="2" t="s">
        <v>590</v>
      </c>
      <c r="J582" s="2">
        <v>1982</v>
      </c>
      <c r="K582" s="2">
        <v>6</v>
      </c>
      <c r="L582" s="2">
        <v>1983</v>
      </c>
      <c r="M582" s="2">
        <v>11</v>
      </c>
      <c r="N582" s="3">
        <v>1000</v>
      </c>
      <c r="O582" s="3">
        <v>303</v>
      </c>
      <c r="P582" s="2">
        <v>59</v>
      </c>
      <c r="Q582" s="2">
        <v>75</v>
      </c>
      <c r="R582" s="2">
        <v>115</v>
      </c>
      <c r="S582" s="2">
        <v>12</v>
      </c>
      <c r="T582" s="3">
        <v>276</v>
      </c>
      <c r="U582" s="3">
        <v>1.6</v>
      </c>
      <c r="V582" s="3">
        <v>13.37</v>
      </c>
      <c r="W582" s="3">
        <v>1.99</v>
      </c>
      <c r="X582" s="3">
        <v>4.47</v>
      </c>
      <c r="Y582" s="3">
        <v>22.76</v>
      </c>
      <c r="AA582" s="3">
        <v>132</v>
      </c>
      <c r="AB582" s="3">
        <v>43</v>
      </c>
      <c r="AC582" s="3">
        <v>96</v>
      </c>
      <c r="AD582" s="3">
        <v>63</v>
      </c>
      <c r="AE582" s="3">
        <v>343</v>
      </c>
      <c r="AR582" s="3" t="s">
        <v>594</v>
      </c>
      <c r="AS582" s="4" t="s">
        <v>599</v>
      </c>
      <c r="AT582" s="4">
        <v>47.75</v>
      </c>
      <c r="AU582" s="4" t="s">
        <v>806</v>
      </c>
      <c r="AW582" s="3" t="s">
        <v>595</v>
      </c>
    </row>
    <row r="583" spans="1:49" x14ac:dyDescent="0.15">
      <c r="A583" s="2">
        <v>582</v>
      </c>
      <c r="B583" s="2" t="s">
        <v>589</v>
      </c>
      <c r="C583" s="2" t="s">
        <v>172</v>
      </c>
      <c r="D583" s="2" t="s">
        <v>590</v>
      </c>
      <c r="E583" s="2" t="s">
        <v>591</v>
      </c>
      <c r="H583" s="2" t="s">
        <v>592</v>
      </c>
      <c r="I583" s="2" t="s">
        <v>590</v>
      </c>
      <c r="J583" s="2">
        <v>1982</v>
      </c>
      <c r="K583" s="2">
        <v>6</v>
      </c>
      <c r="L583" s="2">
        <v>1983</v>
      </c>
      <c r="M583" s="2">
        <v>11</v>
      </c>
      <c r="N583" s="3">
        <v>1000</v>
      </c>
      <c r="O583" s="3">
        <v>75</v>
      </c>
      <c r="U583" s="3">
        <v>2</v>
      </c>
      <c r="V583" s="3">
        <v>18.3</v>
      </c>
      <c r="W583" s="3">
        <v>2.9</v>
      </c>
      <c r="X583" s="3">
        <v>3.5</v>
      </c>
      <c r="Y583" s="3">
        <v>27.9</v>
      </c>
      <c r="AA583" s="3">
        <v>139</v>
      </c>
      <c r="AB583" s="3">
        <v>29</v>
      </c>
      <c r="AC583" s="3">
        <v>82</v>
      </c>
      <c r="AD583" s="3">
        <v>17</v>
      </c>
      <c r="AE583" s="3">
        <v>276</v>
      </c>
      <c r="AR583" s="3" t="s">
        <v>594</v>
      </c>
      <c r="AS583" s="4" t="s">
        <v>599</v>
      </c>
      <c r="AT583" s="4">
        <v>47.75</v>
      </c>
      <c r="AU583" s="4" t="s">
        <v>806</v>
      </c>
      <c r="AW583" s="3" t="s">
        <v>595</v>
      </c>
    </row>
    <row r="584" spans="1:49" x14ac:dyDescent="0.15">
      <c r="A584" s="2">
        <v>583</v>
      </c>
      <c r="B584" s="2" t="s">
        <v>589</v>
      </c>
      <c r="C584" s="2" t="s">
        <v>92</v>
      </c>
      <c r="D584" s="2" t="s">
        <v>590</v>
      </c>
      <c r="E584" s="2" t="s">
        <v>591</v>
      </c>
      <c r="H584" s="2" t="s">
        <v>592</v>
      </c>
      <c r="I584" s="2" t="s">
        <v>590</v>
      </c>
      <c r="J584" s="2">
        <v>1982</v>
      </c>
      <c r="K584" s="2">
        <v>6</v>
      </c>
      <c r="L584" s="2">
        <v>1983</v>
      </c>
      <c r="M584" s="2">
        <v>11</v>
      </c>
      <c r="N584" s="3">
        <v>1000</v>
      </c>
      <c r="O584" s="3">
        <v>75</v>
      </c>
      <c r="U584" s="3">
        <v>0.9</v>
      </c>
      <c r="V584" s="3">
        <v>16.3</v>
      </c>
      <c r="W584" s="3">
        <v>1.3</v>
      </c>
      <c r="X584" s="3">
        <v>6.9</v>
      </c>
      <c r="Y584" s="3">
        <v>26.5</v>
      </c>
      <c r="AA584" s="3">
        <v>54</v>
      </c>
      <c r="AB584" s="3">
        <v>40</v>
      </c>
      <c r="AC584" s="3">
        <v>43</v>
      </c>
      <c r="AD584" s="3">
        <v>11</v>
      </c>
      <c r="AE584" s="3">
        <v>157</v>
      </c>
      <c r="AR584" s="3" t="s">
        <v>594</v>
      </c>
      <c r="AS584" s="4" t="s">
        <v>599</v>
      </c>
      <c r="AT584" s="4">
        <v>47.75</v>
      </c>
      <c r="AU584" s="4" t="s">
        <v>806</v>
      </c>
      <c r="AW584" s="3" t="s">
        <v>595</v>
      </c>
    </row>
    <row r="585" spans="1:49" x14ac:dyDescent="0.15">
      <c r="A585" s="2">
        <v>584</v>
      </c>
      <c r="B585" s="2" t="s">
        <v>589</v>
      </c>
      <c r="C585" s="2" t="s">
        <v>202</v>
      </c>
      <c r="D585" s="2" t="s">
        <v>590</v>
      </c>
      <c r="E585" s="2" t="s">
        <v>591</v>
      </c>
      <c r="H585" s="2" t="s">
        <v>592</v>
      </c>
      <c r="I585" s="2" t="s">
        <v>590</v>
      </c>
      <c r="J585" s="2">
        <v>1982</v>
      </c>
      <c r="K585" s="2">
        <v>6</v>
      </c>
      <c r="L585" s="2">
        <v>1983</v>
      </c>
      <c r="M585" s="2">
        <v>11</v>
      </c>
      <c r="N585" s="3">
        <v>1000</v>
      </c>
      <c r="O585" s="3">
        <v>75</v>
      </c>
      <c r="U585" s="3">
        <v>0.5</v>
      </c>
      <c r="V585" s="3">
        <v>1.2</v>
      </c>
      <c r="W585" s="3">
        <v>1</v>
      </c>
      <c r="X585" s="3">
        <v>9.1999999999999993</v>
      </c>
      <c r="Y585" s="3">
        <v>13.7</v>
      </c>
      <c r="AA585" s="3">
        <v>151</v>
      </c>
      <c r="AB585" s="3">
        <v>38</v>
      </c>
      <c r="AC585" s="3">
        <v>59</v>
      </c>
      <c r="AD585" s="3">
        <v>563</v>
      </c>
      <c r="AE585" s="3">
        <v>822</v>
      </c>
      <c r="AR585" s="3" t="s">
        <v>594</v>
      </c>
      <c r="AS585" s="4" t="s">
        <v>599</v>
      </c>
      <c r="AT585" s="4">
        <v>47.75</v>
      </c>
      <c r="AU585" s="4" t="s">
        <v>806</v>
      </c>
      <c r="AW585" s="3" t="s">
        <v>595</v>
      </c>
    </row>
    <row r="586" spans="1:49" x14ac:dyDescent="0.15">
      <c r="A586" s="2">
        <v>585</v>
      </c>
      <c r="B586" s="2" t="s">
        <v>589</v>
      </c>
      <c r="C586" s="2" t="s">
        <v>593</v>
      </c>
      <c r="D586" s="2" t="s">
        <v>590</v>
      </c>
      <c r="E586" s="2" t="s">
        <v>591</v>
      </c>
      <c r="H586" s="2" t="s">
        <v>592</v>
      </c>
      <c r="I586" s="2" t="s">
        <v>590</v>
      </c>
      <c r="J586" s="2">
        <v>1982</v>
      </c>
      <c r="K586" s="2">
        <v>6</v>
      </c>
      <c r="L586" s="2">
        <v>1983</v>
      </c>
      <c r="M586" s="2">
        <v>11</v>
      </c>
      <c r="N586" s="3">
        <v>1000</v>
      </c>
      <c r="O586" s="3">
        <v>75</v>
      </c>
      <c r="U586" s="3">
        <v>2</v>
      </c>
      <c r="V586" s="3">
        <v>8.8000000000000007</v>
      </c>
      <c r="W586" s="3">
        <v>2</v>
      </c>
      <c r="X586" s="3">
        <v>2.2000000000000002</v>
      </c>
      <c r="Y586" s="3">
        <v>16.399999999999999</v>
      </c>
      <c r="AA586" s="3">
        <v>181</v>
      </c>
      <c r="AB586" s="3">
        <v>63</v>
      </c>
      <c r="AC586" s="3">
        <v>168</v>
      </c>
      <c r="AD586" s="3">
        <v>12</v>
      </c>
      <c r="AE586" s="3">
        <v>435</v>
      </c>
      <c r="AR586" s="3" t="s">
        <v>594</v>
      </c>
      <c r="AS586" s="4" t="s">
        <v>599</v>
      </c>
      <c r="AT586" s="4">
        <v>47.75</v>
      </c>
      <c r="AU586" s="4" t="s">
        <v>806</v>
      </c>
    </row>
    <row r="587" spans="1:49" x14ac:dyDescent="0.15">
      <c r="A587" s="2">
        <v>586</v>
      </c>
      <c r="B587" s="2" t="s">
        <v>589</v>
      </c>
      <c r="C587" s="2" t="s">
        <v>590</v>
      </c>
      <c r="D587" s="2" t="s">
        <v>590</v>
      </c>
      <c r="E587" s="2" t="s">
        <v>591</v>
      </c>
      <c r="H587" s="2" t="s">
        <v>592</v>
      </c>
      <c r="I587" s="2" t="s">
        <v>590</v>
      </c>
      <c r="J587" s="2">
        <v>1983</v>
      </c>
      <c r="K587" s="2">
        <v>11</v>
      </c>
      <c r="N587" s="3">
        <v>1000</v>
      </c>
      <c r="O587" s="3">
        <v>303</v>
      </c>
      <c r="P587" s="2">
        <v>59</v>
      </c>
      <c r="Q587" s="2">
        <v>75</v>
      </c>
      <c r="R587" s="2">
        <v>115</v>
      </c>
      <c r="S587" s="2">
        <v>12</v>
      </c>
      <c r="T587" s="3">
        <v>276</v>
      </c>
      <c r="U587" s="3">
        <v>1.6</v>
      </c>
      <c r="V587" s="3">
        <v>13.37</v>
      </c>
      <c r="W587" s="3">
        <v>1.99</v>
      </c>
      <c r="X587" s="3">
        <v>4.47</v>
      </c>
      <c r="Y587" s="3">
        <v>22.76</v>
      </c>
      <c r="AA587" s="3">
        <v>132</v>
      </c>
      <c r="AB587" s="3">
        <v>43</v>
      </c>
      <c r="AC587" s="3">
        <v>96</v>
      </c>
      <c r="AD587" s="3">
        <v>63</v>
      </c>
      <c r="AE587" s="3">
        <v>343</v>
      </c>
      <c r="AR587" s="3" t="s">
        <v>594</v>
      </c>
      <c r="AS587" s="4" t="s">
        <v>599</v>
      </c>
      <c r="AT587" s="4">
        <v>47.75</v>
      </c>
      <c r="AU587" s="4" t="s">
        <v>806</v>
      </c>
      <c r="AW587" s="3" t="s">
        <v>595</v>
      </c>
    </row>
    <row r="588" spans="1:49" x14ac:dyDescent="0.15">
      <c r="A588" s="2">
        <v>587</v>
      </c>
      <c r="B588" s="2" t="s">
        <v>589</v>
      </c>
      <c r="C588" s="2" t="s">
        <v>172</v>
      </c>
      <c r="D588" s="2" t="s">
        <v>590</v>
      </c>
      <c r="E588" s="2" t="s">
        <v>591</v>
      </c>
      <c r="H588" s="2" t="s">
        <v>592</v>
      </c>
      <c r="I588" s="2" t="s">
        <v>590</v>
      </c>
      <c r="J588" s="2">
        <v>1983</v>
      </c>
      <c r="K588" s="2">
        <v>11</v>
      </c>
      <c r="N588" s="3">
        <v>1000</v>
      </c>
      <c r="O588" s="3">
        <v>75</v>
      </c>
      <c r="U588" s="3">
        <v>2</v>
      </c>
      <c r="V588" s="3">
        <v>18.3</v>
      </c>
      <c r="W588" s="3">
        <v>2.9</v>
      </c>
      <c r="X588" s="3">
        <v>3.5</v>
      </c>
      <c r="Y588" s="3">
        <v>27.9</v>
      </c>
      <c r="AA588" s="3">
        <v>139</v>
      </c>
      <c r="AB588" s="3">
        <v>29</v>
      </c>
      <c r="AC588" s="3">
        <v>82</v>
      </c>
      <c r="AD588" s="3">
        <v>17</v>
      </c>
      <c r="AE588" s="3">
        <v>276</v>
      </c>
      <c r="AR588" s="3" t="s">
        <v>594</v>
      </c>
      <c r="AS588" s="4" t="s">
        <v>599</v>
      </c>
      <c r="AT588" s="4">
        <v>47.75</v>
      </c>
      <c r="AU588" s="4" t="s">
        <v>806</v>
      </c>
      <c r="AW588" s="3" t="s">
        <v>595</v>
      </c>
    </row>
    <row r="589" spans="1:49" x14ac:dyDescent="0.15">
      <c r="A589" s="2">
        <v>588</v>
      </c>
      <c r="B589" s="2" t="s">
        <v>589</v>
      </c>
      <c r="C589" s="2" t="s">
        <v>92</v>
      </c>
      <c r="D589" s="2" t="s">
        <v>590</v>
      </c>
      <c r="E589" s="2" t="s">
        <v>591</v>
      </c>
      <c r="H589" s="2" t="s">
        <v>592</v>
      </c>
      <c r="I589" s="2" t="s">
        <v>590</v>
      </c>
      <c r="J589" s="2">
        <v>1983</v>
      </c>
      <c r="K589" s="2">
        <v>11</v>
      </c>
      <c r="N589" s="3">
        <v>1000</v>
      </c>
      <c r="O589" s="3">
        <v>75</v>
      </c>
      <c r="U589" s="3">
        <v>0.9</v>
      </c>
      <c r="V589" s="3">
        <v>16.3</v>
      </c>
      <c r="W589" s="3">
        <v>1.3</v>
      </c>
      <c r="X589" s="3">
        <v>6.9</v>
      </c>
      <c r="Y589" s="3">
        <v>26.5</v>
      </c>
      <c r="AA589" s="3">
        <v>54</v>
      </c>
      <c r="AB589" s="3">
        <v>40</v>
      </c>
      <c r="AC589" s="3">
        <v>43</v>
      </c>
      <c r="AD589" s="3">
        <v>11</v>
      </c>
      <c r="AE589" s="3">
        <v>157</v>
      </c>
      <c r="AR589" s="3" t="s">
        <v>594</v>
      </c>
      <c r="AS589" s="4" t="s">
        <v>599</v>
      </c>
      <c r="AT589" s="4">
        <v>47.75</v>
      </c>
      <c r="AU589" s="4" t="s">
        <v>806</v>
      </c>
      <c r="AW589" s="3" t="s">
        <v>595</v>
      </c>
    </row>
    <row r="590" spans="1:49" x14ac:dyDescent="0.15">
      <c r="A590" s="2">
        <v>589</v>
      </c>
      <c r="B590" s="2" t="s">
        <v>589</v>
      </c>
      <c r="C590" s="2" t="s">
        <v>202</v>
      </c>
      <c r="D590" s="2" t="s">
        <v>590</v>
      </c>
      <c r="E590" s="2" t="s">
        <v>591</v>
      </c>
      <c r="H590" s="2" t="s">
        <v>592</v>
      </c>
      <c r="I590" s="2" t="s">
        <v>590</v>
      </c>
      <c r="J590" s="2">
        <v>1983</v>
      </c>
      <c r="K590" s="2">
        <v>11</v>
      </c>
      <c r="N590" s="3">
        <v>1000</v>
      </c>
      <c r="O590" s="3">
        <v>75</v>
      </c>
      <c r="U590" s="3">
        <v>0.5</v>
      </c>
      <c r="V590" s="3">
        <v>1.2</v>
      </c>
      <c r="W590" s="3">
        <v>1</v>
      </c>
      <c r="X590" s="3">
        <v>9.1999999999999993</v>
      </c>
      <c r="Y590" s="3">
        <v>13.7</v>
      </c>
      <c r="AA590" s="3">
        <v>151</v>
      </c>
      <c r="AB590" s="3">
        <v>38</v>
      </c>
      <c r="AC590" s="3">
        <v>59</v>
      </c>
      <c r="AD590" s="3">
        <v>563</v>
      </c>
      <c r="AE590" s="3">
        <v>822</v>
      </c>
      <c r="AR590" s="3" t="s">
        <v>594</v>
      </c>
      <c r="AS590" s="4" t="s">
        <v>599</v>
      </c>
      <c r="AT590" s="4">
        <v>47.75</v>
      </c>
      <c r="AU590" s="4" t="s">
        <v>806</v>
      </c>
      <c r="AW590" s="3" t="s">
        <v>595</v>
      </c>
    </row>
    <row r="591" spans="1:49" x14ac:dyDescent="0.15">
      <c r="A591" s="2">
        <v>590</v>
      </c>
      <c r="B591" s="2" t="s">
        <v>589</v>
      </c>
      <c r="C591" s="2" t="s">
        <v>593</v>
      </c>
      <c r="D591" s="2" t="s">
        <v>590</v>
      </c>
      <c r="E591" s="2" t="s">
        <v>591</v>
      </c>
      <c r="H591" s="2" t="s">
        <v>592</v>
      </c>
      <c r="I591" s="2" t="s">
        <v>590</v>
      </c>
      <c r="J591" s="2">
        <v>1983</v>
      </c>
      <c r="K591" s="2">
        <v>11</v>
      </c>
      <c r="N591" s="3">
        <v>1000</v>
      </c>
      <c r="O591" s="3">
        <v>75</v>
      </c>
      <c r="U591" s="3">
        <v>2</v>
      </c>
      <c r="V591" s="3">
        <v>8.8000000000000007</v>
      </c>
      <c r="W591" s="3">
        <v>2</v>
      </c>
      <c r="X591" s="3">
        <v>2.2000000000000002</v>
      </c>
      <c r="Y591" s="3">
        <v>16.399999999999999</v>
      </c>
      <c r="AA591" s="3">
        <v>181</v>
      </c>
      <c r="AB591" s="3">
        <v>63</v>
      </c>
      <c r="AC591" s="3">
        <v>168</v>
      </c>
      <c r="AD591" s="3">
        <v>12</v>
      </c>
      <c r="AE591" s="3">
        <v>435</v>
      </c>
      <c r="AR591" s="3" t="s">
        <v>594</v>
      </c>
      <c r="AS591" s="4" t="s">
        <v>599</v>
      </c>
      <c r="AT591" s="4">
        <v>47.75</v>
      </c>
      <c r="AU591" s="4" t="s">
        <v>806</v>
      </c>
      <c r="AW591" s="3" t="s">
        <v>595</v>
      </c>
    </row>
    <row r="592" spans="1:49" x14ac:dyDescent="0.15">
      <c r="A592" s="2">
        <v>591</v>
      </c>
      <c r="B592" s="2" t="s">
        <v>596</v>
      </c>
      <c r="C592" s="2" t="s">
        <v>213</v>
      </c>
      <c r="D592" s="2" t="s">
        <v>213</v>
      </c>
      <c r="E592" s="2" t="s">
        <v>597</v>
      </c>
      <c r="H592" s="2" t="s">
        <v>592</v>
      </c>
      <c r="I592" s="2" t="s">
        <v>598</v>
      </c>
      <c r="J592" s="2">
        <v>1991</v>
      </c>
      <c r="K592" s="2">
        <v>5</v>
      </c>
      <c r="N592" s="3">
        <v>1000</v>
      </c>
      <c r="O592" s="3">
        <v>20</v>
      </c>
      <c r="P592" s="2">
        <v>18</v>
      </c>
      <c r="Q592" s="2">
        <v>17</v>
      </c>
      <c r="R592" s="2">
        <v>30</v>
      </c>
      <c r="S592" s="2">
        <v>6</v>
      </c>
      <c r="T592" s="3">
        <v>84</v>
      </c>
      <c r="U592" s="3">
        <v>3.4</v>
      </c>
      <c r="V592" s="3">
        <v>8.8000000000000007</v>
      </c>
      <c r="W592" s="3">
        <v>3.1</v>
      </c>
      <c r="X592" s="3">
        <v>11.1</v>
      </c>
      <c r="Y592" s="3">
        <v>30.7</v>
      </c>
      <c r="AA592" s="3">
        <v>13</v>
      </c>
      <c r="AB592" s="3">
        <v>57.5</v>
      </c>
      <c r="AC592" s="3">
        <v>21.6</v>
      </c>
      <c r="AD592" s="3">
        <v>5.3</v>
      </c>
      <c r="AE592" s="3">
        <v>111.4</v>
      </c>
      <c r="AR592" s="3" t="s">
        <v>594</v>
      </c>
      <c r="AS592" s="4" t="s">
        <v>599</v>
      </c>
      <c r="AT592" s="4">
        <v>47.75</v>
      </c>
      <c r="AU592" s="4" t="s">
        <v>806</v>
      </c>
      <c r="AW592" s="3" t="s">
        <v>595</v>
      </c>
    </row>
    <row r="593" spans="1:49" x14ac:dyDescent="0.15">
      <c r="A593" s="2">
        <v>592</v>
      </c>
      <c r="B593" s="2" t="s">
        <v>596</v>
      </c>
      <c r="C593" s="2" t="s">
        <v>213</v>
      </c>
      <c r="D593" s="2" t="s">
        <v>213</v>
      </c>
      <c r="E593" s="2" t="s">
        <v>597</v>
      </c>
      <c r="H593" s="2" t="s">
        <v>592</v>
      </c>
      <c r="I593" s="2" t="s">
        <v>598</v>
      </c>
      <c r="J593" s="2">
        <v>1991</v>
      </c>
      <c r="K593" s="2">
        <v>8</v>
      </c>
      <c r="N593" s="3">
        <v>1000</v>
      </c>
      <c r="O593" s="3">
        <v>20</v>
      </c>
      <c r="P593" s="2">
        <v>43</v>
      </c>
      <c r="Q593" s="2">
        <v>18</v>
      </c>
      <c r="R593" s="2">
        <v>76</v>
      </c>
      <c r="S593" s="2">
        <v>6</v>
      </c>
      <c r="T593" s="3">
        <v>147</v>
      </c>
      <c r="U593" s="3">
        <v>1.4</v>
      </c>
      <c r="V593" s="3">
        <v>48.1</v>
      </c>
      <c r="W593" s="3">
        <v>6.4</v>
      </c>
      <c r="X593" s="3">
        <v>3.8</v>
      </c>
      <c r="Y593" s="3">
        <v>59.8</v>
      </c>
      <c r="AA593" s="3">
        <v>66.900000000000006</v>
      </c>
      <c r="AB593" s="3">
        <v>38.1</v>
      </c>
      <c r="AC593" s="3">
        <v>64.400000000000006</v>
      </c>
      <c r="AD593" s="3">
        <v>5.6</v>
      </c>
      <c r="AE593" s="3">
        <v>176.9</v>
      </c>
      <c r="AR593" s="3" t="s">
        <v>594</v>
      </c>
      <c r="AS593" s="4" t="s">
        <v>599</v>
      </c>
      <c r="AT593" s="4">
        <v>47.75</v>
      </c>
      <c r="AU593" s="4" t="s">
        <v>806</v>
      </c>
      <c r="AW593" s="3" t="s">
        <v>595</v>
      </c>
    </row>
    <row r="594" spans="1:49" x14ac:dyDescent="0.15">
      <c r="A594" s="2">
        <v>593</v>
      </c>
      <c r="B594" s="2" t="s">
        <v>596</v>
      </c>
      <c r="C594" s="2" t="s">
        <v>213</v>
      </c>
      <c r="D594" s="2" t="s">
        <v>213</v>
      </c>
      <c r="E594" s="2" t="s">
        <v>597</v>
      </c>
      <c r="H594" s="2" t="s">
        <v>592</v>
      </c>
      <c r="I594" s="2" t="s">
        <v>598</v>
      </c>
      <c r="J594" s="2">
        <v>1991</v>
      </c>
      <c r="K594" s="2">
        <v>11</v>
      </c>
      <c r="N594" s="3">
        <v>1000</v>
      </c>
      <c r="O594" s="3">
        <v>20</v>
      </c>
      <c r="P594" s="2">
        <v>25</v>
      </c>
      <c r="Q594" s="2">
        <v>18</v>
      </c>
      <c r="R594" s="2">
        <v>37</v>
      </c>
      <c r="S594" s="2">
        <v>11</v>
      </c>
      <c r="T594" s="3">
        <v>101</v>
      </c>
      <c r="U594" s="3">
        <v>1.6</v>
      </c>
      <c r="V594" s="3">
        <v>79.900000000000006</v>
      </c>
      <c r="W594" s="3">
        <v>5.0999999999999996</v>
      </c>
      <c r="X594" s="3">
        <v>20.6</v>
      </c>
      <c r="Y594" s="3">
        <v>118.1</v>
      </c>
      <c r="AA594" s="3">
        <v>32.299999999999997</v>
      </c>
      <c r="AB594" s="3">
        <v>29.8</v>
      </c>
      <c r="AC594" s="3">
        <v>24.7</v>
      </c>
      <c r="AD594" s="3">
        <v>17.100000000000001</v>
      </c>
      <c r="AE594" s="3">
        <v>111.8</v>
      </c>
      <c r="AR594" s="3" t="s">
        <v>594</v>
      </c>
      <c r="AS594" s="4" t="s">
        <v>599</v>
      </c>
      <c r="AT594" s="4">
        <v>47.75</v>
      </c>
      <c r="AU594" s="4" t="s">
        <v>806</v>
      </c>
      <c r="AW594" s="3" t="s">
        <v>595</v>
      </c>
    </row>
    <row r="595" spans="1:49" x14ac:dyDescent="0.15">
      <c r="A595" s="2">
        <v>594</v>
      </c>
      <c r="B595" s="2" t="s">
        <v>596</v>
      </c>
      <c r="C595" s="2" t="s">
        <v>213</v>
      </c>
      <c r="D595" s="2" t="s">
        <v>213</v>
      </c>
      <c r="E595" s="2" t="s">
        <v>597</v>
      </c>
      <c r="H595" s="2" t="s">
        <v>592</v>
      </c>
      <c r="I595" s="2" t="s">
        <v>598</v>
      </c>
      <c r="J595" s="2">
        <v>1992</v>
      </c>
      <c r="K595" s="2">
        <v>2</v>
      </c>
      <c r="N595" s="3">
        <v>1000</v>
      </c>
      <c r="O595" s="3">
        <v>20</v>
      </c>
      <c r="P595" s="2">
        <v>17</v>
      </c>
      <c r="Q595" s="2">
        <v>13</v>
      </c>
      <c r="R595" s="2">
        <v>31</v>
      </c>
      <c r="S595" s="2">
        <v>6</v>
      </c>
      <c r="T595" s="3">
        <v>77</v>
      </c>
      <c r="U595" s="3">
        <v>3.1</v>
      </c>
      <c r="V595" s="3">
        <v>20.8</v>
      </c>
      <c r="W595" s="3">
        <v>3.7</v>
      </c>
      <c r="X595" s="3">
        <v>8.1</v>
      </c>
      <c r="Y595" s="3">
        <v>44.5</v>
      </c>
      <c r="AA595" s="3">
        <v>31.1</v>
      </c>
      <c r="AB595" s="3">
        <v>15.3</v>
      </c>
      <c r="AC595" s="3">
        <v>23</v>
      </c>
      <c r="AD595" s="3">
        <v>3.1</v>
      </c>
      <c r="AE595" s="3">
        <v>103.4</v>
      </c>
      <c r="AR595" s="3" t="s">
        <v>594</v>
      </c>
      <c r="AS595" s="4" t="s">
        <v>599</v>
      </c>
      <c r="AT595" s="4">
        <v>47.75</v>
      </c>
      <c r="AU595" s="4" t="s">
        <v>806</v>
      </c>
      <c r="AW595" s="3" t="s">
        <v>595</v>
      </c>
    </row>
    <row r="596" spans="1:49" x14ac:dyDescent="0.15">
      <c r="A596" s="2">
        <v>595</v>
      </c>
      <c r="B596" s="2" t="s">
        <v>596</v>
      </c>
      <c r="C596" s="2" t="s">
        <v>213</v>
      </c>
      <c r="D596" s="2" t="s">
        <v>213</v>
      </c>
      <c r="E596" s="2" t="s">
        <v>597</v>
      </c>
      <c r="H596" s="2" t="s">
        <v>592</v>
      </c>
      <c r="I596" s="2" t="s">
        <v>598</v>
      </c>
      <c r="J596" s="2">
        <v>1992</v>
      </c>
      <c r="K596" s="2">
        <v>5</v>
      </c>
      <c r="N596" s="3">
        <v>1000</v>
      </c>
      <c r="O596" s="3">
        <v>20</v>
      </c>
      <c r="P596" s="2">
        <v>16</v>
      </c>
      <c r="Q596" s="2">
        <v>21</v>
      </c>
      <c r="R596" s="2">
        <v>32</v>
      </c>
      <c r="S596" s="2">
        <v>6</v>
      </c>
      <c r="T596" s="3">
        <v>81</v>
      </c>
      <c r="U596" s="3">
        <v>1.6</v>
      </c>
      <c r="V596" s="3">
        <v>340.4</v>
      </c>
      <c r="W596" s="3">
        <v>6</v>
      </c>
      <c r="X596" s="3">
        <v>17</v>
      </c>
      <c r="Y596" s="3">
        <v>369.7</v>
      </c>
      <c r="AA596" s="3">
        <v>13.9</v>
      </c>
      <c r="AB596" s="3">
        <v>90.5</v>
      </c>
      <c r="AC596" s="3">
        <v>21.7</v>
      </c>
      <c r="AD596" s="3">
        <v>5</v>
      </c>
      <c r="AE596" s="3">
        <v>135</v>
      </c>
      <c r="AR596" s="3" t="s">
        <v>594</v>
      </c>
      <c r="AS596" s="4" t="s">
        <v>599</v>
      </c>
      <c r="AT596" s="4">
        <v>47.75</v>
      </c>
      <c r="AU596" s="4" t="s">
        <v>806</v>
      </c>
      <c r="AW596" s="3" t="s">
        <v>595</v>
      </c>
    </row>
    <row r="597" spans="1:49" x14ac:dyDescent="0.15">
      <c r="A597" s="2">
        <v>596</v>
      </c>
      <c r="B597" s="2" t="s">
        <v>596</v>
      </c>
      <c r="C597" s="2" t="s">
        <v>213</v>
      </c>
      <c r="D597" s="2" t="s">
        <v>213</v>
      </c>
      <c r="E597" s="2" t="s">
        <v>597</v>
      </c>
      <c r="H597" s="2" t="s">
        <v>592</v>
      </c>
      <c r="I597" s="2" t="s">
        <v>598</v>
      </c>
      <c r="J597" s="2">
        <v>1992</v>
      </c>
      <c r="K597" s="2">
        <v>9</v>
      </c>
      <c r="N597" s="3">
        <v>1000</v>
      </c>
      <c r="O597" s="3">
        <v>20</v>
      </c>
      <c r="P597" s="2">
        <v>11</v>
      </c>
      <c r="Q597" s="2">
        <v>23</v>
      </c>
      <c r="R597" s="2">
        <v>39</v>
      </c>
      <c r="S597" s="2">
        <v>6</v>
      </c>
      <c r="T597" s="3">
        <v>88</v>
      </c>
      <c r="U597" s="3">
        <v>1.1000000000000001</v>
      </c>
      <c r="V597" s="3">
        <v>1.9</v>
      </c>
      <c r="W597" s="3">
        <v>8.6</v>
      </c>
      <c r="X597" s="3">
        <v>2.4</v>
      </c>
      <c r="Y597" s="3">
        <v>17.7</v>
      </c>
      <c r="AA597" s="3">
        <v>8.3000000000000007</v>
      </c>
      <c r="AB597" s="3">
        <v>22.8</v>
      </c>
      <c r="AC597" s="3">
        <v>35</v>
      </c>
      <c r="AD597" s="3">
        <v>2.8</v>
      </c>
      <c r="AE597" s="3">
        <v>73.3</v>
      </c>
      <c r="AR597" s="3" t="s">
        <v>594</v>
      </c>
      <c r="AS597" s="4" t="s">
        <v>599</v>
      </c>
      <c r="AT597" s="4">
        <v>47.75</v>
      </c>
      <c r="AU597" s="4" t="s">
        <v>806</v>
      </c>
      <c r="AW597" s="3" t="s">
        <v>595</v>
      </c>
    </row>
    <row r="598" spans="1:49" x14ac:dyDescent="0.15">
      <c r="A598" s="2">
        <v>597</v>
      </c>
      <c r="B598" s="2" t="s">
        <v>596</v>
      </c>
      <c r="C598" s="2" t="s">
        <v>213</v>
      </c>
      <c r="D598" s="2" t="s">
        <v>213</v>
      </c>
      <c r="E598" s="2" t="s">
        <v>597</v>
      </c>
      <c r="H598" s="2" t="s">
        <v>592</v>
      </c>
      <c r="I598" s="2" t="s">
        <v>598</v>
      </c>
      <c r="J598" s="2">
        <v>1992</v>
      </c>
      <c r="K598" s="2">
        <v>11</v>
      </c>
      <c r="N598" s="3">
        <v>1000</v>
      </c>
      <c r="O598" s="3">
        <v>20</v>
      </c>
      <c r="P598" s="2">
        <v>27</v>
      </c>
      <c r="Q598" s="2">
        <v>17</v>
      </c>
      <c r="R598" s="2">
        <v>28</v>
      </c>
      <c r="S598" s="2">
        <v>8</v>
      </c>
      <c r="T598" s="3">
        <v>82</v>
      </c>
      <c r="U598" s="3">
        <v>0.5</v>
      </c>
      <c r="V598" s="3">
        <v>3.2</v>
      </c>
      <c r="W598" s="3">
        <v>4.8</v>
      </c>
      <c r="X598" s="3">
        <v>27.8</v>
      </c>
      <c r="Y598" s="3">
        <v>36.700000000000003</v>
      </c>
      <c r="AA598" s="3">
        <v>14.4</v>
      </c>
      <c r="AB598" s="3">
        <v>11.1</v>
      </c>
      <c r="AC598" s="3">
        <v>20</v>
      </c>
      <c r="AD598" s="3">
        <v>5</v>
      </c>
      <c r="AE598" s="3">
        <v>55</v>
      </c>
      <c r="AR598" s="3" t="s">
        <v>594</v>
      </c>
      <c r="AS598" s="4" t="s">
        <v>599</v>
      </c>
      <c r="AT598" s="4">
        <v>47.75</v>
      </c>
      <c r="AU598" s="4" t="s">
        <v>806</v>
      </c>
      <c r="AW598" s="3" t="s">
        <v>595</v>
      </c>
    </row>
    <row r="599" spans="1:49" x14ac:dyDescent="0.15">
      <c r="A599" s="2">
        <v>598</v>
      </c>
      <c r="B599" s="2" t="s">
        <v>596</v>
      </c>
      <c r="C599" s="2" t="s">
        <v>213</v>
      </c>
      <c r="D599" s="2" t="s">
        <v>213</v>
      </c>
      <c r="E599" s="2" t="s">
        <v>597</v>
      </c>
      <c r="H599" s="2" t="s">
        <v>592</v>
      </c>
      <c r="I599" s="2" t="s">
        <v>598</v>
      </c>
      <c r="J599" s="2">
        <v>1993</v>
      </c>
      <c r="K599" s="2">
        <v>2</v>
      </c>
      <c r="N599" s="3">
        <v>1000</v>
      </c>
      <c r="O599" s="3">
        <v>20</v>
      </c>
      <c r="P599" s="2">
        <v>27</v>
      </c>
      <c r="Q599" s="2">
        <v>14</v>
      </c>
      <c r="R599" s="2">
        <v>54</v>
      </c>
      <c r="S599" s="2">
        <v>4</v>
      </c>
      <c r="T599" s="3">
        <v>107</v>
      </c>
      <c r="U599" s="3">
        <v>2.7</v>
      </c>
      <c r="V599" s="3">
        <v>0.4</v>
      </c>
      <c r="W599" s="3">
        <v>3.4</v>
      </c>
      <c r="X599" s="3">
        <v>6.9</v>
      </c>
      <c r="Y599" s="3">
        <v>14.6</v>
      </c>
      <c r="AA599" s="3">
        <v>33.9</v>
      </c>
      <c r="AB599" s="3">
        <v>11.1</v>
      </c>
      <c r="AC599" s="3">
        <v>68.900000000000006</v>
      </c>
      <c r="AD599" s="3">
        <v>4.4000000000000004</v>
      </c>
      <c r="AE599" s="3">
        <v>126.1</v>
      </c>
      <c r="AR599" s="3" t="s">
        <v>594</v>
      </c>
      <c r="AS599" s="4" t="s">
        <v>599</v>
      </c>
      <c r="AT599" s="4">
        <v>47.75</v>
      </c>
      <c r="AU599" s="4" t="s">
        <v>806</v>
      </c>
      <c r="AW599" s="3" t="s">
        <v>595</v>
      </c>
    </row>
    <row r="600" spans="1:49" x14ac:dyDescent="0.15">
      <c r="A600" s="2">
        <v>599</v>
      </c>
      <c r="B600" s="2" t="s">
        <v>596</v>
      </c>
      <c r="C600" s="2" t="s">
        <v>213</v>
      </c>
      <c r="D600" s="2" t="s">
        <v>213</v>
      </c>
      <c r="E600" s="2" t="s">
        <v>597</v>
      </c>
      <c r="H600" s="2" t="s">
        <v>592</v>
      </c>
      <c r="I600" s="2" t="s">
        <v>598</v>
      </c>
      <c r="J600" s="2">
        <v>1993</v>
      </c>
      <c r="K600" s="2">
        <v>5</v>
      </c>
      <c r="N600" s="3">
        <v>1000</v>
      </c>
      <c r="O600" s="3">
        <v>20</v>
      </c>
      <c r="P600" s="2">
        <v>33</v>
      </c>
      <c r="Q600" s="2">
        <v>20</v>
      </c>
      <c r="R600" s="2">
        <v>58</v>
      </c>
      <c r="S600" s="2">
        <v>4</v>
      </c>
      <c r="T600" s="3">
        <v>117</v>
      </c>
      <c r="U600" s="3">
        <v>1</v>
      </c>
      <c r="V600" s="3">
        <v>2.5</v>
      </c>
      <c r="W600" s="3">
        <v>8.4</v>
      </c>
      <c r="X600" s="3">
        <v>7</v>
      </c>
      <c r="Y600" s="3">
        <v>24.6</v>
      </c>
      <c r="AA600" s="3">
        <v>20</v>
      </c>
      <c r="AB600" s="3">
        <v>44.4</v>
      </c>
      <c r="AC600" s="3">
        <v>53.9</v>
      </c>
      <c r="AD600" s="3">
        <v>3.9</v>
      </c>
      <c r="AE600" s="3">
        <v>160.5</v>
      </c>
      <c r="AR600" s="3" t="s">
        <v>594</v>
      </c>
      <c r="AS600" s="4" t="s">
        <v>599</v>
      </c>
      <c r="AT600" s="4">
        <v>47.75</v>
      </c>
      <c r="AU600" s="4" t="s">
        <v>806</v>
      </c>
      <c r="AW600" s="3" t="s">
        <v>595</v>
      </c>
    </row>
    <row r="601" spans="1:49" x14ac:dyDescent="0.15">
      <c r="A601" s="2">
        <v>600</v>
      </c>
      <c r="B601" s="2" t="s">
        <v>596</v>
      </c>
      <c r="C601" s="2" t="s">
        <v>213</v>
      </c>
      <c r="D601" s="2" t="s">
        <v>213</v>
      </c>
      <c r="E601" s="2" t="s">
        <v>597</v>
      </c>
      <c r="H601" s="2" t="s">
        <v>592</v>
      </c>
      <c r="I601" s="2" t="s">
        <v>598</v>
      </c>
      <c r="J601" s="2">
        <v>1993</v>
      </c>
      <c r="K601" s="2">
        <v>9</v>
      </c>
      <c r="N601" s="3">
        <v>1000</v>
      </c>
      <c r="O601" s="3">
        <v>20</v>
      </c>
      <c r="P601" s="2">
        <v>27</v>
      </c>
      <c r="Q601" s="2">
        <v>18</v>
      </c>
      <c r="R601" s="2">
        <v>46</v>
      </c>
      <c r="S601" s="2">
        <v>10</v>
      </c>
      <c r="T601" s="3">
        <v>115</v>
      </c>
      <c r="U601" s="3">
        <v>9.9</v>
      </c>
      <c r="V601" s="3">
        <v>3.6</v>
      </c>
      <c r="W601" s="3">
        <v>3.3</v>
      </c>
      <c r="X601" s="3">
        <v>22.5</v>
      </c>
      <c r="Y601" s="3">
        <v>48.5</v>
      </c>
      <c r="AA601" s="3">
        <v>33.299999999999997</v>
      </c>
      <c r="AB601" s="3">
        <v>35.6</v>
      </c>
      <c r="AC601" s="3">
        <v>91.1</v>
      </c>
      <c r="AD601" s="3">
        <v>7.2</v>
      </c>
      <c r="AE601" s="3">
        <v>210.5</v>
      </c>
      <c r="AR601" s="3" t="s">
        <v>594</v>
      </c>
      <c r="AS601" s="4" t="s">
        <v>599</v>
      </c>
      <c r="AT601" s="4">
        <v>47.75</v>
      </c>
      <c r="AU601" s="4" t="s">
        <v>806</v>
      </c>
      <c r="AW601" s="3" t="s">
        <v>595</v>
      </c>
    </row>
    <row r="602" spans="1:49" x14ac:dyDescent="0.15">
      <c r="A602" s="2">
        <v>601</v>
      </c>
      <c r="B602" s="2" t="s">
        <v>596</v>
      </c>
      <c r="C602" s="2" t="s">
        <v>213</v>
      </c>
      <c r="D602" s="2" t="s">
        <v>213</v>
      </c>
      <c r="E602" s="2" t="s">
        <v>597</v>
      </c>
      <c r="H602" s="2" t="s">
        <v>592</v>
      </c>
      <c r="I602" s="2" t="s">
        <v>598</v>
      </c>
      <c r="J602" s="2">
        <v>1993</v>
      </c>
      <c r="K602" s="2">
        <v>11</v>
      </c>
      <c r="N602" s="3">
        <v>1000</v>
      </c>
      <c r="O602" s="3">
        <v>20</v>
      </c>
      <c r="P602" s="2">
        <v>27</v>
      </c>
      <c r="Q602" s="2">
        <v>13</v>
      </c>
      <c r="R602" s="2">
        <v>52</v>
      </c>
      <c r="S602" s="2">
        <v>12</v>
      </c>
      <c r="T602" s="3">
        <v>108</v>
      </c>
      <c r="U602" s="3">
        <v>1.9</v>
      </c>
      <c r="V602" s="3">
        <v>11</v>
      </c>
      <c r="W602" s="3">
        <v>7.5</v>
      </c>
      <c r="X602" s="3">
        <v>6.7</v>
      </c>
      <c r="Y602" s="3">
        <v>38.4</v>
      </c>
      <c r="AA602" s="3">
        <v>16.7</v>
      </c>
      <c r="AB602" s="3">
        <v>12.8</v>
      </c>
      <c r="AC602" s="3">
        <v>48.3</v>
      </c>
      <c r="AD602" s="3">
        <v>7.8</v>
      </c>
      <c r="AE602" s="3">
        <v>94.5</v>
      </c>
      <c r="AR602" s="3" t="s">
        <v>594</v>
      </c>
      <c r="AS602" s="4" t="s">
        <v>599</v>
      </c>
      <c r="AT602" s="4">
        <v>47.75</v>
      </c>
      <c r="AU602" s="4" t="s">
        <v>806</v>
      </c>
      <c r="AW602" s="3" t="s">
        <v>595</v>
      </c>
    </row>
    <row r="603" spans="1:49" x14ac:dyDescent="0.15">
      <c r="A603" s="2">
        <v>602</v>
      </c>
      <c r="B603" s="2" t="s">
        <v>596</v>
      </c>
      <c r="C603" s="2" t="s">
        <v>213</v>
      </c>
      <c r="D603" s="2" t="s">
        <v>213</v>
      </c>
      <c r="E603" s="2" t="s">
        <v>597</v>
      </c>
      <c r="H603" s="2" t="s">
        <v>592</v>
      </c>
      <c r="I603" s="2" t="s">
        <v>598</v>
      </c>
      <c r="J603" s="2">
        <v>1994</v>
      </c>
      <c r="K603" s="2">
        <v>2</v>
      </c>
      <c r="N603" s="3">
        <v>1000</v>
      </c>
      <c r="O603" s="3">
        <v>20</v>
      </c>
      <c r="P603" s="2">
        <v>38</v>
      </c>
      <c r="Q603" s="2">
        <v>25</v>
      </c>
      <c r="R603" s="2">
        <v>58</v>
      </c>
      <c r="S603" s="2">
        <v>7</v>
      </c>
      <c r="T603" s="3">
        <v>136</v>
      </c>
      <c r="U603" s="3">
        <v>3</v>
      </c>
      <c r="V603" s="3">
        <v>18</v>
      </c>
      <c r="W603" s="3">
        <v>4.5</v>
      </c>
      <c r="X603" s="3">
        <v>15</v>
      </c>
      <c r="Y603" s="3">
        <v>58.4</v>
      </c>
      <c r="AA603" s="3">
        <v>45.8</v>
      </c>
      <c r="AB603" s="3">
        <v>28.3</v>
      </c>
      <c r="AC603" s="3">
        <v>89.2</v>
      </c>
      <c r="AD603" s="3">
        <v>8.3000000000000007</v>
      </c>
      <c r="AE603" s="3">
        <v>225</v>
      </c>
      <c r="AS603" s="4" t="s">
        <v>599</v>
      </c>
      <c r="AT603" s="4">
        <v>47.75</v>
      </c>
      <c r="AU603" s="4" t="s">
        <v>806</v>
      </c>
      <c r="AV603" s="3" t="s">
        <v>600</v>
      </c>
      <c r="AW603" s="3" t="s">
        <v>595</v>
      </c>
    </row>
    <row r="604" spans="1:49" x14ac:dyDescent="0.15">
      <c r="A604" s="2">
        <v>603</v>
      </c>
      <c r="B604" s="2" t="s">
        <v>596</v>
      </c>
      <c r="C604" s="2" t="s">
        <v>213</v>
      </c>
      <c r="D604" s="2" t="s">
        <v>213</v>
      </c>
      <c r="E604" s="2" t="s">
        <v>597</v>
      </c>
      <c r="H604" s="2" t="s">
        <v>592</v>
      </c>
      <c r="I604" s="2" t="s">
        <v>598</v>
      </c>
      <c r="J604" s="2">
        <v>1980</v>
      </c>
      <c r="K604" s="2">
        <v>12</v>
      </c>
      <c r="L604" s="2">
        <v>1981</v>
      </c>
      <c r="M604" s="2">
        <v>1</v>
      </c>
      <c r="N604" s="3">
        <v>1000</v>
      </c>
      <c r="O604" s="3">
        <v>40</v>
      </c>
      <c r="P604" s="2">
        <v>66</v>
      </c>
      <c r="Q604" s="2">
        <v>94</v>
      </c>
      <c r="R604" s="2">
        <v>156</v>
      </c>
      <c r="S604" s="2">
        <v>14</v>
      </c>
      <c r="T604" s="3">
        <v>330</v>
      </c>
      <c r="U604" s="3">
        <v>3.75</v>
      </c>
      <c r="V604" s="3">
        <v>39.950000000000003</v>
      </c>
      <c r="W604" s="3">
        <v>2.64</v>
      </c>
      <c r="X604" s="3">
        <v>20.420000000000002</v>
      </c>
      <c r="Y604" s="3">
        <v>73.5</v>
      </c>
      <c r="AA604" s="3">
        <v>42.2</v>
      </c>
      <c r="AB604" s="3">
        <v>65.7</v>
      </c>
      <c r="AC604" s="3">
        <v>51.1</v>
      </c>
      <c r="AE604" s="3">
        <v>203.6</v>
      </c>
      <c r="AS604" s="4" t="s">
        <v>599</v>
      </c>
      <c r="AT604" s="4">
        <v>47.75</v>
      </c>
      <c r="AU604" s="4" t="s">
        <v>806</v>
      </c>
      <c r="AV604" s="3" t="s">
        <v>600</v>
      </c>
      <c r="AW604" s="3" t="s">
        <v>595</v>
      </c>
    </row>
    <row r="605" spans="1:49" x14ac:dyDescent="0.15">
      <c r="A605" s="2">
        <v>604</v>
      </c>
      <c r="B605" s="2" t="s">
        <v>596</v>
      </c>
      <c r="C605" s="2" t="s">
        <v>213</v>
      </c>
      <c r="D605" s="2" t="s">
        <v>213</v>
      </c>
      <c r="E605" s="2" t="s">
        <v>597</v>
      </c>
      <c r="H605" s="2" t="s">
        <v>592</v>
      </c>
      <c r="I605" s="2" t="s">
        <v>598</v>
      </c>
      <c r="J605" s="2">
        <v>1981</v>
      </c>
      <c r="K605" s="2">
        <v>1</v>
      </c>
      <c r="M605" s="2">
        <v>1</v>
      </c>
      <c r="N605" s="3">
        <v>1000</v>
      </c>
      <c r="O605" s="3">
        <v>40</v>
      </c>
      <c r="P605" s="2">
        <v>66</v>
      </c>
      <c r="Q605" s="2">
        <v>94</v>
      </c>
      <c r="R605" s="2">
        <v>156</v>
      </c>
      <c r="S605" s="2">
        <v>14</v>
      </c>
      <c r="T605" s="3">
        <v>330</v>
      </c>
      <c r="U605" s="3">
        <v>3.75</v>
      </c>
      <c r="V605" s="3">
        <v>39.950000000000003</v>
      </c>
      <c r="W605" s="3">
        <v>2.64</v>
      </c>
      <c r="X605" s="3">
        <v>20.420000000000002</v>
      </c>
      <c r="Y605" s="3">
        <v>73.5</v>
      </c>
      <c r="AA605" s="3">
        <v>42.2</v>
      </c>
      <c r="AB605" s="3">
        <v>65.7</v>
      </c>
      <c r="AC605" s="3">
        <v>51.1</v>
      </c>
      <c r="AE605" s="3">
        <v>203.6</v>
      </c>
      <c r="AR605" s="3" t="s">
        <v>594</v>
      </c>
      <c r="AS605" s="4" t="s">
        <v>599</v>
      </c>
      <c r="AT605" s="4">
        <v>47.75</v>
      </c>
      <c r="AU605" s="4" t="s">
        <v>806</v>
      </c>
      <c r="AW605" s="3" t="s">
        <v>595</v>
      </c>
    </row>
    <row r="606" spans="1:49" x14ac:dyDescent="0.15">
      <c r="A606" s="2">
        <v>605</v>
      </c>
      <c r="B606" s="2" t="s">
        <v>596</v>
      </c>
      <c r="C606" s="2" t="s">
        <v>213</v>
      </c>
      <c r="D606" s="2" t="s">
        <v>213</v>
      </c>
      <c r="E606" s="2" t="s">
        <v>597</v>
      </c>
      <c r="H606" s="2" t="s">
        <v>592</v>
      </c>
      <c r="I606" s="2" t="s">
        <v>598</v>
      </c>
      <c r="J606" s="2">
        <v>1991</v>
      </c>
      <c r="K606" s="2">
        <v>5</v>
      </c>
      <c r="L606" s="2">
        <v>1994</v>
      </c>
      <c r="M606" s="2">
        <v>2</v>
      </c>
      <c r="N606" s="3">
        <v>1000</v>
      </c>
      <c r="O606" s="3">
        <v>240</v>
      </c>
      <c r="P606" s="2">
        <v>57</v>
      </c>
      <c r="Q606" s="2">
        <v>40</v>
      </c>
      <c r="R606" s="2">
        <v>78</v>
      </c>
      <c r="S606" s="2">
        <v>11</v>
      </c>
      <c r="T606" s="3">
        <v>200</v>
      </c>
      <c r="U606" s="3">
        <v>2.9</v>
      </c>
      <c r="V606" s="3">
        <v>44.9</v>
      </c>
      <c r="W606" s="3">
        <v>5.4</v>
      </c>
      <c r="X606" s="3">
        <v>12.4</v>
      </c>
      <c r="Y606" s="3">
        <v>71.900000000000006</v>
      </c>
      <c r="AA606" s="3">
        <v>27.5</v>
      </c>
      <c r="AB606" s="3">
        <v>28.3</v>
      </c>
      <c r="AC606" s="3">
        <v>46.8</v>
      </c>
      <c r="AD606" s="3">
        <v>6.3</v>
      </c>
      <c r="AE606" s="3">
        <v>132</v>
      </c>
      <c r="AS606" s="4"/>
      <c r="AT606" s="4">
        <v>47.75</v>
      </c>
      <c r="AU606" s="4" t="s">
        <v>806</v>
      </c>
    </row>
    <row r="607" spans="1:49" x14ac:dyDescent="0.15">
      <c r="A607" s="2">
        <v>606</v>
      </c>
      <c r="B607" s="2" t="s">
        <v>601</v>
      </c>
      <c r="C607" s="2" t="s">
        <v>602</v>
      </c>
      <c r="D607" s="2" t="s">
        <v>394</v>
      </c>
      <c r="E607" s="2" t="s">
        <v>39</v>
      </c>
      <c r="H607" s="2" t="s">
        <v>592</v>
      </c>
      <c r="I607" s="2" t="s">
        <v>603</v>
      </c>
      <c r="J607" s="2">
        <v>2008</v>
      </c>
      <c r="K607" s="2">
        <v>12</v>
      </c>
      <c r="N607" s="3">
        <v>500</v>
      </c>
      <c r="O607" s="3">
        <v>12</v>
      </c>
      <c r="P607" s="2">
        <v>16</v>
      </c>
      <c r="Q607" s="2">
        <v>19</v>
      </c>
      <c r="R607" s="2">
        <v>20</v>
      </c>
      <c r="S607" s="2">
        <v>7</v>
      </c>
      <c r="T607" s="3">
        <v>64</v>
      </c>
      <c r="Y607" s="3">
        <v>102.08</v>
      </c>
      <c r="AE607" s="3">
        <v>201.67</v>
      </c>
      <c r="AG607" s="3">
        <v>2.99</v>
      </c>
      <c r="AI607" s="3">
        <v>0.93</v>
      </c>
      <c r="AR607" s="3" t="s">
        <v>605</v>
      </c>
      <c r="AT607" s="4">
        <v>47.75</v>
      </c>
      <c r="AU607" s="4" t="s">
        <v>806</v>
      </c>
      <c r="AW607" s="3" t="s">
        <v>604</v>
      </c>
    </row>
    <row r="608" spans="1:49" x14ac:dyDescent="0.15">
      <c r="A608" s="2">
        <v>607</v>
      </c>
      <c r="B608" s="2" t="s">
        <v>606</v>
      </c>
      <c r="C608" s="2" t="s">
        <v>87</v>
      </c>
      <c r="D608" s="2" t="s">
        <v>115</v>
      </c>
      <c r="E608" s="2" t="s">
        <v>607</v>
      </c>
      <c r="F608" s="2" t="s">
        <v>608</v>
      </c>
      <c r="G608" s="2">
        <v>4</v>
      </c>
      <c r="H608" s="2" t="s">
        <v>592</v>
      </c>
      <c r="I608" s="2" t="s">
        <v>25</v>
      </c>
      <c r="J608" s="2">
        <v>2006</v>
      </c>
      <c r="K608" s="2">
        <v>7</v>
      </c>
      <c r="L608" s="2">
        <v>2008</v>
      </c>
      <c r="M608" s="2">
        <v>8</v>
      </c>
      <c r="N608" s="3">
        <v>500</v>
      </c>
      <c r="O608" s="3">
        <v>184</v>
      </c>
      <c r="P608" s="2">
        <v>33</v>
      </c>
      <c r="Q608" s="2">
        <v>48</v>
      </c>
      <c r="R608" s="2">
        <v>12</v>
      </c>
      <c r="S608" s="2">
        <v>8</v>
      </c>
      <c r="T608" s="3">
        <v>123</v>
      </c>
      <c r="Y608" s="3">
        <v>29.12</v>
      </c>
      <c r="AE608" s="3">
        <f>(145.54+109.36)/2</f>
        <v>127.44999999999999</v>
      </c>
      <c r="AR608" s="3" t="s">
        <v>594</v>
      </c>
      <c r="AS608" s="4" t="s">
        <v>611</v>
      </c>
      <c r="AT608" s="4">
        <v>47.75</v>
      </c>
      <c r="AU608" s="4" t="s">
        <v>806</v>
      </c>
      <c r="AW608" s="3" t="s">
        <v>609</v>
      </c>
    </row>
    <row r="609" spans="1:49" x14ac:dyDescent="0.15">
      <c r="A609" s="2">
        <v>608</v>
      </c>
      <c r="B609" s="2" t="s">
        <v>610</v>
      </c>
      <c r="C609" s="2" t="s">
        <v>613</v>
      </c>
      <c r="D609" s="2" t="s">
        <v>222</v>
      </c>
      <c r="E609" s="2" t="s">
        <v>612</v>
      </c>
      <c r="H609" s="2" t="s">
        <v>592</v>
      </c>
      <c r="I609" s="2" t="s">
        <v>25</v>
      </c>
      <c r="J609" s="2">
        <v>2006</v>
      </c>
      <c r="K609" s="2">
        <v>10</v>
      </c>
      <c r="L609" s="2">
        <v>2007</v>
      </c>
      <c r="M609" s="2">
        <v>4</v>
      </c>
      <c r="N609" s="3">
        <v>625</v>
      </c>
      <c r="O609" s="3">
        <f>12*9*2</f>
        <v>216</v>
      </c>
      <c r="P609" s="2">
        <v>2</v>
      </c>
      <c r="Q609" s="2">
        <v>3</v>
      </c>
      <c r="R609" s="2">
        <v>3</v>
      </c>
      <c r="T609" s="3">
        <v>13</v>
      </c>
      <c r="U609" s="3">
        <f>AVERAGE(U610:U611)</f>
        <v>12.7</v>
      </c>
      <c r="V609" s="3">
        <f t="shared" ref="V609:W609" si="16">AVERAGE(V610:V611)</f>
        <v>24.1</v>
      </c>
      <c r="W609" s="3">
        <f t="shared" si="16"/>
        <v>0.46500000000000002</v>
      </c>
      <c r="Y609" s="3">
        <f t="shared" ref="Y609" si="17">AVERAGE(Y610:Y611)</f>
        <v>37.455555555555556</v>
      </c>
      <c r="Z609" s="3">
        <f t="shared" ref="Z609" si="18">AVERAGE(Z610:Z611)</f>
        <v>15.455555555555556</v>
      </c>
      <c r="AA609" s="3">
        <f>AVERAGE(AA610:AA611)</f>
        <v>57</v>
      </c>
      <c r="AB609" s="3">
        <f t="shared" ref="AB609" si="19">AVERAGE(AB610:AB611)</f>
        <v>61.099999999999994</v>
      </c>
      <c r="AC609" s="3">
        <f t="shared" ref="AC609" si="20">AVERAGE(AC610:AC611)</f>
        <v>14.8</v>
      </c>
      <c r="AE609" s="3">
        <f t="shared" ref="AE609:AK609" si="21">AVERAGE(AE610:AE611)</f>
        <v>141.08333333333334</v>
      </c>
      <c r="AF609" s="3">
        <f t="shared" ref="AF609" si="22">AVERAGE(AF610:AF611)</f>
        <v>37.683333333333337</v>
      </c>
      <c r="AG609" s="3">
        <f t="shared" si="21"/>
        <v>1.2422222222222223</v>
      </c>
      <c r="AI609" s="3">
        <f t="shared" si="21"/>
        <v>0.57777777777777783</v>
      </c>
      <c r="AK609" s="3">
        <f t="shared" si="21"/>
        <v>0.54888888888888898</v>
      </c>
      <c r="AR609" s="3" t="s">
        <v>615</v>
      </c>
      <c r="AS609" s="4" t="s">
        <v>617</v>
      </c>
      <c r="AT609" s="4">
        <v>47.75</v>
      </c>
      <c r="AU609" s="4" t="s">
        <v>806</v>
      </c>
      <c r="AW609" s="3" t="s">
        <v>235</v>
      </c>
    </row>
    <row r="610" spans="1:49" x14ac:dyDescent="0.15">
      <c r="A610" s="2">
        <v>609</v>
      </c>
      <c r="B610" s="2" t="s">
        <v>610</v>
      </c>
      <c r="C610" s="2" t="s">
        <v>613</v>
      </c>
      <c r="D610" s="2" t="s">
        <v>222</v>
      </c>
      <c r="E610" s="2" t="s">
        <v>82</v>
      </c>
      <c r="H610" s="2" t="s">
        <v>60</v>
      </c>
      <c r="I610" s="2" t="s">
        <v>25</v>
      </c>
      <c r="J610" s="2">
        <v>2006</v>
      </c>
      <c r="K610" s="2">
        <v>10</v>
      </c>
      <c r="N610" s="3">
        <v>625</v>
      </c>
      <c r="O610" s="3">
        <v>108</v>
      </c>
      <c r="U610" s="3">
        <v>13.9</v>
      </c>
      <c r="V610" s="3">
        <v>13</v>
      </c>
      <c r="W610" s="3">
        <v>0.53</v>
      </c>
      <c r="Y610" s="3">
        <f>AVERAGE(Y612:Y620)</f>
        <v>27.777777777777779</v>
      </c>
      <c r="Z610" s="3">
        <f>AVERAGE(Z612:Z620)</f>
        <v>14.044444444444446</v>
      </c>
      <c r="AA610" s="3">
        <v>63.2</v>
      </c>
      <c r="AB610" s="3">
        <v>53.4</v>
      </c>
      <c r="AC610" s="3">
        <v>13.8</v>
      </c>
      <c r="AE610" s="3">
        <f>AVERAGE(AE612:AE620)</f>
        <v>136.28888888888889</v>
      </c>
      <c r="AF610" s="3">
        <f>AVERAGE(AF612:AF620)</f>
        <v>41.611111111111114</v>
      </c>
      <c r="AG610" s="3">
        <f>AVERAGE(AG612:AG620)</f>
        <v>1.0844444444444445</v>
      </c>
      <c r="AI610" s="3">
        <f>AVERAGE(AI612:AI620)</f>
        <v>0.60000000000000009</v>
      </c>
      <c r="AK610" s="3">
        <f>AVERAGE(AK612:AK620)</f>
        <v>0.54888888888888887</v>
      </c>
      <c r="AR610" s="3" t="s">
        <v>615</v>
      </c>
      <c r="AS610" s="4" t="s">
        <v>617</v>
      </c>
      <c r="AT610" s="4">
        <v>47.75</v>
      </c>
      <c r="AU610" s="4" t="s">
        <v>806</v>
      </c>
      <c r="AW610" s="3" t="s">
        <v>235</v>
      </c>
    </row>
    <row r="611" spans="1:49" x14ac:dyDescent="0.15">
      <c r="A611" s="2">
        <v>610</v>
      </c>
      <c r="B611" s="2" t="s">
        <v>610</v>
      </c>
      <c r="C611" s="2" t="s">
        <v>613</v>
      </c>
      <c r="D611" s="2" t="s">
        <v>222</v>
      </c>
      <c r="E611" s="2" t="s">
        <v>82</v>
      </c>
      <c r="H611" s="2" t="s">
        <v>60</v>
      </c>
      <c r="I611" s="2" t="s">
        <v>25</v>
      </c>
      <c r="J611" s="2">
        <v>2007</v>
      </c>
      <c r="K611" s="2">
        <v>4</v>
      </c>
      <c r="N611" s="3">
        <v>625</v>
      </c>
      <c r="O611" s="3">
        <v>108</v>
      </c>
      <c r="U611" s="3">
        <v>11.5</v>
      </c>
      <c r="V611" s="3">
        <v>35.200000000000003</v>
      </c>
      <c r="W611" s="3">
        <v>0.4</v>
      </c>
      <c r="Y611" s="3">
        <f>AVERAGE(Y621:Y629)</f>
        <v>47.133333333333333</v>
      </c>
      <c r="Z611" s="3">
        <f>AVERAGE(Z621:Z629)</f>
        <v>16.866666666666667</v>
      </c>
      <c r="AA611" s="3">
        <v>50.8</v>
      </c>
      <c r="AB611" s="3">
        <v>68.8</v>
      </c>
      <c r="AC611" s="3">
        <v>15.8</v>
      </c>
      <c r="AE611" s="3">
        <f>AVERAGE(AE621:AE629)</f>
        <v>145.87777777777779</v>
      </c>
      <c r="AF611" s="3">
        <f>AVERAGE(AF621:AF629)</f>
        <v>33.75555555555556</v>
      </c>
      <c r="AG611" s="3">
        <f>AVERAGE(AG621:AG629)</f>
        <v>1.4000000000000001</v>
      </c>
      <c r="AI611" s="3">
        <f>AVERAGE(AI621:AI629)</f>
        <v>0.55555555555555558</v>
      </c>
      <c r="AK611" s="3">
        <f>AVERAGE(AK621:AK629)</f>
        <v>0.54888888888888898</v>
      </c>
      <c r="AR611" s="3" t="s">
        <v>615</v>
      </c>
      <c r="AS611" s="4" t="s">
        <v>617</v>
      </c>
      <c r="AT611" s="4">
        <v>47.75</v>
      </c>
      <c r="AU611" s="4" t="s">
        <v>806</v>
      </c>
      <c r="AW611" s="3" t="s">
        <v>235</v>
      </c>
    </row>
    <row r="612" spans="1:49" x14ac:dyDescent="0.15">
      <c r="A612" s="2">
        <v>611</v>
      </c>
      <c r="B612" s="2" t="s">
        <v>610</v>
      </c>
      <c r="C612" s="2" t="s">
        <v>613</v>
      </c>
      <c r="D612" s="2" t="s">
        <v>222</v>
      </c>
      <c r="E612" s="2" t="s">
        <v>82</v>
      </c>
      <c r="H612" s="2" t="s">
        <v>60</v>
      </c>
      <c r="I612" s="2" t="s">
        <v>25</v>
      </c>
      <c r="J612" s="2">
        <v>2006</v>
      </c>
      <c r="K612" s="2">
        <v>10</v>
      </c>
      <c r="N612" s="3">
        <v>625</v>
      </c>
      <c r="O612" s="3">
        <v>12</v>
      </c>
      <c r="Y612" s="3">
        <v>16.3</v>
      </c>
      <c r="Z612" s="3">
        <v>9.5</v>
      </c>
      <c r="AE612" s="3">
        <v>118.4</v>
      </c>
      <c r="AF612" s="3">
        <v>29.3</v>
      </c>
      <c r="AG612" s="3">
        <v>0.47</v>
      </c>
      <c r="AI612" s="3">
        <v>0.34</v>
      </c>
      <c r="AK612" s="3">
        <v>0.21</v>
      </c>
      <c r="AR612" s="3" t="s">
        <v>616</v>
      </c>
      <c r="AT612" s="4">
        <v>47.75</v>
      </c>
      <c r="AU612" s="4" t="s">
        <v>806</v>
      </c>
      <c r="AW612" s="3" t="s">
        <v>619</v>
      </c>
    </row>
    <row r="613" spans="1:49" x14ac:dyDescent="0.15">
      <c r="A613" s="2">
        <v>612</v>
      </c>
      <c r="B613" s="2" t="s">
        <v>610</v>
      </c>
      <c r="C613" s="2" t="s">
        <v>613</v>
      </c>
      <c r="D613" s="2" t="s">
        <v>222</v>
      </c>
      <c r="E613" s="2" t="s">
        <v>82</v>
      </c>
      <c r="H613" s="2" t="s">
        <v>60</v>
      </c>
      <c r="I613" s="2" t="s">
        <v>25</v>
      </c>
      <c r="J613" s="2">
        <v>2006</v>
      </c>
      <c r="K613" s="2">
        <v>10</v>
      </c>
      <c r="N613" s="3">
        <v>625</v>
      </c>
      <c r="O613" s="3">
        <v>12</v>
      </c>
      <c r="Y613" s="3">
        <v>43.3</v>
      </c>
      <c r="Z613" s="3">
        <v>40.9</v>
      </c>
      <c r="AE613" s="3">
        <v>78.900000000000006</v>
      </c>
      <c r="AF613" s="3">
        <v>29.2</v>
      </c>
      <c r="AG613" s="3">
        <v>1.6</v>
      </c>
      <c r="AI613" s="3">
        <v>0.82</v>
      </c>
      <c r="AK613" s="3">
        <v>0.76</v>
      </c>
      <c r="AR613" s="3" t="s">
        <v>616</v>
      </c>
      <c r="AT613" s="4">
        <v>47.75</v>
      </c>
      <c r="AU613" s="4" t="s">
        <v>806</v>
      </c>
      <c r="AW613" s="3" t="s">
        <v>619</v>
      </c>
    </row>
    <row r="614" spans="1:49" x14ac:dyDescent="0.15">
      <c r="A614" s="2">
        <v>613</v>
      </c>
      <c r="B614" s="2" t="s">
        <v>610</v>
      </c>
      <c r="C614" s="2" t="s">
        <v>613</v>
      </c>
      <c r="D614" s="2" t="s">
        <v>222</v>
      </c>
      <c r="E614" s="2" t="s">
        <v>82</v>
      </c>
      <c r="H614" s="2" t="s">
        <v>60</v>
      </c>
      <c r="I614" s="2" t="s">
        <v>25</v>
      </c>
      <c r="J614" s="2">
        <v>2006</v>
      </c>
      <c r="K614" s="2">
        <v>10</v>
      </c>
      <c r="N614" s="3">
        <v>625</v>
      </c>
      <c r="O614" s="3">
        <v>12</v>
      </c>
      <c r="Y614" s="3">
        <v>4.2</v>
      </c>
      <c r="Z614" s="3">
        <v>2.2000000000000002</v>
      </c>
      <c r="AE614" s="3">
        <v>52.2</v>
      </c>
      <c r="AF614" s="3">
        <v>25.9</v>
      </c>
      <c r="AG614" s="3">
        <v>0.86</v>
      </c>
      <c r="AI614" s="3">
        <v>0.62</v>
      </c>
      <c r="AK614" s="3">
        <v>0.54</v>
      </c>
      <c r="AR614" s="3" t="s">
        <v>616</v>
      </c>
      <c r="AT614" s="4">
        <v>47.75</v>
      </c>
      <c r="AU614" s="4" t="s">
        <v>806</v>
      </c>
      <c r="AW614" s="3" t="s">
        <v>619</v>
      </c>
    </row>
    <row r="615" spans="1:49" x14ac:dyDescent="0.15">
      <c r="A615" s="2">
        <v>614</v>
      </c>
      <c r="B615" s="2" t="s">
        <v>610</v>
      </c>
      <c r="C615" s="2" t="s">
        <v>613</v>
      </c>
      <c r="D615" s="2" t="s">
        <v>222</v>
      </c>
      <c r="E615" s="2" t="s">
        <v>82</v>
      </c>
      <c r="H615" s="2" t="s">
        <v>60</v>
      </c>
      <c r="I615" s="2" t="s">
        <v>25</v>
      </c>
      <c r="J615" s="2">
        <v>2006</v>
      </c>
      <c r="K615" s="2">
        <v>10</v>
      </c>
      <c r="N615" s="3">
        <v>625</v>
      </c>
      <c r="O615" s="3">
        <v>12</v>
      </c>
      <c r="Y615" s="3">
        <v>3.7</v>
      </c>
      <c r="Z615" s="3">
        <v>1.7</v>
      </c>
      <c r="AE615" s="3">
        <v>38.4</v>
      </c>
      <c r="AF615" s="3">
        <v>14.2</v>
      </c>
      <c r="AG615" s="3">
        <v>1.07</v>
      </c>
      <c r="AI615" s="3">
        <v>0.6</v>
      </c>
      <c r="AK615" s="3">
        <v>0.56000000000000005</v>
      </c>
      <c r="AR615" s="3" t="s">
        <v>616</v>
      </c>
      <c r="AT615" s="4">
        <v>47.75</v>
      </c>
      <c r="AU615" s="4" t="s">
        <v>806</v>
      </c>
      <c r="AW615" s="3" t="s">
        <v>619</v>
      </c>
    </row>
    <row r="616" spans="1:49" x14ac:dyDescent="0.15">
      <c r="A616" s="2">
        <v>615</v>
      </c>
      <c r="B616" s="2" t="s">
        <v>610</v>
      </c>
      <c r="C616" s="2" t="s">
        <v>613</v>
      </c>
      <c r="D616" s="2" t="s">
        <v>222</v>
      </c>
      <c r="E616" s="2" t="s">
        <v>82</v>
      </c>
      <c r="H616" s="2" t="s">
        <v>60</v>
      </c>
      <c r="I616" s="2" t="s">
        <v>25</v>
      </c>
      <c r="J616" s="2">
        <v>2006</v>
      </c>
      <c r="K616" s="2">
        <v>10</v>
      </c>
      <c r="N616" s="3">
        <v>625</v>
      </c>
      <c r="O616" s="3">
        <v>12</v>
      </c>
      <c r="Y616" s="3">
        <v>13.7</v>
      </c>
      <c r="Z616" s="3">
        <v>6.1</v>
      </c>
      <c r="AE616" s="3">
        <v>202.7</v>
      </c>
      <c r="AF616" s="3">
        <v>60.6</v>
      </c>
      <c r="AG616" s="3">
        <v>0.8</v>
      </c>
      <c r="AI616" s="3">
        <v>0.39</v>
      </c>
      <c r="AK616" s="3">
        <v>0.4</v>
      </c>
      <c r="AR616" s="3" t="s">
        <v>616</v>
      </c>
      <c r="AT616" s="4">
        <v>47.75</v>
      </c>
      <c r="AU616" s="4" t="s">
        <v>806</v>
      </c>
      <c r="AW616" s="3" t="s">
        <v>619</v>
      </c>
    </row>
    <row r="617" spans="1:49" x14ac:dyDescent="0.15">
      <c r="A617" s="2">
        <v>616</v>
      </c>
      <c r="B617" s="2" t="s">
        <v>610</v>
      </c>
      <c r="C617" s="2" t="s">
        <v>613</v>
      </c>
      <c r="D617" s="2" t="s">
        <v>222</v>
      </c>
      <c r="E617" s="2" t="s">
        <v>82</v>
      </c>
      <c r="H617" s="2" t="s">
        <v>60</v>
      </c>
      <c r="I617" s="2" t="s">
        <v>25</v>
      </c>
      <c r="J617" s="2">
        <v>2006</v>
      </c>
      <c r="K617" s="2">
        <v>10</v>
      </c>
      <c r="N617" s="3">
        <v>625</v>
      </c>
      <c r="O617" s="3">
        <v>12</v>
      </c>
      <c r="Y617" s="3">
        <v>80.400000000000006</v>
      </c>
      <c r="Z617" s="3">
        <v>31.4</v>
      </c>
      <c r="AE617" s="3">
        <v>144</v>
      </c>
      <c r="AF617" s="3">
        <v>55.9</v>
      </c>
      <c r="AG617" s="3">
        <v>1.24</v>
      </c>
      <c r="AI617" s="3">
        <v>0.56000000000000005</v>
      </c>
      <c r="AK617" s="3">
        <v>0.57999999999999996</v>
      </c>
      <c r="AR617" s="3" t="s">
        <v>616</v>
      </c>
      <c r="AT617" s="4">
        <v>47.75</v>
      </c>
      <c r="AU617" s="4" t="s">
        <v>806</v>
      </c>
      <c r="AW617" s="3" t="s">
        <v>619</v>
      </c>
    </row>
    <row r="618" spans="1:49" x14ac:dyDescent="0.15">
      <c r="A618" s="2">
        <v>617</v>
      </c>
      <c r="B618" s="2" t="s">
        <v>610</v>
      </c>
      <c r="C618" s="2" t="s">
        <v>613</v>
      </c>
      <c r="D618" s="2" t="s">
        <v>222</v>
      </c>
      <c r="E618" s="2" t="s">
        <v>82</v>
      </c>
      <c r="H618" s="2" t="s">
        <v>60</v>
      </c>
      <c r="I618" s="2" t="s">
        <v>25</v>
      </c>
      <c r="J618" s="2">
        <v>2006</v>
      </c>
      <c r="K618" s="2">
        <v>10</v>
      </c>
      <c r="N618" s="3">
        <v>625</v>
      </c>
      <c r="O618" s="3">
        <v>12</v>
      </c>
      <c r="Y618" s="3">
        <v>36.4</v>
      </c>
      <c r="Z618" s="3">
        <v>18.2</v>
      </c>
      <c r="AE618" s="3">
        <v>126.9</v>
      </c>
      <c r="AF618" s="3">
        <v>54.1</v>
      </c>
      <c r="AG618" s="3">
        <v>1.37</v>
      </c>
      <c r="AI618" s="3">
        <v>0.59</v>
      </c>
      <c r="AK618" s="3">
        <v>0.59</v>
      </c>
      <c r="AR618" s="3" t="s">
        <v>616</v>
      </c>
      <c r="AT618" s="4">
        <v>47.75</v>
      </c>
      <c r="AU618" s="4" t="s">
        <v>806</v>
      </c>
      <c r="AW618" s="3" t="s">
        <v>619</v>
      </c>
    </row>
    <row r="619" spans="1:49" x14ac:dyDescent="0.15">
      <c r="A619" s="2">
        <v>618</v>
      </c>
      <c r="B619" s="2" t="s">
        <v>610</v>
      </c>
      <c r="C619" s="2" t="s">
        <v>613</v>
      </c>
      <c r="D619" s="2" t="s">
        <v>222</v>
      </c>
      <c r="E619" s="2" t="s">
        <v>82</v>
      </c>
      <c r="H619" s="2" t="s">
        <v>60</v>
      </c>
      <c r="I619" s="2" t="s">
        <v>25</v>
      </c>
      <c r="J619" s="2">
        <v>2006</v>
      </c>
      <c r="K619" s="2">
        <v>10</v>
      </c>
      <c r="N619" s="3">
        <v>625</v>
      </c>
      <c r="O619" s="3">
        <v>12</v>
      </c>
      <c r="Y619" s="3">
        <v>40.799999999999997</v>
      </c>
      <c r="Z619" s="3">
        <v>13.2</v>
      </c>
      <c r="AE619" s="3">
        <v>297.60000000000002</v>
      </c>
      <c r="AF619" s="3">
        <v>61.7</v>
      </c>
      <c r="AG619" s="3">
        <v>0.98</v>
      </c>
      <c r="AI619" s="3">
        <v>0.71</v>
      </c>
      <c r="AK619" s="3">
        <v>0.57999999999999996</v>
      </c>
      <c r="AR619" s="3" t="s">
        <v>616</v>
      </c>
      <c r="AT619" s="4">
        <v>47.75</v>
      </c>
      <c r="AU619" s="4" t="s">
        <v>806</v>
      </c>
      <c r="AW619" s="3" t="s">
        <v>619</v>
      </c>
    </row>
    <row r="620" spans="1:49" x14ac:dyDescent="0.15">
      <c r="A620" s="2">
        <v>619</v>
      </c>
      <c r="B620" s="2" t="s">
        <v>610</v>
      </c>
      <c r="C620" s="2" t="s">
        <v>613</v>
      </c>
      <c r="D620" s="2" t="s">
        <v>222</v>
      </c>
      <c r="E620" s="2" t="s">
        <v>82</v>
      </c>
      <c r="H620" s="2" t="s">
        <v>60</v>
      </c>
      <c r="I620" s="2" t="s">
        <v>25</v>
      </c>
      <c r="J620" s="2">
        <v>2006</v>
      </c>
      <c r="K620" s="2">
        <v>10</v>
      </c>
      <c r="N620" s="3">
        <v>625</v>
      </c>
      <c r="O620" s="3">
        <v>12</v>
      </c>
      <c r="Y620" s="3">
        <v>11.2</v>
      </c>
      <c r="Z620" s="3">
        <v>3.2</v>
      </c>
      <c r="AE620" s="3">
        <v>167.5</v>
      </c>
      <c r="AF620" s="3">
        <v>43.6</v>
      </c>
      <c r="AG620" s="3">
        <v>1.37</v>
      </c>
      <c r="AI620" s="3">
        <v>0.77</v>
      </c>
      <c r="AK620" s="3">
        <v>0.72</v>
      </c>
      <c r="AR620" s="3" t="s">
        <v>616</v>
      </c>
      <c r="AT620" s="4">
        <v>47.75</v>
      </c>
      <c r="AU620" s="4" t="s">
        <v>806</v>
      </c>
      <c r="AW620" s="3" t="s">
        <v>619</v>
      </c>
    </row>
    <row r="621" spans="1:49" x14ac:dyDescent="0.15">
      <c r="A621" s="2">
        <v>620</v>
      </c>
      <c r="B621" s="2" t="s">
        <v>610</v>
      </c>
      <c r="C621" s="2" t="s">
        <v>613</v>
      </c>
      <c r="D621" s="2" t="s">
        <v>222</v>
      </c>
      <c r="E621" s="2" t="s">
        <v>82</v>
      </c>
      <c r="H621" s="2" t="s">
        <v>60</v>
      </c>
      <c r="I621" s="2" t="s">
        <v>25</v>
      </c>
      <c r="J621" s="2">
        <v>2007</v>
      </c>
      <c r="K621" s="2">
        <v>4</v>
      </c>
      <c r="N621" s="3">
        <v>625</v>
      </c>
      <c r="O621" s="3">
        <v>12</v>
      </c>
      <c r="Y621" s="3">
        <v>13.2</v>
      </c>
      <c r="Z621" s="3">
        <v>2.2999999999999998</v>
      </c>
      <c r="AE621" s="3">
        <v>120.5</v>
      </c>
      <c r="AF621" s="3">
        <v>27.7</v>
      </c>
      <c r="AG621" s="3">
        <v>0.46</v>
      </c>
      <c r="AI621" s="3">
        <v>0.42</v>
      </c>
      <c r="AK621" s="3">
        <v>0.24</v>
      </c>
      <c r="AR621" s="3" t="s">
        <v>616</v>
      </c>
      <c r="AT621" s="4">
        <v>47.75</v>
      </c>
      <c r="AU621" s="4" t="s">
        <v>806</v>
      </c>
      <c r="AW621" s="3" t="s">
        <v>619</v>
      </c>
    </row>
    <row r="622" spans="1:49" x14ac:dyDescent="0.15">
      <c r="A622" s="2">
        <v>621</v>
      </c>
      <c r="B622" s="2" t="s">
        <v>610</v>
      </c>
      <c r="C622" s="2" t="s">
        <v>613</v>
      </c>
      <c r="D622" s="2" t="s">
        <v>222</v>
      </c>
      <c r="E622" s="2" t="s">
        <v>82</v>
      </c>
      <c r="H622" s="2" t="s">
        <v>60</v>
      </c>
      <c r="I622" s="2" t="s">
        <v>25</v>
      </c>
      <c r="J622" s="2">
        <v>2007</v>
      </c>
      <c r="K622" s="2">
        <v>4</v>
      </c>
      <c r="N622" s="3">
        <v>625</v>
      </c>
      <c r="O622" s="3">
        <v>12</v>
      </c>
      <c r="Y622" s="3">
        <v>26.6</v>
      </c>
      <c r="Z622" s="3">
        <v>12.2</v>
      </c>
      <c r="AE622" s="3">
        <v>59.7</v>
      </c>
      <c r="AF622" s="3">
        <v>12.2</v>
      </c>
      <c r="AG622" s="3">
        <v>1.61</v>
      </c>
      <c r="AI622" s="3">
        <v>0.82</v>
      </c>
      <c r="AK622" s="3">
        <v>0.62</v>
      </c>
      <c r="AR622" s="3" t="s">
        <v>616</v>
      </c>
      <c r="AT622" s="4">
        <v>47.75</v>
      </c>
      <c r="AU622" s="4" t="s">
        <v>806</v>
      </c>
      <c r="AW622" s="3" t="s">
        <v>619</v>
      </c>
    </row>
    <row r="623" spans="1:49" x14ac:dyDescent="0.15">
      <c r="A623" s="2">
        <v>622</v>
      </c>
      <c r="B623" s="2" t="s">
        <v>610</v>
      </c>
      <c r="C623" s="2" t="s">
        <v>613</v>
      </c>
      <c r="D623" s="2" t="s">
        <v>222</v>
      </c>
      <c r="E623" s="2" t="s">
        <v>82</v>
      </c>
      <c r="H623" s="2" t="s">
        <v>60</v>
      </c>
      <c r="I623" s="2" t="s">
        <v>25</v>
      </c>
      <c r="J623" s="2">
        <v>2007</v>
      </c>
      <c r="K623" s="2">
        <v>4</v>
      </c>
      <c r="N623" s="3">
        <v>625</v>
      </c>
      <c r="O623" s="3">
        <v>12</v>
      </c>
      <c r="Y623" s="3">
        <v>5.2</v>
      </c>
      <c r="Z623" s="3">
        <v>1.8</v>
      </c>
      <c r="AE623" s="3">
        <v>72.5</v>
      </c>
      <c r="AF623" s="3">
        <v>24.4</v>
      </c>
      <c r="AG623" s="3">
        <v>0.21</v>
      </c>
      <c r="AI623" s="3">
        <v>0.19</v>
      </c>
      <c r="AK623" s="3">
        <v>0.09</v>
      </c>
      <c r="AR623" s="3" t="s">
        <v>616</v>
      </c>
      <c r="AT623" s="4">
        <v>47.75</v>
      </c>
      <c r="AU623" s="4" t="s">
        <v>806</v>
      </c>
      <c r="AW623" s="3" t="s">
        <v>619</v>
      </c>
    </row>
    <row r="624" spans="1:49" x14ac:dyDescent="0.15">
      <c r="A624" s="2">
        <v>623</v>
      </c>
      <c r="B624" s="2" t="s">
        <v>610</v>
      </c>
      <c r="C624" s="2" t="s">
        <v>613</v>
      </c>
      <c r="D624" s="2" t="s">
        <v>222</v>
      </c>
      <c r="E624" s="2" t="s">
        <v>82</v>
      </c>
      <c r="H624" s="2" t="s">
        <v>60</v>
      </c>
      <c r="I624" s="2" t="s">
        <v>25</v>
      </c>
      <c r="J624" s="2">
        <v>2007</v>
      </c>
      <c r="K624" s="2">
        <v>4</v>
      </c>
      <c r="N624" s="3">
        <v>625</v>
      </c>
      <c r="O624" s="3">
        <v>12</v>
      </c>
      <c r="Y624" s="3">
        <v>21.5</v>
      </c>
      <c r="Z624" s="3">
        <v>16.3</v>
      </c>
      <c r="AE624" s="3">
        <v>116.3</v>
      </c>
      <c r="AF624" s="3">
        <v>22.4</v>
      </c>
      <c r="AG624" s="3">
        <v>2.2799999999999998</v>
      </c>
      <c r="AI624" s="3">
        <v>0.42</v>
      </c>
      <c r="AK624" s="3">
        <v>0.59</v>
      </c>
      <c r="AR624" s="3" t="s">
        <v>616</v>
      </c>
      <c r="AT624" s="4">
        <v>47.75</v>
      </c>
      <c r="AU624" s="4" t="s">
        <v>806</v>
      </c>
      <c r="AW624" s="3" t="s">
        <v>619</v>
      </c>
    </row>
    <row r="625" spans="1:49" x14ac:dyDescent="0.15">
      <c r="A625" s="2">
        <v>624</v>
      </c>
      <c r="B625" s="2" t="s">
        <v>610</v>
      </c>
      <c r="C625" s="2" t="s">
        <v>613</v>
      </c>
      <c r="D625" s="2" t="s">
        <v>222</v>
      </c>
      <c r="E625" s="2" t="s">
        <v>82</v>
      </c>
      <c r="H625" s="2" t="s">
        <v>60</v>
      </c>
      <c r="I625" s="2" t="s">
        <v>25</v>
      </c>
      <c r="J625" s="2">
        <v>2007</v>
      </c>
      <c r="K625" s="2">
        <v>4</v>
      </c>
      <c r="N625" s="3">
        <v>625</v>
      </c>
      <c r="O625" s="3">
        <v>12</v>
      </c>
      <c r="Y625" s="3">
        <v>74.3</v>
      </c>
      <c r="Z625" s="3">
        <v>27.3</v>
      </c>
      <c r="AE625" s="3">
        <v>78.900000000000006</v>
      </c>
      <c r="AF625" s="3">
        <v>14</v>
      </c>
      <c r="AG625" s="3">
        <v>2.23</v>
      </c>
      <c r="AI625" s="3">
        <v>0.24</v>
      </c>
      <c r="AK625" s="3">
        <v>0.59</v>
      </c>
      <c r="AR625" s="3" t="s">
        <v>616</v>
      </c>
      <c r="AT625" s="4">
        <v>47.75</v>
      </c>
      <c r="AU625" s="4" t="s">
        <v>806</v>
      </c>
      <c r="AW625" s="3" t="s">
        <v>619</v>
      </c>
    </row>
    <row r="626" spans="1:49" x14ac:dyDescent="0.15">
      <c r="A626" s="2">
        <v>625</v>
      </c>
      <c r="B626" s="2" t="s">
        <v>610</v>
      </c>
      <c r="C626" s="2" t="s">
        <v>613</v>
      </c>
      <c r="D626" s="2" t="s">
        <v>222</v>
      </c>
      <c r="E626" s="2" t="s">
        <v>82</v>
      </c>
      <c r="H626" s="2" t="s">
        <v>60</v>
      </c>
      <c r="I626" s="2" t="s">
        <v>25</v>
      </c>
      <c r="J626" s="2">
        <v>2007</v>
      </c>
      <c r="K626" s="2">
        <v>4</v>
      </c>
      <c r="N626" s="3">
        <v>625</v>
      </c>
      <c r="O626" s="3">
        <v>12</v>
      </c>
      <c r="Y626" s="3">
        <v>42.2</v>
      </c>
      <c r="Z626" s="3">
        <v>11.2</v>
      </c>
      <c r="AE626" s="3">
        <v>149.30000000000001</v>
      </c>
      <c r="AF626" s="3">
        <v>27.9</v>
      </c>
      <c r="AG626" s="3">
        <v>1.64</v>
      </c>
      <c r="AI626" s="3">
        <v>0.75</v>
      </c>
      <c r="AK626" s="3">
        <v>0.75</v>
      </c>
      <c r="AR626" s="3" t="s">
        <v>616</v>
      </c>
      <c r="AT626" s="4">
        <v>47.75</v>
      </c>
      <c r="AU626" s="4" t="s">
        <v>806</v>
      </c>
      <c r="AW626" s="3" t="s">
        <v>619</v>
      </c>
    </row>
    <row r="627" spans="1:49" x14ac:dyDescent="0.15">
      <c r="A627" s="2">
        <v>626</v>
      </c>
      <c r="B627" s="2" t="s">
        <v>610</v>
      </c>
      <c r="C627" s="2" t="s">
        <v>613</v>
      </c>
      <c r="D627" s="2" t="s">
        <v>222</v>
      </c>
      <c r="E627" s="2" t="s">
        <v>82</v>
      </c>
      <c r="H627" s="2" t="s">
        <v>60</v>
      </c>
      <c r="I627" s="2" t="s">
        <v>25</v>
      </c>
      <c r="J627" s="2">
        <v>2007</v>
      </c>
      <c r="K627" s="2">
        <v>4</v>
      </c>
      <c r="N627" s="3">
        <v>625</v>
      </c>
      <c r="O627" s="3">
        <v>12</v>
      </c>
      <c r="Y627" s="3">
        <v>81.5</v>
      </c>
      <c r="Z627" s="3">
        <v>33.1</v>
      </c>
      <c r="AE627" s="3">
        <v>178.1</v>
      </c>
      <c r="AF627" s="3">
        <v>49</v>
      </c>
      <c r="AG627" s="3">
        <v>1.32</v>
      </c>
      <c r="AI627" s="3">
        <v>0.68</v>
      </c>
      <c r="AK627" s="3">
        <v>0.66</v>
      </c>
      <c r="AR627" s="3" t="s">
        <v>616</v>
      </c>
      <c r="AT627" s="4">
        <v>47.75</v>
      </c>
      <c r="AU627" s="4" t="s">
        <v>806</v>
      </c>
      <c r="AW627" s="3" t="s">
        <v>619</v>
      </c>
    </row>
    <row r="628" spans="1:49" x14ac:dyDescent="0.15">
      <c r="A628" s="2">
        <v>627</v>
      </c>
      <c r="B628" s="2" t="s">
        <v>610</v>
      </c>
      <c r="C628" s="2" t="s">
        <v>613</v>
      </c>
      <c r="D628" s="2" t="s">
        <v>222</v>
      </c>
      <c r="E628" s="2" t="s">
        <v>82</v>
      </c>
      <c r="H628" s="2" t="s">
        <v>60</v>
      </c>
      <c r="I628" s="2" t="s">
        <v>25</v>
      </c>
      <c r="J628" s="2">
        <v>2007</v>
      </c>
      <c r="K628" s="2">
        <v>4</v>
      </c>
      <c r="N628" s="3">
        <v>625</v>
      </c>
      <c r="O628" s="3">
        <v>12</v>
      </c>
      <c r="Y628" s="3">
        <v>146.5</v>
      </c>
      <c r="Z628" s="3">
        <v>39.799999999999997</v>
      </c>
      <c r="AE628" s="3">
        <v>423.5</v>
      </c>
      <c r="AF628" s="3">
        <v>96.1</v>
      </c>
      <c r="AG628" s="3">
        <v>1.37</v>
      </c>
      <c r="AI628" s="3">
        <v>0.66</v>
      </c>
      <c r="AK628" s="3">
        <v>0.66</v>
      </c>
      <c r="AR628" s="3" t="s">
        <v>616</v>
      </c>
      <c r="AT628" s="4">
        <v>47.75</v>
      </c>
      <c r="AU628" s="4" t="s">
        <v>806</v>
      </c>
      <c r="AW628" s="3" t="s">
        <v>619</v>
      </c>
    </row>
    <row r="629" spans="1:49" x14ac:dyDescent="0.15">
      <c r="A629" s="2">
        <v>628</v>
      </c>
      <c r="B629" s="2" t="s">
        <v>610</v>
      </c>
      <c r="C629" s="2" t="s">
        <v>613</v>
      </c>
      <c r="D629" s="2" t="s">
        <v>222</v>
      </c>
      <c r="E629" s="2" t="s">
        <v>82</v>
      </c>
      <c r="H629" s="2" t="s">
        <v>60</v>
      </c>
      <c r="I629" s="2" t="s">
        <v>25</v>
      </c>
      <c r="J629" s="2">
        <v>2007</v>
      </c>
      <c r="K629" s="2">
        <v>4</v>
      </c>
      <c r="N629" s="3">
        <v>625</v>
      </c>
      <c r="O629" s="3">
        <v>12</v>
      </c>
      <c r="Y629" s="3">
        <v>13.2</v>
      </c>
      <c r="Z629" s="3">
        <v>7.8</v>
      </c>
      <c r="AE629" s="3">
        <v>114.1</v>
      </c>
      <c r="AF629" s="3">
        <v>30.1</v>
      </c>
      <c r="AG629" s="3">
        <v>1.48</v>
      </c>
      <c r="AI629" s="3">
        <v>0.82</v>
      </c>
      <c r="AK629" s="3">
        <v>0.74</v>
      </c>
      <c r="AR629" s="3" t="s">
        <v>616</v>
      </c>
      <c r="AT629" s="4">
        <v>47.75</v>
      </c>
      <c r="AU629" s="4" t="s">
        <v>806</v>
      </c>
      <c r="AW629" s="3" t="s">
        <v>619</v>
      </c>
    </row>
    <row r="630" spans="1:49" x14ac:dyDescent="0.15">
      <c r="A630" s="2">
        <v>629</v>
      </c>
      <c r="B630" s="2" t="s">
        <v>620</v>
      </c>
      <c r="C630" s="2" t="s">
        <v>621</v>
      </c>
      <c r="D630" s="2" t="s">
        <v>115</v>
      </c>
      <c r="E630" s="2" t="s">
        <v>627</v>
      </c>
      <c r="H630" s="2" t="s">
        <v>623</v>
      </c>
      <c r="I630" s="2" t="s">
        <v>72</v>
      </c>
      <c r="J630" s="2">
        <v>2010</v>
      </c>
      <c r="K630" s="2">
        <v>4</v>
      </c>
      <c r="N630" s="3">
        <v>100</v>
      </c>
      <c r="O630" s="3">
        <v>36</v>
      </c>
      <c r="P630" s="2">
        <v>7</v>
      </c>
      <c r="Q630" s="2">
        <v>12</v>
      </c>
      <c r="R630" s="2">
        <v>9</v>
      </c>
      <c r="T630" s="3">
        <v>32</v>
      </c>
      <c r="U630" s="3">
        <v>250.29</v>
      </c>
      <c r="V630" s="3">
        <v>534.91999999999996</v>
      </c>
      <c r="W630" s="3">
        <v>18.95</v>
      </c>
      <c r="Y630" s="3">
        <v>820.53</v>
      </c>
      <c r="Z630" s="3">
        <v>231.65</v>
      </c>
      <c r="AA630" s="3">
        <v>779</v>
      </c>
      <c r="AB630" s="3">
        <v>1250</v>
      </c>
      <c r="AC630" s="3">
        <v>1750</v>
      </c>
      <c r="AE630" s="3">
        <v>3904</v>
      </c>
      <c r="AF630" s="3">
        <v>740.46</v>
      </c>
      <c r="AG630" s="3">
        <v>2.4</v>
      </c>
      <c r="AI630" s="3">
        <v>0.7</v>
      </c>
      <c r="AK630" s="3">
        <v>0.85</v>
      </c>
      <c r="AM630" s="3">
        <v>3.5</v>
      </c>
      <c r="AR630" s="3" t="s">
        <v>623</v>
      </c>
      <c r="AS630" s="3" t="s">
        <v>624</v>
      </c>
      <c r="AT630" s="3">
        <v>43.5</v>
      </c>
      <c r="AU630" s="3" t="s">
        <v>86</v>
      </c>
      <c r="AW630" s="3" t="s">
        <v>619</v>
      </c>
    </row>
    <row r="631" spans="1:49" x14ac:dyDescent="0.15">
      <c r="A631" s="2">
        <v>630</v>
      </c>
      <c r="B631" s="2" t="s">
        <v>620</v>
      </c>
      <c r="C631" s="2" t="s">
        <v>621</v>
      </c>
      <c r="D631" s="2" t="s">
        <v>115</v>
      </c>
      <c r="E631" s="2" t="s">
        <v>627</v>
      </c>
      <c r="H631" s="2" t="s">
        <v>623</v>
      </c>
      <c r="I631" s="2" t="s">
        <v>72</v>
      </c>
      <c r="J631" s="2">
        <v>2010</v>
      </c>
      <c r="K631" s="2">
        <v>7</v>
      </c>
      <c r="N631" s="3">
        <v>100</v>
      </c>
      <c r="O631" s="3">
        <v>36</v>
      </c>
      <c r="P631" s="2">
        <v>7</v>
      </c>
      <c r="Q631" s="2">
        <v>13</v>
      </c>
      <c r="R631" s="2">
        <v>7</v>
      </c>
      <c r="S631" s="2">
        <v>1</v>
      </c>
      <c r="T631" s="3">
        <v>34</v>
      </c>
      <c r="U631" s="3">
        <v>505.67</v>
      </c>
      <c r="V631" s="3">
        <v>482.08</v>
      </c>
      <c r="W631" s="3">
        <v>31.41</v>
      </c>
      <c r="Y631" s="3">
        <v>1258.54</v>
      </c>
      <c r="Z631" s="3">
        <v>227.61</v>
      </c>
      <c r="AA631" s="3">
        <v>496</v>
      </c>
      <c r="AB631" s="3">
        <v>838</v>
      </c>
      <c r="AC631" s="3">
        <v>791</v>
      </c>
      <c r="AE631" s="3">
        <v>2608</v>
      </c>
      <c r="AF631" s="3">
        <v>290</v>
      </c>
      <c r="AG631" s="3">
        <v>3</v>
      </c>
      <c r="AI631" s="3">
        <v>0.84</v>
      </c>
      <c r="AK631" s="3">
        <v>0.92</v>
      </c>
      <c r="AM631" s="3">
        <v>3.98</v>
      </c>
      <c r="AR631" s="3" t="s">
        <v>623</v>
      </c>
      <c r="AS631" s="3" t="s">
        <v>624</v>
      </c>
      <c r="AT631" s="3">
        <v>43.5</v>
      </c>
      <c r="AU631" s="3" t="s">
        <v>86</v>
      </c>
      <c r="AW631" s="3" t="s">
        <v>619</v>
      </c>
    </row>
    <row r="632" spans="1:49" x14ac:dyDescent="0.15">
      <c r="A632" s="2">
        <v>631</v>
      </c>
      <c r="B632" s="2" t="s">
        <v>620</v>
      </c>
      <c r="C632" s="2" t="s">
        <v>621</v>
      </c>
      <c r="D632" s="2" t="s">
        <v>115</v>
      </c>
      <c r="E632" s="2" t="s">
        <v>627</v>
      </c>
      <c r="H632" s="2" t="s">
        <v>623</v>
      </c>
      <c r="I632" s="2" t="s">
        <v>72</v>
      </c>
      <c r="J632" s="2">
        <v>2009</v>
      </c>
      <c r="K632" s="2">
        <v>10</v>
      </c>
      <c r="N632" s="3">
        <v>100</v>
      </c>
      <c r="O632" s="3">
        <v>36</v>
      </c>
      <c r="P632" s="2">
        <v>5</v>
      </c>
      <c r="Q632" s="2">
        <v>11</v>
      </c>
      <c r="R632" s="2">
        <v>5</v>
      </c>
      <c r="S632" s="2">
        <v>1</v>
      </c>
      <c r="T632" s="3">
        <v>24</v>
      </c>
      <c r="U632" s="3">
        <v>1313.76</v>
      </c>
      <c r="V632" s="3">
        <v>212.44</v>
      </c>
      <c r="W632" s="3">
        <v>6.55</v>
      </c>
      <c r="Y632" s="3">
        <v>1545.87</v>
      </c>
      <c r="Z632" s="3">
        <v>586.62</v>
      </c>
      <c r="AA632" s="3">
        <v>675</v>
      </c>
      <c r="AB632" s="3">
        <v>1446</v>
      </c>
      <c r="AC632" s="3">
        <v>567</v>
      </c>
      <c r="AE632" s="3">
        <v>2770</v>
      </c>
      <c r="AF632" s="3">
        <v>577.86</v>
      </c>
      <c r="AG632" s="3">
        <v>2.2999999999999998</v>
      </c>
      <c r="AI632" s="3">
        <v>0.73</v>
      </c>
      <c r="AK632" s="3">
        <v>0.87</v>
      </c>
      <c r="AM632" s="3">
        <v>2.75</v>
      </c>
      <c r="AR632" s="3" t="s">
        <v>623</v>
      </c>
      <c r="AS632" s="3" t="s">
        <v>624</v>
      </c>
      <c r="AT632" s="3">
        <v>43.5</v>
      </c>
      <c r="AU632" s="3" t="s">
        <v>86</v>
      </c>
      <c r="AW632" s="3" t="s">
        <v>619</v>
      </c>
    </row>
    <row r="633" spans="1:49" x14ac:dyDescent="0.15">
      <c r="A633" s="2">
        <v>632</v>
      </c>
      <c r="B633" s="2" t="s">
        <v>620</v>
      </c>
      <c r="C633" s="2" t="s">
        <v>621</v>
      </c>
      <c r="D633" s="2" t="s">
        <v>115</v>
      </c>
      <c r="E633" s="2" t="s">
        <v>627</v>
      </c>
      <c r="H633" s="2" t="s">
        <v>623</v>
      </c>
      <c r="I633" s="2" t="s">
        <v>72</v>
      </c>
      <c r="J633" s="2">
        <v>2009</v>
      </c>
      <c r="K633" s="2">
        <v>1</v>
      </c>
      <c r="N633" s="3">
        <v>100</v>
      </c>
      <c r="O633" s="3">
        <v>36</v>
      </c>
      <c r="P633" s="2">
        <v>8</v>
      </c>
      <c r="Q633" s="2">
        <v>10</v>
      </c>
      <c r="R633" s="2">
        <v>8</v>
      </c>
      <c r="S633" s="2">
        <v>1</v>
      </c>
      <c r="T633" s="3">
        <v>28</v>
      </c>
      <c r="U633" s="3">
        <v>226.48</v>
      </c>
      <c r="V633" s="3">
        <v>239.54</v>
      </c>
      <c r="W633" s="3">
        <v>12.66</v>
      </c>
      <c r="Y633" s="3">
        <v>488.91</v>
      </c>
      <c r="Z633" s="3">
        <v>123.61</v>
      </c>
      <c r="AA633" s="3">
        <v>1250</v>
      </c>
      <c r="AB633" s="3">
        <v>871</v>
      </c>
      <c r="AC633" s="3">
        <v>892</v>
      </c>
      <c r="AE633" s="3">
        <v>3079</v>
      </c>
      <c r="AF633" s="3">
        <v>552.98</v>
      </c>
      <c r="AG633" s="3">
        <v>2.5</v>
      </c>
      <c r="AI633" s="3">
        <v>0.74</v>
      </c>
      <c r="AK633" s="3">
        <v>0.88</v>
      </c>
      <c r="AM633" s="3">
        <v>3.12</v>
      </c>
      <c r="AR633" s="3" t="s">
        <v>623</v>
      </c>
      <c r="AS633" s="3" t="s">
        <v>624</v>
      </c>
      <c r="AT633" s="3">
        <v>43.5</v>
      </c>
      <c r="AU633" s="3" t="s">
        <v>86</v>
      </c>
      <c r="AW633" s="3" t="s">
        <v>619</v>
      </c>
    </row>
    <row r="634" spans="1:49" x14ac:dyDescent="0.15">
      <c r="A634" s="2">
        <v>633</v>
      </c>
      <c r="B634" s="2" t="s">
        <v>620</v>
      </c>
      <c r="C634" s="2" t="s">
        <v>621</v>
      </c>
      <c r="D634" s="2" t="s">
        <v>115</v>
      </c>
      <c r="E634" s="2" t="s">
        <v>238</v>
      </c>
      <c r="H634" s="2" t="s">
        <v>623</v>
      </c>
      <c r="I634" s="2" t="s">
        <v>72</v>
      </c>
      <c r="J634" s="2">
        <v>2010</v>
      </c>
      <c r="K634" s="2">
        <v>4</v>
      </c>
      <c r="N634" s="3">
        <v>100</v>
      </c>
      <c r="O634" s="3">
        <v>36</v>
      </c>
      <c r="P634" s="2">
        <v>7</v>
      </c>
      <c r="Q634" s="2">
        <v>12</v>
      </c>
      <c r="R634" s="2">
        <v>5</v>
      </c>
      <c r="T634" s="3">
        <v>26</v>
      </c>
      <c r="U634" s="3">
        <v>298.33999999999997</v>
      </c>
      <c r="V634" s="3">
        <v>521.79999999999995</v>
      </c>
      <c r="W634" s="3">
        <v>24.91</v>
      </c>
      <c r="Y634" s="3">
        <v>848.39</v>
      </c>
      <c r="Z634" s="3">
        <v>233.44</v>
      </c>
      <c r="AA634" s="3">
        <v>252</v>
      </c>
      <c r="AB634" s="3">
        <v>1680</v>
      </c>
      <c r="AC634" s="3">
        <v>533</v>
      </c>
      <c r="AE634" s="3">
        <v>2506</v>
      </c>
      <c r="AF634" s="3">
        <v>692.51</v>
      </c>
      <c r="AG634" s="3">
        <v>2</v>
      </c>
      <c r="AI634" s="3">
        <v>0.62</v>
      </c>
      <c r="AK634" s="3">
        <v>0.78</v>
      </c>
      <c r="AM634" s="3">
        <v>2.8</v>
      </c>
      <c r="AR634" s="3" t="s">
        <v>623</v>
      </c>
      <c r="AS634" s="3" t="s">
        <v>624</v>
      </c>
      <c r="AT634" s="3">
        <v>43.5</v>
      </c>
      <c r="AU634" s="3" t="s">
        <v>86</v>
      </c>
      <c r="AW634" s="3" t="s">
        <v>619</v>
      </c>
    </row>
    <row r="635" spans="1:49" x14ac:dyDescent="0.15">
      <c r="A635" s="2">
        <v>634</v>
      </c>
      <c r="B635" s="2" t="s">
        <v>620</v>
      </c>
      <c r="C635" s="2" t="s">
        <v>621</v>
      </c>
      <c r="D635" s="2" t="s">
        <v>115</v>
      </c>
      <c r="E635" s="2" t="s">
        <v>238</v>
      </c>
      <c r="H635" s="2" t="s">
        <v>623</v>
      </c>
      <c r="I635" s="2" t="s">
        <v>72</v>
      </c>
      <c r="J635" s="2">
        <v>2010</v>
      </c>
      <c r="K635" s="2">
        <v>7</v>
      </c>
      <c r="N635" s="3">
        <v>100</v>
      </c>
      <c r="O635" s="3">
        <v>36</v>
      </c>
      <c r="P635" s="2">
        <v>6</v>
      </c>
      <c r="Q635" s="2">
        <v>12</v>
      </c>
      <c r="R635" s="2">
        <v>6</v>
      </c>
      <c r="T635" s="3">
        <v>29</v>
      </c>
      <c r="U635" s="3">
        <v>314.69</v>
      </c>
      <c r="V635" s="3">
        <v>2870.6</v>
      </c>
      <c r="W635" s="3">
        <v>18.809999999999999</v>
      </c>
      <c r="Y635" s="3">
        <v>3208.42</v>
      </c>
      <c r="Z635" s="3">
        <v>1253.1400000000001</v>
      </c>
      <c r="AA635" s="3">
        <v>419</v>
      </c>
      <c r="AB635" s="3">
        <v>1314</v>
      </c>
      <c r="AC635" s="3">
        <v>494</v>
      </c>
      <c r="AE635" s="3">
        <v>2283</v>
      </c>
      <c r="AF635" s="3">
        <v>525.75</v>
      </c>
      <c r="AG635" s="3">
        <v>2.6</v>
      </c>
      <c r="AI635" s="3">
        <v>0.76</v>
      </c>
      <c r="AK635" s="3">
        <v>0.89</v>
      </c>
      <c r="AM635" s="3">
        <v>3.22</v>
      </c>
      <c r="AR635" s="3" t="s">
        <v>623</v>
      </c>
      <c r="AS635" s="3" t="s">
        <v>624</v>
      </c>
      <c r="AT635" s="3">
        <v>43.5</v>
      </c>
      <c r="AU635" s="3" t="s">
        <v>86</v>
      </c>
      <c r="AW635" s="3" t="s">
        <v>619</v>
      </c>
    </row>
    <row r="636" spans="1:49" x14ac:dyDescent="0.15">
      <c r="A636" s="2">
        <v>635</v>
      </c>
      <c r="B636" s="2" t="s">
        <v>620</v>
      </c>
      <c r="C636" s="2" t="s">
        <v>621</v>
      </c>
      <c r="D636" s="2" t="s">
        <v>115</v>
      </c>
      <c r="E636" s="2" t="s">
        <v>238</v>
      </c>
      <c r="H636" s="2" t="s">
        <v>623</v>
      </c>
      <c r="I636" s="2" t="s">
        <v>72</v>
      </c>
      <c r="J636" s="2">
        <v>2009</v>
      </c>
      <c r="K636" s="2">
        <v>10</v>
      </c>
      <c r="N636" s="3">
        <v>100</v>
      </c>
      <c r="O636" s="3">
        <v>36</v>
      </c>
      <c r="P636" s="2">
        <v>5</v>
      </c>
      <c r="Q636" s="2">
        <v>10</v>
      </c>
      <c r="R636" s="2">
        <v>3</v>
      </c>
      <c r="T636" s="3">
        <v>17</v>
      </c>
      <c r="U636" s="3">
        <v>510.78</v>
      </c>
      <c r="V636" s="3">
        <v>1128.55</v>
      </c>
      <c r="W636" s="3">
        <v>0.85</v>
      </c>
      <c r="Y636" s="3">
        <v>1640.19</v>
      </c>
      <c r="Z636" s="3">
        <v>499.12</v>
      </c>
      <c r="AA636" s="3">
        <v>194</v>
      </c>
      <c r="AB636" s="3">
        <v>1333</v>
      </c>
      <c r="AC636" s="3">
        <v>127</v>
      </c>
      <c r="AE636" s="3">
        <v>1655</v>
      </c>
      <c r="AF636" s="3">
        <v>566.52</v>
      </c>
      <c r="AG636" s="3">
        <v>1.91</v>
      </c>
      <c r="AI636" s="3">
        <v>0.68</v>
      </c>
      <c r="AK636" s="3">
        <v>0.75</v>
      </c>
      <c r="AM636" s="3">
        <v>1.95</v>
      </c>
      <c r="AR636" s="3" t="s">
        <v>623</v>
      </c>
      <c r="AS636" s="3" t="s">
        <v>624</v>
      </c>
      <c r="AT636" s="3">
        <v>43.5</v>
      </c>
      <c r="AU636" s="3" t="s">
        <v>86</v>
      </c>
      <c r="AW636" s="3" t="s">
        <v>619</v>
      </c>
    </row>
    <row r="637" spans="1:49" x14ac:dyDescent="0.15">
      <c r="A637" s="2">
        <v>636</v>
      </c>
      <c r="B637" s="2" t="s">
        <v>620</v>
      </c>
      <c r="C637" s="2" t="s">
        <v>621</v>
      </c>
      <c r="D637" s="2" t="s">
        <v>115</v>
      </c>
      <c r="E637" s="2" t="s">
        <v>238</v>
      </c>
      <c r="H637" s="2" t="s">
        <v>623</v>
      </c>
      <c r="I637" s="2" t="s">
        <v>72</v>
      </c>
      <c r="J637" s="2">
        <v>2009</v>
      </c>
      <c r="K637" s="2">
        <v>1</v>
      </c>
      <c r="N637" s="3">
        <v>100</v>
      </c>
      <c r="O637" s="3">
        <v>36</v>
      </c>
      <c r="P637" s="2">
        <v>6</v>
      </c>
      <c r="Q637" s="2">
        <v>10</v>
      </c>
      <c r="R637" s="2">
        <v>4</v>
      </c>
      <c r="T637" s="3">
        <v>23</v>
      </c>
      <c r="U637" s="3">
        <v>693.75</v>
      </c>
      <c r="V637" s="3">
        <v>431</v>
      </c>
      <c r="W637" s="3">
        <v>15.4</v>
      </c>
      <c r="Y637" s="3">
        <v>1151.04</v>
      </c>
      <c r="Z637" s="3">
        <v>317.17</v>
      </c>
      <c r="AA637" s="3">
        <v>364</v>
      </c>
      <c r="AB637" s="3">
        <v>1339</v>
      </c>
      <c r="AC637" s="3">
        <v>311</v>
      </c>
      <c r="AE637" s="3">
        <v>2086</v>
      </c>
      <c r="AF637" s="3">
        <v>537.17999999999995</v>
      </c>
      <c r="AG637" s="3">
        <v>2</v>
      </c>
      <c r="AI637" s="3">
        <v>0.65</v>
      </c>
      <c r="AK637" s="3">
        <v>0.79</v>
      </c>
      <c r="AM637" s="3">
        <v>2.57</v>
      </c>
      <c r="AR637" s="3" t="s">
        <v>623</v>
      </c>
      <c r="AS637" s="3" t="s">
        <v>624</v>
      </c>
      <c r="AT637" s="3">
        <v>43.5</v>
      </c>
      <c r="AU637" s="3" t="s">
        <v>86</v>
      </c>
      <c r="AW637" s="3" t="s">
        <v>619</v>
      </c>
    </row>
    <row r="638" spans="1:49" x14ac:dyDescent="0.15">
      <c r="A638" s="2">
        <v>637</v>
      </c>
      <c r="B638" s="2" t="s">
        <v>626</v>
      </c>
      <c r="C638" s="2" t="s">
        <v>621</v>
      </c>
      <c r="D638" s="2" t="s">
        <v>115</v>
      </c>
      <c r="E638" s="2" t="s">
        <v>82</v>
      </c>
      <c r="H638" s="2" t="s">
        <v>623</v>
      </c>
      <c r="I638" s="2" t="s">
        <v>72</v>
      </c>
      <c r="J638" s="2">
        <v>2009</v>
      </c>
      <c r="K638" s="2">
        <v>1</v>
      </c>
      <c r="L638" s="2">
        <v>2010</v>
      </c>
      <c r="M638" s="2">
        <v>10</v>
      </c>
      <c r="N638" s="3">
        <v>100</v>
      </c>
      <c r="O638" s="3">
        <f>36*8</f>
        <v>288</v>
      </c>
      <c r="P638" s="2">
        <v>12</v>
      </c>
      <c r="Q638" s="2">
        <v>22</v>
      </c>
      <c r="R638" s="2">
        <v>16</v>
      </c>
      <c r="S638" s="2">
        <v>1</v>
      </c>
      <c r="T638" s="3">
        <v>61</v>
      </c>
      <c r="U638" s="3">
        <f>AVERAGE(U630:U637)</f>
        <v>514.22</v>
      </c>
      <c r="V638" s="3">
        <f t="shared" ref="V638:AM638" si="23">AVERAGE(V630:V637)</f>
        <v>802.61625000000004</v>
      </c>
      <c r="W638" s="3">
        <f t="shared" si="23"/>
        <v>16.192499999999999</v>
      </c>
      <c r="Y638" s="3">
        <f t="shared" si="23"/>
        <v>1370.2362499999999</v>
      </c>
      <c r="Z638" s="3">
        <f t="shared" si="23"/>
        <v>434.04500000000002</v>
      </c>
      <c r="AA638" s="3">
        <f t="shared" si="23"/>
        <v>553.625</v>
      </c>
      <c r="AB638" s="3">
        <f t="shared" si="23"/>
        <v>1258.875</v>
      </c>
      <c r="AC638" s="3">
        <f t="shared" si="23"/>
        <v>683.125</v>
      </c>
      <c r="AE638" s="3">
        <f t="shared" si="23"/>
        <v>2611.375</v>
      </c>
      <c r="AF638" s="3">
        <f t="shared" si="23"/>
        <v>560.40750000000003</v>
      </c>
      <c r="AG638" s="3">
        <f t="shared" si="23"/>
        <v>2.3387499999999997</v>
      </c>
      <c r="AH638" s="3">
        <f>STDEV(AG630:AG637)</f>
        <v>0.36841116393818341</v>
      </c>
      <c r="AI638" s="3">
        <f t="shared" si="23"/>
        <v>0.71499999999999997</v>
      </c>
      <c r="AJ638" s="3">
        <f>STDEV(AI630:AI637)</f>
        <v>6.8868404532536828E-2</v>
      </c>
      <c r="AK638" s="3">
        <f t="shared" si="23"/>
        <v>0.84124999999999994</v>
      </c>
      <c r="AL638" s="3">
        <f>STDEV(AK630:AK637)</f>
        <v>6.0577577181188565E-2</v>
      </c>
      <c r="AM638" s="3">
        <f t="shared" si="23"/>
        <v>2.9862500000000001</v>
      </c>
      <c r="AN638" s="3">
        <f>STDEV(AM630:AM637)</f>
        <v>0.61662532036422668</v>
      </c>
      <c r="AR638" s="3" t="s">
        <v>623</v>
      </c>
      <c r="AS638" s="3" t="s">
        <v>624</v>
      </c>
      <c r="AT638" s="3">
        <v>43.5</v>
      </c>
      <c r="AU638" s="3" t="s">
        <v>86</v>
      </c>
      <c r="AW638" s="3" t="s">
        <v>625</v>
      </c>
    </row>
    <row r="639" spans="1:49" x14ac:dyDescent="0.15">
      <c r="A639" s="2">
        <v>638</v>
      </c>
      <c r="B639" s="2" t="s">
        <v>626</v>
      </c>
      <c r="C639" s="2" t="s">
        <v>621</v>
      </c>
      <c r="D639" s="2" t="s">
        <v>115</v>
      </c>
      <c r="E639" s="2" t="s">
        <v>82</v>
      </c>
      <c r="H639" s="2" t="s">
        <v>623</v>
      </c>
      <c r="I639" s="2" t="s">
        <v>72</v>
      </c>
      <c r="J639" s="2">
        <v>2010</v>
      </c>
      <c r="K639" s="2">
        <v>1</v>
      </c>
      <c r="L639" s="2">
        <v>2010</v>
      </c>
      <c r="M639" s="2">
        <v>7</v>
      </c>
      <c r="N639" s="3">
        <v>100</v>
      </c>
      <c r="O639" s="3">
        <f>36*8</f>
        <v>288</v>
      </c>
      <c r="P639" s="2">
        <v>12</v>
      </c>
      <c r="Q639" s="2">
        <v>22</v>
      </c>
      <c r="R639" s="2">
        <v>16</v>
      </c>
      <c r="S639" s="2">
        <v>1</v>
      </c>
      <c r="T639" s="3">
        <v>61</v>
      </c>
      <c r="U639" s="3">
        <f>AVERAGE(U631:U638)</f>
        <v>547.21125000000006</v>
      </c>
      <c r="V639" s="3">
        <f t="shared" ref="V639" si="24">AVERAGE(V631:V638)</f>
        <v>836.07828125000003</v>
      </c>
      <c r="W639" s="3">
        <f t="shared" ref="W639" si="25">AVERAGE(W631:W638)</f>
        <v>15.8478125</v>
      </c>
      <c r="Y639" s="3">
        <f t="shared" ref="Y639" si="26">AVERAGE(Y631:Y638)</f>
        <v>1438.9495312500001</v>
      </c>
      <c r="Z639" s="3">
        <f t="shared" ref="Z639" si="27">AVERAGE(Z631:Z638)</f>
        <v>459.34437500000001</v>
      </c>
      <c r="AA639" s="3">
        <f t="shared" ref="AA639" si="28">AVERAGE(AA631:AA638)</f>
        <v>525.453125</v>
      </c>
      <c r="AB639" s="3">
        <f t="shared" ref="AB639" si="29">AVERAGE(AB631:AB638)</f>
        <v>1259.984375</v>
      </c>
      <c r="AC639" s="3">
        <f t="shared" ref="AC639" si="30">AVERAGE(AC631:AC638)</f>
        <v>549.765625</v>
      </c>
      <c r="AE639" s="3">
        <f t="shared" ref="AE639" si="31">AVERAGE(AE631:AE638)</f>
        <v>2449.796875</v>
      </c>
      <c r="AF639" s="3">
        <f t="shared" ref="AF639" si="32">AVERAGE(AF631:AF638)</f>
        <v>537.90093750000005</v>
      </c>
      <c r="AG639" s="3">
        <f t="shared" ref="AG639" si="33">AVERAGE(AG631:AG638)</f>
        <v>2.3310937500000004</v>
      </c>
      <c r="AH639" s="3">
        <f>STDEV(AG631:AG638)</f>
        <v>0.3675919694808148</v>
      </c>
      <c r="AI639" s="3">
        <f t="shared" ref="AI639" si="34">AVERAGE(AI631:AI638)</f>
        <v>0.71687499999999993</v>
      </c>
      <c r="AJ639" s="3">
        <f>STDEV(AI631:AI638)</f>
        <v>6.8605367345211596E-2</v>
      </c>
      <c r="AK639" s="3">
        <f t="shared" ref="AK639" si="35">AVERAGE(AK631:AK638)</f>
        <v>0.84015624999999994</v>
      </c>
      <c r="AL639" s="3">
        <f>STDEV(AK631:AK638)</f>
        <v>6.0475930498363209E-2</v>
      </c>
      <c r="AM639" s="3">
        <f t="shared" ref="AM639" si="36">AVERAGE(AM631:AM638)</f>
        <v>2.9220312500000007</v>
      </c>
      <c r="AN639" s="3">
        <f>STDEV(AM631:AM638)</f>
        <v>0.58121253239455872</v>
      </c>
      <c r="AR639" s="3" t="s">
        <v>623</v>
      </c>
      <c r="AS639" s="3" t="s">
        <v>624</v>
      </c>
      <c r="AT639" s="3">
        <v>43.5</v>
      </c>
      <c r="AU639" s="3" t="s">
        <v>86</v>
      </c>
      <c r="AW639" s="3" t="s">
        <v>625</v>
      </c>
    </row>
    <row r="640" spans="1:49" x14ac:dyDescent="0.15">
      <c r="A640" s="2">
        <v>639</v>
      </c>
      <c r="B640" s="2" t="s">
        <v>629</v>
      </c>
      <c r="C640" s="2" t="s">
        <v>99</v>
      </c>
      <c r="D640" s="2" t="s">
        <v>632</v>
      </c>
      <c r="E640" s="2" t="s">
        <v>633</v>
      </c>
      <c r="H640" s="2" t="s">
        <v>623</v>
      </c>
      <c r="I640" s="2" t="s">
        <v>635</v>
      </c>
      <c r="J640" s="2">
        <v>2008</v>
      </c>
      <c r="K640" s="2">
        <v>11</v>
      </c>
      <c r="L640" s="2">
        <v>2009</v>
      </c>
      <c r="M640" s="2">
        <v>8</v>
      </c>
      <c r="N640" s="3">
        <v>500</v>
      </c>
      <c r="O640" s="3">
        <v>96</v>
      </c>
      <c r="P640" s="2">
        <v>21</v>
      </c>
      <c r="Q640" s="2">
        <v>36</v>
      </c>
      <c r="R640" s="2">
        <v>22</v>
      </c>
      <c r="S640" s="2">
        <v>6</v>
      </c>
      <c r="T640" s="3">
        <v>94</v>
      </c>
      <c r="U640" s="3">
        <f>Y640*0.05</f>
        <v>5.7570000000000006</v>
      </c>
      <c r="V640" s="3">
        <f>Y640*0.7485</f>
        <v>86.182290000000009</v>
      </c>
      <c r="W640" s="3">
        <f>Y640*0.05</f>
        <v>5.7570000000000006</v>
      </c>
      <c r="Y640" s="3">
        <v>115.14</v>
      </c>
      <c r="Z640" s="3">
        <f>_xlfn.STDEV.P(Y641:Y644)/2</f>
        <v>27.135115481373948</v>
      </c>
      <c r="AA640" s="3">
        <f>AE640*0.05</f>
        <v>21.950000000000003</v>
      </c>
      <c r="AB640" s="3">
        <f>AE640*0.78</f>
        <v>342.42</v>
      </c>
      <c r="AC640" s="3">
        <f>21.95</f>
        <v>21.95</v>
      </c>
      <c r="AE640" s="3">
        <v>439</v>
      </c>
      <c r="AF640" s="3">
        <f>_xlfn.STDEV.P(AE641:AE644)/2</f>
        <v>151.73187700677798</v>
      </c>
      <c r="AG640" s="3">
        <f>AVERAGE(AG641:AG644)</f>
        <v>1.8049999999999999</v>
      </c>
      <c r="AH640" s="3">
        <f>_xlfn.STDEV.P(AG641:AG644)/2</f>
        <v>0.21921735788937863</v>
      </c>
      <c r="AI640" s="3">
        <f>AVERAGE(AI641:AI644)</f>
        <v>0.72499999999999998</v>
      </c>
      <c r="AJ640" s="3">
        <f>_xlfn.STDEV.P(AI641:AI644)/2</f>
        <v>7.4372373903217687E-2</v>
      </c>
      <c r="AM640" s="3">
        <f>AVERAGE(AM641:AM644)</f>
        <v>4.01</v>
      </c>
      <c r="AN640" s="3">
        <f>_xlfn.STDEV.P(AM641:AM644)/2</f>
        <v>0.63513778032801704</v>
      </c>
      <c r="AR640" s="3" t="s">
        <v>636</v>
      </c>
      <c r="AS640" s="4" t="s">
        <v>638</v>
      </c>
      <c r="AT640" s="4">
        <v>47.75</v>
      </c>
      <c r="AU640" s="4" t="s">
        <v>806</v>
      </c>
      <c r="AW640" s="3" t="s">
        <v>639</v>
      </c>
    </row>
    <row r="641" spans="1:49" x14ac:dyDescent="0.15">
      <c r="A641" s="2">
        <v>640</v>
      </c>
      <c r="B641" s="2" t="s">
        <v>629</v>
      </c>
      <c r="C641" s="2" t="s">
        <v>99</v>
      </c>
      <c r="D641" s="2" t="s">
        <v>632</v>
      </c>
      <c r="E641" s="2" t="s">
        <v>633</v>
      </c>
      <c r="H641" s="2" t="s">
        <v>623</v>
      </c>
      <c r="I641" s="2" t="s">
        <v>635</v>
      </c>
      <c r="J641" s="2">
        <v>2009</v>
      </c>
      <c r="K641" s="2">
        <v>4</v>
      </c>
      <c r="N641" s="3">
        <v>500</v>
      </c>
      <c r="O641" s="3">
        <v>24</v>
      </c>
      <c r="P641" s="2">
        <v>5</v>
      </c>
      <c r="Q641" s="2">
        <v>12</v>
      </c>
      <c r="R641" s="2">
        <v>14</v>
      </c>
      <c r="S641" s="2">
        <v>2</v>
      </c>
      <c r="T641" s="3">
        <v>36</v>
      </c>
      <c r="Y641" s="3">
        <v>66.930000000000007</v>
      </c>
      <c r="AE641" s="3">
        <v>189</v>
      </c>
      <c r="AG641" s="3">
        <v>2</v>
      </c>
      <c r="AI641" s="3">
        <v>0.82</v>
      </c>
      <c r="AM641" s="3">
        <v>4.7699999999999996</v>
      </c>
      <c r="AR641" s="3" t="s">
        <v>636</v>
      </c>
      <c r="AS641" s="4" t="s">
        <v>638</v>
      </c>
      <c r="AT641" s="4">
        <v>47.75</v>
      </c>
      <c r="AU641" s="4" t="s">
        <v>806</v>
      </c>
      <c r="AW641" s="3" t="s">
        <v>639</v>
      </c>
    </row>
    <row r="642" spans="1:49" x14ac:dyDescent="0.15">
      <c r="A642" s="2">
        <v>641</v>
      </c>
      <c r="B642" s="2" t="s">
        <v>629</v>
      </c>
      <c r="C642" s="2" t="s">
        <v>99</v>
      </c>
      <c r="D642" s="2" t="s">
        <v>632</v>
      </c>
      <c r="E642" s="2" t="s">
        <v>633</v>
      </c>
      <c r="H642" s="2" t="s">
        <v>623</v>
      </c>
      <c r="I642" s="2" t="s">
        <v>635</v>
      </c>
      <c r="J642" s="2">
        <v>2009</v>
      </c>
      <c r="K642" s="2">
        <v>8</v>
      </c>
      <c r="N642" s="3">
        <v>500</v>
      </c>
      <c r="O642" s="3">
        <v>24</v>
      </c>
      <c r="P642" s="2">
        <v>6</v>
      </c>
      <c r="Q642" s="2">
        <v>10</v>
      </c>
      <c r="R642" s="2">
        <v>8</v>
      </c>
      <c r="T642" s="3">
        <v>29</v>
      </c>
      <c r="Y642" s="3">
        <v>61.83</v>
      </c>
      <c r="AE642" s="3">
        <v>113</v>
      </c>
      <c r="AG642" s="3">
        <v>2.25</v>
      </c>
      <c r="AI642" s="3">
        <v>0.91</v>
      </c>
      <c r="AM642" s="3">
        <v>4.7300000000000004</v>
      </c>
      <c r="AR642" s="3" t="s">
        <v>636</v>
      </c>
      <c r="AS642" s="4" t="s">
        <v>638</v>
      </c>
      <c r="AT642" s="4">
        <v>47.75</v>
      </c>
      <c r="AU642" s="4" t="s">
        <v>806</v>
      </c>
      <c r="AW642" s="3" t="s">
        <v>639</v>
      </c>
    </row>
    <row r="643" spans="1:49" x14ac:dyDescent="0.15">
      <c r="A643" s="2">
        <v>642</v>
      </c>
      <c r="B643" s="2" t="s">
        <v>629</v>
      </c>
      <c r="C643" s="2" t="s">
        <v>99</v>
      </c>
      <c r="D643" s="2" t="s">
        <v>632</v>
      </c>
      <c r="E643" s="2" t="s">
        <v>633</v>
      </c>
      <c r="H643" s="2" t="s">
        <v>623</v>
      </c>
      <c r="I643" s="2" t="s">
        <v>635</v>
      </c>
      <c r="J643" s="2">
        <v>2008</v>
      </c>
      <c r="K643" s="2">
        <v>11</v>
      </c>
      <c r="N643" s="3">
        <v>500</v>
      </c>
      <c r="O643" s="3">
        <v>24</v>
      </c>
      <c r="P643" s="2">
        <v>5</v>
      </c>
      <c r="Q643" s="2">
        <v>5</v>
      </c>
      <c r="R643" s="2">
        <v>5</v>
      </c>
      <c r="T643" s="3">
        <v>17</v>
      </c>
      <c r="Y643" s="3">
        <v>138.88</v>
      </c>
      <c r="AE643" s="3">
        <v>594</v>
      </c>
      <c r="AG643" s="3">
        <v>1.08</v>
      </c>
      <c r="AI643" s="3">
        <v>0.53</v>
      </c>
      <c r="AM643" s="3">
        <v>1.81</v>
      </c>
      <c r="AR643" s="3" t="s">
        <v>636</v>
      </c>
      <c r="AS643" s="4" t="s">
        <v>638</v>
      </c>
      <c r="AT643" s="4">
        <v>47.75</v>
      </c>
      <c r="AU643" s="4" t="s">
        <v>806</v>
      </c>
      <c r="AW643" s="3" t="s">
        <v>639</v>
      </c>
    </row>
    <row r="644" spans="1:49" x14ac:dyDescent="0.15">
      <c r="A644" s="2">
        <v>643</v>
      </c>
      <c r="B644" s="2" t="s">
        <v>629</v>
      </c>
      <c r="C644" s="2" t="s">
        <v>99</v>
      </c>
      <c r="D644" s="2" t="s">
        <v>632</v>
      </c>
      <c r="E644" s="2" t="s">
        <v>633</v>
      </c>
      <c r="H644" s="2" t="s">
        <v>623</v>
      </c>
      <c r="I644" s="2" t="s">
        <v>635</v>
      </c>
      <c r="J644" s="2">
        <v>2009</v>
      </c>
      <c r="K644" s="2">
        <v>2</v>
      </c>
      <c r="N644" s="3">
        <v>500</v>
      </c>
      <c r="O644" s="3">
        <v>24</v>
      </c>
      <c r="P644" s="2">
        <v>12</v>
      </c>
      <c r="Q644" s="2">
        <v>22</v>
      </c>
      <c r="R644" s="2">
        <v>13</v>
      </c>
      <c r="S644" s="2">
        <v>5</v>
      </c>
      <c r="T644" s="3">
        <v>55</v>
      </c>
      <c r="Y644" s="3">
        <v>192.93</v>
      </c>
      <c r="AE644" s="3">
        <v>858</v>
      </c>
      <c r="AG644" s="3">
        <v>1.89</v>
      </c>
      <c r="AI644" s="3">
        <v>0.64</v>
      </c>
      <c r="AM644" s="3">
        <v>4.7300000000000004</v>
      </c>
      <c r="AR644" s="3" t="s">
        <v>636</v>
      </c>
      <c r="AS644" s="4" t="s">
        <v>638</v>
      </c>
      <c r="AT644" s="4">
        <v>47.75</v>
      </c>
      <c r="AU644" s="4" t="s">
        <v>806</v>
      </c>
      <c r="AW644" s="3" t="s">
        <v>639</v>
      </c>
    </row>
    <row r="645" spans="1:49" x14ac:dyDescent="0.15">
      <c r="A645" s="2">
        <v>644</v>
      </c>
      <c r="B645" s="2" t="s">
        <v>628</v>
      </c>
      <c r="C645" s="2" t="s">
        <v>630</v>
      </c>
      <c r="D645" s="2" t="s">
        <v>631</v>
      </c>
      <c r="E645" s="2" t="s">
        <v>627</v>
      </c>
      <c r="H645" s="2" t="s">
        <v>622</v>
      </c>
      <c r="I645" s="2" t="s">
        <v>634</v>
      </c>
      <c r="J645" s="2">
        <v>2009</v>
      </c>
      <c r="K645" s="2">
        <v>2</v>
      </c>
      <c r="L645" s="2">
        <v>2009</v>
      </c>
      <c r="M645" s="2">
        <v>8</v>
      </c>
      <c r="N645" s="3">
        <v>500</v>
      </c>
      <c r="O645" s="3">
        <v>96</v>
      </c>
      <c r="P645" s="2">
        <v>21</v>
      </c>
      <c r="Q645" s="2">
        <v>36</v>
      </c>
      <c r="R645" s="2">
        <v>22</v>
      </c>
      <c r="S645" s="2">
        <v>6</v>
      </c>
      <c r="T645" s="3">
        <v>94</v>
      </c>
      <c r="U645" s="3">
        <v>5.7570000000000006</v>
      </c>
      <c r="V645" s="3">
        <v>86.182290000000009</v>
      </c>
      <c r="W645" s="3">
        <v>5.7570000000000006</v>
      </c>
      <c r="Y645" s="3">
        <v>115.14</v>
      </c>
      <c r="Z645" s="3">
        <v>27.135115481373948</v>
      </c>
      <c r="AA645" s="3">
        <v>21.950000000000003</v>
      </c>
      <c r="AB645" s="3">
        <v>342.42</v>
      </c>
      <c r="AC645" s="3">
        <v>21.95</v>
      </c>
      <c r="AE645" s="3">
        <v>439</v>
      </c>
      <c r="AF645" s="3">
        <v>151.73187700677798</v>
      </c>
      <c r="AG645" s="3">
        <v>1.8049999999999999</v>
      </c>
      <c r="AH645" s="3">
        <v>0.21921735788937863</v>
      </c>
      <c r="AI645" s="3">
        <v>0.72499999999999998</v>
      </c>
      <c r="AJ645" s="3">
        <v>7.4372373903217687E-2</v>
      </c>
      <c r="AM645" s="3">
        <v>4.01</v>
      </c>
      <c r="AN645" s="3">
        <v>0.63513778032801704</v>
      </c>
      <c r="AR645" s="3" t="s">
        <v>614</v>
      </c>
      <c r="AS645" s="3" t="s">
        <v>637</v>
      </c>
      <c r="AT645" s="4">
        <v>47.75</v>
      </c>
      <c r="AU645" s="4" t="s">
        <v>806</v>
      </c>
      <c r="AW645" s="3" t="s">
        <v>618</v>
      </c>
    </row>
    <row r="646" spans="1:49" x14ac:dyDescent="0.15">
      <c r="A646" s="2">
        <v>645</v>
      </c>
      <c r="B646" s="2" t="s">
        <v>628</v>
      </c>
      <c r="C646" s="2" t="s">
        <v>630</v>
      </c>
      <c r="D646" s="2" t="s">
        <v>631</v>
      </c>
      <c r="E646" s="2" t="s">
        <v>627</v>
      </c>
      <c r="H646" s="2" t="s">
        <v>622</v>
      </c>
      <c r="I646" s="2" t="s">
        <v>634</v>
      </c>
      <c r="J646" s="2">
        <v>1983</v>
      </c>
      <c r="K646" s="2">
        <v>1984</v>
      </c>
      <c r="P646" s="2">
        <v>76</v>
      </c>
      <c r="Q646" s="2">
        <v>60</v>
      </c>
      <c r="R646" s="2">
        <v>35</v>
      </c>
      <c r="S646" s="2">
        <v>12</v>
      </c>
      <c r="T646" s="3">
        <v>248</v>
      </c>
      <c r="Y646" s="3">
        <v>132</v>
      </c>
      <c r="AE646" s="3">
        <v>310</v>
      </c>
      <c r="AT646" s="4">
        <v>47.75</v>
      </c>
      <c r="AU646" s="4" t="s">
        <v>806</v>
      </c>
      <c r="AV646" s="3" t="s">
        <v>640</v>
      </c>
      <c r="AW646" s="3" t="s">
        <v>618</v>
      </c>
    </row>
    <row r="647" spans="1:49" x14ac:dyDescent="0.15">
      <c r="A647" s="2">
        <v>646</v>
      </c>
      <c r="B647" s="2" t="s">
        <v>628</v>
      </c>
      <c r="C647" s="2" t="s">
        <v>630</v>
      </c>
      <c r="D647" s="2" t="s">
        <v>631</v>
      </c>
      <c r="E647" s="2" t="s">
        <v>627</v>
      </c>
      <c r="H647" s="2" t="s">
        <v>622</v>
      </c>
      <c r="I647" s="2" t="s">
        <v>634</v>
      </c>
      <c r="J647" s="2">
        <v>1983</v>
      </c>
      <c r="K647" s="2">
        <v>1984</v>
      </c>
      <c r="P647" s="2">
        <v>76</v>
      </c>
      <c r="Q647" s="2">
        <v>60</v>
      </c>
      <c r="R647" s="2">
        <v>35</v>
      </c>
      <c r="S647" s="2">
        <v>12</v>
      </c>
      <c r="T647" s="3">
        <v>248</v>
      </c>
      <c r="Y647" s="3">
        <v>132</v>
      </c>
      <c r="AE647" s="3">
        <v>310</v>
      </c>
      <c r="AT647" s="4">
        <v>47.75</v>
      </c>
      <c r="AU647" s="4" t="s">
        <v>806</v>
      </c>
      <c r="AV647" s="3" t="s">
        <v>640</v>
      </c>
      <c r="AW647" s="3" t="s">
        <v>618</v>
      </c>
    </row>
    <row r="648" spans="1:49" x14ac:dyDescent="0.15">
      <c r="A648" s="2">
        <v>647</v>
      </c>
      <c r="B648" s="2" t="s">
        <v>641</v>
      </c>
      <c r="C648" s="2" t="s">
        <v>642</v>
      </c>
      <c r="D648" s="2" t="s">
        <v>115</v>
      </c>
      <c r="E648" s="2" t="s">
        <v>82</v>
      </c>
      <c r="H648" s="2" t="s">
        <v>623</v>
      </c>
      <c r="I648" s="2" t="s">
        <v>643</v>
      </c>
      <c r="J648" s="2">
        <v>2012</v>
      </c>
      <c r="K648" s="2">
        <v>10</v>
      </c>
      <c r="N648" s="3">
        <v>2500</v>
      </c>
      <c r="O648" s="3">
        <v>30</v>
      </c>
      <c r="P648" s="2">
        <v>18</v>
      </c>
      <c r="Q648" s="2">
        <v>13</v>
      </c>
      <c r="R648" s="2">
        <v>3</v>
      </c>
      <c r="S648" s="2">
        <v>2</v>
      </c>
      <c r="T648" s="3">
        <v>45</v>
      </c>
      <c r="U648" s="3">
        <f>AVERAGE(U649:U654)</f>
        <v>52.70333333333334</v>
      </c>
      <c r="V648" s="3">
        <f t="shared" ref="V648:AA648" si="37">AVERAGE(V649:V654)</f>
        <v>45.00333333333333</v>
      </c>
      <c r="W648" s="3">
        <f t="shared" si="37"/>
        <v>0.52999999999999992</v>
      </c>
      <c r="X648" s="3">
        <f t="shared" si="37"/>
        <v>0.74</v>
      </c>
      <c r="Y648" s="3">
        <f t="shared" si="37"/>
        <v>98.06</v>
      </c>
      <c r="Z648" s="3">
        <f>STDEV(Y649:Y654)</f>
        <v>134.17624722729428</v>
      </c>
      <c r="AA648" s="3">
        <f t="shared" si="37"/>
        <v>39.953333333333333</v>
      </c>
      <c r="AB648" s="3">
        <f t="shared" ref="AB648" si="38">AVERAGE(AB649:AB654)</f>
        <v>67.333333333333343</v>
      </c>
      <c r="AC648" s="3">
        <f t="shared" ref="AC648" si="39">AVERAGE(AC649:AC654)</f>
        <v>0.7975000000000001</v>
      </c>
      <c r="AD648" s="3">
        <f t="shared" ref="AD648" si="40">AVERAGE(AD649:AD654)</f>
        <v>1.07</v>
      </c>
      <c r="AE648" s="3">
        <f t="shared" ref="AE648" si="41">AVERAGE(AE649:AE654)</f>
        <v>107.81833333333334</v>
      </c>
      <c r="AF648" s="3">
        <f>STDEV(AE649:AE654)</f>
        <v>80.369824540474539</v>
      </c>
      <c r="AG648" s="3">
        <f t="shared" ref="AG648" si="42">AVERAGE(AG649:AG654)</f>
        <v>1.9483333333333335</v>
      </c>
      <c r="AH648" s="3">
        <f>STDEV(AG649:AG654)</f>
        <v>0.94909254905233764</v>
      </c>
      <c r="AI648" s="3">
        <f t="shared" ref="AI648" si="43">AVERAGE(AI649:AI654)</f>
        <v>0.53166666666666673</v>
      </c>
      <c r="AJ648" s="3">
        <f>STDEV(AI649:AI654)</f>
        <v>0.22301718917309182</v>
      </c>
      <c r="AM648" s="3">
        <f t="shared" ref="AM648" si="44">AVERAGE(AM649:AM654)</f>
        <v>1.3983333333333334</v>
      </c>
      <c r="AN648" s="3">
        <f>STDEV(AM649:AM654)</f>
        <v>0.75156946895590881</v>
      </c>
      <c r="AR648" s="3" t="s">
        <v>636</v>
      </c>
      <c r="AS648" s="3" t="s">
        <v>624</v>
      </c>
      <c r="AT648" s="3">
        <v>43.5</v>
      </c>
      <c r="AU648" s="3" t="s">
        <v>86</v>
      </c>
      <c r="AW648" s="3" t="s">
        <v>644</v>
      </c>
    </row>
    <row r="649" spans="1:49" x14ac:dyDescent="0.15">
      <c r="A649" s="2">
        <v>648</v>
      </c>
      <c r="B649" s="2" t="s">
        <v>641</v>
      </c>
      <c r="C649" s="2" t="s">
        <v>642</v>
      </c>
      <c r="D649" s="2" t="s">
        <v>115</v>
      </c>
      <c r="E649" s="2" t="s">
        <v>82</v>
      </c>
      <c r="H649" s="2" t="s">
        <v>623</v>
      </c>
      <c r="I649" s="2" t="s">
        <v>643</v>
      </c>
      <c r="J649" s="2">
        <v>2012</v>
      </c>
      <c r="K649" s="2">
        <v>10</v>
      </c>
      <c r="N649" s="3">
        <v>2500</v>
      </c>
      <c r="O649" s="3">
        <v>5</v>
      </c>
      <c r="T649" s="3">
        <v>14</v>
      </c>
      <c r="U649" s="3">
        <v>23.84</v>
      </c>
      <c r="V649" s="3">
        <v>11.28</v>
      </c>
      <c r="W649" s="3">
        <v>1.1599999999999999</v>
      </c>
      <c r="Y649" s="3">
        <f>SUM(U649:W649)</f>
        <v>36.279999999999994</v>
      </c>
      <c r="AA649" s="3">
        <v>28.53</v>
      </c>
      <c r="AB649" s="3">
        <v>16.8</v>
      </c>
      <c r="AC649" s="3">
        <v>1.33</v>
      </c>
      <c r="AE649" s="3">
        <f t="shared" ref="AE649:AE654" si="45">SUM(AA649:AC649)</f>
        <v>46.66</v>
      </c>
      <c r="AG649" s="3">
        <v>2.57</v>
      </c>
      <c r="AI649" s="3">
        <v>0.67</v>
      </c>
      <c r="AM649" s="3">
        <v>1.73</v>
      </c>
      <c r="AR649" s="3" t="s">
        <v>636</v>
      </c>
      <c r="AS649" s="3" t="s">
        <v>624</v>
      </c>
      <c r="AT649" s="3">
        <v>43.5</v>
      </c>
      <c r="AU649" s="3" t="s">
        <v>86</v>
      </c>
      <c r="AW649" s="3" t="s">
        <v>619</v>
      </c>
    </row>
    <row r="650" spans="1:49" x14ac:dyDescent="0.15">
      <c r="A650" s="2">
        <v>649</v>
      </c>
      <c r="B650" s="2" t="s">
        <v>641</v>
      </c>
      <c r="C650" s="2" t="s">
        <v>642</v>
      </c>
      <c r="D650" s="2" t="s">
        <v>115</v>
      </c>
      <c r="E650" s="2" t="s">
        <v>82</v>
      </c>
      <c r="H650" s="2" t="s">
        <v>623</v>
      </c>
      <c r="I650" s="2" t="s">
        <v>643</v>
      </c>
      <c r="J650" s="2">
        <v>2012</v>
      </c>
      <c r="K650" s="2">
        <v>10</v>
      </c>
      <c r="N650" s="3">
        <v>2500</v>
      </c>
      <c r="O650" s="3">
        <v>5</v>
      </c>
      <c r="T650" s="3">
        <v>12</v>
      </c>
      <c r="U650" s="3">
        <v>8.2899999999999991</v>
      </c>
      <c r="V650" s="3">
        <v>0.52</v>
      </c>
      <c r="W650" s="3">
        <v>0.24</v>
      </c>
      <c r="Y650" s="3">
        <f t="shared" ref="Y650:Y654" si="46">SUM(U650:W650)</f>
        <v>9.0499999999999989</v>
      </c>
      <c r="AA650" s="3">
        <v>63.73</v>
      </c>
      <c r="AB650" s="3">
        <v>22.13</v>
      </c>
      <c r="AC650" s="3">
        <v>0.53</v>
      </c>
      <c r="AE650" s="3">
        <f t="shared" si="45"/>
        <v>86.39</v>
      </c>
      <c r="AG650" s="3">
        <v>2.27</v>
      </c>
      <c r="AI650" s="3">
        <v>0.63</v>
      </c>
      <c r="AM650" s="3">
        <v>1.31</v>
      </c>
      <c r="AR650" s="3" t="s">
        <v>636</v>
      </c>
      <c r="AS650" s="3" t="s">
        <v>624</v>
      </c>
      <c r="AT650" s="3">
        <v>43.5</v>
      </c>
      <c r="AU650" s="3" t="s">
        <v>86</v>
      </c>
      <c r="AW650" s="3" t="s">
        <v>619</v>
      </c>
    </row>
    <row r="651" spans="1:49" x14ac:dyDescent="0.15">
      <c r="A651" s="2">
        <v>650</v>
      </c>
      <c r="B651" s="2" t="s">
        <v>641</v>
      </c>
      <c r="C651" s="2" t="s">
        <v>642</v>
      </c>
      <c r="D651" s="2" t="s">
        <v>115</v>
      </c>
      <c r="E651" s="2" t="s">
        <v>82</v>
      </c>
      <c r="H651" s="2" t="s">
        <v>623</v>
      </c>
      <c r="I651" s="2" t="s">
        <v>643</v>
      </c>
      <c r="J651" s="2">
        <v>2012</v>
      </c>
      <c r="K651" s="2">
        <v>10</v>
      </c>
      <c r="N651" s="3">
        <v>2500</v>
      </c>
      <c r="O651" s="3">
        <v>5</v>
      </c>
      <c r="T651" s="3">
        <v>19</v>
      </c>
      <c r="U651" s="3">
        <v>11.51</v>
      </c>
      <c r="V651" s="3">
        <v>0.1</v>
      </c>
      <c r="W651" s="3">
        <v>0.65</v>
      </c>
      <c r="X651" s="3">
        <v>0.74</v>
      </c>
      <c r="Y651" s="3">
        <f t="shared" si="46"/>
        <v>12.26</v>
      </c>
      <c r="AA651" s="3">
        <v>16.53</v>
      </c>
      <c r="AB651" s="3">
        <v>0.27</v>
      </c>
      <c r="AC651" s="3">
        <v>0.53</v>
      </c>
      <c r="AD651" s="3">
        <v>1.07</v>
      </c>
      <c r="AE651" s="3">
        <f t="shared" si="45"/>
        <v>17.330000000000002</v>
      </c>
      <c r="AG651" s="3">
        <v>2.98</v>
      </c>
      <c r="AI651" s="3">
        <v>0.7</v>
      </c>
      <c r="AM651" s="3">
        <v>2.72</v>
      </c>
      <c r="AR651" s="3" t="s">
        <v>636</v>
      </c>
      <c r="AS651" s="3" t="s">
        <v>624</v>
      </c>
      <c r="AT651" s="3">
        <v>43.5</v>
      </c>
      <c r="AU651" s="3" t="s">
        <v>86</v>
      </c>
      <c r="AW651" s="3" t="s">
        <v>619</v>
      </c>
    </row>
    <row r="652" spans="1:49" x14ac:dyDescent="0.15">
      <c r="A652" s="2">
        <v>651</v>
      </c>
      <c r="B652" s="2" t="s">
        <v>641</v>
      </c>
      <c r="C652" s="2" t="s">
        <v>642</v>
      </c>
      <c r="D652" s="2" t="s">
        <v>115</v>
      </c>
      <c r="E652" s="2" t="s">
        <v>82</v>
      </c>
      <c r="H652" s="2" t="s">
        <v>623</v>
      </c>
      <c r="I652" s="2" t="s">
        <v>643</v>
      </c>
      <c r="J652" s="2">
        <v>2012</v>
      </c>
      <c r="K652" s="2">
        <v>10</v>
      </c>
      <c r="N652" s="3">
        <v>2500</v>
      </c>
      <c r="O652" s="3">
        <v>5</v>
      </c>
      <c r="T652" s="3">
        <v>10</v>
      </c>
      <c r="U652" s="3">
        <v>252.49</v>
      </c>
      <c r="V652" s="3">
        <v>108.67</v>
      </c>
      <c r="Y652" s="3">
        <f t="shared" si="46"/>
        <v>361.16</v>
      </c>
      <c r="AA652" s="3">
        <v>101.33</v>
      </c>
      <c r="AB652" s="3">
        <v>141.6</v>
      </c>
      <c r="AE652" s="3">
        <f t="shared" si="45"/>
        <v>242.93</v>
      </c>
      <c r="AG652" s="3">
        <v>1.43</v>
      </c>
      <c r="AI652" s="3">
        <v>0.43</v>
      </c>
      <c r="AM652" s="3">
        <v>0.92</v>
      </c>
      <c r="AR652" s="3" t="s">
        <v>636</v>
      </c>
      <c r="AS652" s="3" t="s">
        <v>624</v>
      </c>
      <c r="AT652" s="3">
        <v>43.5</v>
      </c>
      <c r="AU652" s="3" t="s">
        <v>86</v>
      </c>
      <c r="AW652" s="3" t="s">
        <v>619</v>
      </c>
    </row>
    <row r="653" spans="1:49" x14ac:dyDescent="0.15">
      <c r="A653" s="2">
        <v>652</v>
      </c>
      <c r="B653" s="2" t="s">
        <v>641</v>
      </c>
      <c r="C653" s="2" t="s">
        <v>642</v>
      </c>
      <c r="D653" s="2" t="s">
        <v>115</v>
      </c>
      <c r="E653" s="2" t="s">
        <v>82</v>
      </c>
      <c r="H653" s="2" t="s">
        <v>623</v>
      </c>
      <c r="I653" s="2" t="s">
        <v>643</v>
      </c>
      <c r="J653" s="2">
        <v>2012</v>
      </c>
      <c r="K653" s="2">
        <v>10</v>
      </c>
      <c r="N653" s="3">
        <v>2500</v>
      </c>
      <c r="O653" s="3">
        <v>5</v>
      </c>
      <c r="T653" s="3">
        <v>10</v>
      </c>
      <c r="U653" s="3">
        <v>16.43</v>
      </c>
      <c r="V653" s="3">
        <v>42.4</v>
      </c>
      <c r="W653" s="3">
        <v>7.0000000000000007E-2</v>
      </c>
      <c r="Y653" s="3">
        <f t="shared" si="46"/>
        <v>58.9</v>
      </c>
      <c r="AA653" s="3">
        <v>28</v>
      </c>
      <c r="AB653" s="3">
        <v>76.400000000000006</v>
      </c>
      <c r="AC653" s="3">
        <v>0.8</v>
      </c>
      <c r="AE653" s="3">
        <f t="shared" si="45"/>
        <v>105.2</v>
      </c>
      <c r="AG653" s="3">
        <v>2.12</v>
      </c>
      <c r="AI653" s="3">
        <v>0.64</v>
      </c>
      <c r="AM653" s="3">
        <v>1.1200000000000001</v>
      </c>
      <c r="AR653" s="3" t="s">
        <v>636</v>
      </c>
      <c r="AS653" s="3" t="s">
        <v>624</v>
      </c>
      <c r="AT653" s="3">
        <v>43.5</v>
      </c>
      <c r="AU653" s="3" t="s">
        <v>86</v>
      </c>
      <c r="AW653" s="3" t="s">
        <v>619</v>
      </c>
    </row>
    <row r="654" spans="1:49" x14ac:dyDescent="0.15">
      <c r="A654" s="2">
        <v>653</v>
      </c>
      <c r="B654" s="2" t="s">
        <v>641</v>
      </c>
      <c r="C654" s="2" t="s">
        <v>642</v>
      </c>
      <c r="D654" s="2" t="s">
        <v>115</v>
      </c>
      <c r="E654" s="2" t="s">
        <v>82</v>
      </c>
      <c r="H654" s="2" t="s">
        <v>623</v>
      </c>
      <c r="I654" s="2" t="s">
        <v>643</v>
      </c>
      <c r="J654" s="2">
        <v>2012</v>
      </c>
      <c r="K654" s="2">
        <v>10</v>
      </c>
      <c r="N654" s="3">
        <v>2500</v>
      </c>
      <c r="O654" s="3">
        <v>5</v>
      </c>
      <c r="T654" s="3">
        <v>6</v>
      </c>
      <c r="U654" s="3">
        <v>3.66</v>
      </c>
      <c r="V654" s="3">
        <v>107.05</v>
      </c>
      <c r="Y654" s="3">
        <f t="shared" si="46"/>
        <v>110.71</v>
      </c>
      <c r="AA654" s="3">
        <v>1.6</v>
      </c>
      <c r="AB654" s="3">
        <v>146.80000000000001</v>
      </c>
      <c r="AE654" s="3">
        <f t="shared" si="45"/>
        <v>148.4</v>
      </c>
      <c r="AG654" s="3">
        <v>0.32</v>
      </c>
      <c r="AI654" s="3">
        <v>0.12</v>
      </c>
      <c r="AM654" s="3">
        <v>0.59</v>
      </c>
      <c r="AR654" s="3" t="s">
        <v>636</v>
      </c>
      <c r="AS654" s="3" t="s">
        <v>624</v>
      </c>
      <c r="AT654" s="3">
        <v>43.5</v>
      </c>
      <c r="AU654" s="3" t="s">
        <v>86</v>
      </c>
      <c r="AW654" s="3" t="s">
        <v>619</v>
      </c>
    </row>
    <row r="655" spans="1:49" x14ac:dyDescent="0.15">
      <c r="A655" s="2">
        <v>654</v>
      </c>
      <c r="B655" s="2" t="s">
        <v>645</v>
      </c>
      <c r="C655" s="2" t="s">
        <v>646</v>
      </c>
      <c r="D655" s="2" t="s">
        <v>646</v>
      </c>
      <c r="E655" s="2" t="s">
        <v>633</v>
      </c>
      <c r="H655" s="2" t="s">
        <v>623</v>
      </c>
      <c r="I655" s="2" t="s">
        <v>646</v>
      </c>
      <c r="J655" s="2">
        <v>2011</v>
      </c>
      <c r="K655" s="2">
        <v>9</v>
      </c>
      <c r="N655" s="3">
        <v>500</v>
      </c>
      <c r="O655" s="3">
        <v>110</v>
      </c>
      <c r="P655" s="2">
        <v>19</v>
      </c>
      <c r="Q655" s="2">
        <v>24</v>
      </c>
      <c r="R655" s="2">
        <v>25</v>
      </c>
      <c r="T655" s="3">
        <v>76</v>
      </c>
      <c r="U655" s="3">
        <v>14.98</v>
      </c>
      <c r="V655" s="3">
        <v>71.41</v>
      </c>
      <c r="W655" s="3">
        <v>8.43</v>
      </c>
      <c r="Y655" s="3">
        <v>100.9</v>
      </c>
      <c r="Z655" s="3">
        <v>56.4</v>
      </c>
      <c r="AA655" s="3">
        <v>76.599999999999994</v>
      </c>
      <c r="AB655" s="3">
        <v>211.13</v>
      </c>
      <c r="AC655" s="3">
        <v>68.400000000000006</v>
      </c>
      <c r="AE655" s="3">
        <v>367.4</v>
      </c>
      <c r="AF655" s="3">
        <v>187.3</v>
      </c>
      <c r="AG655" s="3">
        <v>1.3190909090909093</v>
      </c>
      <c r="AH655" s="3">
        <v>0.39317945348737027</v>
      </c>
      <c r="AI655" s="3">
        <v>0.57909090909090921</v>
      </c>
      <c r="AJ655" s="3">
        <v>0.16127077994109718</v>
      </c>
      <c r="AM655" s="3">
        <v>1.6800000000000004</v>
      </c>
      <c r="AN655" s="3">
        <v>0.79820252613435849</v>
      </c>
      <c r="AR655" s="3" t="s">
        <v>636</v>
      </c>
      <c r="AS655" s="3" t="s">
        <v>624</v>
      </c>
      <c r="AT655" s="3">
        <v>43.5</v>
      </c>
      <c r="AU655" s="3" t="s">
        <v>86</v>
      </c>
      <c r="AW655" s="3" t="s">
        <v>619</v>
      </c>
    </row>
    <row r="656" spans="1:49" x14ac:dyDescent="0.15">
      <c r="A656" s="2">
        <v>655</v>
      </c>
      <c r="B656" s="2" t="s">
        <v>645</v>
      </c>
      <c r="C656" s="2" t="s">
        <v>202</v>
      </c>
      <c r="D656" s="2" t="s">
        <v>646</v>
      </c>
      <c r="E656" s="2" t="s">
        <v>633</v>
      </c>
      <c r="J656" s="2">
        <v>1982</v>
      </c>
      <c r="P656" s="2">
        <v>49</v>
      </c>
      <c r="Q656" s="2">
        <v>57</v>
      </c>
      <c r="R656" s="2">
        <v>20</v>
      </c>
      <c r="S656" s="2">
        <v>7</v>
      </c>
      <c r="T656" s="3">
        <v>144</v>
      </c>
      <c r="AR656" s="3" t="s">
        <v>636</v>
      </c>
      <c r="AS656" s="3" t="s">
        <v>624</v>
      </c>
      <c r="AT656" s="3">
        <v>43.5</v>
      </c>
      <c r="AU656" s="3" t="s">
        <v>86</v>
      </c>
      <c r="AV656" s="3" t="s">
        <v>640</v>
      </c>
      <c r="AW656" s="3" t="s">
        <v>619</v>
      </c>
    </row>
    <row r="657" spans="1:49" x14ac:dyDescent="0.15">
      <c r="A657" s="2">
        <v>656</v>
      </c>
      <c r="B657" s="2" t="s">
        <v>645</v>
      </c>
      <c r="C657" s="2" t="s">
        <v>202</v>
      </c>
      <c r="D657" s="2" t="s">
        <v>646</v>
      </c>
      <c r="E657" s="2" t="s">
        <v>633</v>
      </c>
      <c r="J657" s="2">
        <v>2008</v>
      </c>
      <c r="P657" s="2">
        <v>8</v>
      </c>
      <c r="Q657" s="2">
        <v>4</v>
      </c>
      <c r="R657" s="2">
        <v>3</v>
      </c>
      <c r="T657" s="3">
        <v>16</v>
      </c>
      <c r="AR657" s="3" t="s">
        <v>636</v>
      </c>
      <c r="AS657" s="3" t="s">
        <v>624</v>
      </c>
      <c r="AT657" s="3">
        <v>43.5</v>
      </c>
      <c r="AU657" s="3" t="s">
        <v>86</v>
      </c>
      <c r="AV657" s="3" t="s">
        <v>640</v>
      </c>
      <c r="AW657" s="3" t="s">
        <v>619</v>
      </c>
    </row>
    <row r="658" spans="1:49" x14ac:dyDescent="0.15">
      <c r="A658" s="2">
        <v>657</v>
      </c>
      <c r="B658" s="2" t="s">
        <v>645</v>
      </c>
      <c r="C658" s="2" t="s">
        <v>647</v>
      </c>
      <c r="D658" s="2" t="s">
        <v>646</v>
      </c>
      <c r="E658" s="2" t="s">
        <v>633</v>
      </c>
      <c r="J658" s="2">
        <v>1991</v>
      </c>
      <c r="P658" s="2">
        <v>26</v>
      </c>
      <c r="Q658" s="2">
        <v>46</v>
      </c>
      <c r="R658" s="2">
        <v>29</v>
      </c>
      <c r="S658" s="2">
        <v>6</v>
      </c>
      <c r="T658" s="3">
        <v>113</v>
      </c>
      <c r="AR658" s="3" t="s">
        <v>636</v>
      </c>
      <c r="AS658" s="3" t="s">
        <v>624</v>
      </c>
      <c r="AT658" s="3">
        <v>43.5</v>
      </c>
      <c r="AU658" s="3" t="s">
        <v>86</v>
      </c>
      <c r="AV658" s="3" t="s">
        <v>640</v>
      </c>
      <c r="AW658" s="3" t="s">
        <v>619</v>
      </c>
    </row>
    <row r="659" spans="1:49" x14ac:dyDescent="0.15">
      <c r="A659" s="2">
        <v>658</v>
      </c>
      <c r="B659" s="2" t="s">
        <v>645</v>
      </c>
      <c r="C659" s="2" t="s">
        <v>647</v>
      </c>
      <c r="D659" s="2" t="s">
        <v>646</v>
      </c>
      <c r="E659" s="2" t="s">
        <v>633</v>
      </c>
      <c r="J659" s="2">
        <v>2008</v>
      </c>
      <c r="P659" s="2">
        <v>5</v>
      </c>
      <c r="Q659" s="2">
        <v>6</v>
      </c>
      <c r="R659" s="2">
        <v>7</v>
      </c>
      <c r="T659" s="3">
        <v>19</v>
      </c>
      <c r="AR659" s="3" t="s">
        <v>636</v>
      </c>
      <c r="AS659" s="4" t="s">
        <v>638</v>
      </c>
      <c r="AT659" s="4">
        <v>47.75</v>
      </c>
      <c r="AU659" s="4" t="s">
        <v>806</v>
      </c>
      <c r="AV659" s="3" t="s">
        <v>640</v>
      </c>
      <c r="AW659" s="3" t="s">
        <v>619</v>
      </c>
    </row>
    <row r="660" spans="1:49" x14ac:dyDescent="0.15">
      <c r="A660" s="2">
        <v>659</v>
      </c>
      <c r="B660" s="2" t="s">
        <v>648</v>
      </c>
      <c r="C660" s="2" t="s">
        <v>117</v>
      </c>
      <c r="D660" s="2" t="s">
        <v>115</v>
      </c>
      <c r="E660" s="2" t="s">
        <v>82</v>
      </c>
      <c r="H660" s="2" t="s">
        <v>623</v>
      </c>
      <c r="I660" s="2" t="s">
        <v>643</v>
      </c>
      <c r="J660" s="2">
        <v>1983</v>
      </c>
      <c r="K660" s="2">
        <v>6</v>
      </c>
      <c r="L660" s="2">
        <v>1984</v>
      </c>
      <c r="M660" s="2">
        <v>3</v>
      </c>
      <c r="N660" s="3">
        <v>1000</v>
      </c>
      <c r="O660" s="3">
        <v>64</v>
      </c>
      <c r="P660" s="2">
        <v>66</v>
      </c>
      <c r="Q660" s="2">
        <v>77</v>
      </c>
      <c r="R660" s="2">
        <v>8</v>
      </c>
      <c r="S660" s="2">
        <v>10</v>
      </c>
      <c r="T660" s="3">
        <v>222</v>
      </c>
      <c r="U660" s="3">
        <f>Y660*0.015</f>
        <v>1.2131999999999998</v>
      </c>
      <c r="V660" s="3">
        <v>58.07</v>
      </c>
      <c r="W660" s="3">
        <f>Y660*0.015</f>
        <v>1.2131999999999998</v>
      </c>
      <c r="X660" s="3">
        <v>19.649999999999999</v>
      </c>
      <c r="Y660" s="3">
        <v>80.88</v>
      </c>
      <c r="AA660" s="3">
        <v>8</v>
      </c>
      <c r="AB660" s="3">
        <v>620</v>
      </c>
      <c r="AC660" s="3">
        <v>24</v>
      </c>
      <c r="AD660" s="3">
        <v>2</v>
      </c>
      <c r="AE660" s="3">
        <v>655</v>
      </c>
      <c r="AR660" s="3" t="s">
        <v>636</v>
      </c>
      <c r="AS660" s="4" t="s">
        <v>638</v>
      </c>
      <c r="AT660" s="4">
        <v>47.75</v>
      </c>
      <c r="AU660" s="4" t="s">
        <v>806</v>
      </c>
      <c r="AV660" s="3" t="s">
        <v>649</v>
      </c>
      <c r="AW660" s="3" t="s">
        <v>619</v>
      </c>
    </row>
    <row r="661" spans="1:49" x14ac:dyDescent="0.15">
      <c r="A661" s="2">
        <v>660</v>
      </c>
      <c r="B661" s="2" t="s">
        <v>648</v>
      </c>
      <c r="C661" s="2" t="s">
        <v>117</v>
      </c>
      <c r="D661" s="2" t="s">
        <v>115</v>
      </c>
      <c r="E661" s="2" t="s">
        <v>82</v>
      </c>
      <c r="H661" s="2" t="s">
        <v>623</v>
      </c>
      <c r="I661" s="2" t="s">
        <v>643</v>
      </c>
      <c r="J661" s="2">
        <v>1984</v>
      </c>
      <c r="K661" s="2">
        <v>6</v>
      </c>
      <c r="L661" s="2">
        <v>1984</v>
      </c>
      <c r="M661" s="2">
        <v>3</v>
      </c>
      <c r="N661" s="3">
        <v>1000</v>
      </c>
      <c r="O661" s="3">
        <v>64</v>
      </c>
      <c r="P661" s="2">
        <v>66</v>
      </c>
      <c r="Q661" s="2">
        <v>77</v>
      </c>
      <c r="R661" s="2">
        <v>8</v>
      </c>
      <c r="S661" s="2">
        <v>10</v>
      </c>
      <c r="T661" s="3">
        <v>222</v>
      </c>
      <c r="U661" s="3">
        <f>Y661*0.015</f>
        <v>1.2131999999999998</v>
      </c>
      <c r="V661" s="3">
        <v>58.07</v>
      </c>
      <c r="W661" s="3">
        <f>Y661*0.015</f>
        <v>1.2131999999999998</v>
      </c>
      <c r="X661" s="3">
        <v>19.649999999999999</v>
      </c>
      <c r="Y661" s="3">
        <v>80.88</v>
      </c>
      <c r="AA661" s="3">
        <v>8</v>
      </c>
      <c r="AB661" s="3">
        <v>620</v>
      </c>
      <c r="AC661" s="3">
        <v>24</v>
      </c>
      <c r="AD661" s="3">
        <v>2</v>
      </c>
      <c r="AE661" s="3">
        <v>655</v>
      </c>
      <c r="AR661" s="3" t="s">
        <v>636</v>
      </c>
      <c r="AS661" s="4" t="s">
        <v>638</v>
      </c>
      <c r="AT661" s="4">
        <v>47.75</v>
      </c>
      <c r="AU661" s="4" t="s">
        <v>806</v>
      </c>
      <c r="AV661" s="3" t="s">
        <v>649</v>
      </c>
      <c r="AW661" s="3" t="s">
        <v>619</v>
      </c>
    </row>
    <row r="662" spans="1:49" x14ac:dyDescent="0.15">
      <c r="A662" s="2">
        <v>661</v>
      </c>
      <c r="B662" s="2" t="s">
        <v>648</v>
      </c>
      <c r="C662" s="2" t="s">
        <v>116</v>
      </c>
      <c r="D662" s="2" t="s">
        <v>115</v>
      </c>
      <c r="E662" s="2" t="s">
        <v>82</v>
      </c>
      <c r="H662" s="2" t="s">
        <v>623</v>
      </c>
      <c r="I662" s="2" t="s">
        <v>643</v>
      </c>
      <c r="J662" s="2">
        <v>1983</v>
      </c>
      <c r="K662" s="2">
        <v>6</v>
      </c>
      <c r="L662" s="2">
        <v>1984</v>
      </c>
      <c r="M662" s="2">
        <v>3</v>
      </c>
      <c r="N662" s="3">
        <v>1000</v>
      </c>
      <c r="O662" s="3">
        <v>10</v>
      </c>
      <c r="P662" s="2">
        <v>52</v>
      </c>
      <c r="Q662" s="2">
        <v>66</v>
      </c>
      <c r="R662" s="2">
        <v>6</v>
      </c>
      <c r="S662" s="2">
        <v>9</v>
      </c>
      <c r="T662" s="3">
        <v>180</v>
      </c>
      <c r="U662" s="3">
        <v>0.01</v>
      </c>
      <c r="V662" s="3">
        <v>0.03</v>
      </c>
      <c r="W662" s="3">
        <v>0.02</v>
      </c>
      <c r="Y662" s="3">
        <v>0.06</v>
      </c>
      <c r="AA662" s="3">
        <v>1</v>
      </c>
      <c r="AB662" s="3">
        <v>10</v>
      </c>
      <c r="AC662" s="3">
        <v>1</v>
      </c>
      <c r="AE662" s="3">
        <v>12</v>
      </c>
      <c r="AR662" s="3" t="s">
        <v>636</v>
      </c>
      <c r="AS662" s="4" t="s">
        <v>638</v>
      </c>
      <c r="AT662" s="4">
        <v>47.75</v>
      </c>
      <c r="AU662" s="4" t="s">
        <v>806</v>
      </c>
      <c r="AW662" s="3" t="s">
        <v>619</v>
      </c>
    </row>
    <row r="663" spans="1:49" x14ac:dyDescent="0.15">
      <c r="A663" s="2">
        <v>662</v>
      </c>
      <c r="B663" s="2" t="s">
        <v>648</v>
      </c>
      <c r="C663" s="2" t="s">
        <v>87</v>
      </c>
      <c r="D663" s="2" t="s">
        <v>115</v>
      </c>
      <c r="E663" s="2" t="s">
        <v>82</v>
      </c>
      <c r="H663" s="2" t="s">
        <v>623</v>
      </c>
      <c r="I663" s="2" t="s">
        <v>643</v>
      </c>
      <c r="J663" s="2">
        <v>1983</v>
      </c>
      <c r="K663" s="2">
        <v>6</v>
      </c>
      <c r="L663" s="2">
        <v>1984</v>
      </c>
      <c r="M663" s="2">
        <v>3</v>
      </c>
      <c r="N663" s="3">
        <v>1000</v>
      </c>
      <c r="O663" s="3">
        <v>32</v>
      </c>
      <c r="P663" s="2">
        <v>26</v>
      </c>
      <c r="Q663" s="2">
        <v>24</v>
      </c>
      <c r="R663" s="2">
        <v>5</v>
      </c>
      <c r="S663" s="2">
        <v>2</v>
      </c>
      <c r="T663" s="3">
        <v>78</v>
      </c>
      <c r="U663" s="3">
        <v>1.49</v>
      </c>
      <c r="V663" s="3">
        <v>128.22</v>
      </c>
      <c r="W663" s="3">
        <v>1.98</v>
      </c>
      <c r="X663" s="3">
        <v>32.1</v>
      </c>
      <c r="Y663" s="3">
        <v>165.45</v>
      </c>
      <c r="AA663" s="3">
        <v>5</v>
      </c>
      <c r="AB663" s="3">
        <v>1430</v>
      </c>
      <c r="AC663" s="3">
        <v>42</v>
      </c>
      <c r="AD663" s="3">
        <v>13</v>
      </c>
      <c r="AE663" s="3">
        <v>1495</v>
      </c>
      <c r="AR663" s="3" t="s">
        <v>636</v>
      </c>
      <c r="AS663" s="4" t="s">
        <v>638</v>
      </c>
      <c r="AT663" s="4">
        <v>47.75</v>
      </c>
      <c r="AU663" s="4" t="s">
        <v>806</v>
      </c>
      <c r="AW663" s="3" t="s">
        <v>619</v>
      </c>
    </row>
    <row r="664" spans="1:49" x14ac:dyDescent="0.15">
      <c r="A664" s="2">
        <v>663</v>
      </c>
      <c r="B664" s="2" t="s">
        <v>648</v>
      </c>
      <c r="C664" s="2" t="s">
        <v>650</v>
      </c>
      <c r="D664" s="2" t="s">
        <v>115</v>
      </c>
      <c r="E664" s="2" t="s">
        <v>82</v>
      </c>
      <c r="H664" s="2" t="s">
        <v>623</v>
      </c>
      <c r="I664" s="2" t="s">
        <v>643</v>
      </c>
      <c r="J664" s="2">
        <v>1983</v>
      </c>
      <c r="K664" s="2">
        <v>6</v>
      </c>
      <c r="L664" s="2">
        <v>1984</v>
      </c>
      <c r="M664" s="2">
        <v>3</v>
      </c>
      <c r="N664" s="3">
        <v>1000</v>
      </c>
      <c r="O664" s="3">
        <v>16</v>
      </c>
      <c r="P664" s="2">
        <v>11</v>
      </c>
      <c r="Q664" s="2">
        <v>4</v>
      </c>
      <c r="R664" s="2">
        <v>0</v>
      </c>
      <c r="S664" s="2">
        <v>2</v>
      </c>
      <c r="T664" s="3">
        <v>29</v>
      </c>
      <c r="U664" s="3">
        <v>0.59</v>
      </c>
      <c r="V664" s="3">
        <v>2.0099999999999998</v>
      </c>
      <c r="W664" s="3">
        <v>1.29</v>
      </c>
      <c r="X664" s="3">
        <v>20.63</v>
      </c>
      <c r="Y664" s="3">
        <v>25.79</v>
      </c>
      <c r="AA664" s="3">
        <v>2</v>
      </c>
      <c r="AB664" s="3">
        <v>15</v>
      </c>
      <c r="AC664" s="3">
        <v>24</v>
      </c>
      <c r="AD664" s="3">
        <v>4</v>
      </c>
      <c r="AE664" s="3">
        <v>52</v>
      </c>
      <c r="AR664" s="3" t="s">
        <v>636</v>
      </c>
      <c r="AS664" s="4" t="s">
        <v>638</v>
      </c>
      <c r="AT664" s="4">
        <v>47.75</v>
      </c>
      <c r="AU664" s="4" t="s">
        <v>806</v>
      </c>
      <c r="AW664" s="3" t="s">
        <v>619</v>
      </c>
    </row>
    <row r="665" spans="1:49" x14ac:dyDescent="0.15">
      <c r="A665" s="2">
        <v>664</v>
      </c>
      <c r="B665" s="2" t="s">
        <v>648</v>
      </c>
      <c r="C665" s="2" t="s">
        <v>116</v>
      </c>
      <c r="D665" s="2" t="s">
        <v>115</v>
      </c>
      <c r="E665" s="2" t="s">
        <v>82</v>
      </c>
      <c r="H665" s="2" t="s">
        <v>623</v>
      </c>
      <c r="I665" s="2" t="s">
        <v>643</v>
      </c>
      <c r="J665" s="2">
        <v>1984</v>
      </c>
      <c r="K665" s="2">
        <v>6</v>
      </c>
      <c r="L665" s="2">
        <v>1984</v>
      </c>
      <c r="M665" s="2">
        <v>3</v>
      </c>
      <c r="N665" s="3">
        <v>1000</v>
      </c>
      <c r="O665" s="3">
        <v>10</v>
      </c>
      <c r="P665" s="2">
        <v>52</v>
      </c>
      <c r="Q665" s="2">
        <v>66</v>
      </c>
      <c r="R665" s="2">
        <v>6</v>
      </c>
      <c r="S665" s="2">
        <v>9</v>
      </c>
      <c r="T665" s="3">
        <v>180</v>
      </c>
      <c r="U665" s="3">
        <v>0.01</v>
      </c>
      <c r="V665" s="3">
        <v>0.03</v>
      </c>
      <c r="W665" s="3">
        <v>0.02</v>
      </c>
      <c r="Y665" s="3">
        <v>0.06</v>
      </c>
      <c r="AA665" s="3">
        <v>1</v>
      </c>
      <c r="AB665" s="3">
        <v>10</v>
      </c>
      <c r="AC665" s="3">
        <v>1</v>
      </c>
      <c r="AE665" s="3">
        <v>12</v>
      </c>
      <c r="AR665" s="3" t="s">
        <v>636</v>
      </c>
      <c r="AS665" s="4" t="s">
        <v>638</v>
      </c>
      <c r="AT665" s="4">
        <v>47.75</v>
      </c>
      <c r="AU665" s="4" t="s">
        <v>806</v>
      </c>
      <c r="AW665" s="3" t="s">
        <v>619</v>
      </c>
    </row>
    <row r="666" spans="1:49" x14ac:dyDescent="0.15">
      <c r="A666" s="2">
        <v>665</v>
      </c>
      <c r="B666" s="2" t="s">
        <v>648</v>
      </c>
      <c r="C666" s="2" t="s">
        <v>87</v>
      </c>
      <c r="D666" s="2" t="s">
        <v>115</v>
      </c>
      <c r="E666" s="2" t="s">
        <v>82</v>
      </c>
      <c r="H666" s="2" t="s">
        <v>623</v>
      </c>
      <c r="I666" s="2" t="s">
        <v>643</v>
      </c>
      <c r="J666" s="2">
        <v>1984</v>
      </c>
      <c r="K666" s="2">
        <v>6</v>
      </c>
      <c r="L666" s="2">
        <v>1984</v>
      </c>
      <c r="M666" s="2">
        <v>3</v>
      </c>
      <c r="N666" s="3">
        <v>1000</v>
      </c>
      <c r="O666" s="3">
        <v>32</v>
      </c>
      <c r="P666" s="2">
        <v>26</v>
      </c>
      <c r="Q666" s="2">
        <v>24</v>
      </c>
      <c r="R666" s="2">
        <v>5</v>
      </c>
      <c r="S666" s="2">
        <v>2</v>
      </c>
      <c r="T666" s="3">
        <v>78</v>
      </c>
      <c r="U666" s="3">
        <v>1.49</v>
      </c>
      <c r="V666" s="3">
        <v>128.22</v>
      </c>
      <c r="W666" s="3">
        <v>1.98</v>
      </c>
      <c r="X666" s="3">
        <v>32.1</v>
      </c>
      <c r="Y666" s="3">
        <v>165.45</v>
      </c>
      <c r="AA666" s="3">
        <v>5</v>
      </c>
      <c r="AB666" s="3">
        <v>1430</v>
      </c>
      <c r="AC666" s="3">
        <v>42</v>
      </c>
      <c r="AD666" s="3">
        <v>13</v>
      </c>
      <c r="AE666" s="3">
        <v>1495</v>
      </c>
      <c r="AR666" s="3" t="s">
        <v>636</v>
      </c>
      <c r="AS666" s="4" t="s">
        <v>638</v>
      </c>
      <c r="AT666" s="4">
        <v>47.75</v>
      </c>
      <c r="AU666" s="4" t="s">
        <v>806</v>
      </c>
      <c r="AW666" s="3" t="s">
        <v>619</v>
      </c>
    </row>
    <row r="667" spans="1:49" x14ac:dyDescent="0.15">
      <c r="A667" s="2">
        <v>666</v>
      </c>
      <c r="B667" s="2" t="s">
        <v>648</v>
      </c>
      <c r="C667" s="2" t="s">
        <v>650</v>
      </c>
      <c r="D667" s="2" t="s">
        <v>115</v>
      </c>
      <c r="E667" s="2" t="s">
        <v>82</v>
      </c>
      <c r="H667" s="2" t="s">
        <v>623</v>
      </c>
      <c r="I667" s="2" t="s">
        <v>643</v>
      </c>
      <c r="J667" s="2">
        <v>1984</v>
      </c>
      <c r="K667" s="2">
        <v>6</v>
      </c>
      <c r="L667" s="2">
        <v>1984</v>
      </c>
      <c r="M667" s="2">
        <v>3</v>
      </c>
      <c r="N667" s="3">
        <v>1000</v>
      </c>
      <c r="O667" s="3">
        <v>16</v>
      </c>
      <c r="P667" s="2">
        <v>11</v>
      </c>
      <c r="Q667" s="2">
        <v>4</v>
      </c>
      <c r="R667" s="2">
        <v>0</v>
      </c>
      <c r="S667" s="2">
        <v>2</v>
      </c>
      <c r="T667" s="3">
        <v>29</v>
      </c>
      <c r="U667" s="3">
        <v>0.59</v>
      </c>
      <c r="V667" s="3">
        <v>2.0099999999999998</v>
      </c>
      <c r="W667" s="3">
        <v>1.29</v>
      </c>
      <c r="X667" s="3">
        <v>20.63</v>
      </c>
      <c r="Y667" s="3">
        <v>25.79</v>
      </c>
      <c r="AA667" s="3">
        <v>2</v>
      </c>
      <c r="AB667" s="3">
        <v>15</v>
      </c>
      <c r="AC667" s="3">
        <v>24</v>
      </c>
      <c r="AD667" s="3">
        <v>4</v>
      </c>
      <c r="AE667" s="3">
        <v>52</v>
      </c>
      <c r="AR667" s="3" t="s">
        <v>636</v>
      </c>
      <c r="AS667" s="4" t="s">
        <v>638</v>
      </c>
      <c r="AT667" s="4">
        <v>47.75</v>
      </c>
      <c r="AU667" s="4" t="s">
        <v>806</v>
      </c>
      <c r="AW667" s="3" t="s">
        <v>619</v>
      </c>
    </row>
    <row r="668" spans="1:49" x14ac:dyDescent="0.15">
      <c r="A668" s="2">
        <v>667</v>
      </c>
      <c r="B668" s="2" t="s">
        <v>651</v>
      </c>
      <c r="C668" s="2" t="s">
        <v>652</v>
      </c>
      <c r="D668" s="2" t="s">
        <v>653</v>
      </c>
      <c r="E668" s="2" t="s">
        <v>627</v>
      </c>
      <c r="H668" s="2" t="s">
        <v>623</v>
      </c>
      <c r="I668" s="2" t="s">
        <v>654</v>
      </c>
      <c r="J668" s="2">
        <v>2001</v>
      </c>
      <c r="K668" s="2">
        <v>8</v>
      </c>
      <c r="L668" s="2">
        <v>2002</v>
      </c>
      <c r="M668" s="2">
        <v>10</v>
      </c>
      <c r="N668" s="3">
        <v>1000</v>
      </c>
      <c r="O668" s="3">
        <v>20</v>
      </c>
      <c r="P668" s="2">
        <v>66</v>
      </c>
      <c r="Q668" s="2">
        <v>29</v>
      </c>
      <c r="R668" s="2">
        <v>54</v>
      </c>
      <c r="S668" s="2">
        <v>17</v>
      </c>
      <c r="T668" s="3">
        <v>182</v>
      </c>
      <c r="U668" s="3">
        <f>AVERAGE(U669:U678)</f>
        <v>7.0529999999999999</v>
      </c>
      <c r="V668" s="3">
        <f t="shared" ref="V668:Y668" si="47">AVERAGE(V669:V678)</f>
        <v>4.9249999999999998</v>
      </c>
      <c r="W668" s="3">
        <f t="shared" si="47"/>
        <v>5.3349999999999991</v>
      </c>
      <c r="X668" s="3">
        <f t="shared" si="47"/>
        <v>14.15</v>
      </c>
      <c r="Y668" s="3">
        <f t="shared" si="47"/>
        <v>39.948999999999998</v>
      </c>
      <c r="Z668" s="3">
        <f>_xlfn.STDEV.P(Y669:Y678)</f>
        <v>27.680062662501332</v>
      </c>
      <c r="AA668" s="3">
        <f>AVERAGE(AA669:AA678)</f>
        <v>324</v>
      </c>
      <c r="AB668" s="3">
        <f t="shared" ref="AB668" si="48">AVERAGE(AB669:AB678)</f>
        <v>168</v>
      </c>
      <c r="AC668" s="3">
        <f t="shared" ref="AC668" si="49">AVERAGE(AC669:AC678)</f>
        <v>201</v>
      </c>
      <c r="AD668" s="3">
        <f t="shared" ref="AD668" si="50">AVERAGE(AD669:AD678)</f>
        <v>59</v>
      </c>
      <c r="AE668" s="3">
        <f t="shared" ref="AE668" si="51">AVERAGE(AE669:AE678)</f>
        <v>767</v>
      </c>
      <c r="AF668" s="3">
        <f>_xlfn.STDEV.P(AE669:AE678)</f>
        <v>195.8596436226718</v>
      </c>
      <c r="AG668" s="3">
        <f t="shared" ref="AG668" si="52">AVERAGE(AG669:AG678)</f>
        <v>3.218</v>
      </c>
      <c r="AH668" s="3">
        <f>_xlfn.STDEV.P(AG669:AG678)</f>
        <v>0.54955982385905788</v>
      </c>
      <c r="AI668" s="3">
        <f t="shared" ref="AI668" si="53">AVERAGE(AI669:AI678)</f>
        <v>0.8640000000000001</v>
      </c>
      <c r="AJ668" s="3">
        <f>_xlfn.STDEV.P(AI669:AI678)</f>
        <v>4.2000000000000023E-2</v>
      </c>
      <c r="AM668" s="3">
        <f t="shared" ref="AM668" si="54">AVERAGE(AM669:AM678)</f>
        <v>1.7749999999999999</v>
      </c>
      <c r="AN668" s="3">
        <f>_xlfn.STDEV.P(AM669:AM678)</f>
        <v>0.48008853350189534</v>
      </c>
      <c r="AR668" s="3" t="s">
        <v>636</v>
      </c>
      <c r="AS668" s="4" t="s">
        <v>655</v>
      </c>
      <c r="AT668" s="4">
        <v>47.75</v>
      </c>
      <c r="AU668" s="4" t="s">
        <v>806</v>
      </c>
      <c r="AW668" s="3" t="s">
        <v>644</v>
      </c>
    </row>
    <row r="669" spans="1:49" x14ac:dyDescent="0.15">
      <c r="A669" s="2">
        <v>668</v>
      </c>
      <c r="B669" s="2" t="s">
        <v>651</v>
      </c>
      <c r="C669" s="2" t="s">
        <v>652</v>
      </c>
      <c r="D669" s="2" t="s">
        <v>653</v>
      </c>
      <c r="E669" s="2" t="s">
        <v>627</v>
      </c>
      <c r="H669" s="2" t="s">
        <v>623</v>
      </c>
      <c r="I669" s="2" t="s">
        <v>654</v>
      </c>
      <c r="J669" s="2">
        <v>2001</v>
      </c>
      <c r="K669" s="2">
        <v>8</v>
      </c>
      <c r="L669" s="2">
        <v>2002</v>
      </c>
      <c r="M669" s="2">
        <v>10</v>
      </c>
      <c r="N669" s="3">
        <v>1000</v>
      </c>
      <c r="O669" s="3">
        <v>2</v>
      </c>
      <c r="P669" s="2">
        <v>14</v>
      </c>
      <c r="Q669" s="2">
        <v>3</v>
      </c>
      <c r="R669" s="2">
        <v>18</v>
      </c>
      <c r="S669" s="2">
        <v>6</v>
      </c>
      <c r="T669" s="3">
        <v>47</v>
      </c>
      <c r="U669" s="3">
        <v>4.74</v>
      </c>
      <c r="V669" s="3">
        <v>0.78</v>
      </c>
      <c r="W669" s="3">
        <v>3.44</v>
      </c>
      <c r="X669" s="3">
        <v>15.99</v>
      </c>
      <c r="Y669" s="3">
        <v>41.96</v>
      </c>
      <c r="AA669" s="3">
        <v>685</v>
      </c>
      <c r="AB669" s="3">
        <v>15</v>
      </c>
      <c r="AC669" s="3">
        <v>195</v>
      </c>
      <c r="AD669" s="3">
        <v>55</v>
      </c>
      <c r="AE669" s="3">
        <v>990</v>
      </c>
      <c r="AG669" s="3">
        <v>2.77</v>
      </c>
      <c r="AI669" s="3">
        <v>0.82</v>
      </c>
      <c r="AM669" s="3">
        <v>1.52</v>
      </c>
      <c r="AR669" s="3" t="s">
        <v>636</v>
      </c>
      <c r="AS669" s="4" t="s">
        <v>655</v>
      </c>
      <c r="AT669" s="4">
        <v>47.75</v>
      </c>
      <c r="AU669" s="4" t="s">
        <v>806</v>
      </c>
      <c r="AW669" s="3" t="s">
        <v>644</v>
      </c>
    </row>
    <row r="670" spans="1:49" x14ac:dyDescent="0.15">
      <c r="A670" s="2">
        <v>669</v>
      </c>
      <c r="B670" s="2" t="s">
        <v>651</v>
      </c>
      <c r="C670" s="2" t="s">
        <v>652</v>
      </c>
      <c r="D670" s="2" t="s">
        <v>653</v>
      </c>
      <c r="E670" s="2" t="s">
        <v>627</v>
      </c>
      <c r="H670" s="2" t="s">
        <v>623</v>
      </c>
      <c r="I670" s="2" t="s">
        <v>654</v>
      </c>
      <c r="J670" s="2">
        <v>2001</v>
      </c>
      <c r="K670" s="2">
        <v>8</v>
      </c>
      <c r="L670" s="2">
        <v>2002</v>
      </c>
      <c r="M670" s="2">
        <v>10</v>
      </c>
      <c r="N670" s="3">
        <v>1000</v>
      </c>
      <c r="O670" s="3">
        <v>2</v>
      </c>
      <c r="P670" s="2">
        <v>16</v>
      </c>
      <c r="Q670" s="2">
        <v>3</v>
      </c>
      <c r="R670" s="2">
        <v>18</v>
      </c>
      <c r="S670" s="2">
        <v>1</v>
      </c>
      <c r="T670" s="3">
        <v>42</v>
      </c>
      <c r="U670" s="3">
        <v>7.86</v>
      </c>
      <c r="V670" s="3">
        <v>0.54</v>
      </c>
      <c r="W670" s="3">
        <v>7</v>
      </c>
      <c r="X670" s="3">
        <v>0.31</v>
      </c>
      <c r="Y670" s="3">
        <v>28.24</v>
      </c>
      <c r="AA670" s="3">
        <v>535</v>
      </c>
      <c r="AB670" s="3">
        <v>15</v>
      </c>
      <c r="AC670" s="3">
        <v>230</v>
      </c>
      <c r="AD670" s="3">
        <v>15</v>
      </c>
      <c r="AE670" s="3">
        <v>815</v>
      </c>
      <c r="AG670" s="3">
        <v>3.03</v>
      </c>
      <c r="AI670" s="3">
        <v>0.83</v>
      </c>
      <c r="AM670" s="3">
        <v>1.74</v>
      </c>
      <c r="AR670" s="3" t="s">
        <v>636</v>
      </c>
      <c r="AS670" s="4" t="s">
        <v>655</v>
      </c>
      <c r="AT670" s="4">
        <v>47.75</v>
      </c>
      <c r="AU670" s="4" t="s">
        <v>806</v>
      </c>
      <c r="AW670" s="3" t="s">
        <v>644</v>
      </c>
    </row>
    <row r="671" spans="1:49" x14ac:dyDescent="0.15">
      <c r="A671" s="2">
        <v>670</v>
      </c>
      <c r="B671" s="2" t="s">
        <v>651</v>
      </c>
      <c r="C671" s="2" t="s">
        <v>652</v>
      </c>
      <c r="D671" s="2" t="s">
        <v>653</v>
      </c>
      <c r="E671" s="2" t="s">
        <v>627</v>
      </c>
      <c r="H671" s="2" t="s">
        <v>623</v>
      </c>
      <c r="I671" s="2" t="s">
        <v>654</v>
      </c>
      <c r="J671" s="2">
        <v>2001</v>
      </c>
      <c r="K671" s="2">
        <v>8</v>
      </c>
      <c r="L671" s="2">
        <v>2002</v>
      </c>
      <c r="M671" s="2">
        <v>10</v>
      </c>
      <c r="N671" s="3">
        <v>1000</v>
      </c>
      <c r="O671" s="3">
        <v>2</v>
      </c>
      <c r="P671" s="2">
        <v>14</v>
      </c>
      <c r="Q671" s="2">
        <v>10</v>
      </c>
      <c r="R671" s="2">
        <v>16</v>
      </c>
      <c r="S671" s="2">
        <v>0</v>
      </c>
      <c r="T671" s="3">
        <v>42</v>
      </c>
      <c r="U671" s="3">
        <v>9.81</v>
      </c>
      <c r="V671" s="3">
        <v>10.25</v>
      </c>
      <c r="W671" s="3">
        <v>2.11</v>
      </c>
      <c r="X671" s="3">
        <v>0</v>
      </c>
      <c r="Y671" s="3">
        <v>23.34</v>
      </c>
      <c r="AA671" s="3">
        <v>245</v>
      </c>
      <c r="AB671" s="3">
        <v>165</v>
      </c>
      <c r="AC671" s="3">
        <v>315</v>
      </c>
      <c r="AD671" s="3">
        <v>0</v>
      </c>
      <c r="AE671" s="3">
        <v>735</v>
      </c>
      <c r="AG671" s="3">
        <v>3.68</v>
      </c>
      <c r="AI671" s="3">
        <v>0.91</v>
      </c>
      <c r="AM671" s="3">
        <v>2.06</v>
      </c>
      <c r="AR671" s="3" t="s">
        <v>636</v>
      </c>
      <c r="AS671" s="4" t="s">
        <v>655</v>
      </c>
      <c r="AT671" s="4">
        <v>47.75</v>
      </c>
      <c r="AU671" s="4" t="s">
        <v>806</v>
      </c>
      <c r="AW671" s="3" t="s">
        <v>644</v>
      </c>
    </row>
    <row r="672" spans="1:49" x14ac:dyDescent="0.15">
      <c r="A672" s="2">
        <v>671</v>
      </c>
      <c r="B672" s="2" t="s">
        <v>651</v>
      </c>
      <c r="C672" s="2" t="s">
        <v>652</v>
      </c>
      <c r="D672" s="2" t="s">
        <v>653</v>
      </c>
      <c r="E672" s="2" t="s">
        <v>627</v>
      </c>
      <c r="H672" s="2" t="s">
        <v>623</v>
      </c>
      <c r="I672" s="2" t="s">
        <v>654</v>
      </c>
      <c r="J672" s="2">
        <v>2001</v>
      </c>
      <c r="K672" s="2">
        <v>8</v>
      </c>
      <c r="L672" s="2">
        <v>2002</v>
      </c>
      <c r="M672" s="2">
        <v>10</v>
      </c>
      <c r="N672" s="3">
        <v>1000</v>
      </c>
      <c r="O672" s="3">
        <v>2</v>
      </c>
      <c r="P672" s="2">
        <v>4</v>
      </c>
      <c r="Q672" s="2">
        <v>7</v>
      </c>
      <c r="R672" s="2">
        <v>6</v>
      </c>
      <c r="S672" s="2">
        <v>1</v>
      </c>
      <c r="T672" s="3">
        <v>22</v>
      </c>
      <c r="U672" s="3">
        <v>1.1599999999999999</v>
      </c>
      <c r="V672" s="3">
        <v>3</v>
      </c>
      <c r="W672" s="3">
        <v>1.29</v>
      </c>
      <c r="X672" s="3">
        <v>4.4400000000000004</v>
      </c>
      <c r="Y672" s="3">
        <v>19.11</v>
      </c>
      <c r="AA672" s="3">
        <v>315</v>
      </c>
      <c r="AB672" s="3">
        <v>130</v>
      </c>
      <c r="AC672" s="3">
        <v>50</v>
      </c>
      <c r="AD672" s="3">
        <v>45</v>
      </c>
      <c r="AE672" s="3">
        <v>495</v>
      </c>
      <c r="AG672" s="3">
        <v>2.15</v>
      </c>
      <c r="AI672" s="3">
        <v>0.84</v>
      </c>
      <c r="AM672" s="3">
        <v>0.85</v>
      </c>
      <c r="AR672" s="3" t="s">
        <v>636</v>
      </c>
      <c r="AS672" s="4" t="s">
        <v>655</v>
      </c>
      <c r="AT672" s="4">
        <v>47.75</v>
      </c>
      <c r="AU672" s="4" t="s">
        <v>806</v>
      </c>
      <c r="AW672" s="3" t="s">
        <v>644</v>
      </c>
    </row>
    <row r="673" spans="1:49" x14ac:dyDescent="0.15">
      <c r="A673" s="2">
        <v>672</v>
      </c>
      <c r="B673" s="2" t="s">
        <v>651</v>
      </c>
      <c r="C673" s="2" t="s">
        <v>652</v>
      </c>
      <c r="D673" s="2" t="s">
        <v>653</v>
      </c>
      <c r="E673" s="2" t="s">
        <v>627</v>
      </c>
      <c r="H673" s="2" t="s">
        <v>623</v>
      </c>
      <c r="I673" s="2" t="s">
        <v>654</v>
      </c>
      <c r="J673" s="2">
        <v>2001</v>
      </c>
      <c r="K673" s="2">
        <v>8</v>
      </c>
      <c r="L673" s="2">
        <v>2002</v>
      </c>
      <c r="M673" s="2">
        <v>10</v>
      </c>
      <c r="N673" s="3">
        <v>1000</v>
      </c>
      <c r="O673" s="3">
        <v>2</v>
      </c>
      <c r="P673" s="2">
        <v>6</v>
      </c>
      <c r="Q673" s="2">
        <v>7</v>
      </c>
      <c r="R673" s="2">
        <v>5</v>
      </c>
      <c r="S673" s="2">
        <v>1</v>
      </c>
      <c r="T673" s="3">
        <v>2</v>
      </c>
      <c r="U673" s="3">
        <v>0.26</v>
      </c>
      <c r="V673" s="3">
        <v>8.8000000000000007</v>
      </c>
      <c r="W673" s="3">
        <v>1.21</v>
      </c>
      <c r="X673" s="3">
        <v>9.5399999999999991</v>
      </c>
      <c r="Y673" s="3">
        <v>20.74</v>
      </c>
      <c r="AA673" s="3">
        <v>155</v>
      </c>
      <c r="AB673" s="3">
        <v>475</v>
      </c>
      <c r="AC673" s="3">
        <v>135</v>
      </c>
      <c r="AD673" s="3">
        <v>145</v>
      </c>
      <c r="AE673" s="3">
        <v>930</v>
      </c>
      <c r="AG673" s="3">
        <v>2.61</v>
      </c>
      <c r="AI673" s="3">
        <v>0.8</v>
      </c>
      <c r="AM673" s="3">
        <v>1.1200000000000001</v>
      </c>
      <c r="AR673" s="3" t="s">
        <v>636</v>
      </c>
      <c r="AS673" s="4" t="s">
        <v>655</v>
      </c>
      <c r="AT673" s="4">
        <v>47.75</v>
      </c>
      <c r="AU673" s="4" t="s">
        <v>806</v>
      </c>
      <c r="AW673" s="3" t="s">
        <v>644</v>
      </c>
    </row>
    <row r="674" spans="1:49" x14ac:dyDescent="0.15">
      <c r="A674" s="2">
        <v>673</v>
      </c>
      <c r="B674" s="2" t="s">
        <v>651</v>
      </c>
      <c r="C674" s="2" t="s">
        <v>652</v>
      </c>
      <c r="D674" s="2" t="s">
        <v>653</v>
      </c>
      <c r="E674" s="2" t="s">
        <v>627</v>
      </c>
      <c r="H674" s="2" t="s">
        <v>623</v>
      </c>
      <c r="I674" s="2" t="s">
        <v>654</v>
      </c>
      <c r="J674" s="2">
        <v>2001</v>
      </c>
      <c r="K674" s="2">
        <v>8</v>
      </c>
      <c r="L674" s="2">
        <v>2002</v>
      </c>
      <c r="M674" s="2">
        <v>10</v>
      </c>
      <c r="N674" s="3">
        <v>1000</v>
      </c>
      <c r="O674" s="3">
        <v>2</v>
      </c>
      <c r="P674" s="2">
        <v>11</v>
      </c>
      <c r="Q674" s="2">
        <v>9</v>
      </c>
      <c r="R674" s="2">
        <v>8</v>
      </c>
      <c r="S674" s="2">
        <v>1</v>
      </c>
      <c r="T674" s="3">
        <v>29</v>
      </c>
      <c r="U674" s="3">
        <v>44.51</v>
      </c>
      <c r="V674" s="3">
        <v>8.7799999999999994</v>
      </c>
      <c r="W674" s="3">
        <v>2.36</v>
      </c>
      <c r="X674" s="3">
        <v>9.23</v>
      </c>
      <c r="Y674" s="3">
        <v>64.88</v>
      </c>
      <c r="AA674" s="3">
        <v>525</v>
      </c>
      <c r="AB674" s="3">
        <v>315</v>
      </c>
      <c r="AC674" s="3">
        <v>210</v>
      </c>
      <c r="AD674" s="3">
        <v>60</v>
      </c>
      <c r="AE674" s="3">
        <v>1110</v>
      </c>
      <c r="AG674" s="3">
        <v>3.22</v>
      </c>
      <c r="AI674" s="3">
        <v>0.83</v>
      </c>
      <c r="AM674" s="3">
        <v>1.8</v>
      </c>
      <c r="AR674" s="3" t="s">
        <v>636</v>
      </c>
      <c r="AS674" s="4" t="s">
        <v>655</v>
      </c>
      <c r="AT674" s="4">
        <v>47.75</v>
      </c>
      <c r="AU674" s="4" t="s">
        <v>806</v>
      </c>
      <c r="AW674" s="3" t="s">
        <v>644</v>
      </c>
    </row>
    <row r="675" spans="1:49" x14ac:dyDescent="0.15">
      <c r="A675" s="2">
        <v>674</v>
      </c>
      <c r="B675" s="2" t="s">
        <v>651</v>
      </c>
      <c r="C675" s="2" t="s">
        <v>652</v>
      </c>
      <c r="D675" s="2" t="s">
        <v>653</v>
      </c>
      <c r="E675" s="2" t="s">
        <v>627</v>
      </c>
      <c r="H675" s="2" t="s">
        <v>623</v>
      </c>
      <c r="I675" s="2" t="s">
        <v>654</v>
      </c>
      <c r="J675" s="2">
        <v>2001</v>
      </c>
      <c r="K675" s="2">
        <v>8</v>
      </c>
      <c r="L675" s="2">
        <v>2002</v>
      </c>
      <c r="M675" s="2">
        <v>10</v>
      </c>
      <c r="N675" s="3">
        <v>1000</v>
      </c>
      <c r="O675" s="3">
        <v>2</v>
      </c>
      <c r="P675" s="2">
        <v>6</v>
      </c>
      <c r="Q675" s="2">
        <v>8</v>
      </c>
      <c r="R675" s="2">
        <v>11</v>
      </c>
      <c r="S675" s="2">
        <v>3</v>
      </c>
      <c r="T675" s="3">
        <v>31</v>
      </c>
      <c r="U675" s="3">
        <v>0.11</v>
      </c>
      <c r="V675" s="3">
        <v>5.0999999999999996</v>
      </c>
      <c r="W675" s="3">
        <v>3.48</v>
      </c>
      <c r="X675" s="3">
        <v>7.63</v>
      </c>
      <c r="Y675" s="3">
        <v>21.24</v>
      </c>
      <c r="AA675" s="3">
        <v>95</v>
      </c>
      <c r="AB675" s="3">
        <v>210</v>
      </c>
      <c r="AC675" s="3">
        <v>290</v>
      </c>
      <c r="AD675" s="3">
        <v>55</v>
      </c>
      <c r="AE675" s="3">
        <v>665</v>
      </c>
      <c r="AG675" s="3">
        <v>3.43</v>
      </c>
      <c r="AI675" s="3">
        <v>0.91</v>
      </c>
      <c r="AM675" s="3">
        <v>1.84</v>
      </c>
      <c r="AR675" s="3" t="s">
        <v>636</v>
      </c>
      <c r="AS675" s="4" t="s">
        <v>655</v>
      </c>
      <c r="AT675" s="4">
        <v>47.75</v>
      </c>
      <c r="AU675" s="4" t="s">
        <v>806</v>
      </c>
      <c r="AW675" s="3" t="s">
        <v>644</v>
      </c>
    </row>
    <row r="676" spans="1:49" x14ac:dyDescent="0.15">
      <c r="A676" s="2">
        <v>675</v>
      </c>
      <c r="B676" s="2" t="s">
        <v>651</v>
      </c>
      <c r="C676" s="2" t="s">
        <v>652</v>
      </c>
      <c r="D676" s="2" t="s">
        <v>653</v>
      </c>
      <c r="E676" s="2" t="s">
        <v>627</v>
      </c>
      <c r="H676" s="2" t="s">
        <v>623</v>
      </c>
      <c r="I676" s="2" t="s">
        <v>654</v>
      </c>
      <c r="J676" s="2">
        <v>2001</v>
      </c>
      <c r="K676" s="2">
        <v>8</v>
      </c>
      <c r="L676" s="2">
        <v>2002</v>
      </c>
      <c r="M676" s="2">
        <v>10</v>
      </c>
      <c r="N676" s="3">
        <v>1000</v>
      </c>
      <c r="O676" s="3">
        <v>2</v>
      </c>
      <c r="P676" s="2">
        <v>11</v>
      </c>
      <c r="Q676" s="2">
        <v>8</v>
      </c>
      <c r="R676" s="2">
        <v>17</v>
      </c>
      <c r="S676" s="2">
        <v>4</v>
      </c>
      <c r="T676" s="3">
        <v>42</v>
      </c>
      <c r="U676" s="3">
        <v>0.23</v>
      </c>
      <c r="V676" s="3">
        <v>3.32</v>
      </c>
      <c r="W676" s="3">
        <v>24.18</v>
      </c>
      <c r="X676" s="3">
        <v>11.98</v>
      </c>
      <c r="Y676" s="3">
        <v>69.42</v>
      </c>
      <c r="AA676" s="3">
        <v>155</v>
      </c>
      <c r="AB676" s="3">
        <v>160</v>
      </c>
      <c r="AC676" s="3">
        <v>240</v>
      </c>
      <c r="AD676" s="3">
        <v>140</v>
      </c>
      <c r="AE676" s="3">
        <v>740</v>
      </c>
      <c r="AG676" s="3">
        <v>3.62</v>
      </c>
      <c r="AI676" s="3">
        <v>0.91</v>
      </c>
      <c r="AM676" s="3">
        <v>2.0499999999999998</v>
      </c>
      <c r="AR676" s="3" t="s">
        <v>636</v>
      </c>
      <c r="AS676" s="4" t="s">
        <v>655</v>
      </c>
      <c r="AT676" s="4">
        <v>47.75</v>
      </c>
      <c r="AU676" s="4" t="s">
        <v>806</v>
      </c>
      <c r="AW676" s="3" t="s">
        <v>644</v>
      </c>
    </row>
    <row r="677" spans="1:49" x14ac:dyDescent="0.15">
      <c r="A677" s="2">
        <v>676</v>
      </c>
      <c r="B677" s="2" t="s">
        <v>651</v>
      </c>
      <c r="C677" s="2" t="s">
        <v>652</v>
      </c>
      <c r="D677" s="2" t="s">
        <v>653</v>
      </c>
      <c r="E677" s="2" t="s">
        <v>627</v>
      </c>
      <c r="H677" s="2" t="s">
        <v>623</v>
      </c>
      <c r="I677" s="2" t="s">
        <v>654</v>
      </c>
      <c r="J677" s="2">
        <v>2001</v>
      </c>
      <c r="K677" s="2">
        <v>8</v>
      </c>
      <c r="L677" s="2">
        <v>2002</v>
      </c>
      <c r="M677" s="2">
        <v>10</v>
      </c>
      <c r="N677" s="3">
        <v>1000</v>
      </c>
      <c r="O677" s="3">
        <v>2</v>
      </c>
      <c r="P677" s="2">
        <v>16</v>
      </c>
      <c r="Q677" s="2">
        <v>9</v>
      </c>
      <c r="R677" s="2">
        <v>18</v>
      </c>
      <c r="S677" s="2">
        <v>6</v>
      </c>
      <c r="T677" s="3">
        <v>53</v>
      </c>
      <c r="U677" s="3">
        <v>0.77</v>
      </c>
      <c r="V677" s="3">
        <v>2.68</v>
      </c>
      <c r="W677" s="3">
        <v>6.23</v>
      </c>
      <c r="X677" s="3">
        <v>81.95</v>
      </c>
      <c r="Y677" s="3">
        <v>100.73</v>
      </c>
      <c r="AA677" s="3">
        <v>405</v>
      </c>
      <c r="AB677" s="3">
        <v>60</v>
      </c>
      <c r="AC677" s="3">
        <v>180</v>
      </c>
      <c r="AD677" s="3">
        <v>50</v>
      </c>
      <c r="AE677" s="3">
        <v>740</v>
      </c>
      <c r="AG677" s="3">
        <v>3.62</v>
      </c>
      <c r="AI677" s="3">
        <v>0.88</v>
      </c>
      <c r="AM677" s="3">
        <v>2.23</v>
      </c>
      <c r="AR677" s="3" t="s">
        <v>636</v>
      </c>
      <c r="AS677" s="4" t="s">
        <v>655</v>
      </c>
      <c r="AT677" s="4">
        <v>47.75</v>
      </c>
      <c r="AU677" s="4" t="s">
        <v>806</v>
      </c>
      <c r="AW677" s="3" t="s">
        <v>644</v>
      </c>
    </row>
    <row r="678" spans="1:49" x14ac:dyDescent="0.15">
      <c r="A678" s="2">
        <v>677</v>
      </c>
      <c r="B678" s="2" t="s">
        <v>651</v>
      </c>
      <c r="C678" s="2" t="s">
        <v>652</v>
      </c>
      <c r="D678" s="2" t="s">
        <v>653</v>
      </c>
      <c r="E678" s="2" t="s">
        <v>627</v>
      </c>
      <c r="H678" s="2" t="s">
        <v>623</v>
      </c>
      <c r="I678" s="2" t="s">
        <v>654</v>
      </c>
      <c r="J678" s="2">
        <v>2001</v>
      </c>
      <c r="K678" s="2">
        <v>8</v>
      </c>
      <c r="L678" s="2">
        <v>2002</v>
      </c>
      <c r="M678" s="2">
        <v>10</v>
      </c>
      <c r="N678" s="3">
        <v>1000</v>
      </c>
      <c r="O678" s="3">
        <v>2</v>
      </c>
      <c r="P678" s="2">
        <v>14</v>
      </c>
      <c r="Q678" s="2">
        <v>10</v>
      </c>
      <c r="R678" s="2">
        <v>13</v>
      </c>
      <c r="S678" s="2">
        <v>2</v>
      </c>
      <c r="T678" s="3">
        <v>40</v>
      </c>
      <c r="U678" s="3">
        <v>1.08</v>
      </c>
      <c r="V678" s="3">
        <v>6</v>
      </c>
      <c r="W678" s="3">
        <v>2.0499999999999998</v>
      </c>
      <c r="X678" s="3">
        <v>0.43</v>
      </c>
      <c r="Y678" s="3">
        <v>9.83</v>
      </c>
      <c r="AA678" s="3">
        <v>125</v>
      </c>
      <c r="AB678" s="3">
        <v>135</v>
      </c>
      <c r="AC678" s="3">
        <v>165</v>
      </c>
      <c r="AD678" s="3">
        <v>25</v>
      </c>
      <c r="AE678" s="3">
        <v>450</v>
      </c>
      <c r="AG678" s="3">
        <v>4.05</v>
      </c>
      <c r="AI678" s="3">
        <v>0.91</v>
      </c>
      <c r="AM678" s="3">
        <v>2.54</v>
      </c>
      <c r="AR678" s="3" t="s">
        <v>636</v>
      </c>
      <c r="AS678" s="4" t="s">
        <v>655</v>
      </c>
      <c r="AT678" s="4">
        <v>47.75</v>
      </c>
      <c r="AU678" s="4" t="s">
        <v>806</v>
      </c>
      <c r="AW678" s="3" t="s">
        <v>644</v>
      </c>
    </row>
    <row r="679" spans="1:49" x14ac:dyDescent="0.15">
      <c r="A679" s="2">
        <v>678</v>
      </c>
      <c r="B679" s="2" t="s">
        <v>656</v>
      </c>
      <c r="C679" s="2" t="s">
        <v>213</v>
      </c>
      <c r="D679" s="2" t="s">
        <v>213</v>
      </c>
      <c r="E679" s="2" t="s">
        <v>657</v>
      </c>
      <c r="H679" s="2" t="s">
        <v>623</v>
      </c>
      <c r="I679" s="2" t="s">
        <v>653</v>
      </c>
      <c r="J679" s="2">
        <v>2005</v>
      </c>
      <c r="N679" s="3">
        <v>1000</v>
      </c>
      <c r="O679" s="3">
        <f>28*4</f>
        <v>112</v>
      </c>
      <c r="P679" s="2">
        <v>37</v>
      </c>
      <c r="Q679" s="2">
        <v>27</v>
      </c>
      <c r="R679" s="2">
        <v>70</v>
      </c>
      <c r="S679" s="2">
        <v>8</v>
      </c>
      <c r="T679" s="3">
        <v>159</v>
      </c>
      <c r="U679" s="3">
        <v>4.37</v>
      </c>
      <c r="V679" s="3">
        <v>1.68</v>
      </c>
      <c r="W679" s="3">
        <v>3.05</v>
      </c>
      <c r="X679" s="3">
        <v>6.86</v>
      </c>
      <c r="Y679" s="3">
        <v>31.26</v>
      </c>
      <c r="AA679" s="3">
        <v>78.25</v>
      </c>
      <c r="AB679" s="3">
        <v>30.18</v>
      </c>
      <c r="AC679" s="3">
        <v>151.4</v>
      </c>
      <c r="AD679" s="3">
        <v>4.72</v>
      </c>
      <c r="AE679" s="3">
        <v>355.37</v>
      </c>
      <c r="AR679" s="3" t="s">
        <v>636</v>
      </c>
      <c r="AS679" s="4" t="s">
        <v>658</v>
      </c>
      <c r="AT679" s="4">
        <v>47.75</v>
      </c>
      <c r="AU679" s="4" t="s">
        <v>806</v>
      </c>
      <c r="AW679" s="3" t="s">
        <v>619</v>
      </c>
    </row>
    <row r="680" spans="1:49" x14ac:dyDescent="0.15">
      <c r="A680" s="2">
        <v>679</v>
      </c>
      <c r="B680" s="2" t="s">
        <v>656</v>
      </c>
      <c r="C680" s="2" t="s">
        <v>213</v>
      </c>
      <c r="D680" s="2" t="s">
        <v>213</v>
      </c>
      <c r="E680" s="2" t="s">
        <v>657</v>
      </c>
      <c r="H680" s="2" t="s">
        <v>623</v>
      </c>
      <c r="I680" s="2" t="s">
        <v>653</v>
      </c>
      <c r="J680" s="2">
        <v>2006</v>
      </c>
      <c r="N680" s="3">
        <v>1000</v>
      </c>
      <c r="O680" s="3">
        <f t="shared" ref="O680:O683" si="55">28*4</f>
        <v>112</v>
      </c>
      <c r="P680" s="2">
        <v>56</v>
      </c>
      <c r="Q680" s="2">
        <v>37</v>
      </c>
      <c r="R680" s="2">
        <v>75</v>
      </c>
      <c r="S680" s="2">
        <v>11</v>
      </c>
      <c r="T680" s="3">
        <v>194</v>
      </c>
      <c r="U680" s="3">
        <v>2.57</v>
      </c>
      <c r="V680" s="3">
        <v>8.18</v>
      </c>
      <c r="W680" s="3">
        <v>5.68</v>
      </c>
      <c r="X680" s="3">
        <v>8.61</v>
      </c>
      <c r="Y680" s="3">
        <v>32.1</v>
      </c>
      <c r="AA680" s="3">
        <v>82.05</v>
      </c>
      <c r="AB680" s="3">
        <v>29.59</v>
      </c>
      <c r="AC680" s="3">
        <v>179.89</v>
      </c>
      <c r="AD680" s="3">
        <v>5.68</v>
      </c>
      <c r="AE680" s="3">
        <v>345.45</v>
      </c>
      <c r="AR680" s="3" t="s">
        <v>636</v>
      </c>
      <c r="AS680" s="4" t="s">
        <v>658</v>
      </c>
      <c r="AT680" s="4">
        <v>47.75</v>
      </c>
      <c r="AU680" s="4" t="s">
        <v>806</v>
      </c>
      <c r="AW680" s="3" t="s">
        <v>619</v>
      </c>
    </row>
    <row r="681" spans="1:49" x14ac:dyDescent="0.15">
      <c r="A681" s="2">
        <v>680</v>
      </c>
      <c r="B681" s="2" t="s">
        <v>656</v>
      </c>
      <c r="C681" s="2" t="s">
        <v>213</v>
      </c>
      <c r="D681" s="2" t="s">
        <v>213</v>
      </c>
      <c r="E681" s="2" t="s">
        <v>657</v>
      </c>
      <c r="H681" s="2" t="s">
        <v>623</v>
      </c>
      <c r="I681" s="2" t="s">
        <v>653</v>
      </c>
      <c r="J681" s="2">
        <v>2007</v>
      </c>
      <c r="N681" s="3">
        <v>1000</v>
      </c>
      <c r="O681" s="3">
        <f t="shared" si="55"/>
        <v>112</v>
      </c>
      <c r="P681" s="2">
        <v>53</v>
      </c>
      <c r="Q681" s="2">
        <v>29</v>
      </c>
      <c r="R681" s="2">
        <v>100</v>
      </c>
      <c r="S681" s="2">
        <v>8</v>
      </c>
      <c r="T681" s="3">
        <v>206</v>
      </c>
      <c r="U681" s="3">
        <v>3.64</v>
      </c>
      <c r="V681" s="3">
        <v>3.46</v>
      </c>
      <c r="W681" s="3">
        <v>3.02</v>
      </c>
      <c r="X681" s="3">
        <v>6.36</v>
      </c>
      <c r="Y681" s="3">
        <v>28.17</v>
      </c>
      <c r="AA681" s="3">
        <v>44.68</v>
      </c>
      <c r="AB681" s="3">
        <v>24.62</v>
      </c>
      <c r="AC681" s="3">
        <v>155.26</v>
      </c>
      <c r="AD681" s="3">
        <v>4.16</v>
      </c>
      <c r="AE681" s="3">
        <v>260.33</v>
      </c>
      <c r="AR681" s="3" t="s">
        <v>636</v>
      </c>
      <c r="AS681" s="4" t="s">
        <v>658</v>
      </c>
      <c r="AT681" s="4">
        <v>47.75</v>
      </c>
      <c r="AU681" s="4" t="s">
        <v>806</v>
      </c>
      <c r="AW681" s="3" t="s">
        <v>619</v>
      </c>
    </row>
    <row r="682" spans="1:49" x14ac:dyDescent="0.15">
      <c r="A682" s="2">
        <v>681</v>
      </c>
      <c r="B682" s="2" t="s">
        <v>656</v>
      </c>
      <c r="C682" s="2" t="s">
        <v>213</v>
      </c>
      <c r="D682" s="2" t="s">
        <v>213</v>
      </c>
      <c r="E682" s="2" t="s">
        <v>657</v>
      </c>
      <c r="H682" s="2" t="s">
        <v>623</v>
      </c>
      <c r="I682" s="2" t="s">
        <v>653</v>
      </c>
      <c r="J682" s="2">
        <v>2008</v>
      </c>
      <c r="N682" s="3">
        <v>1000</v>
      </c>
      <c r="O682" s="3">
        <f t="shared" si="55"/>
        <v>112</v>
      </c>
      <c r="P682" s="2">
        <v>44</v>
      </c>
      <c r="Q682" s="2">
        <v>24</v>
      </c>
      <c r="R682" s="2">
        <v>85</v>
      </c>
      <c r="S682" s="2">
        <v>6</v>
      </c>
      <c r="T682" s="3">
        <v>172</v>
      </c>
      <c r="U682" s="3">
        <v>2.68</v>
      </c>
      <c r="V682" s="3">
        <v>14.47</v>
      </c>
      <c r="W682" s="3">
        <v>1.96</v>
      </c>
      <c r="X682" s="3">
        <v>10.45</v>
      </c>
      <c r="Y682" s="3">
        <v>41.18</v>
      </c>
      <c r="AA682" s="3">
        <v>27.99</v>
      </c>
      <c r="AB682" s="3">
        <v>18.04</v>
      </c>
      <c r="AC682" s="3">
        <v>123.76</v>
      </c>
      <c r="AD682" s="3">
        <v>3.06</v>
      </c>
      <c r="AE682" s="3">
        <v>205.89</v>
      </c>
      <c r="AR682" s="3" t="s">
        <v>636</v>
      </c>
      <c r="AS682" s="4" t="s">
        <v>658</v>
      </c>
      <c r="AT682" s="4">
        <v>47.75</v>
      </c>
      <c r="AU682" s="4" t="s">
        <v>806</v>
      </c>
      <c r="AW682" s="3" t="s">
        <v>619</v>
      </c>
    </row>
    <row r="683" spans="1:49" x14ac:dyDescent="0.15">
      <c r="A683" s="2">
        <v>682</v>
      </c>
      <c r="B683" s="2" t="s">
        <v>656</v>
      </c>
      <c r="C683" s="2" t="s">
        <v>213</v>
      </c>
      <c r="D683" s="2" t="s">
        <v>213</v>
      </c>
      <c r="E683" s="2" t="s">
        <v>657</v>
      </c>
      <c r="H683" s="2" t="s">
        <v>623</v>
      </c>
      <c r="I683" s="2" t="s">
        <v>653</v>
      </c>
      <c r="J683" s="2">
        <v>2009</v>
      </c>
      <c r="N683" s="3">
        <v>1000</v>
      </c>
      <c r="O683" s="3">
        <f t="shared" si="55"/>
        <v>112</v>
      </c>
      <c r="P683" s="2">
        <v>38</v>
      </c>
      <c r="Q683" s="2">
        <v>39</v>
      </c>
      <c r="R683" s="2">
        <v>66</v>
      </c>
      <c r="S683" s="2">
        <v>6</v>
      </c>
      <c r="T683" s="3">
        <v>161</v>
      </c>
      <c r="U683" s="3">
        <v>1.08</v>
      </c>
      <c r="V683" s="3">
        <v>8.91</v>
      </c>
      <c r="W683" s="3">
        <v>1.62</v>
      </c>
      <c r="X683" s="3">
        <v>3.96</v>
      </c>
      <c r="Y683" s="3">
        <v>24.77</v>
      </c>
      <c r="AA683" s="3">
        <v>22.04</v>
      </c>
      <c r="AB683" s="3">
        <v>25.9</v>
      </c>
      <c r="AC683" s="3">
        <v>132.24</v>
      </c>
      <c r="AD683" s="3">
        <v>7.53</v>
      </c>
      <c r="AE683" s="3">
        <v>237.35</v>
      </c>
      <c r="AR683" s="3" t="s">
        <v>636</v>
      </c>
      <c r="AS683" s="4" t="s">
        <v>658</v>
      </c>
      <c r="AT683" s="4">
        <v>47.75</v>
      </c>
      <c r="AU683" s="4" t="s">
        <v>806</v>
      </c>
      <c r="AW683" s="3" t="s">
        <v>619</v>
      </c>
    </row>
    <row r="684" spans="1:49" x14ac:dyDescent="0.15">
      <c r="A684" s="2">
        <v>683</v>
      </c>
      <c r="B684" s="2" t="s">
        <v>656</v>
      </c>
      <c r="C684" s="2" t="s">
        <v>213</v>
      </c>
      <c r="D684" s="2" t="s">
        <v>213</v>
      </c>
      <c r="E684" s="2" t="s">
        <v>657</v>
      </c>
      <c r="H684" s="2" t="s">
        <v>623</v>
      </c>
      <c r="I684" s="2" t="s">
        <v>653</v>
      </c>
      <c r="J684" s="2">
        <v>2005</v>
      </c>
      <c r="K684" s="2">
        <v>5</v>
      </c>
      <c r="N684" s="3">
        <v>1000</v>
      </c>
      <c r="O684" s="3">
        <v>28</v>
      </c>
      <c r="P684" s="2">
        <v>24</v>
      </c>
      <c r="Q684" s="2">
        <v>11</v>
      </c>
      <c r="R684" s="2">
        <v>39</v>
      </c>
      <c r="S684" s="2">
        <v>4</v>
      </c>
      <c r="T684" s="3">
        <v>87</v>
      </c>
      <c r="U684" s="3">
        <v>10.41</v>
      </c>
      <c r="V684" s="3">
        <v>1.57</v>
      </c>
      <c r="W684" s="3">
        <v>3.27</v>
      </c>
      <c r="X684" s="3">
        <v>8.2799999999999994</v>
      </c>
      <c r="Y684" s="3">
        <v>33.450000000000003</v>
      </c>
      <c r="AA684" s="3">
        <v>55</v>
      </c>
      <c r="AB684" s="3">
        <v>40.71</v>
      </c>
      <c r="AC684" s="3">
        <v>142.5</v>
      </c>
      <c r="AD684" s="3">
        <v>6.79</v>
      </c>
      <c r="AE684" s="3">
        <v>117.5</v>
      </c>
      <c r="AR684" s="3" t="s">
        <v>636</v>
      </c>
      <c r="AS684" s="4" t="s">
        <v>658</v>
      </c>
      <c r="AT684" s="4">
        <v>47.75</v>
      </c>
      <c r="AU684" s="4" t="s">
        <v>806</v>
      </c>
      <c r="AW684" s="3" t="s">
        <v>619</v>
      </c>
    </row>
    <row r="685" spans="1:49" x14ac:dyDescent="0.15">
      <c r="A685" s="2">
        <v>684</v>
      </c>
      <c r="B685" s="2" t="s">
        <v>656</v>
      </c>
      <c r="C685" s="2" t="s">
        <v>213</v>
      </c>
      <c r="D685" s="2" t="s">
        <v>213</v>
      </c>
      <c r="E685" s="2" t="s">
        <v>657</v>
      </c>
      <c r="H685" s="2" t="s">
        <v>623</v>
      </c>
      <c r="I685" s="2" t="s">
        <v>653</v>
      </c>
      <c r="J685" s="2">
        <v>2006</v>
      </c>
      <c r="K685" s="2">
        <v>5</v>
      </c>
      <c r="N685" s="3">
        <v>1000</v>
      </c>
      <c r="O685" s="3">
        <v>28</v>
      </c>
      <c r="P685" s="2">
        <v>27</v>
      </c>
      <c r="Q685" s="2">
        <v>23</v>
      </c>
      <c r="R685" s="2">
        <v>39</v>
      </c>
      <c r="S685" s="2">
        <v>5</v>
      </c>
      <c r="T685" s="3">
        <v>101</v>
      </c>
      <c r="U685" s="3">
        <v>2.2599999999999998</v>
      </c>
      <c r="V685" s="3">
        <v>20.41</v>
      </c>
      <c r="W685" s="3">
        <v>2.92</v>
      </c>
      <c r="X685" s="3">
        <v>9.6999999999999993</v>
      </c>
      <c r="Y685" s="3">
        <v>3.1</v>
      </c>
      <c r="AA685" s="3">
        <v>50.36</v>
      </c>
      <c r="AB685" s="3">
        <v>54.29</v>
      </c>
      <c r="AC685" s="3">
        <v>176.43</v>
      </c>
      <c r="AD685" s="3">
        <v>3.57</v>
      </c>
      <c r="AE685" s="3">
        <v>49.29</v>
      </c>
      <c r="AR685" s="3" t="s">
        <v>636</v>
      </c>
      <c r="AS685" s="4" t="s">
        <v>658</v>
      </c>
      <c r="AT685" s="4">
        <v>47.75</v>
      </c>
      <c r="AU685" s="4" t="s">
        <v>806</v>
      </c>
      <c r="AW685" s="3" t="s">
        <v>619</v>
      </c>
    </row>
    <row r="686" spans="1:49" x14ac:dyDescent="0.15">
      <c r="A686" s="2">
        <v>685</v>
      </c>
      <c r="B686" s="2" t="s">
        <v>656</v>
      </c>
      <c r="C686" s="2" t="s">
        <v>213</v>
      </c>
      <c r="D686" s="2" t="s">
        <v>213</v>
      </c>
      <c r="E686" s="2" t="s">
        <v>657</v>
      </c>
      <c r="H686" s="2" t="s">
        <v>623</v>
      </c>
      <c r="I686" s="2" t="s">
        <v>653</v>
      </c>
      <c r="J686" s="2">
        <v>2007</v>
      </c>
      <c r="K686" s="2">
        <v>5</v>
      </c>
      <c r="N686" s="3">
        <v>1000</v>
      </c>
      <c r="O686" s="3">
        <v>28</v>
      </c>
      <c r="P686" s="2">
        <v>26</v>
      </c>
      <c r="Q686" s="2">
        <v>17</v>
      </c>
      <c r="R686" s="2">
        <v>45</v>
      </c>
      <c r="S686" s="2">
        <v>5</v>
      </c>
      <c r="T686" s="3">
        <v>101</v>
      </c>
      <c r="U686" s="3">
        <v>2.58</v>
      </c>
      <c r="V686" s="3">
        <v>4.21</v>
      </c>
      <c r="W686" s="3">
        <v>4.03</v>
      </c>
      <c r="X686" s="3">
        <v>0.37</v>
      </c>
      <c r="Y686" s="3">
        <v>11.73</v>
      </c>
      <c r="AA686" s="3">
        <v>58.21</v>
      </c>
      <c r="AB686" s="3">
        <v>47.86</v>
      </c>
      <c r="AC686" s="3">
        <v>131.08000000000001</v>
      </c>
      <c r="AD686" s="3">
        <v>3.21</v>
      </c>
      <c r="AE686" s="3">
        <v>72.86</v>
      </c>
      <c r="AR686" s="3" t="s">
        <v>636</v>
      </c>
      <c r="AS686" s="4" t="s">
        <v>658</v>
      </c>
      <c r="AT686" s="4">
        <v>47.75</v>
      </c>
      <c r="AU686" s="4" t="s">
        <v>806</v>
      </c>
      <c r="AW686" s="3" t="s">
        <v>619</v>
      </c>
    </row>
    <row r="687" spans="1:49" x14ac:dyDescent="0.15">
      <c r="A687" s="2">
        <v>686</v>
      </c>
      <c r="B687" s="2" t="s">
        <v>656</v>
      </c>
      <c r="C687" s="2" t="s">
        <v>213</v>
      </c>
      <c r="D687" s="2" t="s">
        <v>213</v>
      </c>
      <c r="E687" s="2" t="s">
        <v>657</v>
      </c>
      <c r="H687" s="2" t="s">
        <v>623</v>
      </c>
      <c r="I687" s="2" t="s">
        <v>653</v>
      </c>
      <c r="J687" s="2">
        <v>2008</v>
      </c>
      <c r="K687" s="2">
        <v>5</v>
      </c>
      <c r="N687" s="3">
        <v>1000</v>
      </c>
      <c r="O687" s="3">
        <v>28</v>
      </c>
      <c r="P687" s="2">
        <v>20</v>
      </c>
      <c r="Q687" s="2">
        <v>9</v>
      </c>
      <c r="R687" s="2">
        <v>39</v>
      </c>
      <c r="S687" s="2">
        <v>2</v>
      </c>
      <c r="T687" s="3">
        <v>77</v>
      </c>
      <c r="U687" s="3">
        <v>1.53</v>
      </c>
      <c r="V687" s="3">
        <v>0.82</v>
      </c>
      <c r="W687" s="3">
        <v>2.4700000000000002</v>
      </c>
      <c r="X687" s="3">
        <v>15.32</v>
      </c>
      <c r="Y687" s="3">
        <v>13.86</v>
      </c>
      <c r="AA687" s="3">
        <v>33</v>
      </c>
      <c r="AB687" s="3">
        <v>21.5</v>
      </c>
      <c r="AC687" s="3">
        <v>227</v>
      </c>
      <c r="AD687" s="3">
        <v>2.5</v>
      </c>
      <c r="AE687" s="3">
        <v>9</v>
      </c>
      <c r="AR687" s="3" t="s">
        <v>636</v>
      </c>
      <c r="AS687" s="4" t="s">
        <v>658</v>
      </c>
      <c r="AT687" s="4">
        <v>47.75</v>
      </c>
      <c r="AU687" s="4" t="s">
        <v>806</v>
      </c>
      <c r="AW687" s="3" t="s">
        <v>619</v>
      </c>
    </row>
    <row r="688" spans="1:49" x14ac:dyDescent="0.15">
      <c r="A688" s="2">
        <v>687</v>
      </c>
      <c r="B688" s="2" t="s">
        <v>656</v>
      </c>
      <c r="C688" s="2" t="s">
        <v>213</v>
      </c>
      <c r="D688" s="2" t="s">
        <v>213</v>
      </c>
      <c r="E688" s="2" t="s">
        <v>657</v>
      </c>
      <c r="H688" s="2" t="s">
        <v>623</v>
      </c>
      <c r="I688" s="2" t="s">
        <v>653</v>
      </c>
      <c r="J688" s="2">
        <v>2009</v>
      </c>
      <c r="K688" s="2">
        <v>5</v>
      </c>
      <c r="N688" s="3">
        <v>1000</v>
      </c>
      <c r="O688" s="3">
        <v>28</v>
      </c>
      <c r="P688" s="2">
        <v>15</v>
      </c>
      <c r="Q688" s="2">
        <v>25</v>
      </c>
      <c r="R688" s="2">
        <v>31</v>
      </c>
      <c r="S688" s="2">
        <v>3</v>
      </c>
      <c r="T688" s="3">
        <v>81</v>
      </c>
      <c r="U688" s="3">
        <v>1.46</v>
      </c>
      <c r="V688" s="3">
        <v>22.65</v>
      </c>
      <c r="W688" s="3">
        <v>2.64</v>
      </c>
      <c r="X688" s="3">
        <v>11.08</v>
      </c>
      <c r="Y688" s="3">
        <v>7.15</v>
      </c>
      <c r="AA688" s="3">
        <v>27.92</v>
      </c>
      <c r="AB688" s="3">
        <v>47.5</v>
      </c>
      <c r="AC688" s="3">
        <v>100.42</v>
      </c>
      <c r="AD688" s="3">
        <v>14.17</v>
      </c>
      <c r="AE688" s="3">
        <v>9.17</v>
      </c>
      <c r="AR688" s="3" t="s">
        <v>636</v>
      </c>
      <c r="AS688" s="4" t="s">
        <v>658</v>
      </c>
      <c r="AT688" s="4">
        <v>47.75</v>
      </c>
      <c r="AU688" s="4" t="s">
        <v>806</v>
      </c>
      <c r="AW688" s="3" t="s">
        <v>619</v>
      </c>
    </row>
    <row r="689" spans="1:49" x14ac:dyDescent="0.15">
      <c r="A689" s="2">
        <v>688</v>
      </c>
      <c r="B689" s="2" t="s">
        <v>656</v>
      </c>
      <c r="C689" s="2" t="s">
        <v>213</v>
      </c>
      <c r="D689" s="2" t="s">
        <v>213</v>
      </c>
      <c r="E689" s="2" t="s">
        <v>657</v>
      </c>
      <c r="H689" s="2" t="s">
        <v>623</v>
      </c>
      <c r="I689" s="2" t="s">
        <v>653</v>
      </c>
      <c r="J689" s="2">
        <v>2005</v>
      </c>
      <c r="K689" s="2">
        <v>8</v>
      </c>
      <c r="N689" s="3">
        <v>1000</v>
      </c>
      <c r="O689" s="3">
        <v>28</v>
      </c>
      <c r="P689" s="2">
        <v>26</v>
      </c>
      <c r="Q689" s="2">
        <v>14</v>
      </c>
      <c r="R689" s="2">
        <v>41</v>
      </c>
      <c r="S689" s="2">
        <v>4</v>
      </c>
      <c r="T689" s="3">
        <v>95</v>
      </c>
      <c r="U689" s="3">
        <v>2.61</v>
      </c>
      <c r="V689" s="3">
        <v>3.02</v>
      </c>
      <c r="W689" s="3">
        <v>3.77</v>
      </c>
      <c r="X689" s="3">
        <v>7.41</v>
      </c>
      <c r="Y689" s="3">
        <v>17.3</v>
      </c>
      <c r="AA689" s="3">
        <v>70.709999999999994</v>
      </c>
      <c r="AB689" s="3">
        <v>33.93</v>
      </c>
      <c r="AC689" s="3">
        <v>172.5</v>
      </c>
      <c r="AD689" s="3">
        <v>2.86</v>
      </c>
      <c r="AE689" s="3">
        <v>134.63999999999999</v>
      </c>
      <c r="AR689" s="3" t="s">
        <v>636</v>
      </c>
      <c r="AS689" s="4" t="s">
        <v>658</v>
      </c>
      <c r="AT689" s="4">
        <v>47.75</v>
      </c>
      <c r="AU689" s="4" t="s">
        <v>806</v>
      </c>
      <c r="AW689" s="3" t="s">
        <v>619</v>
      </c>
    </row>
    <row r="690" spans="1:49" x14ac:dyDescent="0.15">
      <c r="A690" s="2">
        <v>689</v>
      </c>
      <c r="B690" s="2" t="s">
        <v>656</v>
      </c>
      <c r="C690" s="2" t="s">
        <v>213</v>
      </c>
      <c r="D690" s="2" t="s">
        <v>213</v>
      </c>
      <c r="E690" s="2" t="s">
        <v>657</v>
      </c>
      <c r="H690" s="2" t="s">
        <v>623</v>
      </c>
      <c r="I690" s="2" t="s">
        <v>653</v>
      </c>
      <c r="J690" s="2">
        <v>2006</v>
      </c>
      <c r="K690" s="2">
        <v>8</v>
      </c>
      <c r="N690" s="3">
        <v>1000</v>
      </c>
      <c r="O690" s="3">
        <v>28</v>
      </c>
      <c r="P690" s="2">
        <v>28</v>
      </c>
      <c r="Q690" s="2">
        <v>18</v>
      </c>
      <c r="R690" s="2">
        <v>45</v>
      </c>
      <c r="S690" s="2">
        <v>7</v>
      </c>
      <c r="T690" s="3">
        <v>106</v>
      </c>
      <c r="U690" s="3">
        <v>1.17</v>
      </c>
      <c r="V690" s="3">
        <v>11.69</v>
      </c>
      <c r="W690" s="3">
        <v>10.96</v>
      </c>
      <c r="X690" s="3">
        <v>8.51</v>
      </c>
      <c r="Y690" s="3">
        <v>14.09</v>
      </c>
      <c r="AA690" s="3">
        <v>43.57</v>
      </c>
      <c r="AB690" s="3">
        <v>37.86</v>
      </c>
      <c r="AC690" s="3">
        <v>139.29</v>
      </c>
      <c r="AD690" s="3">
        <v>8.57</v>
      </c>
      <c r="AE690" s="3">
        <v>78.569999999999993</v>
      </c>
      <c r="AR690" s="3" t="s">
        <v>636</v>
      </c>
      <c r="AS690" s="4" t="s">
        <v>658</v>
      </c>
      <c r="AT690" s="4">
        <v>47.75</v>
      </c>
      <c r="AU690" s="4" t="s">
        <v>806</v>
      </c>
      <c r="AW690" s="3" t="s">
        <v>619</v>
      </c>
    </row>
    <row r="691" spans="1:49" x14ac:dyDescent="0.15">
      <c r="A691" s="2">
        <v>690</v>
      </c>
      <c r="B691" s="2" t="s">
        <v>656</v>
      </c>
      <c r="C691" s="2" t="s">
        <v>213</v>
      </c>
      <c r="D691" s="2" t="s">
        <v>213</v>
      </c>
      <c r="E691" s="2" t="s">
        <v>657</v>
      </c>
      <c r="H691" s="2" t="s">
        <v>623</v>
      </c>
      <c r="I691" s="2" t="s">
        <v>653</v>
      </c>
      <c r="J691" s="2">
        <v>2007</v>
      </c>
      <c r="K691" s="2">
        <v>8</v>
      </c>
      <c r="N691" s="3">
        <v>1000</v>
      </c>
      <c r="O691" s="3">
        <v>28</v>
      </c>
      <c r="P691" s="2">
        <v>28</v>
      </c>
      <c r="Q691" s="2">
        <v>13</v>
      </c>
      <c r="R691" s="2">
        <v>37</v>
      </c>
      <c r="S691" s="2">
        <v>1</v>
      </c>
      <c r="T691" s="3">
        <v>87</v>
      </c>
      <c r="U691" s="3">
        <v>2.44</v>
      </c>
      <c r="V691" s="3">
        <v>1.25</v>
      </c>
      <c r="W691" s="3">
        <v>1.73</v>
      </c>
      <c r="X691" s="3">
        <v>3.6</v>
      </c>
      <c r="Y691" s="3">
        <v>10.84</v>
      </c>
      <c r="AA691" s="3">
        <v>32.69</v>
      </c>
      <c r="AB691" s="3">
        <v>23.85</v>
      </c>
      <c r="AC691" s="3">
        <v>144.62</v>
      </c>
      <c r="AD691" s="3">
        <v>1.54</v>
      </c>
      <c r="AE691" s="3">
        <v>6.54</v>
      </c>
      <c r="AR691" s="3" t="s">
        <v>636</v>
      </c>
      <c r="AS691" s="4" t="s">
        <v>658</v>
      </c>
      <c r="AT691" s="4">
        <v>47.75</v>
      </c>
      <c r="AU691" s="4" t="s">
        <v>806</v>
      </c>
      <c r="AW691" s="3" t="s">
        <v>619</v>
      </c>
    </row>
    <row r="692" spans="1:49" x14ac:dyDescent="0.15">
      <c r="A692" s="2">
        <v>691</v>
      </c>
      <c r="B692" s="2" t="s">
        <v>656</v>
      </c>
      <c r="C692" s="2" t="s">
        <v>213</v>
      </c>
      <c r="D692" s="2" t="s">
        <v>213</v>
      </c>
      <c r="E692" s="2" t="s">
        <v>657</v>
      </c>
      <c r="H692" s="2" t="s">
        <v>623</v>
      </c>
      <c r="I692" s="2" t="s">
        <v>653</v>
      </c>
      <c r="J692" s="2">
        <v>2008</v>
      </c>
      <c r="K692" s="2">
        <v>8</v>
      </c>
      <c r="N692" s="3">
        <v>1000</v>
      </c>
      <c r="O692" s="3">
        <v>28</v>
      </c>
      <c r="P692" s="2">
        <v>21</v>
      </c>
      <c r="Q692" s="2">
        <v>10</v>
      </c>
      <c r="R692" s="2">
        <v>32</v>
      </c>
      <c r="S692" s="2">
        <v>1</v>
      </c>
      <c r="T692" s="3">
        <v>70</v>
      </c>
      <c r="U692" s="3">
        <v>2.02</v>
      </c>
      <c r="V692" s="3">
        <v>0.57999999999999996</v>
      </c>
      <c r="W692" s="3">
        <v>1.06</v>
      </c>
      <c r="X692" s="3">
        <v>20.78</v>
      </c>
      <c r="Y692" s="3">
        <v>9.4600000000000009</v>
      </c>
      <c r="AA692" s="3">
        <v>34.090000000000003</v>
      </c>
      <c r="AB692" s="3">
        <v>32.729999999999997</v>
      </c>
      <c r="AC692" s="3">
        <v>70.45</v>
      </c>
      <c r="AD692" s="3">
        <v>3.64</v>
      </c>
      <c r="AE692" s="3">
        <v>5.45</v>
      </c>
      <c r="AR692" s="3" t="s">
        <v>636</v>
      </c>
      <c r="AS692" s="4" t="s">
        <v>658</v>
      </c>
      <c r="AT692" s="4">
        <v>47.75</v>
      </c>
      <c r="AU692" s="4" t="s">
        <v>806</v>
      </c>
      <c r="AW692" s="3" t="s">
        <v>619</v>
      </c>
    </row>
    <row r="693" spans="1:49" x14ac:dyDescent="0.15">
      <c r="A693" s="2">
        <v>692</v>
      </c>
      <c r="B693" s="2" t="s">
        <v>656</v>
      </c>
      <c r="C693" s="2" t="s">
        <v>213</v>
      </c>
      <c r="D693" s="2" t="s">
        <v>213</v>
      </c>
      <c r="E693" s="2" t="s">
        <v>657</v>
      </c>
      <c r="H693" s="2" t="s">
        <v>623</v>
      </c>
      <c r="I693" s="2" t="s">
        <v>653</v>
      </c>
      <c r="J693" s="2">
        <v>2009</v>
      </c>
      <c r="K693" s="2">
        <v>8</v>
      </c>
      <c r="N693" s="3">
        <v>1000</v>
      </c>
      <c r="O693" s="3">
        <v>28</v>
      </c>
      <c r="P693" s="2">
        <v>14</v>
      </c>
      <c r="Q693" s="2">
        <v>13</v>
      </c>
      <c r="R693" s="2">
        <v>38</v>
      </c>
      <c r="S693" s="2">
        <v>4</v>
      </c>
      <c r="T693" s="3">
        <v>73</v>
      </c>
      <c r="U693" s="3">
        <v>0.88</v>
      </c>
      <c r="V693" s="3">
        <v>11.77</v>
      </c>
      <c r="W693" s="3">
        <v>0.65</v>
      </c>
      <c r="X693" s="3">
        <v>4.62</v>
      </c>
      <c r="Y693" s="3">
        <v>6.62</v>
      </c>
      <c r="AA693" s="3">
        <v>11.82</v>
      </c>
      <c r="AB693" s="3">
        <v>37.270000000000003</v>
      </c>
      <c r="AC693" s="3">
        <v>69.55</v>
      </c>
      <c r="AD693" s="3">
        <v>5</v>
      </c>
      <c r="AE693" s="3">
        <v>46.82</v>
      </c>
      <c r="AR693" s="3" t="s">
        <v>636</v>
      </c>
      <c r="AS693" s="4" t="s">
        <v>658</v>
      </c>
      <c r="AT693" s="4">
        <v>47.75</v>
      </c>
      <c r="AU693" s="4" t="s">
        <v>806</v>
      </c>
      <c r="AW693" s="3" t="s">
        <v>619</v>
      </c>
    </row>
    <row r="694" spans="1:49" x14ac:dyDescent="0.15">
      <c r="A694" s="2">
        <v>693</v>
      </c>
      <c r="B694" s="2" t="s">
        <v>656</v>
      </c>
      <c r="C694" s="2" t="s">
        <v>213</v>
      </c>
      <c r="D694" s="2" t="s">
        <v>213</v>
      </c>
      <c r="E694" s="2" t="s">
        <v>657</v>
      </c>
      <c r="H694" s="2" t="s">
        <v>623</v>
      </c>
      <c r="I694" s="2" t="s">
        <v>653</v>
      </c>
      <c r="J694" s="2">
        <v>2005</v>
      </c>
      <c r="K694" s="2">
        <v>11</v>
      </c>
      <c r="N694" s="3">
        <v>1000</v>
      </c>
      <c r="O694" s="3">
        <v>28</v>
      </c>
      <c r="P694" s="2">
        <v>15</v>
      </c>
      <c r="Q694" s="2">
        <v>8</v>
      </c>
      <c r="R694" s="2">
        <v>43</v>
      </c>
      <c r="S694" s="2">
        <v>3</v>
      </c>
      <c r="T694" s="3">
        <v>73</v>
      </c>
      <c r="U694" s="3">
        <v>3.1</v>
      </c>
      <c r="V694" s="3">
        <v>1.42</v>
      </c>
      <c r="W694" s="3">
        <v>1.67</v>
      </c>
      <c r="X694" s="3">
        <v>6.5</v>
      </c>
      <c r="Y694" s="3">
        <v>2.21</v>
      </c>
      <c r="AA694" s="3">
        <v>45.36</v>
      </c>
      <c r="AB694" s="3">
        <v>11.07</v>
      </c>
      <c r="AC694" s="3">
        <v>157.13999999999999</v>
      </c>
      <c r="AD694" s="3">
        <v>5</v>
      </c>
      <c r="AE694" s="3">
        <v>20</v>
      </c>
      <c r="AR694" s="3" t="s">
        <v>636</v>
      </c>
      <c r="AS694" s="4" t="s">
        <v>658</v>
      </c>
      <c r="AT694" s="4">
        <v>47.75</v>
      </c>
      <c r="AU694" s="4" t="s">
        <v>806</v>
      </c>
      <c r="AW694" s="3" t="s">
        <v>619</v>
      </c>
    </row>
    <row r="695" spans="1:49" x14ac:dyDescent="0.15">
      <c r="A695" s="2">
        <v>694</v>
      </c>
      <c r="B695" s="2" t="s">
        <v>656</v>
      </c>
      <c r="C695" s="2" t="s">
        <v>213</v>
      </c>
      <c r="D695" s="2" t="s">
        <v>213</v>
      </c>
      <c r="E695" s="2" t="s">
        <v>657</v>
      </c>
      <c r="H695" s="2" t="s">
        <v>623</v>
      </c>
      <c r="I695" s="2" t="s">
        <v>653</v>
      </c>
      <c r="J695" s="2">
        <v>2006</v>
      </c>
      <c r="K695" s="2">
        <v>11</v>
      </c>
      <c r="N695" s="3">
        <v>1000</v>
      </c>
      <c r="O695" s="3">
        <v>28</v>
      </c>
      <c r="P695" s="2">
        <v>21</v>
      </c>
      <c r="Q695" s="2">
        <v>10</v>
      </c>
      <c r="R695" s="2">
        <v>41</v>
      </c>
      <c r="S695" s="2">
        <v>5</v>
      </c>
      <c r="T695" s="3">
        <v>84</v>
      </c>
      <c r="U695" s="3">
        <v>2.27</v>
      </c>
      <c r="V695" s="3">
        <v>0.32</v>
      </c>
      <c r="W695" s="3">
        <v>1.55</v>
      </c>
      <c r="X695" s="3">
        <v>15.96</v>
      </c>
      <c r="Y695" s="3">
        <v>4.49</v>
      </c>
      <c r="AA695" s="3">
        <v>24.29</v>
      </c>
      <c r="AB695" s="3">
        <v>7.14</v>
      </c>
      <c r="AC695" s="3">
        <v>94.29</v>
      </c>
      <c r="AD695" s="3">
        <v>7.86</v>
      </c>
      <c r="AE695" s="3">
        <v>61.43</v>
      </c>
      <c r="AR695" s="3" t="s">
        <v>636</v>
      </c>
      <c r="AS695" s="4" t="s">
        <v>658</v>
      </c>
      <c r="AT695" s="4">
        <v>47.75</v>
      </c>
      <c r="AU695" s="4" t="s">
        <v>806</v>
      </c>
      <c r="AW695" s="3" t="s">
        <v>619</v>
      </c>
    </row>
    <row r="696" spans="1:49" x14ac:dyDescent="0.15">
      <c r="A696" s="2">
        <v>695</v>
      </c>
      <c r="B696" s="2" t="s">
        <v>656</v>
      </c>
      <c r="C696" s="2" t="s">
        <v>213</v>
      </c>
      <c r="D696" s="2" t="s">
        <v>213</v>
      </c>
      <c r="E696" s="2" t="s">
        <v>657</v>
      </c>
      <c r="H696" s="2" t="s">
        <v>623</v>
      </c>
      <c r="I696" s="2" t="s">
        <v>653</v>
      </c>
      <c r="J696" s="2">
        <v>2007</v>
      </c>
      <c r="K696" s="2">
        <v>11</v>
      </c>
      <c r="N696" s="3">
        <v>1000</v>
      </c>
      <c r="O696" s="3">
        <v>28</v>
      </c>
      <c r="P696" s="2">
        <v>26</v>
      </c>
      <c r="Q696" s="2">
        <v>11</v>
      </c>
      <c r="R696" s="2">
        <v>19</v>
      </c>
      <c r="S696" s="2">
        <v>5</v>
      </c>
      <c r="T696" s="3">
        <v>97</v>
      </c>
      <c r="U696" s="3">
        <v>5.46</v>
      </c>
      <c r="V696" s="3">
        <v>6.4</v>
      </c>
      <c r="W696" s="3">
        <v>4.3899999999999997</v>
      </c>
      <c r="X696" s="3">
        <v>10.73</v>
      </c>
      <c r="Y696" s="3">
        <v>5.52</v>
      </c>
      <c r="AA696" s="3">
        <v>49.58</v>
      </c>
      <c r="AB696" s="3">
        <v>7.5</v>
      </c>
      <c r="AC696" s="3">
        <v>197.5</v>
      </c>
      <c r="AD696" s="3">
        <v>3.33</v>
      </c>
      <c r="AE696" s="3">
        <v>19.170000000000002</v>
      </c>
      <c r="AR696" s="3" t="s">
        <v>636</v>
      </c>
      <c r="AS696" s="4" t="s">
        <v>658</v>
      </c>
      <c r="AT696" s="4">
        <v>47.75</v>
      </c>
      <c r="AU696" s="4" t="s">
        <v>806</v>
      </c>
      <c r="AW696" s="3" t="s">
        <v>619</v>
      </c>
    </row>
    <row r="697" spans="1:49" x14ac:dyDescent="0.15">
      <c r="A697" s="2">
        <v>696</v>
      </c>
      <c r="B697" s="2" t="s">
        <v>656</v>
      </c>
      <c r="C697" s="2" t="s">
        <v>213</v>
      </c>
      <c r="D697" s="2" t="s">
        <v>213</v>
      </c>
      <c r="E697" s="2" t="s">
        <v>657</v>
      </c>
      <c r="H697" s="2" t="s">
        <v>623</v>
      </c>
      <c r="I697" s="2" t="s">
        <v>653</v>
      </c>
      <c r="J697" s="2">
        <v>2008</v>
      </c>
      <c r="K697" s="2">
        <v>11</v>
      </c>
      <c r="N697" s="3">
        <v>1000</v>
      </c>
      <c r="O697" s="3">
        <v>28</v>
      </c>
      <c r="P697" s="2">
        <v>15</v>
      </c>
      <c r="Q697" s="2">
        <v>10</v>
      </c>
      <c r="R697" s="2">
        <v>38</v>
      </c>
      <c r="S697" s="2">
        <v>3</v>
      </c>
      <c r="T697" s="3">
        <v>71</v>
      </c>
      <c r="U697" s="3">
        <v>1.46</v>
      </c>
      <c r="V697" s="3">
        <v>55.62</v>
      </c>
      <c r="W697" s="3">
        <v>1.52</v>
      </c>
      <c r="X697" s="3">
        <v>5.58</v>
      </c>
      <c r="Y697" s="3">
        <v>14.95</v>
      </c>
      <c r="AA697" s="3">
        <v>13.64</v>
      </c>
      <c r="AB697" s="3">
        <v>13.64</v>
      </c>
      <c r="AC697" s="3">
        <v>99.09</v>
      </c>
      <c r="AD697" s="3">
        <v>3.18</v>
      </c>
      <c r="AE697" s="3">
        <v>79.55</v>
      </c>
      <c r="AR697" s="3" t="s">
        <v>636</v>
      </c>
      <c r="AS697" s="4" t="s">
        <v>658</v>
      </c>
      <c r="AT697" s="4">
        <v>47.75</v>
      </c>
      <c r="AU697" s="4" t="s">
        <v>806</v>
      </c>
      <c r="AW697" s="3" t="s">
        <v>619</v>
      </c>
    </row>
    <row r="698" spans="1:49" x14ac:dyDescent="0.15">
      <c r="A698" s="2">
        <v>697</v>
      </c>
      <c r="B698" s="2" t="s">
        <v>656</v>
      </c>
      <c r="C698" s="2" t="s">
        <v>213</v>
      </c>
      <c r="D698" s="2" t="s">
        <v>213</v>
      </c>
      <c r="E698" s="2" t="s">
        <v>657</v>
      </c>
      <c r="H698" s="2" t="s">
        <v>623</v>
      </c>
      <c r="I698" s="2" t="s">
        <v>653</v>
      </c>
      <c r="J698" s="2">
        <v>2009</v>
      </c>
      <c r="K698" s="2">
        <v>11</v>
      </c>
      <c r="N698" s="3">
        <v>1000</v>
      </c>
      <c r="O698" s="3">
        <v>28</v>
      </c>
      <c r="P698" s="2">
        <v>18</v>
      </c>
      <c r="Q698" s="2">
        <v>8</v>
      </c>
      <c r="R698" s="2">
        <v>29</v>
      </c>
      <c r="S698" s="2">
        <v>3</v>
      </c>
      <c r="T698" s="3">
        <v>64</v>
      </c>
      <c r="U698" s="3">
        <v>0.97</v>
      </c>
      <c r="V698" s="3">
        <v>0.84</v>
      </c>
      <c r="W698" s="3">
        <v>1.57</v>
      </c>
      <c r="X698" s="3">
        <v>0.14000000000000001</v>
      </c>
      <c r="Y698" s="3">
        <v>18.670000000000002</v>
      </c>
      <c r="AA698" s="3">
        <v>17.5</v>
      </c>
      <c r="AB698" s="3">
        <v>7.92</v>
      </c>
      <c r="AC698" s="3">
        <v>165.83</v>
      </c>
      <c r="AD698" s="3">
        <v>9.58</v>
      </c>
      <c r="AE698" s="3">
        <v>106.67</v>
      </c>
      <c r="AR698" s="3" t="s">
        <v>636</v>
      </c>
      <c r="AS698" s="4" t="s">
        <v>658</v>
      </c>
      <c r="AT698" s="4">
        <v>47.75</v>
      </c>
      <c r="AU698" s="4" t="s">
        <v>806</v>
      </c>
      <c r="AW698" s="3" t="s">
        <v>619</v>
      </c>
    </row>
    <row r="699" spans="1:49" x14ac:dyDescent="0.15">
      <c r="A699" s="2">
        <v>698</v>
      </c>
      <c r="B699" s="2" t="s">
        <v>656</v>
      </c>
      <c r="C699" s="2" t="s">
        <v>213</v>
      </c>
      <c r="D699" s="2" t="s">
        <v>213</v>
      </c>
      <c r="E699" s="2" t="s">
        <v>657</v>
      </c>
      <c r="H699" s="2" t="s">
        <v>623</v>
      </c>
      <c r="I699" s="2" t="s">
        <v>653</v>
      </c>
      <c r="J699" s="2">
        <v>2005</v>
      </c>
      <c r="K699" s="2">
        <v>2</v>
      </c>
      <c r="N699" s="3">
        <v>1000</v>
      </c>
      <c r="O699" s="3">
        <v>28</v>
      </c>
      <c r="P699" s="2">
        <v>21</v>
      </c>
      <c r="Q699" s="2">
        <v>14</v>
      </c>
      <c r="R699" s="2">
        <v>37</v>
      </c>
      <c r="S699" s="2">
        <v>2</v>
      </c>
      <c r="T699" s="3">
        <v>83</v>
      </c>
      <c r="U699" s="3">
        <v>1.38</v>
      </c>
      <c r="V699" s="3">
        <v>0.72</v>
      </c>
      <c r="W699" s="3">
        <v>3.5</v>
      </c>
      <c r="X699" s="3">
        <v>5.27</v>
      </c>
      <c r="Y699" s="3">
        <v>8.2200000000000006</v>
      </c>
      <c r="AA699" s="3">
        <v>141.91999999999999</v>
      </c>
      <c r="AB699" s="3">
        <v>35</v>
      </c>
      <c r="AC699" s="3">
        <v>133.46</v>
      </c>
      <c r="AD699" s="3">
        <v>4.2300000000000004</v>
      </c>
      <c r="AE699" s="3">
        <v>91.15</v>
      </c>
      <c r="AR699" s="3" t="s">
        <v>636</v>
      </c>
      <c r="AS699" s="4" t="s">
        <v>658</v>
      </c>
      <c r="AT699" s="4">
        <v>47.75</v>
      </c>
      <c r="AU699" s="4" t="s">
        <v>806</v>
      </c>
      <c r="AW699" s="3" t="s">
        <v>619</v>
      </c>
    </row>
    <row r="700" spans="1:49" x14ac:dyDescent="0.15">
      <c r="A700" s="2">
        <v>699</v>
      </c>
      <c r="B700" s="2" t="s">
        <v>656</v>
      </c>
      <c r="C700" s="2" t="s">
        <v>213</v>
      </c>
      <c r="D700" s="2" t="s">
        <v>213</v>
      </c>
      <c r="E700" s="2" t="s">
        <v>657</v>
      </c>
      <c r="H700" s="2" t="s">
        <v>623</v>
      </c>
      <c r="I700" s="2" t="s">
        <v>653</v>
      </c>
      <c r="J700" s="2">
        <v>2006</v>
      </c>
      <c r="K700" s="2">
        <v>2</v>
      </c>
      <c r="N700" s="3">
        <v>1000</v>
      </c>
      <c r="O700" s="3">
        <v>28</v>
      </c>
      <c r="P700" s="2">
        <v>0</v>
      </c>
      <c r="Q700" s="2">
        <v>12</v>
      </c>
      <c r="R700" s="2">
        <v>40</v>
      </c>
      <c r="S700" s="2">
        <v>4</v>
      </c>
      <c r="T700" s="3">
        <v>91</v>
      </c>
      <c r="U700" s="3">
        <v>4.59</v>
      </c>
      <c r="V700" s="3">
        <v>0.3</v>
      </c>
      <c r="W700" s="3">
        <v>7.3</v>
      </c>
      <c r="X700" s="3">
        <v>0.25</v>
      </c>
      <c r="Y700" s="3">
        <v>6.55</v>
      </c>
      <c r="AA700" s="3">
        <v>210</v>
      </c>
      <c r="AB700" s="3">
        <v>19.100000000000001</v>
      </c>
      <c r="AC700" s="3">
        <v>309.55</v>
      </c>
      <c r="AD700" s="3">
        <v>2.73</v>
      </c>
      <c r="AE700" s="3">
        <v>3.64</v>
      </c>
      <c r="AR700" s="3" t="s">
        <v>636</v>
      </c>
      <c r="AS700" s="4" t="s">
        <v>658</v>
      </c>
      <c r="AT700" s="4">
        <v>47.75</v>
      </c>
      <c r="AU700" s="4" t="s">
        <v>806</v>
      </c>
      <c r="AW700" s="3" t="s">
        <v>619</v>
      </c>
    </row>
    <row r="701" spans="1:49" x14ac:dyDescent="0.15">
      <c r="A701" s="2">
        <v>700</v>
      </c>
      <c r="B701" s="2" t="s">
        <v>656</v>
      </c>
      <c r="C701" s="2" t="s">
        <v>213</v>
      </c>
      <c r="D701" s="2" t="s">
        <v>213</v>
      </c>
      <c r="E701" s="2" t="s">
        <v>657</v>
      </c>
      <c r="H701" s="2" t="s">
        <v>623</v>
      </c>
      <c r="I701" s="2" t="s">
        <v>653</v>
      </c>
      <c r="J701" s="2">
        <v>2007</v>
      </c>
      <c r="K701" s="2">
        <v>2</v>
      </c>
      <c r="N701" s="3">
        <v>1000</v>
      </c>
      <c r="O701" s="3">
        <v>28</v>
      </c>
      <c r="P701" s="2">
        <v>21</v>
      </c>
      <c r="Q701" s="2">
        <v>16</v>
      </c>
      <c r="R701" s="2">
        <v>58</v>
      </c>
      <c r="S701" s="2">
        <v>4</v>
      </c>
      <c r="T701" s="3">
        <v>106</v>
      </c>
      <c r="U701" s="3">
        <v>4.0999999999999996</v>
      </c>
      <c r="V701" s="3">
        <v>1.97</v>
      </c>
      <c r="W701" s="3">
        <v>1.93</v>
      </c>
      <c r="X701" s="3">
        <v>10.75</v>
      </c>
      <c r="Y701" s="3">
        <v>18.670000000000002</v>
      </c>
      <c r="AA701" s="3">
        <v>38.21</v>
      </c>
      <c r="AB701" s="3">
        <v>19.29</v>
      </c>
      <c r="AC701" s="3">
        <v>147.86000000000001</v>
      </c>
      <c r="AD701" s="3">
        <v>8.57</v>
      </c>
      <c r="AE701" s="3">
        <v>27.86</v>
      </c>
      <c r="AR701" s="3" t="s">
        <v>636</v>
      </c>
      <c r="AS701" s="4" t="s">
        <v>658</v>
      </c>
      <c r="AT701" s="4">
        <v>47.75</v>
      </c>
      <c r="AU701" s="4" t="s">
        <v>806</v>
      </c>
      <c r="AW701" s="3" t="s">
        <v>619</v>
      </c>
    </row>
    <row r="702" spans="1:49" x14ac:dyDescent="0.15">
      <c r="A702" s="2">
        <v>701</v>
      </c>
      <c r="B702" s="2" t="s">
        <v>656</v>
      </c>
      <c r="C702" s="2" t="s">
        <v>213</v>
      </c>
      <c r="D702" s="2" t="s">
        <v>213</v>
      </c>
      <c r="E702" s="2" t="s">
        <v>657</v>
      </c>
      <c r="H702" s="2" t="s">
        <v>623</v>
      </c>
      <c r="I702" s="2" t="s">
        <v>653</v>
      </c>
      <c r="J702" s="2">
        <v>2008</v>
      </c>
      <c r="K702" s="2">
        <v>2</v>
      </c>
      <c r="N702" s="3">
        <v>1000</v>
      </c>
      <c r="O702" s="3">
        <v>28</v>
      </c>
      <c r="P702" s="2">
        <v>23</v>
      </c>
      <c r="Q702" s="2">
        <v>16</v>
      </c>
      <c r="R702" s="2">
        <v>48</v>
      </c>
      <c r="S702" s="2">
        <v>4</v>
      </c>
      <c r="T702" s="3">
        <v>97</v>
      </c>
      <c r="U702" s="3">
        <v>5.69</v>
      </c>
      <c r="V702" s="3">
        <v>0.86</v>
      </c>
      <c r="W702" s="3">
        <v>2.81</v>
      </c>
      <c r="X702" s="3">
        <v>0.13</v>
      </c>
      <c r="Y702" s="3">
        <v>8.23</v>
      </c>
      <c r="AA702" s="3">
        <v>31.25</v>
      </c>
      <c r="AB702" s="3">
        <v>65.42</v>
      </c>
      <c r="AC702" s="3">
        <v>98.33</v>
      </c>
      <c r="AD702" s="3">
        <v>2.92</v>
      </c>
      <c r="AE702" s="3">
        <v>38.33</v>
      </c>
      <c r="AR702" s="3" t="s">
        <v>636</v>
      </c>
      <c r="AS702" s="4" t="s">
        <v>658</v>
      </c>
      <c r="AT702" s="4">
        <v>47.75</v>
      </c>
      <c r="AU702" s="4" t="s">
        <v>806</v>
      </c>
      <c r="AW702" s="3" t="s">
        <v>619</v>
      </c>
    </row>
    <row r="703" spans="1:49" x14ac:dyDescent="0.15">
      <c r="A703" s="2">
        <v>702</v>
      </c>
      <c r="B703" s="2" t="s">
        <v>656</v>
      </c>
      <c r="C703" s="2" t="s">
        <v>213</v>
      </c>
      <c r="D703" s="2" t="s">
        <v>213</v>
      </c>
      <c r="E703" s="2" t="s">
        <v>657</v>
      </c>
      <c r="H703" s="2" t="s">
        <v>623</v>
      </c>
      <c r="I703" s="2" t="s">
        <v>653</v>
      </c>
      <c r="J703" s="2">
        <v>2009</v>
      </c>
      <c r="K703" s="2">
        <v>2</v>
      </c>
      <c r="N703" s="3">
        <v>1000</v>
      </c>
      <c r="O703" s="3">
        <v>28</v>
      </c>
      <c r="P703" s="2">
        <v>13</v>
      </c>
      <c r="Q703" s="2">
        <v>13</v>
      </c>
      <c r="R703" s="2">
        <v>34</v>
      </c>
      <c r="S703" s="2">
        <v>1</v>
      </c>
      <c r="T703" s="3">
        <v>66</v>
      </c>
      <c r="U703" s="3">
        <v>1.03</v>
      </c>
      <c r="V703" s="3">
        <v>0.37</v>
      </c>
      <c r="W703" s="3">
        <v>1.64</v>
      </c>
      <c r="X703" s="3">
        <v>0</v>
      </c>
      <c r="Y703" s="3">
        <v>4.34</v>
      </c>
      <c r="AA703" s="3">
        <v>30.91</v>
      </c>
      <c r="AB703" s="3">
        <v>10.91</v>
      </c>
      <c r="AC703" s="3">
        <v>193.18</v>
      </c>
      <c r="AD703" s="3">
        <v>1.36</v>
      </c>
      <c r="AE703" s="3">
        <v>35.909999999999997</v>
      </c>
      <c r="AR703" s="3" t="s">
        <v>636</v>
      </c>
      <c r="AS703" s="4" t="s">
        <v>658</v>
      </c>
      <c r="AT703" s="4">
        <v>47.75</v>
      </c>
      <c r="AU703" s="4" t="s">
        <v>806</v>
      </c>
      <c r="AW703" s="3" t="s">
        <v>619</v>
      </c>
    </row>
    <row r="704" spans="1:49" s="6" customFormat="1" x14ac:dyDescent="0.15">
      <c r="A704" s="2">
        <v>703</v>
      </c>
      <c r="B704" s="5" t="s">
        <v>659</v>
      </c>
      <c r="C704" s="5" t="s">
        <v>660</v>
      </c>
      <c r="D704" s="5" t="s">
        <v>115</v>
      </c>
      <c r="E704" s="5" t="s">
        <v>82</v>
      </c>
      <c r="F704" s="5"/>
      <c r="G704" s="5"/>
      <c r="H704" s="5" t="s">
        <v>661</v>
      </c>
      <c r="I704" s="5" t="s">
        <v>662</v>
      </c>
      <c r="J704" s="5">
        <v>2001</v>
      </c>
      <c r="K704" s="5">
        <v>8</v>
      </c>
      <c r="L704" s="5">
        <v>2001</v>
      </c>
      <c r="M704" s="5">
        <v>12</v>
      </c>
      <c r="N704" s="6">
        <v>500</v>
      </c>
      <c r="O704" s="6">
        <v>48</v>
      </c>
      <c r="P704" s="5">
        <v>6</v>
      </c>
      <c r="Q704" s="5">
        <v>16</v>
      </c>
      <c r="R704" s="5">
        <v>12</v>
      </c>
      <c r="S704" s="5">
        <v>5</v>
      </c>
      <c r="T704" s="6">
        <v>43</v>
      </c>
      <c r="AS704" s="7"/>
      <c r="AT704" s="4">
        <v>47.75</v>
      </c>
      <c r="AU704" s="4" t="s">
        <v>806</v>
      </c>
    </row>
    <row r="705" spans="1:49" x14ac:dyDescent="0.15">
      <c r="A705" s="2">
        <v>704</v>
      </c>
      <c r="B705" s="2" t="s">
        <v>663</v>
      </c>
      <c r="C705" s="2" t="s">
        <v>664</v>
      </c>
      <c r="D705" s="2" t="s">
        <v>400</v>
      </c>
      <c r="E705" s="2" t="s">
        <v>665</v>
      </c>
      <c r="F705" s="2" t="s">
        <v>666</v>
      </c>
      <c r="H705" s="2" t="s">
        <v>623</v>
      </c>
      <c r="I705" s="2" t="s">
        <v>635</v>
      </c>
      <c r="J705" s="2">
        <v>2000</v>
      </c>
      <c r="K705" s="2">
        <v>7</v>
      </c>
      <c r="N705" s="3">
        <v>625</v>
      </c>
      <c r="O705" s="3">
        <v>48</v>
      </c>
      <c r="P705" s="2">
        <v>18</v>
      </c>
      <c r="Q705" s="2">
        <v>14</v>
      </c>
      <c r="R705" s="2">
        <v>8</v>
      </c>
      <c r="S705" s="2">
        <v>3</v>
      </c>
      <c r="T705" s="3">
        <v>88</v>
      </c>
      <c r="U705" s="3">
        <v>169</v>
      </c>
      <c r="V705" s="3">
        <v>474</v>
      </c>
      <c r="W705" s="3">
        <v>21.25</v>
      </c>
      <c r="X705" s="3">
        <v>8.75</v>
      </c>
      <c r="Y705" s="3">
        <v>963.5</v>
      </c>
      <c r="AA705" s="3">
        <v>114.8</v>
      </c>
      <c r="AB705" s="3">
        <v>361.5</v>
      </c>
      <c r="AC705" s="3">
        <v>44.5</v>
      </c>
      <c r="AD705" s="3">
        <v>44</v>
      </c>
      <c r="AE705" s="3">
        <v>602</v>
      </c>
      <c r="AG705" s="3">
        <v>5.74</v>
      </c>
      <c r="AI705" s="3">
        <v>0.89</v>
      </c>
      <c r="AR705" s="3" t="s">
        <v>623</v>
      </c>
      <c r="AS705" s="4" t="s">
        <v>638</v>
      </c>
      <c r="AT705" s="4">
        <v>47.75</v>
      </c>
      <c r="AU705" s="4" t="s">
        <v>806</v>
      </c>
      <c r="AV705" s="4" t="s">
        <v>667</v>
      </c>
      <c r="AW705" s="3" t="s">
        <v>668</v>
      </c>
    </row>
    <row r="706" spans="1:49" x14ac:dyDescent="0.15">
      <c r="A706" s="2">
        <v>705</v>
      </c>
      <c r="B706" s="2" t="s">
        <v>669</v>
      </c>
      <c r="C706" s="2" t="s">
        <v>664</v>
      </c>
      <c r="D706" s="2" t="s">
        <v>670</v>
      </c>
      <c r="E706" s="2" t="s">
        <v>82</v>
      </c>
      <c r="F706" s="2" t="s">
        <v>666</v>
      </c>
      <c r="H706" s="2" t="s">
        <v>671</v>
      </c>
      <c r="I706" s="2" t="s">
        <v>635</v>
      </c>
      <c r="J706" s="2">
        <v>2004</v>
      </c>
      <c r="K706" s="2">
        <v>6</v>
      </c>
      <c r="L706" s="2">
        <v>2004</v>
      </c>
      <c r="M706" s="2">
        <v>9</v>
      </c>
      <c r="N706" s="3">
        <v>625</v>
      </c>
      <c r="O706" s="3">
        <f>36*4</f>
        <v>144</v>
      </c>
      <c r="P706" s="2">
        <v>28</v>
      </c>
      <c r="Q706" s="2">
        <v>47</v>
      </c>
      <c r="R706" s="2">
        <v>9</v>
      </c>
      <c r="S706" s="2">
        <v>4</v>
      </c>
      <c r="T706" s="3">
        <v>101</v>
      </c>
      <c r="U706" s="3">
        <v>116.67</v>
      </c>
      <c r="V706" s="3">
        <v>656.67</v>
      </c>
      <c r="W706" s="3">
        <v>22.96</v>
      </c>
      <c r="X706" s="3">
        <v>4.71</v>
      </c>
      <c r="Y706" s="3">
        <v>967.51</v>
      </c>
      <c r="AA706" s="3">
        <v>151.83000000000001</v>
      </c>
      <c r="AB706" s="3">
        <v>763.83</v>
      </c>
      <c r="AC706" s="3">
        <v>117.66</v>
      </c>
      <c r="AD706" s="3">
        <v>36.659999999999997</v>
      </c>
      <c r="AE706" s="3">
        <v>1111.24</v>
      </c>
      <c r="AG706" s="3">
        <v>5.52</v>
      </c>
      <c r="AI706" s="3">
        <v>0.84</v>
      </c>
      <c r="AR706" s="3" t="s">
        <v>623</v>
      </c>
      <c r="AS706" s="4" t="s">
        <v>638</v>
      </c>
      <c r="AT706" s="4">
        <v>47.75</v>
      </c>
      <c r="AU706" s="4" t="s">
        <v>806</v>
      </c>
      <c r="AV706" s="4" t="s">
        <v>667</v>
      </c>
      <c r="AW706" s="3" t="s">
        <v>668</v>
      </c>
    </row>
    <row r="707" spans="1:49" x14ac:dyDescent="0.15">
      <c r="A707" s="2">
        <v>706</v>
      </c>
      <c r="B707" s="2" t="s">
        <v>686</v>
      </c>
      <c r="C707" s="2" t="s">
        <v>673</v>
      </c>
      <c r="D707" s="2" t="s">
        <v>396</v>
      </c>
      <c r="E707" s="2" t="s">
        <v>633</v>
      </c>
      <c r="H707" s="2" t="s">
        <v>623</v>
      </c>
      <c r="I707" s="2" t="s">
        <v>674</v>
      </c>
      <c r="J707" s="2">
        <v>2011</v>
      </c>
      <c r="K707" s="2">
        <v>11</v>
      </c>
      <c r="N707" s="3">
        <v>250</v>
      </c>
      <c r="O707" s="3">
        <v>27</v>
      </c>
      <c r="P707" s="2">
        <v>9</v>
      </c>
      <c r="Q707" s="2">
        <v>5</v>
      </c>
      <c r="R707" s="2">
        <v>24</v>
      </c>
      <c r="T707" s="3">
        <v>39</v>
      </c>
      <c r="U707" s="3">
        <v>9.3000000000000007</v>
      </c>
      <c r="V707" s="3">
        <v>12.2</v>
      </c>
      <c r="W707" s="3">
        <v>4.2</v>
      </c>
      <c r="Y707" s="3">
        <v>25.76</v>
      </c>
      <c r="Z707" s="3">
        <v>41.08</v>
      </c>
      <c r="AA707" s="3">
        <v>12.8</v>
      </c>
      <c r="AB707" s="3">
        <v>52.9</v>
      </c>
      <c r="AD707" s="3">
        <v>240.1</v>
      </c>
      <c r="AE707" s="3">
        <v>315.11</v>
      </c>
      <c r="AF707" s="3">
        <v>160.72999999999999</v>
      </c>
      <c r="AG707" s="3">
        <v>1.8</v>
      </c>
      <c r="AH707" s="3">
        <v>1.0900000000000001</v>
      </c>
      <c r="AI707" s="3">
        <v>0.74</v>
      </c>
      <c r="AJ707" s="3">
        <v>0.17</v>
      </c>
      <c r="AM707" s="3">
        <v>1.17</v>
      </c>
      <c r="AN707" s="3">
        <v>0.89</v>
      </c>
      <c r="AR707" s="3" t="s">
        <v>623</v>
      </c>
      <c r="AS707" s="4" t="s">
        <v>638</v>
      </c>
      <c r="AT707" s="4">
        <v>47.75</v>
      </c>
      <c r="AU707" s="4" t="s">
        <v>806</v>
      </c>
      <c r="AV707" s="4" t="s">
        <v>667</v>
      </c>
      <c r="AW707" s="3" t="s">
        <v>644</v>
      </c>
    </row>
    <row r="708" spans="1:49" x14ac:dyDescent="0.15">
      <c r="A708" s="2">
        <v>707</v>
      </c>
      <c r="B708" s="2" t="s">
        <v>672</v>
      </c>
      <c r="C708" s="2" t="s">
        <v>646</v>
      </c>
      <c r="D708" s="2" t="s">
        <v>76</v>
      </c>
      <c r="E708" s="2" t="s">
        <v>633</v>
      </c>
      <c r="H708" s="2" t="s">
        <v>623</v>
      </c>
      <c r="I708" s="2" t="s">
        <v>674</v>
      </c>
      <c r="J708" s="2">
        <v>2011</v>
      </c>
      <c r="K708" s="2">
        <v>11</v>
      </c>
      <c r="N708" s="3">
        <v>1000</v>
      </c>
      <c r="O708" s="3">
        <v>27</v>
      </c>
      <c r="P708" s="2">
        <v>12</v>
      </c>
      <c r="Q708" s="2">
        <v>5</v>
      </c>
      <c r="R708" s="2">
        <v>18</v>
      </c>
      <c r="S708" s="2">
        <v>4</v>
      </c>
      <c r="T708" s="3">
        <v>40</v>
      </c>
      <c r="U708" s="3">
        <v>0.375</v>
      </c>
      <c r="V708" s="3">
        <f>1.2*300/80</f>
        <v>4.5</v>
      </c>
      <c r="W708" s="3">
        <f>0.7*300/80</f>
        <v>2.625</v>
      </c>
      <c r="X708" s="3">
        <f>56.4*300/80</f>
        <v>211.5</v>
      </c>
      <c r="Y708" s="3">
        <v>218.86</v>
      </c>
      <c r="Z708" s="3">
        <v>152.24</v>
      </c>
      <c r="AA708" s="3">
        <f>24.8*1200/450</f>
        <v>66.13333333333334</v>
      </c>
      <c r="AB708" s="3">
        <f>7.4*1200/450</f>
        <v>19.733333333333334</v>
      </c>
      <c r="AC708" s="3">
        <f>84.2*1200/450</f>
        <v>224.53333333333333</v>
      </c>
      <c r="AD708" s="3">
        <f>1200*146.3/450</f>
        <v>390.13333333333333</v>
      </c>
      <c r="AE708" s="3">
        <v>700</v>
      </c>
      <c r="AF708" s="3">
        <v>471.51</v>
      </c>
      <c r="AG708" s="3">
        <v>2.04</v>
      </c>
      <c r="AH708" s="3">
        <v>0.78</v>
      </c>
      <c r="AI708" s="3">
        <v>0.64</v>
      </c>
      <c r="AJ708" s="3">
        <v>0.19</v>
      </c>
      <c r="AM708" s="3">
        <v>1.4</v>
      </c>
      <c r="AN708" s="3">
        <v>0.6</v>
      </c>
      <c r="AR708" s="3" t="s">
        <v>623</v>
      </c>
      <c r="AS708" s="4" t="s">
        <v>638</v>
      </c>
      <c r="AT708" s="4">
        <v>47.75</v>
      </c>
      <c r="AU708" s="4" t="s">
        <v>806</v>
      </c>
      <c r="AV708" s="4" t="s">
        <v>667</v>
      </c>
      <c r="AW708" s="3" t="s">
        <v>644</v>
      </c>
    </row>
    <row r="709" spans="1:49" x14ac:dyDescent="0.15">
      <c r="A709" s="2">
        <v>708</v>
      </c>
      <c r="B709" s="2" t="s">
        <v>687</v>
      </c>
      <c r="C709" s="2" t="s">
        <v>684</v>
      </c>
      <c r="D709" s="2" t="s">
        <v>646</v>
      </c>
      <c r="E709" s="2" t="s">
        <v>633</v>
      </c>
      <c r="H709" s="2" t="s">
        <v>623</v>
      </c>
      <c r="I709" s="2" t="s">
        <v>646</v>
      </c>
      <c r="J709" s="2">
        <v>2010</v>
      </c>
      <c r="K709" s="2">
        <v>4</v>
      </c>
      <c r="L709" s="2">
        <v>2011</v>
      </c>
      <c r="M709" s="2">
        <v>3</v>
      </c>
      <c r="N709" s="3">
        <v>500</v>
      </c>
      <c r="O709" s="3">
        <v>240</v>
      </c>
      <c r="P709" s="2">
        <v>39</v>
      </c>
      <c r="Q709" s="2">
        <v>46</v>
      </c>
      <c r="R709" s="2">
        <v>77</v>
      </c>
      <c r="S709" s="2">
        <v>7</v>
      </c>
      <c r="T709" s="3">
        <v>176</v>
      </c>
      <c r="U709" s="3">
        <f>AVERAGE(U710:U713)</f>
        <v>1.4475</v>
      </c>
      <c r="V709" s="3">
        <f t="shared" ref="V709:AA709" si="56">AVERAGE(V710:V713)</f>
        <v>7.2350000000000003</v>
      </c>
      <c r="W709" s="3">
        <f t="shared" si="56"/>
        <v>2.7949999999999999</v>
      </c>
      <c r="X709" s="3">
        <f t="shared" si="56"/>
        <v>4.13</v>
      </c>
      <c r="Y709" s="3">
        <f t="shared" si="56"/>
        <v>16.715</v>
      </c>
      <c r="AA709" s="3">
        <f t="shared" si="56"/>
        <v>111.53750000000001</v>
      </c>
      <c r="AB709" s="3">
        <f t="shared" ref="AB709" si="57">AVERAGE(AB710:AB713)</f>
        <v>63.147499999999994</v>
      </c>
      <c r="AC709" s="3">
        <f t="shared" ref="AC709" si="58">AVERAGE(AC710:AC713)</f>
        <v>818.49</v>
      </c>
      <c r="AD709" s="3">
        <f t="shared" ref="AD709" si="59">AVERAGE(AD710:AD713)</f>
        <v>23.287500000000001</v>
      </c>
      <c r="AE709" s="3">
        <f t="shared" ref="AE709" si="60">AVERAGE(AE710:AE713)</f>
        <v>1016.4625000000001</v>
      </c>
      <c r="AG709" s="3">
        <v>1.9805999999999999</v>
      </c>
      <c r="AH709" s="3">
        <v>0.64229999999999998</v>
      </c>
      <c r="AI709" s="3">
        <v>0.72809999999999997</v>
      </c>
      <c r="AJ709" s="3">
        <v>0.19589999999999999</v>
      </c>
      <c r="AM709" s="3">
        <v>2.3746</v>
      </c>
      <c r="AN709" s="3">
        <v>0.90739999999999998</v>
      </c>
      <c r="AR709" s="3" t="s">
        <v>60</v>
      </c>
      <c r="AS709" s="4" t="s">
        <v>691</v>
      </c>
      <c r="AT709" s="4">
        <v>47.75</v>
      </c>
      <c r="AU709" s="4" t="s">
        <v>806</v>
      </c>
      <c r="AW709" s="3" t="s">
        <v>690</v>
      </c>
    </row>
    <row r="710" spans="1:49" x14ac:dyDescent="0.15">
      <c r="A710" s="2">
        <v>709</v>
      </c>
      <c r="B710" s="2" t="s">
        <v>687</v>
      </c>
      <c r="C710" s="2" t="s">
        <v>94</v>
      </c>
      <c r="D710" s="2" t="s">
        <v>76</v>
      </c>
      <c r="E710" s="2" t="s">
        <v>39</v>
      </c>
      <c r="H710" s="2" t="s">
        <v>60</v>
      </c>
      <c r="I710" s="2" t="s">
        <v>76</v>
      </c>
      <c r="J710" s="2">
        <v>2010</v>
      </c>
      <c r="K710" s="2">
        <v>4</v>
      </c>
      <c r="N710" s="3">
        <v>500</v>
      </c>
      <c r="O710" s="3">
        <v>60</v>
      </c>
      <c r="T710" s="3">
        <v>72</v>
      </c>
      <c r="U710" s="3">
        <v>0.88</v>
      </c>
      <c r="V710" s="3">
        <v>2.14</v>
      </c>
      <c r="W710" s="3">
        <v>1.93</v>
      </c>
      <c r="X710" s="3">
        <v>1.06</v>
      </c>
      <c r="Y710" s="3">
        <v>6.04</v>
      </c>
      <c r="AA710" s="3">
        <v>77.33</v>
      </c>
      <c r="AB710" s="3">
        <v>42</v>
      </c>
      <c r="AC710" s="3">
        <v>551.33000000000004</v>
      </c>
      <c r="AD710" s="3">
        <v>8</v>
      </c>
      <c r="AE710" s="3">
        <f>SUM(AA710:AD710)</f>
        <v>678.66000000000008</v>
      </c>
      <c r="AG710" s="3">
        <v>2.044</v>
      </c>
      <c r="AH710" s="3">
        <v>0.80500000000000005</v>
      </c>
      <c r="AI710" s="3">
        <v>0.77959999999999996</v>
      </c>
      <c r="AJ710" s="3">
        <v>0.189</v>
      </c>
      <c r="AM710" s="3">
        <v>2.3382999999999998</v>
      </c>
      <c r="AN710" s="3">
        <v>1.0145</v>
      </c>
      <c r="AR710" s="3" t="s">
        <v>60</v>
      </c>
      <c r="AS710" s="4" t="s">
        <v>691</v>
      </c>
      <c r="AT710" s="4">
        <v>47.75</v>
      </c>
      <c r="AU710" s="4" t="s">
        <v>806</v>
      </c>
      <c r="AW710" s="3" t="s">
        <v>690</v>
      </c>
    </row>
    <row r="711" spans="1:49" x14ac:dyDescent="0.15">
      <c r="A711" s="2">
        <v>710</v>
      </c>
      <c r="B711" s="2" t="s">
        <v>687</v>
      </c>
      <c r="C711" s="2" t="s">
        <v>94</v>
      </c>
      <c r="D711" s="2" t="s">
        <v>76</v>
      </c>
      <c r="E711" s="2" t="s">
        <v>39</v>
      </c>
      <c r="H711" s="2" t="s">
        <v>60</v>
      </c>
      <c r="I711" s="2" t="s">
        <v>76</v>
      </c>
      <c r="J711" s="2">
        <v>2010</v>
      </c>
      <c r="K711" s="2">
        <v>8</v>
      </c>
      <c r="N711" s="3">
        <v>500</v>
      </c>
      <c r="O711" s="3">
        <v>60</v>
      </c>
      <c r="T711" s="3">
        <v>84</v>
      </c>
      <c r="U711" s="3">
        <v>0.42</v>
      </c>
      <c r="V711" s="3">
        <v>19.12</v>
      </c>
      <c r="W711" s="3">
        <v>3.62</v>
      </c>
      <c r="X711" s="3">
        <v>1.84</v>
      </c>
      <c r="Y711" s="3">
        <v>25.09</v>
      </c>
      <c r="AA711" s="3">
        <v>140.77000000000001</v>
      </c>
      <c r="AB711" s="3">
        <v>90.77</v>
      </c>
      <c r="AC711" s="3">
        <v>883.08</v>
      </c>
      <c r="AD711" s="3">
        <v>6.92</v>
      </c>
      <c r="AE711" s="3">
        <f t="shared" ref="AE711:AE713" si="61">SUM(AA711:AD711)</f>
        <v>1121.5400000000002</v>
      </c>
      <c r="AG711" s="3">
        <v>1.98</v>
      </c>
      <c r="AH711" s="3">
        <v>0.57579999999999998</v>
      </c>
      <c r="AI711" s="3">
        <v>0.70620000000000005</v>
      </c>
      <c r="AJ711" s="3">
        <v>0.1812</v>
      </c>
      <c r="AM711" s="3">
        <v>2.4047999999999998</v>
      </c>
      <c r="AN711" s="3">
        <v>0.80520000000000003</v>
      </c>
      <c r="AR711" s="3" t="s">
        <v>60</v>
      </c>
      <c r="AS711" s="4" t="s">
        <v>691</v>
      </c>
      <c r="AT711" s="4">
        <v>47.75</v>
      </c>
      <c r="AU711" s="4" t="s">
        <v>806</v>
      </c>
      <c r="AW711" s="3" t="s">
        <v>690</v>
      </c>
    </row>
    <row r="712" spans="1:49" x14ac:dyDescent="0.15">
      <c r="A712" s="2">
        <v>711</v>
      </c>
      <c r="B712" s="2" t="s">
        <v>687</v>
      </c>
      <c r="C712" s="2" t="s">
        <v>94</v>
      </c>
      <c r="D712" s="2" t="s">
        <v>76</v>
      </c>
      <c r="E712" s="2" t="s">
        <v>39</v>
      </c>
      <c r="H712" s="2" t="s">
        <v>60</v>
      </c>
      <c r="I712" s="2" t="s">
        <v>76</v>
      </c>
      <c r="J712" s="2">
        <v>2010</v>
      </c>
      <c r="K712" s="2">
        <v>11</v>
      </c>
      <c r="N712" s="3">
        <v>500</v>
      </c>
      <c r="O712" s="3">
        <v>60</v>
      </c>
      <c r="T712" s="3">
        <v>113</v>
      </c>
      <c r="U712" s="3">
        <v>3.24</v>
      </c>
      <c r="V712" s="3">
        <v>5.0599999999999996</v>
      </c>
      <c r="W712" s="3">
        <v>2.68</v>
      </c>
      <c r="X712" s="3">
        <v>12.56</v>
      </c>
      <c r="Y712" s="3">
        <v>25.76</v>
      </c>
      <c r="AA712" s="3">
        <v>107</v>
      </c>
      <c r="AB712" s="3">
        <v>63.5</v>
      </c>
      <c r="AC712" s="3">
        <v>799.5</v>
      </c>
      <c r="AD712" s="3">
        <v>53.5</v>
      </c>
      <c r="AE712" s="3">
        <f t="shared" si="61"/>
        <v>1023.5</v>
      </c>
      <c r="AG712" s="3">
        <v>1.8455999999999999</v>
      </c>
      <c r="AH712" s="3">
        <v>0.73370000000000002</v>
      </c>
      <c r="AI712" s="3">
        <v>0.67810000000000004</v>
      </c>
      <c r="AJ712" s="3">
        <v>0.22770000000000001</v>
      </c>
      <c r="AM712" s="3">
        <v>2.3206000000000002</v>
      </c>
      <c r="AN712" s="3">
        <v>1.0166999999999999</v>
      </c>
      <c r="AR712" s="3" t="s">
        <v>60</v>
      </c>
      <c r="AS712" s="4" t="s">
        <v>691</v>
      </c>
      <c r="AT712" s="4">
        <v>47.75</v>
      </c>
      <c r="AU712" s="4" t="s">
        <v>806</v>
      </c>
      <c r="AW712" s="3" t="s">
        <v>690</v>
      </c>
    </row>
    <row r="713" spans="1:49" x14ac:dyDescent="0.15">
      <c r="A713" s="2">
        <v>712</v>
      </c>
      <c r="B713" s="2" t="s">
        <v>687</v>
      </c>
      <c r="C713" s="2" t="s">
        <v>94</v>
      </c>
      <c r="D713" s="2" t="s">
        <v>76</v>
      </c>
      <c r="E713" s="2" t="s">
        <v>39</v>
      </c>
      <c r="H713" s="2" t="s">
        <v>60</v>
      </c>
      <c r="I713" s="2" t="s">
        <v>76</v>
      </c>
      <c r="J713" s="2">
        <v>2011</v>
      </c>
      <c r="K713" s="2">
        <v>3</v>
      </c>
      <c r="N713" s="3">
        <v>500</v>
      </c>
      <c r="O713" s="3">
        <v>60</v>
      </c>
      <c r="T713" s="3">
        <v>101</v>
      </c>
      <c r="U713" s="3">
        <v>1.25</v>
      </c>
      <c r="V713" s="3">
        <v>2.62</v>
      </c>
      <c r="W713" s="3">
        <v>2.95</v>
      </c>
      <c r="X713" s="3">
        <v>1.06</v>
      </c>
      <c r="Y713" s="3">
        <v>9.9700000000000006</v>
      </c>
      <c r="AA713" s="3">
        <v>121.05</v>
      </c>
      <c r="AB713" s="3">
        <v>56.32</v>
      </c>
      <c r="AC713" s="3">
        <v>1040.05</v>
      </c>
      <c r="AD713" s="3">
        <v>24.73</v>
      </c>
      <c r="AE713" s="3">
        <f t="shared" si="61"/>
        <v>1242.1500000000001</v>
      </c>
      <c r="AG713" s="3">
        <v>2.0882999999999998</v>
      </c>
      <c r="AH713" s="3">
        <v>0.71660000000000001</v>
      </c>
      <c r="AI713" s="3">
        <v>0.73170000000000002</v>
      </c>
      <c r="AJ713" s="3">
        <v>0.1784</v>
      </c>
      <c r="AM713" s="3">
        <v>2.59</v>
      </c>
      <c r="AN713" s="3">
        <v>0.60519999999999996</v>
      </c>
      <c r="AR713" s="3" t="s">
        <v>60</v>
      </c>
      <c r="AS713" s="4" t="s">
        <v>691</v>
      </c>
      <c r="AT713" s="4">
        <v>47.75</v>
      </c>
      <c r="AU713" s="4" t="s">
        <v>806</v>
      </c>
      <c r="AW713" s="3" t="s">
        <v>690</v>
      </c>
    </row>
    <row r="714" spans="1:49" x14ac:dyDescent="0.15">
      <c r="A714" s="2">
        <v>713</v>
      </c>
      <c r="B714" s="2" t="s">
        <v>692</v>
      </c>
      <c r="C714" s="2" t="s">
        <v>693</v>
      </c>
      <c r="D714" s="2" t="s">
        <v>694</v>
      </c>
      <c r="E714" s="2" t="s">
        <v>39</v>
      </c>
      <c r="H714" s="2" t="s">
        <v>688</v>
      </c>
      <c r="I714" s="2" t="s">
        <v>689</v>
      </c>
      <c r="J714" s="2">
        <v>1985</v>
      </c>
      <c r="K714" s="2">
        <v>7</v>
      </c>
      <c r="L714" s="2">
        <v>1986</v>
      </c>
      <c r="M714" s="2">
        <v>6</v>
      </c>
      <c r="N714" s="3">
        <v>1000</v>
      </c>
      <c r="O714" s="3">
        <f>24*12</f>
        <v>288</v>
      </c>
      <c r="P714" s="2">
        <v>31</v>
      </c>
      <c r="Q714" s="2">
        <v>39</v>
      </c>
      <c r="R714" s="2">
        <v>52</v>
      </c>
      <c r="S714" s="2">
        <v>7</v>
      </c>
      <c r="T714" s="3">
        <v>138</v>
      </c>
      <c r="U714" s="3">
        <v>1.69</v>
      </c>
      <c r="V714" s="3">
        <v>1.2</v>
      </c>
      <c r="W714" s="3">
        <v>3.21</v>
      </c>
      <c r="X714" s="3">
        <v>1.39</v>
      </c>
      <c r="Y714" s="3">
        <v>9.5500000000000007</v>
      </c>
      <c r="AR714" s="3" t="s">
        <v>695</v>
      </c>
      <c r="AS714" s="4" t="s">
        <v>696</v>
      </c>
      <c r="AT714" s="4">
        <v>47.75</v>
      </c>
      <c r="AU714" s="4" t="s">
        <v>806</v>
      </c>
      <c r="AV714" s="4" t="s">
        <v>697</v>
      </c>
      <c r="AW714" s="3" t="s">
        <v>698</v>
      </c>
    </row>
    <row r="715" spans="1:49" x14ac:dyDescent="0.15">
      <c r="A715" s="2">
        <v>714</v>
      </c>
      <c r="B715" s="2" t="s">
        <v>692</v>
      </c>
      <c r="C715" s="2" t="s">
        <v>94</v>
      </c>
      <c r="D715" s="2" t="s">
        <v>294</v>
      </c>
      <c r="E715" s="2" t="s">
        <v>39</v>
      </c>
      <c r="H715" s="2" t="s">
        <v>60</v>
      </c>
      <c r="I715" s="2" t="s">
        <v>76</v>
      </c>
      <c r="J715" s="2">
        <v>1986</v>
      </c>
      <c r="K715" s="2">
        <v>3</v>
      </c>
      <c r="L715" s="2">
        <v>1986</v>
      </c>
      <c r="M715" s="2">
        <v>5</v>
      </c>
      <c r="N715" s="3">
        <v>1000</v>
      </c>
      <c r="O715" s="3">
        <v>72</v>
      </c>
      <c r="P715" s="2">
        <v>18</v>
      </c>
      <c r="Q715" s="2">
        <v>27</v>
      </c>
      <c r="R715" s="2">
        <v>38</v>
      </c>
      <c r="S715" s="2">
        <v>2</v>
      </c>
      <c r="T715" s="3">
        <v>93</v>
      </c>
      <c r="U715" s="3">
        <f>15.1*0.116</f>
        <v>1.7516</v>
      </c>
      <c r="V715" s="3">
        <f>15.1*0.095</f>
        <v>1.4344999999999999</v>
      </c>
      <c r="W715" s="3">
        <f>15.1*0.185</f>
        <v>2.7934999999999999</v>
      </c>
      <c r="X715" s="3">
        <v>3.4</v>
      </c>
      <c r="Y715" s="3">
        <v>15.1</v>
      </c>
      <c r="AR715" s="3" t="s">
        <v>695</v>
      </c>
      <c r="AS715" s="4" t="s">
        <v>696</v>
      </c>
      <c r="AT715" s="4">
        <v>47.75</v>
      </c>
      <c r="AU715" s="4" t="s">
        <v>806</v>
      </c>
      <c r="AV715" s="4" t="s">
        <v>697</v>
      </c>
      <c r="AW715" s="3" t="s">
        <v>698</v>
      </c>
    </row>
    <row r="716" spans="1:49" x14ac:dyDescent="0.15">
      <c r="A716" s="2">
        <v>715</v>
      </c>
      <c r="B716" s="2" t="s">
        <v>692</v>
      </c>
      <c r="C716" s="2" t="s">
        <v>94</v>
      </c>
      <c r="D716" s="2" t="s">
        <v>294</v>
      </c>
      <c r="E716" s="2" t="s">
        <v>39</v>
      </c>
      <c r="H716" s="2" t="s">
        <v>60</v>
      </c>
      <c r="I716" s="2" t="s">
        <v>76</v>
      </c>
      <c r="J716" s="2">
        <v>1986</v>
      </c>
      <c r="K716" s="2">
        <v>6</v>
      </c>
      <c r="L716" s="2">
        <v>1986</v>
      </c>
      <c r="M716" s="2">
        <v>8</v>
      </c>
      <c r="N716" s="3">
        <v>1000</v>
      </c>
      <c r="O716" s="3">
        <v>72</v>
      </c>
      <c r="P716" s="2">
        <v>21</v>
      </c>
      <c r="Q716" s="2">
        <v>34</v>
      </c>
      <c r="R716" s="2">
        <v>41</v>
      </c>
      <c r="S716" s="2">
        <v>4</v>
      </c>
      <c r="T716" s="3">
        <v>106</v>
      </c>
      <c r="U716" s="3">
        <f>6.76*0.0129</f>
        <v>8.7204000000000004E-2</v>
      </c>
      <c r="V716" s="3">
        <f>6.76*0.244</f>
        <v>1.64944</v>
      </c>
      <c r="W716" s="3">
        <v>3.5</v>
      </c>
      <c r="X716" s="3">
        <v>0</v>
      </c>
      <c r="Y716" s="3">
        <v>6.76</v>
      </c>
      <c r="AR716" s="3" t="s">
        <v>695</v>
      </c>
      <c r="AS716" s="4" t="s">
        <v>696</v>
      </c>
      <c r="AT716" s="4">
        <v>47.75</v>
      </c>
      <c r="AU716" s="4" t="s">
        <v>806</v>
      </c>
      <c r="AV716" s="4" t="s">
        <v>697</v>
      </c>
      <c r="AW716" s="3" t="s">
        <v>698</v>
      </c>
    </row>
    <row r="717" spans="1:49" x14ac:dyDescent="0.15">
      <c r="A717" s="2">
        <v>716</v>
      </c>
      <c r="B717" s="2" t="s">
        <v>692</v>
      </c>
      <c r="C717" s="2" t="s">
        <v>94</v>
      </c>
      <c r="D717" s="2" t="s">
        <v>294</v>
      </c>
      <c r="E717" s="2" t="s">
        <v>39</v>
      </c>
      <c r="H717" s="2" t="s">
        <v>60</v>
      </c>
      <c r="I717" s="2" t="s">
        <v>76</v>
      </c>
      <c r="J717" s="2">
        <v>1985</v>
      </c>
      <c r="K717" s="2">
        <v>9</v>
      </c>
      <c r="L717" s="2">
        <v>1985</v>
      </c>
      <c r="M717" s="2">
        <v>11</v>
      </c>
      <c r="N717" s="3">
        <v>1000</v>
      </c>
      <c r="O717" s="3">
        <v>72</v>
      </c>
      <c r="P717" s="2">
        <v>28</v>
      </c>
      <c r="Q717" s="2">
        <v>29</v>
      </c>
      <c r="R717" s="2">
        <v>41</v>
      </c>
      <c r="S717" s="2">
        <v>4</v>
      </c>
      <c r="T717" s="3">
        <v>108</v>
      </c>
      <c r="U717" s="3">
        <v>2.93</v>
      </c>
      <c r="V717" s="3">
        <f>9.56*0.103</f>
        <v>0.98468</v>
      </c>
      <c r="W717" s="3">
        <v>2.69</v>
      </c>
      <c r="X717" s="3">
        <f>9.56*0.137</f>
        <v>1.3097200000000002</v>
      </c>
      <c r="Y717" s="3">
        <v>9.56</v>
      </c>
      <c r="AR717" s="3" t="s">
        <v>695</v>
      </c>
      <c r="AS717" s="4" t="s">
        <v>696</v>
      </c>
      <c r="AT717" s="4">
        <v>47.75</v>
      </c>
      <c r="AU717" s="4" t="s">
        <v>806</v>
      </c>
      <c r="AV717" s="4" t="s">
        <v>697</v>
      </c>
      <c r="AW717" s="3" t="s">
        <v>698</v>
      </c>
    </row>
    <row r="718" spans="1:49" x14ac:dyDescent="0.15">
      <c r="A718" s="2">
        <v>717</v>
      </c>
      <c r="B718" s="2" t="s">
        <v>692</v>
      </c>
      <c r="C718" s="2" t="s">
        <v>94</v>
      </c>
      <c r="D718" s="2" t="s">
        <v>294</v>
      </c>
      <c r="E718" s="2" t="s">
        <v>39</v>
      </c>
      <c r="H718" s="2" t="s">
        <v>60</v>
      </c>
      <c r="I718" s="2" t="s">
        <v>76</v>
      </c>
      <c r="J718" s="2">
        <v>1985</v>
      </c>
      <c r="K718" s="2">
        <v>12</v>
      </c>
      <c r="L718" s="2">
        <v>1986</v>
      </c>
      <c r="M718" s="2">
        <v>2</v>
      </c>
      <c r="N718" s="3">
        <v>1000</v>
      </c>
      <c r="O718" s="3">
        <v>72</v>
      </c>
      <c r="P718" s="2">
        <v>5</v>
      </c>
      <c r="Q718" s="2">
        <v>20</v>
      </c>
      <c r="R718" s="2">
        <v>33</v>
      </c>
      <c r="S718" s="2">
        <v>3</v>
      </c>
      <c r="T718" s="3">
        <v>74</v>
      </c>
      <c r="U718" s="3">
        <v>0.67800000000000005</v>
      </c>
      <c r="V718" s="3">
        <v>0.67800000000000005</v>
      </c>
      <c r="W718" s="3">
        <v>3.9</v>
      </c>
      <c r="X718" s="3">
        <v>0.67800000000000005</v>
      </c>
      <c r="Y718" s="3">
        <v>6.78</v>
      </c>
      <c r="AR718" s="3" t="s">
        <v>695</v>
      </c>
      <c r="AS718" s="4" t="s">
        <v>696</v>
      </c>
      <c r="AT718" s="4">
        <v>47.75</v>
      </c>
      <c r="AU718" s="4" t="s">
        <v>806</v>
      </c>
      <c r="AV718" s="4" t="s">
        <v>697</v>
      </c>
      <c r="AW718" s="3" t="s">
        <v>698</v>
      </c>
    </row>
    <row r="719" spans="1:49" x14ac:dyDescent="0.15">
      <c r="A719" s="2">
        <v>718</v>
      </c>
      <c r="B719" s="2" t="s">
        <v>699</v>
      </c>
      <c r="C719" s="2" t="s">
        <v>94</v>
      </c>
      <c r="D719" s="2" t="s">
        <v>700</v>
      </c>
      <c r="E719" s="2" t="s">
        <v>627</v>
      </c>
      <c r="H719" s="2" t="s">
        <v>701</v>
      </c>
      <c r="I719" s="2" t="s">
        <v>702</v>
      </c>
      <c r="J719" s="2">
        <v>1993</v>
      </c>
      <c r="K719" s="2">
        <v>8</v>
      </c>
      <c r="L719" s="2">
        <v>1993</v>
      </c>
      <c r="M719" s="2">
        <v>8</v>
      </c>
      <c r="N719" s="3">
        <v>1000</v>
      </c>
      <c r="O719" s="3">
        <v>60</v>
      </c>
      <c r="P719" s="2">
        <v>11</v>
      </c>
      <c r="Q719" s="2">
        <v>27</v>
      </c>
      <c r="R719" s="2">
        <v>40</v>
      </c>
      <c r="S719" s="2">
        <v>6</v>
      </c>
      <c r="T719" s="3">
        <v>87</v>
      </c>
      <c r="U719" s="3">
        <v>0.95</v>
      </c>
      <c r="V719" s="3">
        <v>23.59</v>
      </c>
      <c r="W719" s="3">
        <v>19.100000000000001</v>
      </c>
      <c r="X719" s="3">
        <v>18.78</v>
      </c>
      <c r="Y719" s="3">
        <v>63.86</v>
      </c>
      <c r="AA719" s="3">
        <v>45.26</v>
      </c>
      <c r="AB719" s="3">
        <v>61.84</v>
      </c>
      <c r="AC719" s="3">
        <v>944.21</v>
      </c>
      <c r="AD719" s="3">
        <v>108.68</v>
      </c>
      <c r="AE719" s="3">
        <v>1164.96</v>
      </c>
      <c r="AG719" s="3">
        <v>3.63</v>
      </c>
      <c r="AR719" s="3" t="s">
        <v>60</v>
      </c>
      <c r="AS719" s="4" t="s">
        <v>697</v>
      </c>
      <c r="AT719" s="4">
        <v>47.75</v>
      </c>
      <c r="AU719" s="4" t="s">
        <v>806</v>
      </c>
      <c r="AW719" s="3" t="s">
        <v>703</v>
      </c>
    </row>
    <row r="720" spans="1:49" x14ac:dyDescent="0.15">
      <c r="A720" s="2">
        <v>719</v>
      </c>
      <c r="B720" s="2" t="s">
        <v>704</v>
      </c>
      <c r="C720" s="2" t="s">
        <v>94</v>
      </c>
      <c r="D720" s="2" t="s">
        <v>294</v>
      </c>
      <c r="E720" s="2" t="s">
        <v>705</v>
      </c>
      <c r="H720" s="2" t="s">
        <v>60</v>
      </c>
      <c r="I720" s="2" t="s">
        <v>76</v>
      </c>
      <c r="J720" s="2">
        <v>2009</v>
      </c>
      <c r="K720" s="2">
        <v>5</v>
      </c>
      <c r="L720" s="2">
        <v>2009</v>
      </c>
      <c r="M720" s="2">
        <v>5</v>
      </c>
      <c r="N720" s="3">
        <v>500</v>
      </c>
      <c r="O720" s="3">
        <v>24</v>
      </c>
      <c r="P720" s="2">
        <v>9</v>
      </c>
      <c r="Q720" s="2">
        <v>14</v>
      </c>
      <c r="R720" s="2">
        <v>35</v>
      </c>
      <c r="S720" s="2">
        <v>1</v>
      </c>
      <c r="T720" s="3">
        <v>60</v>
      </c>
      <c r="U720" s="3">
        <v>1.0900000000000001</v>
      </c>
      <c r="V720" s="3">
        <v>6.05</v>
      </c>
      <c r="W720" s="3">
        <v>15.94</v>
      </c>
      <c r="X720" s="3">
        <v>1.07</v>
      </c>
      <c r="Y720" s="3">
        <v>24.48</v>
      </c>
      <c r="AA720" s="3">
        <v>98.6</v>
      </c>
      <c r="AB720" s="3">
        <v>141.69999999999999</v>
      </c>
      <c r="AC720" s="3">
        <v>1245.5999999999999</v>
      </c>
      <c r="AD720" s="3">
        <v>6.3</v>
      </c>
      <c r="AE720" s="3">
        <v>1494.7</v>
      </c>
      <c r="AG720" s="3">
        <v>2.81</v>
      </c>
      <c r="AR720" s="4" t="s">
        <v>706</v>
      </c>
      <c r="AS720" s="4"/>
      <c r="AT720" s="4">
        <v>47.75</v>
      </c>
      <c r="AU720" s="4" t="s">
        <v>806</v>
      </c>
      <c r="AW720" s="3" t="s">
        <v>713</v>
      </c>
    </row>
    <row r="721" spans="1:49" x14ac:dyDescent="0.15">
      <c r="A721" s="2">
        <v>720</v>
      </c>
      <c r="B721" s="2" t="s">
        <v>704</v>
      </c>
      <c r="C721" s="2" t="s">
        <v>94</v>
      </c>
      <c r="D721" s="2" t="s">
        <v>294</v>
      </c>
      <c r="E721" s="2" t="s">
        <v>705</v>
      </c>
      <c r="H721" s="2" t="s">
        <v>60</v>
      </c>
      <c r="I721" s="2" t="s">
        <v>76</v>
      </c>
      <c r="J721" s="2">
        <v>2009</v>
      </c>
      <c r="K721" s="2">
        <v>10</v>
      </c>
      <c r="N721" s="3">
        <v>500</v>
      </c>
      <c r="O721" s="3">
        <v>24</v>
      </c>
      <c r="P721" s="2">
        <v>7</v>
      </c>
      <c r="Q721" s="2">
        <v>17</v>
      </c>
      <c r="R721" s="2">
        <v>37</v>
      </c>
      <c r="S721" s="2">
        <v>3</v>
      </c>
      <c r="T721" s="3">
        <v>68</v>
      </c>
      <c r="U721" s="3">
        <v>0.12</v>
      </c>
      <c r="V721" s="3">
        <v>3.29</v>
      </c>
      <c r="W721" s="3">
        <v>6.45</v>
      </c>
      <c r="X721" s="3">
        <v>0.24</v>
      </c>
      <c r="Y721" s="3">
        <v>76.760000000000005</v>
      </c>
      <c r="AA721" s="3">
        <v>77.7</v>
      </c>
      <c r="AB721" s="3">
        <v>850.9</v>
      </c>
      <c r="AC721" s="3">
        <v>1409.2</v>
      </c>
      <c r="AD721" s="3">
        <v>9</v>
      </c>
      <c r="AE721" s="3">
        <v>2384</v>
      </c>
      <c r="AG721" s="3">
        <v>2.67</v>
      </c>
      <c r="AR721" s="4" t="s">
        <v>63</v>
      </c>
      <c r="AS721" s="4"/>
      <c r="AT721" s="4">
        <v>47.75</v>
      </c>
      <c r="AU721" s="4" t="s">
        <v>806</v>
      </c>
      <c r="AW721" s="3" t="s">
        <v>713</v>
      </c>
    </row>
    <row r="722" spans="1:49" x14ac:dyDescent="0.15">
      <c r="A722" s="2">
        <v>721</v>
      </c>
      <c r="B722" s="2" t="s">
        <v>707</v>
      </c>
      <c r="C722" s="2" t="s">
        <v>427</v>
      </c>
      <c r="D722" s="2" t="s">
        <v>294</v>
      </c>
      <c r="E722" s="2" t="s">
        <v>708</v>
      </c>
      <c r="H722" s="2" t="s">
        <v>709</v>
      </c>
      <c r="I722" s="2" t="s">
        <v>710</v>
      </c>
      <c r="J722" s="2">
        <v>2005</v>
      </c>
      <c r="K722" s="2">
        <v>11</v>
      </c>
      <c r="N722" s="3">
        <v>2500</v>
      </c>
      <c r="O722" s="3">
        <v>18</v>
      </c>
      <c r="P722" s="2">
        <v>8</v>
      </c>
      <c r="Q722" s="2">
        <v>11</v>
      </c>
      <c r="R722" s="2">
        <v>13</v>
      </c>
      <c r="S722" s="2">
        <v>0</v>
      </c>
      <c r="T722" s="3">
        <v>34</v>
      </c>
      <c r="U722" s="3">
        <v>1.43</v>
      </c>
      <c r="V722" s="3">
        <v>58.29</v>
      </c>
      <c r="W722" s="3">
        <v>1.39</v>
      </c>
      <c r="X722" s="3">
        <v>0</v>
      </c>
      <c r="Y722" s="3">
        <v>61.12</v>
      </c>
      <c r="AA722" s="3">
        <v>5.34</v>
      </c>
      <c r="AB722" s="3">
        <v>126.44</v>
      </c>
      <c r="AC722" s="3">
        <v>32</v>
      </c>
      <c r="AD722" s="3">
        <v>0</v>
      </c>
      <c r="AE722" s="3">
        <v>164</v>
      </c>
      <c r="AR722" s="4" t="s">
        <v>63</v>
      </c>
      <c r="AS722" s="4" t="s">
        <v>711</v>
      </c>
      <c r="AT722" s="4">
        <v>47.75</v>
      </c>
      <c r="AU722" s="4" t="s">
        <v>806</v>
      </c>
      <c r="AW722" s="3" t="s">
        <v>712</v>
      </c>
    </row>
    <row r="723" spans="1:49" x14ac:dyDescent="0.15">
      <c r="A723" s="2">
        <v>722</v>
      </c>
      <c r="B723" s="2" t="s">
        <v>714</v>
      </c>
      <c r="C723" s="2" t="s">
        <v>71</v>
      </c>
      <c r="D723" s="2" t="s">
        <v>115</v>
      </c>
      <c r="E723" s="2" t="s">
        <v>708</v>
      </c>
      <c r="H723" s="2" t="s">
        <v>706</v>
      </c>
      <c r="I723" s="2" t="s">
        <v>715</v>
      </c>
      <c r="J723" s="2">
        <v>1990</v>
      </c>
      <c r="K723" s="2">
        <v>5</v>
      </c>
      <c r="L723" s="2">
        <v>1990</v>
      </c>
      <c r="M723" s="2">
        <v>8</v>
      </c>
      <c r="N723" s="3">
        <v>1000</v>
      </c>
      <c r="O723" s="3">
        <v>52</v>
      </c>
      <c r="P723" s="2">
        <v>32</v>
      </c>
      <c r="Q723" s="2">
        <v>35</v>
      </c>
      <c r="R723" s="2">
        <v>59</v>
      </c>
      <c r="S723" s="2">
        <v>6</v>
      </c>
      <c r="T723" s="3">
        <v>150</v>
      </c>
      <c r="U723" s="3">
        <v>1.345</v>
      </c>
      <c r="V723" s="3">
        <v>4.3949999999999996</v>
      </c>
      <c r="W723" s="3">
        <v>3.1749999999999998</v>
      </c>
      <c r="X723" s="3">
        <v>19.09</v>
      </c>
      <c r="Y723" s="3">
        <v>45.04</v>
      </c>
      <c r="AA723" s="3">
        <v>33</v>
      </c>
      <c r="AB723" s="3">
        <v>58</v>
      </c>
      <c r="AC723" s="3">
        <v>240.5</v>
      </c>
      <c r="AD723" s="3">
        <v>34</v>
      </c>
      <c r="AE723" s="3">
        <v>384</v>
      </c>
      <c r="AR723" s="4" t="s">
        <v>716</v>
      </c>
      <c r="AS723" s="4" t="s">
        <v>711</v>
      </c>
      <c r="AT723" s="4">
        <v>47.75</v>
      </c>
      <c r="AU723" s="4" t="s">
        <v>806</v>
      </c>
      <c r="AW723" s="3" t="s">
        <v>717</v>
      </c>
    </row>
    <row r="724" spans="1:49" x14ac:dyDescent="0.15">
      <c r="A724" s="2">
        <v>723</v>
      </c>
      <c r="B724" s="2" t="s">
        <v>718</v>
      </c>
      <c r="C724" s="2" t="s">
        <v>710</v>
      </c>
      <c r="D724" s="2" t="s">
        <v>76</v>
      </c>
      <c r="E724" s="2" t="s">
        <v>719</v>
      </c>
      <c r="H724" s="2" t="s">
        <v>706</v>
      </c>
      <c r="I724" s="2" t="s">
        <v>720</v>
      </c>
      <c r="J724" s="2">
        <v>2008</v>
      </c>
      <c r="K724" s="2">
        <v>4</v>
      </c>
      <c r="N724" s="3">
        <v>1000</v>
      </c>
      <c r="O724" s="3">
        <v>42</v>
      </c>
      <c r="P724" s="2">
        <v>25</v>
      </c>
      <c r="Q724" s="2">
        <v>19</v>
      </c>
      <c r="R724" s="2">
        <v>45</v>
      </c>
      <c r="S724" s="2">
        <v>3</v>
      </c>
      <c r="T724" s="3">
        <v>99</v>
      </c>
      <c r="U724" s="3">
        <v>4.53</v>
      </c>
      <c r="V724" s="3">
        <v>8.2799999999999994</v>
      </c>
      <c r="W724" s="3">
        <v>2.95</v>
      </c>
      <c r="X724" s="3">
        <v>16.690000000000001</v>
      </c>
      <c r="Y724" s="3">
        <v>36.03</v>
      </c>
      <c r="AA724" s="3">
        <v>53.1</v>
      </c>
      <c r="AB724" s="3">
        <v>76.19</v>
      </c>
      <c r="AC724" s="3">
        <v>71.430000000000007</v>
      </c>
      <c r="AD724" s="3">
        <v>6.9</v>
      </c>
      <c r="AE724" s="3">
        <v>228.81</v>
      </c>
      <c r="AG724" s="3">
        <f>AVERAGE(AG725:AG745)</f>
        <v>2.9928571428571433</v>
      </c>
      <c r="AH724" s="3">
        <f>STDEV(AG725:AG745)</f>
        <v>0.95196188399085868</v>
      </c>
      <c r="AI724" s="3">
        <f>AVERAGE(AI725:AI745)</f>
        <v>0.83666666666666667</v>
      </c>
      <c r="AJ724" s="3">
        <f>STDEV(AI725:AI745)</f>
        <v>0.11390054140930768</v>
      </c>
      <c r="AM724" s="3">
        <f>AVERAGE(AM725:AM745)</f>
        <v>1.7585714285714285</v>
      </c>
      <c r="AN724" s="3">
        <f>STDEV(AM725:AM745)</f>
        <v>0.60145062735261723</v>
      </c>
      <c r="AR724" s="4" t="s">
        <v>721</v>
      </c>
      <c r="AS724" s="4" t="s">
        <v>711</v>
      </c>
      <c r="AT724" s="4">
        <v>47.75</v>
      </c>
      <c r="AU724" s="4" t="s">
        <v>806</v>
      </c>
      <c r="AW724" s="3" t="s">
        <v>722</v>
      </c>
    </row>
    <row r="725" spans="1:49" ht="13.5" x14ac:dyDescent="0.15">
      <c r="A725" s="2">
        <v>724</v>
      </c>
      <c r="B725" s="2" t="s">
        <v>718</v>
      </c>
      <c r="T725">
        <v>8</v>
      </c>
      <c r="AG725" s="3">
        <v>1.52</v>
      </c>
      <c r="AI725" s="3">
        <v>0.51</v>
      </c>
      <c r="AM725" s="3">
        <v>0.82</v>
      </c>
      <c r="AR725" s="4"/>
      <c r="AS725" s="4"/>
      <c r="AT725" s="4">
        <v>47.75</v>
      </c>
      <c r="AU725" s="4" t="s">
        <v>806</v>
      </c>
      <c r="AW725" s="3" t="s">
        <v>731</v>
      </c>
    </row>
    <row r="726" spans="1:49" ht="13.5" x14ac:dyDescent="0.15">
      <c r="A726" s="2">
        <v>725</v>
      </c>
      <c r="B726" s="2" t="s">
        <v>718</v>
      </c>
      <c r="T726">
        <v>19</v>
      </c>
      <c r="AG726" s="3">
        <v>3.5</v>
      </c>
      <c r="AI726" s="3">
        <v>0.84</v>
      </c>
      <c r="AM726" s="3">
        <v>2.09</v>
      </c>
      <c r="AR726" s="4"/>
      <c r="AS726" s="4"/>
      <c r="AT726" s="4">
        <v>47.75</v>
      </c>
      <c r="AU726" s="4" t="s">
        <v>806</v>
      </c>
      <c r="AW726" s="3" t="s">
        <v>731</v>
      </c>
    </row>
    <row r="727" spans="1:49" ht="13.5" x14ac:dyDescent="0.15">
      <c r="A727" s="2">
        <v>726</v>
      </c>
      <c r="B727" s="2" t="s">
        <v>718</v>
      </c>
      <c r="T727">
        <v>29</v>
      </c>
      <c r="AG727" s="3">
        <v>3.56</v>
      </c>
      <c r="AI727" s="3">
        <v>0.73</v>
      </c>
      <c r="AM727" s="3">
        <v>2.9699999999999998</v>
      </c>
      <c r="AR727" s="4"/>
      <c r="AS727" s="4"/>
      <c r="AT727" s="4">
        <v>47.75</v>
      </c>
      <c r="AU727" s="4" t="s">
        <v>806</v>
      </c>
      <c r="AW727" s="3" t="s">
        <v>731</v>
      </c>
    </row>
    <row r="728" spans="1:49" ht="13.5" x14ac:dyDescent="0.15">
      <c r="A728" s="2">
        <v>727</v>
      </c>
      <c r="B728" s="2" t="s">
        <v>718</v>
      </c>
      <c r="T728">
        <v>16</v>
      </c>
      <c r="AG728" s="3">
        <v>3.62</v>
      </c>
      <c r="AI728" s="3">
        <v>0.91</v>
      </c>
      <c r="AM728" s="3">
        <v>2.0499999999999998</v>
      </c>
      <c r="AR728" s="4"/>
      <c r="AS728" s="4"/>
      <c r="AT728" s="4">
        <v>47.75</v>
      </c>
      <c r="AU728" s="4" t="s">
        <v>806</v>
      </c>
      <c r="AW728" s="3" t="s">
        <v>731</v>
      </c>
    </row>
    <row r="729" spans="1:49" ht="13.5" x14ac:dyDescent="0.15">
      <c r="A729" s="2">
        <v>728</v>
      </c>
      <c r="B729" s="2" t="s">
        <v>718</v>
      </c>
      <c r="T729">
        <v>14</v>
      </c>
      <c r="AG729" s="3">
        <v>3.59</v>
      </c>
      <c r="AI729" s="3">
        <v>0.94</v>
      </c>
      <c r="AM729" s="3">
        <v>1.79</v>
      </c>
      <c r="AT729" s="4">
        <v>47.75</v>
      </c>
      <c r="AU729" s="4" t="s">
        <v>806</v>
      </c>
      <c r="AW729" s="3" t="s">
        <v>731</v>
      </c>
    </row>
    <row r="730" spans="1:49" ht="13.5" x14ac:dyDescent="0.15">
      <c r="A730" s="2">
        <v>729</v>
      </c>
      <c r="B730" s="2" t="s">
        <v>718</v>
      </c>
      <c r="T730">
        <v>16</v>
      </c>
      <c r="AG730" s="3">
        <v>3.68</v>
      </c>
      <c r="AI730" s="3">
        <v>0.94</v>
      </c>
      <c r="AM730" s="3">
        <v>2.08</v>
      </c>
      <c r="AT730" s="4">
        <v>47.75</v>
      </c>
      <c r="AU730" s="4" t="s">
        <v>806</v>
      </c>
      <c r="AW730" s="3" t="s">
        <v>731</v>
      </c>
    </row>
    <row r="731" spans="1:49" ht="13.5" x14ac:dyDescent="0.15">
      <c r="A731" s="2">
        <v>730</v>
      </c>
      <c r="B731" s="2" t="s">
        <v>718</v>
      </c>
      <c r="T731">
        <v>4</v>
      </c>
      <c r="AG731" s="3">
        <v>2</v>
      </c>
      <c r="AI731" s="3">
        <v>1</v>
      </c>
      <c r="AM731" s="3">
        <v>0.69</v>
      </c>
      <c r="AT731" s="4">
        <v>47.75</v>
      </c>
      <c r="AU731" s="4" t="s">
        <v>806</v>
      </c>
      <c r="AW731" s="3" t="s">
        <v>731</v>
      </c>
    </row>
    <row r="732" spans="1:49" ht="13.5" x14ac:dyDescent="0.15">
      <c r="A732" s="2">
        <v>731</v>
      </c>
      <c r="B732" s="2" t="s">
        <v>718</v>
      </c>
      <c r="T732">
        <v>1</v>
      </c>
      <c r="AG732" s="3">
        <v>0</v>
      </c>
      <c r="AI732" s="3">
        <v>1</v>
      </c>
      <c r="AM732" s="3">
        <v>1</v>
      </c>
      <c r="AT732" s="4">
        <v>47.75</v>
      </c>
      <c r="AU732" s="4" t="s">
        <v>806</v>
      </c>
      <c r="AW732" s="3" t="s">
        <v>731</v>
      </c>
    </row>
    <row r="733" spans="1:49" ht="13.5" x14ac:dyDescent="0.15">
      <c r="A733" s="2">
        <v>732</v>
      </c>
      <c r="B733" s="2" t="s">
        <v>718</v>
      </c>
      <c r="T733">
        <v>21</v>
      </c>
      <c r="AG733" s="3">
        <v>4.18</v>
      </c>
      <c r="AI733" s="3">
        <v>0.95</v>
      </c>
      <c r="AM733" s="3">
        <v>2.67</v>
      </c>
      <c r="AT733" s="4">
        <v>47.75</v>
      </c>
      <c r="AU733" s="4" t="s">
        <v>806</v>
      </c>
      <c r="AW733" s="3" t="s">
        <v>731</v>
      </c>
    </row>
    <row r="734" spans="1:49" ht="13.5" x14ac:dyDescent="0.15">
      <c r="A734" s="2">
        <v>733</v>
      </c>
      <c r="B734" s="2" t="s">
        <v>718</v>
      </c>
      <c r="T734">
        <v>18</v>
      </c>
      <c r="AG734" s="3">
        <v>3.38</v>
      </c>
      <c r="AI734" s="3">
        <v>0.81</v>
      </c>
      <c r="AM734" s="3">
        <v>2.0699999999999998</v>
      </c>
      <c r="AT734" s="4">
        <v>47.75</v>
      </c>
      <c r="AU734" s="4" t="s">
        <v>806</v>
      </c>
      <c r="AW734" s="3" t="s">
        <v>731</v>
      </c>
    </row>
    <row r="735" spans="1:49" ht="13.5" x14ac:dyDescent="0.15">
      <c r="A735" s="2">
        <v>734</v>
      </c>
      <c r="B735" s="2" t="s">
        <v>718</v>
      </c>
      <c r="T735">
        <v>17</v>
      </c>
      <c r="AG735" s="3">
        <v>3.69</v>
      </c>
      <c r="AI735" s="3">
        <v>0.9</v>
      </c>
      <c r="AM735" s="3">
        <v>2.0499999999999998</v>
      </c>
      <c r="AT735" s="4">
        <v>47.75</v>
      </c>
      <c r="AU735" s="4" t="s">
        <v>806</v>
      </c>
      <c r="AW735" s="3" t="s">
        <v>731</v>
      </c>
    </row>
    <row r="736" spans="1:49" ht="13.5" x14ac:dyDescent="0.15">
      <c r="A736" s="2">
        <v>735</v>
      </c>
      <c r="B736" s="2" t="s">
        <v>718</v>
      </c>
      <c r="T736">
        <v>17</v>
      </c>
      <c r="AG736" s="3">
        <v>3.59</v>
      </c>
      <c r="AI736" s="3">
        <v>0.88</v>
      </c>
      <c r="AM736" s="3">
        <v>1.94</v>
      </c>
      <c r="AT736" s="4">
        <v>47.75</v>
      </c>
      <c r="AU736" s="4" t="s">
        <v>806</v>
      </c>
      <c r="AW736" s="3" t="s">
        <v>731</v>
      </c>
    </row>
    <row r="737" spans="1:49" ht="13.5" x14ac:dyDescent="0.15">
      <c r="A737" s="2">
        <v>736</v>
      </c>
      <c r="B737" s="2" t="s">
        <v>718</v>
      </c>
      <c r="T737">
        <v>15</v>
      </c>
      <c r="AG737" s="3">
        <v>3.49</v>
      </c>
      <c r="AI737" s="3">
        <v>0.87</v>
      </c>
      <c r="AM737" s="3">
        <v>1.8599999999999999</v>
      </c>
      <c r="AT737" s="4">
        <v>47.75</v>
      </c>
      <c r="AU737" s="4" t="s">
        <v>806</v>
      </c>
      <c r="AW737" s="3" t="s">
        <v>731</v>
      </c>
    </row>
    <row r="738" spans="1:49" ht="13.5" x14ac:dyDescent="0.15">
      <c r="A738" s="2">
        <v>737</v>
      </c>
      <c r="B738" s="2" t="s">
        <v>718</v>
      </c>
      <c r="T738">
        <v>9</v>
      </c>
      <c r="AG738" s="3">
        <v>2.4300000000000002</v>
      </c>
      <c r="AI738" s="3">
        <v>0.77</v>
      </c>
      <c r="AM738" s="3">
        <v>1.1100000000000001</v>
      </c>
      <c r="AT738" s="4">
        <v>47.75</v>
      </c>
      <c r="AU738" s="4" t="s">
        <v>806</v>
      </c>
      <c r="AW738" s="3" t="s">
        <v>731</v>
      </c>
    </row>
    <row r="739" spans="1:49" ht="13.5" x14ac:dyDescent="0.15">
      <c r="A739" s="2">
        <v>738</v>
      </c>
      <c r="B739" s="2" t="s">
        <v>718</v>
      </c>
      <c r="T739">
        <v>14</v>
      </c>
      <c r="AG739" s="3">
        <v>3.25</v>
      </c>
      <c r="AI739" s="3">
        <v>0.85</v>
      </c>
      <c r="AM739" s="3">
        <v>1.8399999999999999</v>
      </c>
      <c r="AT739" s="4">
        <v>47.75</v>
      </c>
      <c r="AU739" s="4" t="s">
        <v>806</v>
      </c>
      <c r="AW739" s="3" t="s">
        <v>731</v>
      </c>
    </row>
    <row r="740" spans="1:49" ht="13.5" x14ac:dyDescent="0.15">
      <c r="A740" s="2">
        <v>739</v>
      </c>
      <c r="B740" s="2" t="s">
        <v>718</v>
      </c>
      <c r="T740">
        <v>7</v>
      </c>
      <c r="AG740" s="3">
        <v>2.02</v>
      </c>
      <c r="AI740" s="3">
        <v>0.72</v>
      </c>
      <c r="AM740" s="3">
        <v>0.94</v>
      </c>
      <c r="AT740" s="4">
        <v>47.75</v>
      </c>
      <c r="AU740" s="4" t="s">
        <v>806</v>
      </c>
      <c r="AW740" s="3" t="s">
        <v>731</v>
      </c>
    </row>
    <row r="741" spans="1:49" ht="13.5" x14ac:dyDescent="0.15">
      <c r="A741" s="2">
        <v>740</v>
      </c>
      <c r="B741" s="2" t="s">
        <v>718</v>
      </c>
      <c r="T741">
        <v>11</v>
      </c>
      <c r="AG741" s="3">
        <v>2.77</v>
      </c>
      <c r="AI741" s="3">
        <v>0.8</v>
      </c>
      <c r="AM741" s="3">
        <v>1.37</v>
      </c>
      <c r="AT741" s="4">
        <v>47.75</v>
      </c>
      <c r="AU741" s="4" t="s">
        <v>806</v>
      </c>
      <c r="AW741" s="3" t="s">
        <v>731</v>
      </c>
    </row>
    <row r="742" spans="1:49" ht="13.5" x14ac:dyDescent="0.15">
      <c r="A742" s="2">
        <v>741</v>
      </c>
      <c r="B742" s="2" t="s">
        <v>718</v>
      </c>
      <c r="T742">
        <v>22</v>
      </c>
      <c r="AG742" s="3">
        <v>3.13</v>
      </c>
      <c r="AI742" s="3">
        <v>0.7</v>
      </c>
      <c r="AM742" s="3">
        <v>2.41</v>
      </c>
      <c r="AT742" s="4">
        <v>47.75</v>
      </c>
      <c r="AU742" s="4" t="s">
        <v>806</v>
      </c>
      <c r="AW742" s="3" t="s">
        <v>731</v>
      </c>
    </row>
    <row r="743" spans="1:49" ht="13.5" x14ac:dyDescent="0.15">
      <c r="A743" s="2">
        <v>742</v>
      </c>
      <c r="B743" s="2" t="s">
        <v>718</v>
      </c>
      <c r="T743">
        <v>14</v>
      </c>
      <c r="AG743" s="3">
        <v>3.19</v>
      </c>
      <c r="AI743" s="3">
        <v>0.84</v>
      </c>
      <c r="AM743" s="3">
        <v>1.6800000000000002</v>
      </c>
      <c r="AT743" s="4">
        <v>47.75</v>
      </c>
      <c r="AU743" s="4" t="s">
        <v>806</v>
      </c>
      <c r="AW743" s="3" t="s">
        <v>731</v>
      </c>
    </row>
    <row r="744" spans="1:49" ht="13.5" x14ac:dyDescent="0.15">
      <c r="A744" s="2">
        <v>743</v>
      </c>
      <c r="B744" s="2" t="s">
        <v>718</v>
      </c>
      <c r="T744">
        <v>13</v>
      </c>
      <c r="AG744" s="3">
        <v>2.92</v>
      </c>
      <c r="AI744" s="3">
        <v>0.79</v>
      </c>
      <c r="AM744" s="3">
        <v>1.49</v>
      </c>
      <c r="AT744" s="4">
        <v>47.75</v>
      </c>
      <c r="AU744" s="4" t="s">
        <v>806</v>
      </c>
      <c r="AW744" s="3" t="s">
        <v>731</v>
      </c>
    </row>
    <row r="745" spans="1:49" ht="13.5" x14ac:dyDescent="0.15">
      <c r="A745" s="2">
        <v>744</v>
      </c>
      <c r="B745" s="2" t="s">
        <v>718</v>
      </c>
      <c r="T745">
        <v>17</v>
      </c>
      <c r="AG745" s="3">
        <v>3.34</v>
      </c>
      <c r="AI745" s="3">
        <v>0.82</v>
      </c>
      <c r="AM745" s="3">
        <v>2.0099999999999998</v>
      </c>
      <c r="AT745" s="4">
        <v>47.75</v>
      </c>
      <c r="AU745" s="4" t="s">
        <v>806</v>
      </c>
      <c r="AW745" s="3" t="s">
        <v>731</v>
      </c>
    </row>
    <row r="746" spans="1:49" x14ac:dyDescent="0.15">
      <c r="A746" s="2">
        <v>745</v>
      </c>
      <c r="B746" s="2" t="s">
        <v>723</v>
      </c>
      <c r="C746" s="2" t="s">
        <v>172</v>
      </c>
      <c r="D746" s="2" t="s">
        <v>396</v>
      </c>
      <c r="E746" s="2" t="s">
        <v>39</v>
      </c>
      <c r="H746" s="2" t="s">
        <v>750</v>
      </c>
      <c r="I746" s="2" t="s">
        <v>710</v>
      </c>
      <c r="J746" s="2">
        <v>2009</v>
      </c>
      <c r="K746" s="2">
        <v>5</v>
      </c>
      <c r="N746" s="3">
        <v>500</v>
      </c>
      <c r="O746" s="3">
        <v>12</v>
      </c>
      <c r="P746" s="2">
        <v>24</v>
      </c>
      <c r="Q746" s="2">
        <v>13</v>
      </c>
      <c r="R746" s="2">
        <v>37</v>
      </c>
      <c r="S746" s="2">
        <v>2</v>
      </c>
      <c r="T746" s="3">
        <v>78</v>
      </c>
      <c r="U746" s="3">
        <v>2.71</v>
      </c>
      <c r="V746" s="3">
        <v>2.4300000000000002</v>
      </c>
      <c r="W746" s="3">
        <v>6.48</v>
      </c>
      <c r="X746" s="3">
        <v>7.73</v>
      </c>
      <c r="Y746" s="3">
        <v>21.37</v>
      </c>
      <c r="AA746" s="3">
        <v>707.5</v>
      </c>
      <c r="AB746" s="3">
        <v>196.7</v>
      </c>
      <c r="AC746" s="3">
        <v>728.3</v>
      </c>
      <c r="AD746" s="3">
        <v>24.2</v>
      </c>
      <c r="AE746" s="3">
        <v>1675.8</v>
      </c>
      <c r="AG746" s="3">
        <f>AVERAGE(AG747:AG758)</f>
        <v>3.437416666666667</v>
      </c>
      <c r="AH746" s="3">
        <f>STDEV(AG747:AG758)</f>
        <v>0.57562542402840067</v>
      </c>
      <c r="AI746" s="3">
        <f>AVERAGE(AI747:AI758)</f>
        <v>0.77812500000000007</v>
      </c>
      <c r="AJ746" s="3">
        <f>STDEV(AI747:AI758)</f>
        <v>9.0742844696627883E-2</v>
      </c>
      <c r="AM746" s="3">
        <f>AVERAGE(AM747:AM758)</f>
        <v>2.9011666666666667</v>
      </c>
      <c r="AN746" s="3">
        <f>STDEV(AM747:AM758)</f>
        <v>0.91481859437052471</v>
      </c>
      <c r="AR746" s="3" t="s">
        <v>716</v>
      </c>
      <c r="AS746" s="4" t="s">
        <v>724</v>
      </c>
      <c r="AT746" s="4">
        <v>47.75</v>
      </c>
      <c r="AU746" s="4" t="s">
        <v>806</v>
      </c>
      <c r="AW746" s="3" t="s">
        <v>732</v>
      </c>
    </row>
    <row r="747" spans="1:49" ht="13.5" x14ac:dyDescent="0.15">
      <c r="A747" s="2">
        <v>746</v>
      </c>
      <c r="B747" s="2" t="s">
        <v>723</v>
      </c>
      <c r="T747">
        <v>16</v>
      </c>
      <c r="AG747">
        <v>3.0129999999999999</v>
      </c>
      <c r="AI747">
        <v>0.75319999999999998</v>
      </c>
      <c r="AM747">
        <v>2.0510000000000002</v>
      </c>
      <c r="AT747" s="4">
        <v>47.75</v>
      </c>
      <c r="AU747" s="4" t="s">
        <v>806</v>
      </c>
      <c r="AW747" s="3" t="s">
        <v>731</v>
      </c>
    </row>
    <row r="748" spans="1:49" ht="13.5" x14ac:dyDescent="0.15">
      <c r="A748" s="2">
        <v>747</v>
      </c>
      <c r="B748" s="2" t="s">
        <v>723</v>
      </c>
      <c r="T748">
        <v>20</v>
      </c>
      <c r="AG748">
        <v>3.3069999999999999</v>
      </c>
      <c r="AI748">
        <v>0.8266</v>
      </c>
      <c r="AM748">
        <v>2.165</v>
      </c>
      <c r="AT748" s="4">
        <v>47.75</v>
      </c>
      <c r="AU748" s="4" t="s">
        <v>806</v>
      </c>
      <c r="AW748" s="3" t="s">
        <v>731</v>
      </c>
    </row>
    <row r="749" spans="1:49" ht="13.5" x14ac:dyDescent="0.15">
      <c r="A749" s="2">
        <v>748</v>
      </c>
      <c r="B749" s="2" t="s">
        <v>723</v>
      </c>
      <c r="T749">
        <v>27</v>
      </c>
      <c r="AG749">
        <v>3.222</v>
      </c>
      <c r="AI749">
        <v>0.74539999999999995</v>
      </c>
      <c r="AM749">
        <v>2.6080000000000001</v>
      </c>
      <c r="AT749" s="4">
        <v>47.75</v>
      </c>
      <c r="AU749" s="4" t="s">
        <v>806</v>
      </c>
      <c r="AW749" s="3" t="s">
        <v>731</v>
      </c>
    </row>
    <row r="750" spans="1:49" ht="13.5" x14ac:dyDescent="0.15">
      <c r="A750" s="2">
        <v>749</v>
      </c>
      <c r="B750" s="2" t="s">
        <v>723</v>
      </c>
      <c r="T750">
        <v>21</v>
      </c>
      <c r="AG750">
        <v>2.7240000000000002</v>
      </c>
      <c r="AI750">
        <v>0.63029999999999997</v>
      </c>
      <c r="AM750">
        <v>2.496</v>
      </c>
      <c r="AT750" s="4">
        <v>47.75</v>
      </c>
      <c r="AU750" s="4" t="s">
        <v>806</v>
      </c>
      <c r="AW750" s="3" t="s">
        <v>731</v>
      </c>
    </row>
    <row r="751" spans="1:49" ht="13.5" x14ac:dyDescent="0.15">
      <c r="A751" s="2">
        <v>750</v>
      </c>
      <c r="B751" s="2" t="s">
        <v>723</v>
      </c>
      <c r="T751">
        <v>16</v>
      </c>
      <c r="AG751">
        <v>3.2170000000000001</v>
      </c>
      <c r="AI751">
        <v>0.82340000000000002</v>
      </c>
      <c r="AM751">
        <v>2.0720000000000001</v>
      </c>
      <c r="AT751" s="4">
        <v>47.75</v>
      </c>
      <c r="AU751" s="4" t="s">
        <v>806</v>
      </c>
      <c r="AW751" s="3" t="s">
        <v>731</v>
      </c>
    </row>
    <row r="752" spans="1:49" ht="13.5" x14ac:dyDescent="0.15">
      <c r="A752" s="2">
        <v>751</v>
      </c>
      <c r="B752" s="2" t="s">
        <v>723</v>
      </c>
      <c r="T752">
        <v>15</v>
      </c>
      <c r="AG752">
        <v>4.3979999999999997</v>
      </c>
      <c r="AI752">
        <v>0.85070000000000001</v>
      </c>
      <c r="AM752">
        <v>4.6980000000000004</v>
      </c>
      <c r="AT752" s="4">
        <v>47.75</v>
      </c>
      <c r="AU752" s="4" t="s">
        <v>806</v>
      </c>
      <c r="AW752" s="3" t="s">
        <v>731</v>
      </c>
    </row>
    <row r="753" spans="1:49" ht="13.5" x14ac:dyDescent="0.15">
      <c r="A753" s="2">
        <v>752</v>
      </c>
      <c r="B753" s="2" t="s">
        <v>723</v>
      </c>
      <c r="T753">
        <v>13</v>
      </c>
      <c r="AG753">
        <v>3.657</v>
      </c>
      <c r="AI753">
        <v>0.76900000000000002</v>
      </c>
      <c r="AM753">
        <v>3.4510000000000001</v>
      </c>
      <c r="AT753" s="4">
        <v>47.75</v>
      </c>
      <c r="AU753" s="4" t="s">
        <v>806</v>
      </c>
      <c r="AW753" s="3" t="s">
        <v>731</v>
      </c>
    </row>
    <row r="754" spans="1:49" ht="13.5" x14ac:dyDescent="0.15">
      <c r="A754" s="2">
        <v>753</v>
      </c>
      <c r="B754" s="2" t="s">
        <v>723</v>
      </c>
      <c r="T754">
        <v>36</v>
      </c>
      <c r="AG754">
        <v>3.149</v>
      </c>
      <c r="AI754">
        <v>0.85099999999999998</v>
      </c>
      <c r="AM754">
        <v>1.8759999999999999</v>
      </c>
      <c r="AT754" s="4">
        <v>47.75</v>
      </c>
      <c r="AU754" s="4" t="s">
        <v>806</v>
      </c>
      <c r="AW754" s="3" t="s">
        <v>731</v>
      </c>
    </row>
    <row r="755" spans="1:49" ht="13.5" x14ac:dyDescent="0.15">
      <c r="A755" s="2">
        <v>754</v>
      </c>
      <c r="B755" s="2" t="s">
        <v>723</v>
      </c>
      <c r="T755">
        <v>20</v>
      </c>
      <c r="AG755">
        <v>3.7210000000000001</v>
      </c>
      <c r="AI755">
        <v>0.83450000000000002</v>
      </c>
      <c r="AM755">
        <v>2.8879999999999999</v>
      </c>
      <c r="AT755" s="4">
        <v>47.75</v>
      </c>
      <c r="AU755" s="4" t="s">
        <v>806</v>
      </c>
      <c r="AW755" s="3" t="s">
        <v>731</v>
      </c>
    </row>
    <row r="756" spans="1:49" ht="13.5" x14ac:dyDescent="0.15">
      <c r="A756" s="2">
        <v>755</v>
      </c>
      <c r="B756" s="2" t="s">
        <v>723</v>
      </c>
      <c r="T756">
        <v>36</v>
      </c>
      <c r="AG756">
        <v>2.6680000000000001</v>
      </c>
      <c r="AI756">
        <v>0.61729999999999996</v>
      </c>
      <c r="AM756">
        <v>2.5979999999999999</v>
      </c>
      <c r="AT756" s="4">
        <v>47.75</v>
      </c>
      <c r="AU756" s="4" t="s">
        <v>806</v>
      </c>
      <c r="AW756" s="3" t="s">
        <v>731</v>
      </c>
    </row>
    <row r="757" spans="1:49" ht="13.5" x14ac:dyDescent="0.15">
      <c r="A757" s="2">
        <v>756</v>
      </c>
      <c r="B757" s="2" t="s">
        <v>723</v>
      </c>
      <c r="T757">
        <v>22</v>
      </c>
      <c r="AG757">
        <v>3.7160000000000002</v>
      </c>
      <c r="AI757">
        <v>0.71870000000000001</v>
      </c>
      <c r="AM757">
        <v>4.1859999999999999</v>
      </c>
      <c r="AT757" s="4">
        <v>47.75</v>
      </c>
      <c r="AU757" s="4" t="s">
        <v>806</v>
      </c>
      <c r="AW757" s="3" t="s">
        <v>731</v>
      </c>
    </row>
    <row r="758" spans="1:49" ht="13.5" x14ac:dyDescent="0.15">
      <c r="A758" s="2">
        <v>757</v>
      </c>
      <c r="B758" s="2" t="s">
        <v>723</v>
      </c>
      <c r="T758">
        <v>30</v>
      </c>
      <c r="AG758">
        <v>4.4569999999999999</v>
      </c>
      <c r="AI758">
        <v>0.91739999999999999</v>
      </c>
      <c r="AM758">
        <v>3.7250000000000001</v>
      </c>
      <c r="AT758" s="4">
        <v>47.75</v>
      </c>
      <c r="AU758" s="4" t="s">
        <v>806</v>
      </c>
      <c r="AW758" s="3" t="s">
        <v>731</v>
      </c>
    </row>
    <row r="759" spans="1:49" x14ac:dyDescent="0.15">
      <c r="A759" s="2">
        <v>758</v>
      </c>
      <c r="B759" s="2" t="s">
        <v>727</v>
      </c>
      <c r="C759" s="2" t="s">
        <v>725</v>
      </c>
      <c r="D759" s="2" t="s">
        <v>726</v>
      </c>
      <c r="E759" s="2" t="s">
        <v>39</v>
      </c>
      <c r="H759" s="2" t="s">
        <v>750</v>
      </c>
      <c r="I759" s="2" t="s">
        <v>725</v>
      </c>
      <c r="J759" s="2">
        <v>2007</v>
      </c>
      <c r="K759" s="2">
        <v>1</v>
      </c>
      <c r="L759" s="2">
        <v>2007</v>
      </c>
      <c r="M759" s="2">
        <v>10</v>
      </c>
      <c r="N759" s="3">
        <v>1000</v>
      </c>
      <c r="O759" s="3">
        <v>90</v>
      </c>
      <c r="P759" s="2">
        <v>58</v>
      </c>
      <c r="Q759" s="2">
        <v>23</v>
      </c>
      <c r="R759" s="2">
        <v>119</v>
      </c>
      <c r="S759" s="2">
        <v>10</v>
      </c>
      <c r="T759" s="3">
        <v>226</v>
      </c>
      <c r="AT759" s="4">
        <v>47.75</v>
      </c>
      <c r="AU759" s="4" t="s">
        <v>806</v>
      </c>
      <c r="AW759" s="3" t="s">
        <v>731</v>
      </c>
    </row>
    <row r="760" spans="1:49" x14ac:dyDescent="0.15">
      <c r="A760" s="2">
        <v>759</v>
      </c>
      <c r="B760" s="2" t="s">
        <v>728</v>
      </c>
      <c r="C760" s="2" t="s">
        <v>725</v>
      </c>
      <c r="D760" s="2" t="s">
        <v>726</v>
      </c>
      <c r="E760" s="2" t="s">
        <v>39</v>
      </c>
      <c r="H760" s="2" t="s">
        <v>750</v>
      </c>
      <c r="I760" s="2" t="s">
        <v>725</v>
      </c>
      <c r="J760" s="2">
        <v>2007</v>
      </c>
      <c r="K760" s="2">
        <v>4</v>
      </c>
      <c r="N760" s="3">
        <v>2500</v>
      </c>
      <c r="O760" s="3">
        <v>30</v>
      </c>
      <c r="P760" s="2">
        <v>32</v>
      </c>
      <c r="Q760" s="2">
        <v>5</v>
      </c>
      <c r="R760" s="2">
        <v>41</v>
      </c>
      <c r="S760" s="2">
        <v>6</v>
      </c>
      <c r="T760" s="3">
        <v>89</v>
      </c>
      <c r="U760" s="3">
        <v>6.12</v>
      </c>
      <c r="V760" s="3">
        <v>1.02</v>
      </c>
      <c r="W760" s="3">
        <v>5.32</v>
      </c>
      <c r="X760" s="3">
        <v>3.42</v>
      </c>
      <c r="Y760" s="3">
        <v>17.11</v>
      </c>
      <c r="AA760" s="3">
        <v>37.6</v>
      </c>
      <c r="AB760" s="3">
        <v>2.27</v>
      </c>
      <c r="AC760" s="3">
        <v>64.67</v>
      </c>
      <c r="AD760" s="3">
        <v>9.6</v>
      </c>
      <c r="AE760" s="3">
        <v>119.07</v>
      </c>
      <c r="AG760" s="3">
        <v>2.57</v>
      </c>
      <c r="AI760" s="3">
        <v>0.89</v>
      </c>
      <c r="AR760" s="3" t="s">
        <v>729</v>
      </c>
      <c r="AS760" s="4" t="s">
        <v>730</v>
      </c>
      <c r="AT760" s="4">
        <v>47.75</v>
      </c>
      <c r="AU760" s="4" t="s">
        <v>806</v>
      </c>
      <c r="AW760" s="3" t="s">
        <v>731</v>
      </c>
    </row>
    <row r="761" spans="1:49" x14ac:dyDescent="0.15">
      <c r="A761" s="2">
        <v>760</v>
      </c>
      <c r="B761" s="2" t="s">
        <v>733</v>
      </c>
      <c r="C761" s="2" t="s">
        <v>725</v>
      </c>
      <c r="D761" s="2" t="s">
        <v>726</v>
      </c>
      <c r="E761" s="2" t="s">
        <v>39</v>
      </c>
      <c r="H761" s="2" t="s">
        <v>750</v>
      </c>
      <c r="I761" s="2" t="s">
        <v>725</v>
      </c>
      <c r="J761" s="2">
        <v>2007</v>
      </c>
      <c r="K761" s="2">
        <v>10</v>
      </c>
      <c r="N761" s="3">
        <v>2500</v>
      </c>
      <c r="O761" s="3">
        <v>30</v>
      </c>
      <c r="P761" s="2">
        <v>37</v>
      </c>
      <c r="Q761" s="2">
        <v>16</v>
      </c>
      <c r="R761" s="2">
        <v>93</v>
      </c>
      <c r="S761" s="2">
        <v>7</v>
      </c>
      <c r="T761" s="3">
        <v>160</v>
      </c>
      <c r="U761" s="3">
        <v>2.09</v>
      </c>
      <c r="V761" s="3">
        <v>2.5</v>
      </c>
      <c r="W761" s="3">
        <v>4.3099999999999996</v>
      </c>
      <c r="X761" s="3">
        <v>8.94</v>
      </c>
      <c r="Y761" s="3">
        <v>22.3</v>
      </c>
      <c r="AA761" s="3">
        <v>129.33000000000001</v>
      </c>
      <c r="AB761" s="3">
        <v>8.5299999999999994</v>
      </c>
      <c r="AC761" s="3">
        <v>245.07</v>
      </c>
      <c r="AD761" s="3">
        <v>19.73</v>
      </c>
      <c r="AE761" s="3">
        <v>431.73</v>
      </c>
      <c r="AR761" s="3" t="s">
        <v>729</v>
      </c>
      <c r="AT761" s="4">
        <v>47.75</v>
      </c>
      <c r="AU761" s="4" t="s">
        <v>806</v>
      </c>
      <c r="AW761" s="3" t="s">
        <v>713</v>
      </c>
    </row>
    <row r="762" spans="1:49" x14ac:dyDescent="0.15">
      <c r="A762" s="2">
        <v>761</v>
      </c>
      <c r="B762" s="2" t="s">
        <v>734</v>
      </c>
      <c r="C762" s="2" t="s">
        <v>735</v>
      </c>
      <c r="D762" s="2" t="s">
        <v>736</v>
      </c>
      <c r="E762" s="2" t="s">
        <v>39</v>
      </c>
      <c r="H762" s="2" t="s">
        <v>750</v>
      </c>
      <c r="I762" s="2" t="s">
        <v>737</v>
      </c>
      <c r="J762" s="2">
        <v>2008</v>
      </c>
      <c r="K762" s="2">
        <v>10</v>
      </c>
      <c r="N762" s="3">
        <v>500</v>
      </c>
      <c r="O762" s="3">
        <v>22</v>
      </c>
      <c r="P762" s="2">
        <v>7</v>
      </c>
      <c r="Q762" s="2">
        <v>10</v>
      </c>
      <c r="R762" s="2">
        <v>35</v>
      </c>
      <c r="S762" s="2">
        <v>2</v>
      </c>
      <c r="T762" s="3">
        <v>58</v>
      </c>
      <c r="Y762" s="3">
        <v>6.4</v>
      </c>
      <c r="AE762" s="3">
        <v>346.7</v>
      </c>
      <c r="AG762" s="3">
        <v>2.72</v>
      </c>
      <c r="AI762" s="3">
        <v>0.88</v>
      </c>
      <c r="AM762" s="3">
        <v>1.46</v>
      </c>
      <c r="AR762" s="3" t="s">
        <v>738</v>
      </c>
      <c r="AS762" s="4" t="s">
        <v>739</v>
      </c>
      <c r="AT762" s="4">
        <v>47.75</v>
      </c>
      <c r="AU762" s="4" t="s">
        <v>806</v>
      </c>
      <c r="AW762" s="3" t="s">
        <v>713</v>
      </c>
    </row>
    <row r="763" spans="1:49" x14ac:dyDescent="0.15">
      <c r="A763" s="2">
        <v>762</v>
      </c>
      <c r="B763" s="2" t="s">
        <v>740</v>
      </c>
      <c r="C763" s="2" t="s">
        <v>741</v>
      </c>
      <c r="D763" s="2" t="s">
        <v>294</v>
      </c>
      <c r="E763" s="2" t="s">
        <v>39</v>
      </c>
      <c r="H763" s="2" t="s">
        <v>750</v>
      </c>
      <c r="I763" s="2" t="s">
        <v>725</v>
      </c>
      <c r="J763" s="2">
        <v>2009</v>
      </c>
      <c r="K763" s="2">
        <v>7</v>
      </c>
      <c r="L763" s="2">
        <v>2009</v>
      </c>
      <c r="M763" s="2">
        <v>12</v>
      </c>
      <c r="N763" s="3">
        <v>500</v>
      </c>
      <c r="O763" s="3">
        <v>27</v>
      </c>
      <c r="P763" s="2">
        <v>23</v>
      </c>
      <c r="Q763" s="2">
        <v>11</v>
      </c>
      <c r="R763" s="2">
        <v>45</v>
      </c>
      <c r="T763" s="3">
        <v>83</v>
      </c>
      <c r="Y763" s="3">
        <v>20.12</v>
      </c>
      <c r="AE763" s="3">
        <v>1162</v>
      </c>
      <c r="AT763" s="4">
        <v>47.75</v>
      </c>
      <c r="AU763" s="4" t="s">
        <v>806</v>
      </c>
    </row>
    <row r="764" spans="1:49" x14ac:dyDescent="0.15">
      <c r="A764" s="2">
        <v>763</v>
      </c>
      <c r="B764" s="2" t="s">
        <v>742</v>
      </c>
      <c r="C764" s="2" t="s">
        <v>741</v>
      </c>
      <c r="D764" s="2" t="s">
        <v>294</v>
      </c>
      <c r="E764" s="2" t="s">
        <v>39</v>
      </c>
      <c r="H764" s="2" t="s">
        <v>750</v>
      </c>
      <c r="I764" s="2" t="s">
        <v>725</v>
      </c>
      <c r="J764" s="2">
        <v>1983</v>
      </c>
      <c r="L764" s="2">
        <v>1984</v>
      </c>
      <c r="T764" s="3">
        <v>215</v>
      </c>
      <c r="Y764" s="3">
        <v>105</v>
      </c>
      <c r="AT764" s="4">
        <v>47.75</v>
      </c>
      <c r="AU764" s="4" t="s">
        <v>806</v>
      </c>
    </row>
    <row r="765" spans="1:49" x14ac:dyDescent="0.15">
      <c r="A765" s="2">
        <v>764</v>
      </c>
      <c r="B765" s="2" t="s">
        <v>742</v>
      </c>
      <c r="C765" s="2" t="s">
        <v>741</v>
      </c>
      <c r="D765" s="2" t="s">
        <v>294</v>
      </c>
      <c r="E765" s="2" t="s">
        <v>39</v>
      </c>
      <c r="H765" s="2" t="s">
        <v>750</v>
      </c>
      <c r="I765" s="2" t="s">
        <v>55</v>
      </c>
      <c r="J765" s="2">
        <v>1984</v>
      </c>
      <c r="T765" s="3">
        <v>215</v>
      </c>
      <c r="Y765" s="3">
        <v>105</v>
      </c>
      <c r="AT765" s="4">
        <v>47.75</v>
      </c>
      <c r="AU765" s="4" t="s">
        <v>806</v>
      </c>
    </row>
    <row r="766" spans="1:49" x14ac:dyDescent="0.15">
      <c r="A766" s="2">
        <v>765</v>
      </c>
      <c r="B766" s="2" t="s">
        <v>743</v>
      </c>
      <c r="C766" s="2" t="s">
        <v>741</v>
      </c>
      <c r="D766" s="2" t="s">
        <v>294</v>
      </c>
      <c r="E766" s="2" t="s">
        <v>39</v>
      </c>
      <c r="H766" s="2" t="s">
        <v>750</v>
      </c>
      <c r="I766" s="2" t="s">
        <v>725</v>
      </c>
      <c r="J766" s="2">
        <v>1982</v>
      </c>
      <c r="T766" s="3">
        <v>131</v>
      </c>
      <c r="Y766" s="3">
        <v>417.43</v>
      </c>
      <c r="AE766" s="3">
        <v>9.65</v>
      </c>
      <c r="AT766" s="4">
        <v>47.75</v>
      </c>
      <c r="AU766" s="4" t="s">
        <v>806</v>
      </c>
    </row>
    <row r="767" spans="1:49" x14ac:dyDescent="0.15">
      <c r="A767" s="2">
        <v>766</v>
      </c>
      <c r="B767" s="2" t="s">
        <v>744</v>
      </c>
      <c r="E767" s="2" t="s">
        <v>39</v>
      </c>
      <c r="H767" s="2" t="s">
        <v>750</v>
      </c>
      <c r="AT767" s="4">
        <v>47.75</v>
      </c>
      <c r="AU767" s="4" t="s">
        <v>806</v>
      </c>
    </row>
    <row r="768" spans="1:49" x14ac:dyDescent="0.15">
      <c r="A768" s="2">
        <v>767</v>
      </c>
      <c r="B768" s="2" t="s">
        <v>745</v>
      </c>
      <c r="C768" s="2" t="s">
        <v>427</v>
      </c>
      <c r="D768" s="2" t="s">
        <v>294</v>
      </c>
      <c r="E768" s="2" t="s">
        <v>39</v>
      </c>
      <c r="H768" s="2" t="s">
        <v>750</v>
      </c>
      <c r="I768" s="2" t="s">
        <v>710</v>
      </c>
      <c r="J768" s="2">
        <v>2010</v>
      </c>
      <c r="K768" s="2">
        <v>7</v>
      </c>
      <c r="N768" s="3">
        <v>500</v>
      </c>
      <c r="O768" s="3">
        <v>42</v>
      </c>
      <c r="P768" s="2">
        <v>19</v>
      </c>
      <c r="Q768" s="2">
        <v>14</v>
      </c>
      <c r="R768" s="2">
        <v>31</v>
      </c>
      <c r="S768" s="2">
        <v>2</v>
      </c>
      <c r="T768" s="3">
        <v>67</v>
      </c>
      <c r="U768" s="3">
        <v>0.97</v>
      </c>
      <c r="V768" s="3">
        <v>3.03</v>
      </c>
      <c r="W768" s="3">
        <v>1.1000000000000001</v>
      </c>
      <c r="X768" s="3">
        <v>0.18</v>
      </c>
      <c r="Y768" s="3">
        <v>6</v>
      </c>
      <c r="AA768" s="3">
        <v>59</v>
      </c>
      <c r="AB768" s="3">
        <v>164</v>
      </c>
      <c r="AC768" s="3">
        <v>166</v>
      </c>
      <c r="AD768" s="3">
        <v>7</v>
      </c>
      <c r="AE768" s="3">
        <v>396</v>
      </c>
      <c r="AG768" s="3">
        <v>2.72</v>
      </c>
      <c r="AM768" s="3">
        <v>3.32</v>
      </c>
      <c r="AR768" s="3" t="s">
        <v>729</v>
      </c>
      <c r="AS768" s="3" t="s">
        <v>746</v>
      </c>
      <c r="AT768" s="4">
        <v>47.75</v>
      </c>
      <c r="AU768" s="4" t="s">
        <v>806</v>
      </c>
      <c r="AW768" s="3" t="s">
        <v>747</v>
      </c>
    </row>
    <row r="769" spans="1:49" x14ac:dyDescent="0.15">
      <c r="A769" s="2">
        <v>768</v>
      </c>
      <c r="B769" s="2" t="s">
        <v>748</v>
      </c>
      <c r="C769" s="2" t="s">
        <v>749</v>
      </c>
      <c r="D769" s="2" t="s">
        <v>394</v>
      </c>
      <c r="E769" s="2" t="s">
        <v>39</v>
      </c>
      <c r="F769" s="2" t="s">
        <v>307</v>
      </c>
      <c r="H769" s="2" t="s">
        <v>750</v>
      </c>
      <c r="I769" s="2" t="s">
        <v>751</v>
      </c>
      <c r="J769" s="2">
        <v>1987</v>
      </c>
      <c r="K769" s="2">
        <v>4</v>
      </c>
      <c r="L769" s="2">
        <v>1989</v>
      </c>
      <c r="M769" s="2">
        <v>1</v>
      </c>
      <c r="N769" s="3">
        <v>125</v>
      </c>
      <c r="O769" s="3">
        <v>80</v>
      </c>
      <c r="P769" s="2">
        <v>12</v>
      </c>
      <c r="Q769" s="2">
        <v>23</v>
      </c>
      <c r="R769" s="2">
        <v>23</v>
      </c>
      <c r="T769" s="3">
        <v>70</v>
      </c>
      <c r="Y769" s="3">
        <v>219.77</v>
      </c>
      <c r="AE769" s="3">
        <v>281</v>
      </c>
      <c r="AG769" s="3">
        <v>2.81</v>
      </c>
      <c r="AI769" s="3">
        <v>0.56999999999999995</v>
      </c>
      <c r="AM769" s="3">
        <v>4.12</v>
      </c>
      <c r="AR769" s="3" t="s">
        <v>750</v>
      </c>
      <c r="AS769" s="4" t="s">
        <v>753</v>
      </c>
      <c r="AT769" s="4">
        <v>47.75</v>
      </c>
      <c r="AU769" s="4" t="s">
        <v>806</v>
      </c>
      <c r="AW769" s="3" t="s">
        <v>752</v>
      </c>
    </row>
    <row r="770" spans="1:49" x14ac:dyDescent="0.15">
      <c r="A770" s="2">
        <v>769</v>
      </c>
      <c r="B770" s="2" t="s">
        <v>748</v>
      </c>
      <c r="C770" s="2" t="s">
        <v>749</v>
      </c>
      <c r="D770" s="2" t="s">
        <v>394</v>
      </c>
      <c r="E770" s="2" t="s">
        <v>39</v>
      </c>
      <c r="F770" s="2" t="s">
        <v>307</v>
      </c>
      <c r="H770" s="2" t="s">
        <v>750</v>
      </c>
      <c r="I770" s="2" t="s">
        <v>751</v>
      </c>
      <c r="J770" s="2">
        <v>1988</v>
      </c>
      <c r="K770" s="2">
        <v>4</v>
      </c>
      <c r="N770" s="3">
        <v>125</v>
      </c>
      <c r="O770" s="3">
        <v>80</v>
      </c>
      <c r="P770" s="2">
        <v>12</v>
      </c>
      <c r="Q770" s="2">
        <v>23</v>
      </c>
      <c r="R770" s="2">
        <v>23</v>
      </c>
      <c r="T770" s="3">
        <v>70</v>
      </c>
      <c r="Y770" s="3">
        <v>219.77</v>
      </c>
      <c r="AE770" s="3">
        <v>281</v>
      </c>
      <c r="AG770" s="3">
        <v>2.81</v>
      </c>
      <c r="AI770" s="3">
        <v>0.56999999999999995</v>
      </c>
      <c r="AM770" s="3">
        <v>4.12</v>
      </c>
      <c r="AR770" s="3" t="s">
        <v>750</v>
      </c>
      <c r="AS770" s="4" t="s">
        <v>753</v>
      </c>
      <c r="AT770" s="4">
        <v>47.75</v>
      </c>
      <c r="AU770" s="4" t="s">
        <v>806</v>
      </c>
      <c r="AW770" s="3" t="s">
        <v>752</v>
      </c>
    </row>
    <row r="771" spans="1:49" x14ac:dyDescent="0.15">
      <c r="A771" s="2">
        <v>770</v>
      </c>
      <c r="B771" s="2" t="s">
        <v>748</v>
      </c>
      <c r="C771" s="2" t="s">
        <v>749</v>
      </c>
      <c r="D771" s="2" t="s">
        <v>394</v>
      </c>
      <c r="E771" s="2" t="s">
        <v>39</v>
      </c>
      <c r="F771" s="2" t="s">
        <v>307</v>
      </c>
      <c r="H771" s="2" t="s">
        <v>750</v>
      </c>
      <c r="I771" s="2" t="s">
        <v>751</v>
      </c>
      <c r="J771" s="2">
        <v>1989</v>
      </c>
      <c r="K771" s="2">
        <v>4</v>
      </c>
      <c r="N771" s="3">
        <v>125</v>
      </c>
      <c r="O771" s="3">
        <v>80</v>
      </c>
      <c r="P771" s="2">
        <v>12</v>
      </c>
      <c r="Q771" s="2">
        <v>23</v>
      </c>
      <c r="R771" s="2">
        <v>23</v>
      </c>
      <c r="T771" s="3">
        <v>70</v>
      </c>
      <c r="Y771" s="3">
        <v>219.77</v>
      </c>
      <c r="AE771" s="3">
        <v>281</v>
      </c>
      <c r="AG771" s="3">
        <v>2.81</v>
      </c>
      <c r="AI771" s="3">
        <v>0.56999999999999995</v>
      </c>
      <c r="AM771" s="3">
        <v>4.12</v>
      </c>
      <c r="AR771" s="3" t="s">
        <v>750</v>
      </c>
      <c r="AS771" s="4" t="s">
        <v>753</v>
      </c>
      <c r="AT771" s="4">
        <v>47.75</v>
      </c>
      <c r="AU771" s="4" t="s">
        <v>806</v>
      </c>
      <c r="AW771" s="3" t="s">
        <v>752</v>
      </c>
    </row>
    <row r="772" spans="1:49" x14ac:dyDescent="0.15">
      <c r="A772" s="2">
        <v>771</v>
      </c>
      <c r="B772" s="2" t="s">
        <v>754</v>
      </c>
      <c r="C772" s="2" t="s">
        <v>755</v>
      </c>
      <c r="D772" s="2" t="s">
        <v>756</v>
      </c>
      <c r="E772" s="2" t="s">
        <v>627</v>
      </c>
      <c r="H772" s="2" t="s">
        <v>750</v>
      </c>
      <c r="I772" s="2" t="s">
        <v>751</v>
      </c>
      <c r="J772" s="2">
        <v>2008</v>
      </c>
      <c r="K772" s="2">
        <v>12</v>
      </c>
      <c r="N772" s="3">
        <v>625</v>
      </c>
      <c r="O772" s="3">
        <v>6</v>
      </c>
      <c r="P772" s="2">
        <v>17</v>
      </c>
      <c r="Q772" s="2">
        <v>38</v>
      </c>
      <c r="R772" s="2">
        <v>8</v>
      </c>
      <c r="S772" s="2">
        <v>4</v>
      </c>
      <c r="T772" s="3">
        <v>80</v>
      </c>
      <c r="U772" s="3">
        <v>331.61</v>
      </c>
      <c r="V772" s="3">
        <v>427.47</v>
      </c>
      <c r="W772" s="3">
        <v>0.64</v>
      </c>
      <c r="X772" s="3">
        <v>377.34</v>
      </c>
      <c r="Y772" s="3">
        <v>1831.31</v>
      </c>
      <c r="AA772" s="3">
        <v>58.67</v>
      </c>
      <c r="AB772" s="3">
        <v>139.56</v>
      </c>
      <c r="AC772" s="3">
        <v>8.89</v>
      </c>
      <c r="AD772" s="3">
        <v>10.67</v>
      </c>
      <c r="AE772" s="3">
        <v>218.67</v>
      </c>
      <c r="AG772" s="3">
        <v>3.42</v>
      </c>
      <c r="AI772" s="3">
        <v>0.84</v>
      </c>
      <c r="AR772" s="3" t="s">
        <v>757</v>
      </c>
      <c r="AS772" s="4" t="s">
        <v>759</v>
      </c>
      <c r="AT772" s="4">
        <v>47.75</v>
      </c>
      <c r="AU772" s="4" t="s">
        <v>806</v>
      </c>
      <c r="AW772" s="3" t="s">
        <v>758</v>
      </c>
    </row>
    <row r="773" spans="1:49" x14ac:dyDescent="0.15">
      <c r="A773" s="2">
        <v>772</v>
      </c>
      <c r="B773" s="2" t="s">
        <v>760</v>
      </c>
      <c r="C773" s="2" t="s">
        <v>846</v>
      </c>
      <c r="D773" s="2" t="s">
        <v>761</v>
      </c>
      <c r="E773" s="2" t="s">
        <v>762</v>
      </c>
      <c r="H773" s="2" t="s">
        <v>763</v>
      </c>
      <c r="I773" s="2" t="s">
        <v>764</v>
      </c>
      <c r="J773" s="2">
        <v>2004</v>
      </c>
      <c r="K773" s="2">
        <v>2</v>
      </c>
      <c r="L773" s="2">
        <v>2004</v>
      </c>
      <c r="M773" s="2">
        <v>11</v>
      </c>
      <c r="N773" s="3">
        <v>1000</v>
      </c>
      <c r="O773" s="3">
        <v>34</v>
      </c>
      <c r="P773" s="2">
        <v>12</v>
      </c>
      <c r="Q773" s="2">
        <v>32</v>
      </c>
      <c r="R773" s="2">
        <v>70</v>
      </c>
      <c r="S773" s="2">
        <v>3</v>
      </c>
      <c r="T773" s="3">
        <v>127</v>
      </c>
      <c r="U773" s="3">
        <v>0.4</v>
      </c>
      <c r="V773" s="3">
        <v>8</v>
      </c>
      <c r="W773" s="3">
        <v>6.6</v>
      </c>
      <c r="X773" s="3">
        <v>2.1</v>
      </c>
      <c r="Y773" s="3">
        <v>19.7</v>
      </c>
      <c r="AA773" s="3">
        <v>10.7</v>
      </c>
      <c r="AB773" s="3">
        <v>52.5</v>
      </c>
      <c r="AC773" s="3">
        <v>295.39999999999998</v>
      </c>
      <c r="AD773" s="3">
        <v>7.5</v>
      </c>
      <c r="AE773" s="3">
        <v>375</v>
      </c>
      <c r="AG773" s="3">
        <v>2.94</v>
      </c>
      <c r="AI773" s="3">
        <v>0.89</v>
      </c>
      <c r="AM773" s="3">
        <v>1.34</v>
      </c>
      <c r="AR773" s="3" t="s">
        <v>765</v>
      </c>
      <c r="AT773" s="4">
        <v>47.75</v>
      </c>
      <c r="AU773" s="4" t="s">
        <v>806</v>
      </c>
      <c r="AW773" s="3" t="s">
        <v>758</v>
      </c>
    </row>
    <row r="774" spans="1:49" x14ac:dyDescent="0.15">
      <c r="A774" s="2">
        <v>773</v>
      </c>
      <c r="B774" s="2" t="s">
        <v>760</v>
      </c>
      <c r="C774" s="2" t="s">
        <v>846</v>
      </c>
      <c r="D774" s="2" t="s">
        <v>761</v>
      </c>
      <c r="E774" s="2" t="s">
        <v>762</v>
      </c>
      <c r="H774" s="2" t="s">
        <v>763</v>
      </c>
      <c r="I774" s="2" t="s">
        <v>764</v>
      </c>
      <c r="J774" s="2">
        <v>2004</v>
      </c>
      <c r="K774" s="2">
        <v>5</v>
      </c>
      <c r="N774" s="3">
        <v>1000</v>
      </c>
      <c r="O774" s="3">
        <v>34</v>
      </c>
      <c r="P774" s="2">
        <v>14</v>
      </c>
      <c r="Q774" s="2">
        <v>32</v>
      </c>
      <c r="R774" s="2">
        <v>53</v>
      </c>
      <c r="S774" s="2">
        <v>4</v>
      </c>
      <c r="T774" s="3">
        <v>114</v>
      </c>
      <c r="U774" s="3">
        <v>1.5</v>
      </c>
      <c r="V774" s="3">
        <v>12.2</v>
      </c>
      <c r="W774" s="3">
        <v>4.4000000000000004</v>
      </c>
      <c r="X774" s="3">
        <v>2.8</v>
      </c>
      <c r="Y774" s="3">
        <v>23.4</v>
      </c>
      <c r="AA774" s="3">
        <v>22.6</v>
      </c>
      <c r="AB774" s="3">
        <v>128.9</v>
      </c>
      <c r="AC774" s="3">
        <v>445.2</v>
      </c>
      <c r="AD774" s="3">
        <v>7.4</v>
      </c>
      <c r="AE774" s="3">
        <v>623</v>
      </c>
      <c r="AG774" s="3">
        <v>2.76</v>
      </c>
      <c r="AI774" s="3">
        <v>0.85</v>
      </c>
      <c r="AM774" s="3">
        <v>1.28</v>
      </c>
      <c r="AR774" s="3" t="s">
        <v>765</v>
      </c>
      <c r="AT774" s="4">
        <v>47.75</v>
      </c>
      <c r="AU774" s="4" t="s">
        <v>806</v>
      </c>
      <c r="AW774" s="3" t="s">
        <v>758</v>
      </c>
    </row>
    <row r="775" spans="1:49" x14ac:dyDescent="0.15">
      <c r="A775" s="2">
        <v>774</v>
      </c>
      <c r="B775" s="2" t="s">
        <v>760</v>
      </c>
      <c r="C775" s="2" t="s">
        <v>846</v>
      </c>
      <c r="D775" s="2" t="s">
        <v>761</v>
      </c>
      <c r="E775" s="2" t="s">
        <v>762</v>
      </c>
      <c r="H775" s="2" t="s">
        <v>763</v>
      </c>
      <c r="I775" s="2" t="s">
        <v>764</v>
      </c>
      <c r="J775" s="2">
        <v>2004</v>
      </c>
      <c r="K775" s="2">
        <v>8</v>
      </c>
      <c r="N775" s="3">
        <v>1000</v>
      </c>
      <c r="O775" s="3">
        <v>34</v>
      </c>
      <c r="P775" s="2">
        <v>15</v>
      </c>
      <c r="Q775" s="2">
        <v>17</v>
      </c>
      <c r="R775" s="2">
        <v>42</v>
      </c>
      <c r="S775" s="2">
        <v>3</v>
      </c>
      <c r="T775" s="3">
        <v>83</v>
      </c>
      <c r="U775" s="3">
        <v>1.2</v>
      </c>
      <c r="V775" s="3">
        <v>5.6</v>
      </c>
      <c r="W775" s="3">
        <v>3.9</v>
      </c>
      <c r="X775" s="3">
        <v>2</v>
      </c>
      <c r="Y775" s="3">
        <v>12.7</v>
      </c>
      <c r="AA775" s="3">
        <v>32.700000000000003</v>
      </c>
      <c r="AB775" s="3">
        <v>70.2</v>
      </c>
      <c r="AC775" s="3">
        <v>194.8</v>
      </c>
      <c r="AD775" s="3">
        <v>7.7</v>
      </c>
      <c r="AE775" s="3">
        <v>309.5</v>
      </c>
      <c r="AG775" s="3">
        <v>2.42</v>
      </c>
      <c r="AI775" s="3">
        <v>0.87</v>
      </c>
      <c r="AM775" s="3">
        <v>0.98</v>
      </c>
      <c r="AR775" s="3" t="s">
        <v>765</v>
      </c>
      <c r="AT775" s="4">
        <v>47.75</v>
      </c>
      <c r="AU775" s="4" t="s">
        <v>806</v>
      </c>
      <c r="AW775" s="3" t="s">
        <v>758</v>
      </c>
    </row>
    <row r="776" spans="1:49" x14ac:dyDescent="0.15">
      <c r="A776" s="2">
        <v>775</v>
      </c>
      <c r="B776" s="2" t="s">
        <v>760</v>
      </c>
      <c r="C776" s="2" t="s">
        <v>846</v>
      </c>
      <c r="D776" s="2" t="s">
        <v>761</v>
      </c>
      <c r="E776" s="2" t="s">
        <v>762</v>
      </c>
      <c r="H776" s="2" t="s">
        <v>763</v>
      </c>
      <c r="I776" s="2" t="s">
        <v>764</v>
      </c>
      <c r="J776" s="2">
        <v>2004</v>
      </c>
      <c r="K776" s="2">
        <v>11</v>
      </c>
      <c r="N776" s="3">
        <v>1000</v>
      </c>
      <c r="O776" s="3">
        <v>34</v>
      </c>
      <c r="P776" s="2">
        <v>12</v>
      </c>
      <c r="Q776" s="2">
        <v>18</v>
      </c>
      <c r="R776" s="2">
        <v>54</v>
      </c>
      <c r="S776" s="2">
        <v>6</v>
      </c>
      <c r="T776" s="3">
        <v>97</v>
      </c>
      <c r="U776" s="3">
        <v>0.6</v>
      </c>
      <c r="V776" s="3">
        <v>7.9</v>
      </c>
      <c r="W776" s="3">
        <v>6.4</v>
      </c>
      <c r="X776" s="3">
        <v>4.0999999999999996</v>
      </c>
      <c r="Y776" s="3">
        <v>19.600000000000001</v>
      </c>
      <c r="AA776" s="3">
        <v>34</v>
      </c>
      <c r="AB776" s="3">
        <v>78.900000000000006</v>
      </c>
      <c r="AC776" s="3">
        <v>625.6</v>
      </c>
      <c r="AD776" s="3">
        <v>15.2</v>
      </c>
      <c r="AE776" s="3">
        <v>781.7</v>
      </c>
      <c r="AG776" s="3">
        <v>2.6</v>
      </c>
      <c r="AI776" s="3">
        <v>0.82</v>
      </c>
      <c r="AM776" s="3">
        <v>1.23</v>
      </c>
      <c r="AR776" s="3" t="s">
        <v>765</v>
      </c>
      <c r="AT776" s="4">
        <v>47.75</v>
      </c>
      <c r="AU776" s="4" t="s">
        <v>806</v>
      </c>
      <c r="AW776" s="3" t="s">
        <v>758</v>
      </c>
    </row>
    <row r="777" spans="1:49" x14ac:dyDescent="0.15">
      <c r="A777" s="2">
        <v>776</v>
      </c>
      <c r="B777" s="2" t="s">
        <v>766</v>
      </c>
      <c r="C777" s="2" t="s">
        <v>846</v>
      </c>
      <c r="D777" s="2" t="s">
        <v>761</v>
      </c>
      <c r="E777" s="2" t="s">
        <v>762</v>
      </c>
      <c r="H777" s="2" t="s">
        <v>763</v>
      </c>
      <c r="I777" s="2" t="s">
        <v>764</v>
      </c>
      <c r="J777" s="2">
        <v>1999</v>
      </c>
      <c r="K777" s="2">
        <v>5</v>
      </c>
      <c r="L777" s="2">
        <v>2001</v>
      </c>
      <c r="M777" s="2">
        <v>5</v>
      </c>
      <c r="N777" s="3">
        <v>1000</v>
      </c>
      <c r="O777" s="3">
        <f>34*3</f>
        <v>102</v>
      </c>
      <c r="P777" s="2">
        <v>22</v>
      </c>
      <c r="Q777" s="2">
        <v>48</v>
      </c>
      <c r="R777" s="2">
        <v>92</v>
      </c>
      <c r="S777" s="2">
        <v>8</v>
      </c>
      <c r="T777" s="3">
        <v>181</v>
      </c>
      <c r="U777" s="3">
        <f>AVERAGE(U778:U780)</f>
        <v>2.0366666666666666</v>
      </c>
      <c r="V777" s="3">
        <f t="shared" ref="V777:Y777" si="62">AVERAGE(V778:V780)</f>
        <v>8.24</v>
      </c>
      <c r="W777" s="3">
        <f t="shared" si="62"/>
        <v>6</v>
      </c>
      <c r="X777" s="3">
        <f t="shared" si="62"/>
        <v>3.4233333333333333</v>
      </c>
      <c r="Y777" s="3">
        <f t="shared" si="62"/>
        <v>22.61</v>
      </c>
      <c r="Z777" s="3">
        <f>STDEV(Y778:Y780)/SQRT(3)</f>
        <v>4.344870538922879</v>
      </c>
      <c r="AA777" s="3">
        <f>AVERAGE(AA778:AA780)</f>
        <v>19.95</v>
      </c>
      <c r="AB777" s="3">
        <f t="shared" ref="AB777" si="63">AVERAGE(AB778:AB780)</f>
        <v>47.176666666666669</v>
      </c>
      <c r="AC777" s="3">
        <f t="shared" ref="AC777" si="64">AVERAGE(AC778:AC780)</f>
        <v>225.18666666666664</v>
      </c>
      <c r="AD777" s="3">
        <f t="shared" ref="AD777" si="65">AVERAGE(AD778:AD780)</f>
        <v>6.75</v>
      </c>
      <c r="AE777" s="3">
        <f t="shared" ref="AE777" si="66">AVERAGE(AE778:AE780)</f>
        <v>319.41000000000003</v>
      </c>
      <c r="AF777" s="3">
        <f>STDEV(AE778:AE780)/SQRT(3)</f>
        <v>57.812322504232085</v>
      </c>
      <c r="AG777" s="3">
        <f t="shared" ref="AG777" si="67">AVERAGE(AG778:AG780)</f>
        <v>2.72</v>
      </c>
      <c r="AH777" s="3">
        <f>STDEV(AG778:AG780)/SQRT(3)</f>
        <v>0.15502687938977974</v>
      </c>
      <c r="AI777" s="3">
        <f t="shared" ref="AI777" si="68">AVERAGE(AI778:AI780)</f>
        <v>0.86</v>
      </c>
      <c r="AJ777" s="3">
        <f>STDEV(AI778:AI780)/SQRT(3)</f>
        <v>5.1316014394468847E-2</v>
      </c>
      <c r="AM777" s="3">
        <f t="shared" ref="AM777" si="69">AVERAGE(AM778:AM780)</f>
        <v>1.2400000000000002</v>
      </c>
      <c r="AN777" s="3">
        <f>STDEV(AM778:AM780)/SQRT(3)</f>
        <v>6.6583281184793924E-2</v>
      </c>
      <c r="AR777" s="3" t="s">
        <v>768</v>
      </c>
      <c r="AT777" s="4">
        <v>47.75</v>
      </c>
      <c r="AU777" s="4" t="s">
        <v>806</v>
      </c>
      <c r="AW777" s="3" t="s">
        <v>752</v>
      </c>
    </row>
    <row r="778" spans="1:49" x14ac:dyDescent="0.15">
      <c r="A778" s="2">
        <v>777</v>
      </c>
      <c r="B778" s="2" t="s">
        <v>766</v>
      </c>
      <c r="C778" s="2" t="s">
        <v>846</v>
      </c>
      <c r="D778" s="2" t="s">
        <v>761</v>
      </c>
      <c r="E778" s="2" t="s">
        <v>762</v>
      </c>
      <c r="H778" s="2" t="s">
        <v>763</v>
      </c>
      <c r="I778" s="2" t="s">
        <v>764</v>
      </c>
      <c r="J778" s="2">
        <v>1999</v>
      </c>
      <c r="K778" s="2">
        <v>5</v>
      </c>
      <c r="N778" s="3">
        <v>1000</v>
      </c>
      <c r="O778" s="3">
        <v>34</v>
      </c>
      <c r="U778" s="3">
        <v>0.93</v>
      </c>
      <c r="V778" s="3">
        <v>2.99</v>
      </c>
      <c r="W778" s="3">
        <v>5.61</v>
      </c>
      <c r="X778" s="3">
        <v>2.0499999999999998</v>
      </c>
      <c r="Y778" s="3">
        <v>14.04</v>
      </c>
      <c r="AA778" s="3">
        <v>13.46</v>
      </c>
      <c r="AB778" s="3">
        <v>32.92</v>
      </c>
      <c r="AC778" s="3">
        <v>267.88</v>
      </c>
      <c r="AD778" s="3">
        <v>7.13</v>
      </c>
      <c r="AE778" s="3">
        <v>333.24</v>
      </c>
      <c r="AG778" s="3">
        <v>2.41</v>
      </c>
      <c r="AI778" s="3">
        <v>0.76</v>
      </c>
      <c r="AM778" s="3">
        <v>1.28</v>
      </c>
      <c r="AR778" s="3" t="s">
        <v>767</v>
      </c>
      <c r="AT778" s="4">
        <v>47.75</v>
      </c>
      <c r="AU778" s="4" t="s">
        <v>806</v>
      </c>
      <c r="AW778" s="3" t="s">
        <v>758</v>
      </c>
    </row>
    <row r="779" spans="1:49" x14ac:dyDescent="0.15">
      <c r="A779" s="2">
        <v>778</v>
      </c>
      <c r="B779" s="2" t="s">
        <v>766</v>
      </c>
      <c r="C779" s="2" t="s">
        <v>846</v>
      </c>
      <c r="D779" s="2" t="s">
        <v>761</v>
      </c>
      <c r="E779" s="2" t="s">
        <v>762</v>
      </c>
      <c r="H779" s="2" t="s">
        <v>763</v>
      </c>
      <c r="I779" s="2" t="s">
        <v>764</v>
      </c>
      <c r="J779" s="2">
        <v>2000</v>
      </c>
      <c r="K779" s="2">
        <v>11</v>
      </c>
      <c r="N779" s="3">
        <v>1000</v>
      </c>
      <c r="O779" s="3">
        <v>34</v>
      </c>
      <c r="U779" s="3">
        <v>1.96</v>
      </c>
      <c r="V779" s="3">
        <v>11.04</v>
      </c>
      <c r="W779" s="3">
        <v>5.25</v>
      </c>
      <c r="X779" s="3">
        <v>3.23</v>
      </c>
      <c r="Y779" s="3">
        <v>25.65</v>
      </c>
      <c r="AA779" s="3">
        <v>21.54</v>
      </c>
      <c r="AB779" s="3">
        <v>58.46</v>
      </c>
      <c r="AC779" s="3">
        <v>90.77</v>
      </c>
      <c r="AD779" s="3">
        <v>5.77</v>
      </c>
      <c r="AE779" s="3">
        <v>213.08</v>
      </c>
      <c r="AG779" s="3">
        <v>2.87</v>
      </c>
      <c r="AI779" s="3">
        <v>0.89</v>
      </c>
      <c r="AM779" s="3">
        <v>1.33</v>
      </c>
      <c r="AR779" s="3" t="s">
        <v>767</v>
      </c>
      <c r="AT779" s="4">
        <v>47.75</v>
      </c>
      <c r="AU779" s="4" t="s">
        <v>806</v>
      </c>
      <c r="AW779" s="3" t="s">
        <v>758</v>
      </c>
    </row>
    <row r="780" spans="1:49" x14ac:dyDescent="0.15">
      <c r="A780" s="2">
        <v>779</v>
      </c>
      <c r="B780" s="2" t="s">
        <v>766</v>
      </c>
      <c r="C780" s="2" t="s">
        <v>846</v>
      </c>
      <c r="D780" s="2" t="s">
        <v>761</v>
      </c>
      <c r="E780" s="2" t="s">
        <v>762</v>
      </c>
      <c r="H780" s="2" t="s">
        <v>763</v>
      </c>
      <c r="I780" s="2" t="s">
        <v>764</v>
      </c>
      <c r="J780" s="2">
        <v>2001</v>
      </c>
      <c r="K780" s="2">
        <v>5</v>
      </c>
      <c r="N780" s="3">
        <v>1000</v>
      </c>
      <c r="O780" s="3">
        <v>34</v>
      </c>
      <c r="U780" s="3">
        <v>3.22</v>
      </c>
      <c r="V780" s="3">
        <v>10.69</v>
      </c>
      <c r="W780" s="3">
        <v>7.14</v>
      </c>
      <c r="X780" s="3">
        <v>4.99</v>
      </c>
      <c r="Y780" s="3">
        <v>28.14</v>
      </c>
      <c r="AA780" s="3">
        <v>24.85</v>
      </c>
      <c r="AB780" s="3">
        <v>50.15</v>
      </c>
      <c r="AC780" s="3">
        <v>316.91000000000003</v>
      </c>
      <c r="AD780" s="3">
        <v>7.35</v>
      </c>
      <c r="AE780" s="3">
        <v>411.91</v>
      </c>
      <c r="AG780" s="3">
        <v>2.88</v>
      </c>
      <c r="AI780" s="3">
        <v>0.93</v>
      </c>
      <c r="AM780" s="3">
        <v>1.1100000000000001</v>
      </c>
      <c r="AR780" s="3" t="s">
        <v>767</v>
      </c>
      <c r="AT780" s="4">
        <v>47.75</v>
      </c>
      <c r="AU780" s="4" t="s">
        <v>806</v>
      </c>
      <c r="AW780" s="3" t="s">
        <v>758</v>
      </c>
    </row>
    <row r="781" spans="1:49" x14ac:dyDescent="0.15">
      <c r="A781" s="2">
        <v>780</v>
      </c>
      <c r="B781" s="2" t="s">
        <v>769</v>
      </c>
      <c r="C781" s="2" t="s">
        <v>846</v>
      </c>
      <c r="D781" s="2" t="s">
        <v>761</v>
      </c>
      <c r="E781" s="2" t="s">
        <v>762</v>
      </c>
      <c r="H781" s="2" t="s">
        <v>763</v>
      </c>
      <c r="I781" s="2" t="s">
        <v>764</v>
      </c>
      <c r="J781" s="2">
        <v>1988</v>
      </c>
      <c r="K781" s="2">
        <v>4</v>
      </c>
      <c r="N781" s="3">
        <v>1000</v>
      </c>
      <c r="O781" s="3">
        <v>35</v>
      </c>
      <c r="P781" s="2">
        <v>28</v>
      </c>
      <c r="Q781" s="2">
        <v>22</v>
      </c>
      <c r="R781" s="2">
        <v>77</v>
      </c>
      <c r="S781" s="2">
        <v>8</v>
      </c>
      <c r="T781" s="3">
        <v>135</v>
      </c>
      <c r="U781" s="3">
        <v>1.32</v>
      </c>
      <c r="V781" s="3">
        <v>4.2699999999999996</v>
      </c>
      <c r="W781" s="3">
        <v>4.2300000000000004</v>
      </c>
      <c r="X781" s="3">
        <v>3.82</v>
      </c>
      <c r="Y781" s="3">
        <v>13.87</v>
      </c>
      <c r="AA781" s="3">
        <v>36</v>
      </c>
      <c r="AB781" s="3">
        <v>34</v>
      </c>
      <c r="AC781" s="3">
        <v>188</v>
      </c>
      <c r="AD781" s="3">
        <v>10</v>
      </c>
      <c r="AE781" s="3">
        <v>276</v>
      </c>
      <c r="AR781" s="3" t="s">
        <v>767</v>
      </c>
      <c r="AT781" s="4">
        <v>47.75</v>
      </c>
      <c r="AU781" s="4" t="s">
        <v>806</v>
      </c>
      <c r="AW781" s="3" t="s">
        <v>758</v>
      </c>
    </row>
    <row r="782" spans="1:49" x14ac:dyDescent="0.15">
      <c r="A782" s="2">
        <v>781</v>
      </c>
      <c r="B782" s="2" t="s">
        <v>769</v>
      </c>
      <c r="C782" s="2" t="s">
        <v>846</v>
      </c>
      <c r="D782" s="2" t="s">
        <v>761</v>
      </c>
      <c r="E782" s="2" t="s">
        <v>762</v>
      </c>
      <c r="H782" s="2" t="s">
        <v>763</v>
      </c>
      <c r="I782" s="2" t="s">
        <v>764</v>
      </c>
      <c r="J782" s="2">
        <v>1988</v>
      </c>
      <c r="K782" s="2">
        <v>10</v>
      </c>
      <c r="N782" s="3">
        <v>1000</v>
      </c>
      <c r="O782" s="3">
        <v>35</v>
      </c>
      <c r="P782" s="2">
        <v>25</v>
      </c>
      <c r="Q782" s="2">
        <v>14</v>
      </c>
      <c r="R782" s="2">
        <v>69</v>
      </c>
      <c r="S782" s="2">
        <v>7</v>
      </c>
      <c r="T782" s="3">
        <v>115</v>
      </c>
      <c r="U782" s="3">
        <v>2.42</v>
      </c>
      <c r="V782" s="3">
        <v>0.63</v>
      </c>
      <c r="W782" s="3">
        <v>3.4</v>
      </c>
      <c r="X782" s="3">
        <v>2.1800000000000002</v>
      </c>
      <c r="Y782" s="3">
        <v>9.89</v>
      </c>
      <c r="AA782" s="3">
        <v>28</v>
      </c>
      <c r="AB782" s="3">
        <v>10</v>
      </c>
      <c r="AC782" s="3">
        <v>186</v>
      </c>
      <c r="AD782" s="3">
        <v>9</v>
      </c>
      <c r="AE782" s="3">
        <v>240</v>
      </c>
      <c r="AR782" s="3" t="s">
        <v>767</v>
      </c>
      <c r="AT782" s="4">
        <v>47.75</v>
      </c>
      <c r="AU782" s="4" t="s">
        <v>806</v>
      </c>
      <c r="AW782" s="3" t="s">
        <v>758</v>
      </c>
    </row>
    <row r="783" spans="1:49" x14ac:dyDescent="0.15">
      <c r="A783" s="2">
        <v>782</v>
      </c>
      <c r="B783" s="2" t="s">
        <v>770</v>
      </c>
      <c r="C783" s="2" t="s">
        <v>771</v>
      </c>
      <c r="D783" s="2" t="s">
        <v>772</v>
      </c>
      <c r="E783" s="2" t="s">
        <v>762</v>
      </c>
      <c r="H783" s="2" t="s">
        <v>773</v>
      </c>
      <c r="I783" s="2" t="s">
        <v>771</v>
      </c>
      <c r="J783" s="2">
        <v>2006</v>
      </c>
      <c r="K783" s="2">
        <v>7</v>
      </c>
      <c r="L783" s="2">
        <v>2006</v>
      </c>
      <c r="M783" s="2">
        <v>8</v>
      </c>
      <c r="N783" s="3">
        <v>1000</v>
      </c>
      <c r="O783" s="3">
        <v>260</v>
      </c>
      <c r="P783" s="2">
        <v>22</v>
      </c>
      <c r="Q783" s="2">
        <v>33</v>
      </c>
      <c r="R783" s="2">
        <v>122</v>
      </c>
      <c r="S783" s="2">
        <v>8</v>
      </c>
      <c r="T783" s="3">
        <v>192</v>
      </c>
      <c r="U783" s="3">
        <v>2.2000000000000002</v>
      </c>
      <c r="V783" s="3">
        <v>5.4</v>
      </c>
      <c r="W783" s="3">
        <v>11.98</v>
      </c>
      <c r="X783" s="3">
        <v>4.8499999999999996</v>
      </c>
      <c r="Y783" s="3">
        <v>29.3</v>
      </c>
      <c r="AA783" s="3">
        <v>12</v>
      </c>
      <c r="AB783" s="3">
        <v>24</v>
      </c>
      <c r="AC783" s="3">
        <v>57</v>
      </c>
      <c r="AD783" s="3">
        <v>6</v>
      </c>
      <c r="AE783" s="3">
        <v>102</v>
      </c>
      <c r="AR783" s="3" t="s">
        <v>767</v>
      </c>
      <c r="AT783" s="4">
        <v>47.75</v>
      </c>
      <c r="AU783" s="4" t="s">
        <v>806</v>
      </c>
      <c r="AW783" s="3" t="s">
        <v>758</v>
      </c>
    </row>
    <row r="784" spans="1:49" x14ac:dyDescent="0.15">
      <c r="A784" s="2">
        <v>783</v>
      </c>
      <c r="B784" s="2" t="s">
        <v>774</v>
      </c>
      <c r="C784" s="2" t="s">
        <v>775</v>
      </c>
      <c r="D784" s="2" t="s">
        <v>115</v>
      </c>
      <c r="E784" s="2" t="s">
        <v>627</v>
      </c>
      <c r="H784" s="2" t="s">
        <v>776</v>
      </c>
      <c r="I784" s="2" t="s">
        <v>25</v>
      </c>
      <c r="J784" s="2">
        <v>2002</v>
      </c>
      <c r="K784" s="2">
        <v>8</v>
      </c>
      <c r="L784" s="2">
        <v>2003</v>
      </c>
      <c r="M784" s="2">
        <v>5</v>
      </c>
      <c r="N784" s="3">
        <v>1000</v>
      </c>
      <c r="O784" s="3">
        <v>36</v>
      </c>
      <c r="P784" s="2">
        <v>22</v>
      </c>
      <c r="Q784" s="2">
        <v>37</v>
      </c>
      <c r="R784" s="2">
        <v>41</v>
      </c>
      <c r="S784" s="2">
        <v>10</v>
      </c>
      <c r="T784" s="3">
        <v>124</v>
      </c>
      <c r="U784" s="3">
        <v>3.78</v>
      </c>
      <c r="V784" s="3">
        <v>10.76</v>
      </c>
      <c r="W784" s="3">
        <v>1.1299999999999999</v>
      </c>
      <c r="X784" s="3">
        <v>25.09</v>
      </c>
      <c r="Y784" s="3">
        <v>41.94</v>
      </c>
      <c r="AA784" s="3">
        <v>8</v>
      </c>
      <c r="AB784" s="3">
        <v>30</v>
      </c>
      <c r="AC784" s="3">
        <v>28</v>
      </c>
      <c r="AD784" s="3">
        <v>10</v>
      </c>
      <c r="AE784" s="3">
        <v>85</v>
      </c>
      <c r="AR784" s="3" t="s">
        <v>767</v>
      </c>
      <c r="AT784" s="4">
        <v>47.75</v>
      </c>
      <c r="AU784" s="4" t="s">
        <v>806</v>
      </c>
    </row>
    <row r="785" spans="1:49" x14ac:dyDescent="0.15">
      <c r="A785" s="2">
        <v>784</v>
      </c>
      <c r="B785" s="2" t="s">
        <v>774</v>
      </c>
      <c r="C785" s="2" t="s">
        <v>775</v>
      </c>
      <c r="D785" s="2" t="s">
        <v>115</v>
      </c>
      <c r="E785" s="2" t="s">
        <v>627</v>
      </c>
      <c r="H785" s="2" t="s">
        <v>776</v>
      </c>
      <c r="I785" s="2" t="s">
        <v>25</v>
      </c>
      <c r="J785" s="2">
        <v>2003</v>
      </c>
      <c r="K785" s="2">
        <v>5</v>
      </c>
      <c r="N785" s="3">
        <v>1000</v>
      </c>
      <c r="O785" s="3">
        <v>36</v>
      </c>
      <c r="P785" s="2">
        <v>22</v>
      </c>
      <c r="Q785" s="2">
        <v>37</v>
      </c>
      <c r="R785" s="2">
        <v>41</v>
      </c>
      <c r="S785" s="2">
        <v>10</v>
      </c>
      <c r="T785" s="3">
        <v>124</v>
      </c>
      <c r="U785" s="3">
        <v>3.78</v>
      </c>
      <c r="V785" s="3">
        <v>10.76</v>
      </c>
      <c r="W785" s="3">
        <v>1.1299999999999999</v>
      </c>
      <c r="X785" s="3">
        <v>25.09</v>
      </c>
      <c r="Y785" s="3">
        <v>41.94</v>
      </c>
      <c r="AA785" s="3">
        <v>8</v>
      </c>
      <c r="AB785" s="3">
        <v>30</v>
      </c>
      <c r="AC785" s="3">
        <v>28</v>
      </c>
      <c r="AD785" s="3">
        <v>10</v>
      </c>
      <c r="AE785" s="3">
        <v>85</v>
      </c>
      <c r="AR785" s="3" t="s">
        <v>767</v>
      </c>
      <c r="AT785" s="4">
        <v>47.75</v>
      </c>
      <c r="AU785" s="4" t="s">
        <v>806</v>
      </c>
    </row>
    <row r="786" spans="1:49" x14ac:dyDescent="0.15">
      <c r="A786" s="2">
        <v>785</v>
      </c>
      <c r="B786" s="2" t="s">
        <v>777</v>
      </c>
      <c r="C786" s="2" t="s">
        <v>775</v>
      </c>
      <c r="D786" s="2" t="s">
        <v>115</v>
      </c>
      <c r="E786" s="2" t="s">
        <v>627</v>
      </c>
      <c r="H786" s="2" t="s">
        <v>776</v>
      </c>
      <c r="I786" s="2" t="s">
        <v>25</v>
      </c>
      <c r="J786" s="2">
        <v>1982</v>
      </c>
      <c r="Y786" s="3">
        <v>3.92</v>
      </c>
      <c r="AE786" s="3">
        <v>34.1</v>
      </c>
      <c r="AT786" s="4">
        <v>47.75</v>
      </c>
      <c r="AU786" s="4" t="s">
        <v>806</v>
      </c>
    </row>
    <row r="787" spans="1:49" x14ac:dyDescent="0.15">
      <c r="A787" s="2">
        <v>786</v>
      </c>
      <c r="B787" s="2" t="s">
        <v>778</v>
      </c>
      <c r="C787" s="2" t="s">
        <v>115</v>
      </c>
      <c r="D787" s="2" t="s">
        <v>115</v>
      </c>
      <c r="E787" s="2" t="s">
        <v>627</v>
      </c>
      <c r="H787" s="2" t="s">
        <v>750</v>
      </c>
      <c r="I787" s="2" t="s">
        <v>764</v>
      </c>
      <c r="J787" s="2">
        <v>2003</v>
      </c>
      <c r="K787" s="2">
        <v>7</v>
      </c>
      <c r="L787" s="2">
        <v>2003</v>
      </c>
      <c r="M787" s="2">
        <v>9</v>
      </c>
      <c r="N787" s="3">
        <v>500</v>
      </c>
      <c r="O787" s="3">
        <v>26</v>
      </c>
      <c r="P787" s="2">
        <v>34</v>
      </c>
      <c r="Q787" s="2">
        <v>24</v>
      </c>
      <c r="R787" s="2">
        <v>48</v>
      </c>
      <c r="S787" s="2">
        <v>4</v>
      </c>
      <c r="T787" s="3">
        <v>118</v>
      </c>
      <c r="U787" s="3">
        <v>0.47</v>
      </c>
      <c r="V787" s="3">
        <v>2.4</v>
      </c>
      <c r="W787" s="3">
        <v>3.24</v>
      </c>
      <c r="X787" s="3">
        <v>3.16</v>
      </c>
      <c r="Y787" s="3">
        <v>11.04</v>
      </c>
      <c r="AA787" s="3">
        <v>22</v>
      </c>
      <c r="AB787" s="3">
        <v>35</v>
      </c>
      <c r="AC787" s="3">
        <v>146</v>
      </c>
      <c r="AD787" s="3">
        <v>24</v>
      </c>
      <c r="AE787" s="3">
        <v>230</v>
      </c>
      <c r="AG787" s="3">
        <v>3.06</v>
      </c>
      <c r="AI787" s="3">
        <v>0.82</v>
      </c>
      <c r="AM787" s="3">
        <v>1.77</v>
      </c>
      <c r="AR787" s="3" t="s">
        <v>767</v>
      </c>
      <c r="AT787" s="4">
        <v>47.75</v>
      </c>
      <c r="AU787" s="4" t="s">
        <v>806</v>
      </c>
      <c r="AW787" s="3" t="s">
        <v>758</v>
      </c>
    </row>
    <row r="788" spans="1:49" x14ac:dyDescent="0.15">
      <c r="A788" s="2">
        <v>787</v>
      </c>
      <c r="B788" s="2" t="s">
        <v>779</v>
      </c>
      <c r="C788" s="2" t="s">
        <v>780</v>
      </c>
      <c r="D788" s="2" t="s">
        <v>400</v>
      </c>
      <c r="E788" s="2" t="s">
        <v>781</v>
      </c>
      <c r="F788" s="2" t="s">
        <v>307</v>
      </c>
      <c r="H788" s="2" t="s">
        <v>60</v>
      </c>
      <c r="I788" s="2" t="s">
        <v>52</v>
      </c>
      <c r="J788" s="2">
        <v>1997</v>
      </c>
      <c r="K788" s="2">
        <v>12</v>
      </c>
      <c r="N788" s="3">
        <v>10000</v>
      </c>
      <c r="O788" s="3">
        <v>20</v>
      </c>
      <c r="P788" s="2">
        <v>10</v>
      </c>
      <c r="Q788" s="2">
        <v>31</v>
      </c>
      <c r="R788" s="2">
        <v>2</v>
      </c>
      <c r="S788" s="2">
        <v>0</v>
      </c>
      <c r="T788" s="3">
        <v>45</v>
      </c>
      <c r="Y788" s="3">
        <v>86.5</v>
      </c>
      <c r="AE788" s="3">
        <v>209.7</v>
      </c>
      <c r="AR788" s="3" t="s">
        <v>750</v>
      </c>
      <c r="AT788" s="4">
        <v>47.75</v>
      </c>
      <c r="AU788" s="4" t="s">
        <v>806</v>
      </c>
      <c r="AW788" s="3" t="s">
        <v>758</v>
      </c>
    </row>
    <row r="789" spans="1:49" x14ac:dyDescent="0.15">
      <c r="A789" s="2">
        <v>788</v>
      </c>
      <c r="B789" s="2" t="s">
        <v>779</v>
      </c>
      <c r="C789" s="2" t="s">
        <v>782</v>
      </c>
      <c r="D789" s="2" t="s">
        <v>400</v>
      </c>
      <c r="E789" s="2" t="s">
        <v>39</v>
      </c>
      <c r="F789" s="2" t="s">
        <v>783</v>
      </c>
      <c r="H789" s="2" t="s">
        <v>784</v>
      </c>
      <c r="I789" s="2" t="s">
        <v>785</v>
      </c>
      <c r="J789" s="2">
        <v>1997</v>
      </c>
      <c r="K789" s="2">
        <v>12</v>
      </c>
      <c r="L789" s="2">
        <v>1998</v>
      </c>
      <c r="M789" s="2">
        <v>6</v>
      </c>
      <c r="N789" s="3">
        <v>10000</v>
      </c>
      <c r="O789" s="3">
        <v>20</v>
      </c>
      <c r="P789" s="2">
        <v>19</v>
      </c>
      <c r="Q789" s="2">
        <v>39</v>
      </c>
      <c r="R789" s="2">
        <v>5</v>
      </c>
      <c r="S789" s="2">
        <v>0</v>
      </c>
      <c r="T789" s="3">
        <v>68</v>
      </c>
      <c r="Y789" s="3">
        <v>63</v>
      </c>
      <c r="AE789" s="3">
        <v>106.4</v>
      </c>
      <c r="AR789" s="3" t="s">
        <v>750</v>
      </c>
      <c r="AT789" s="4">
        <v>47.75</v>
      </c>
      <c r="AU789" s="4" t="s">
        <v>806</v>
      </c>
      <c r="AW789" s="3" t="s">
        <v>786</v>
      </c>
    </row>
    <row r="790" spans="1:49" x14ac:dyDescent="0.15">
      <c r="A790" s="2">
        <v>789</v>
      </c>
      <c r="B790" s="2" t="s">
        <v>787</v>
      </c>
      <c r="C790" s="2" t="s">
        <v>782</v>
      </c>
      <c r="D790" s="2" t="s">
        <v>400</v>
      </c>
      <c r="E790" s="2" t="s">
        <v>39</v>
      </c>
      <c r="F790" s="2" t="s">
        <v>783</v>
      </c>
      <c r="H790" s="2" t="s">
        <v>784</v>
      </c>
      <c r="I790" s="2" t="s">
        <v>785</v>
      </c>
      <c r="J790" s="2">
        <v>1998</v>
      </c>
      <c r="K790" s="2">
        <v>6</v>
      </c>
      <c r="N790" s="3">
        <v>10000</v>
      </c>
      <c r="O790" s="3">
        <v>20</v>
      </c>
      <c r="P790" s="2">
        <v>19</v>
      </c>
      <c r="Q790" s="2">
        <v>39</v>
      </c>
      <c r="R790" s="2">
        <v>5</v>
      </c>
      <c r="S790" s="2">
        <v>0</v>
      </c>
      <c r="T790" s="3">
        <v>68</v>
      </c>
      <c r="Y790" s="3">
        <v>133</v>
      </c>
      <c r="AE790" s="3">
        <v>103.5</v>
      </c>
      <c r="AR790" s="3" t="s">
        <v>750</v>
      </c>
      <c r="AT790" s="4">
        <v>47.75</v>
      </c>
      <c r="AU790" s="4" t="s">
        <v>806</v>
      </c>
      <c r="AW790" s="3" t="s">
        <v>758</v>
      </c>
    </row>
    <row r="791" spans="1:49" s="6" customFormat="1" x14ac:dyDescent="0.15">
      <c r="A791" s="2">
        <v>790</v>
      </c>
      <c r="B791" s="5" t="s">
        <v>788</v>
      </c>
      <c r="C791" s="5" t="s">
        <v>132</v>
      </c>
      <c r="D791" s="5" t="s">
        <v>115</v>
      </c>
      <c r="E791" s="5" t="s">
        <v>39</v>
      </c>
      <c r="F791" s="5"/>
      <c r="G791" s="5"/>
      <c r="H791" s="5" t="s">
        <v>750</v>
      </c>
      <c r="I791" s="5" t="s">
        <v>764</v>
      </c>
      <c r="J791" s="5">
        <v>2006</v>
      </c>
      <c r="K791" s="5">
        <v>7</v>
      </c>
      <c r="L791" s="5"/>
      <c r="M791" s="5"/>
      <c r="N791" s="6">
        <v>625</v>
      </c>
      <c r="O791" s="6">
        <v>280</v>
      </c>
      <c r="P791" s="5">
        <v>20</v>
      </c>
      <c r="Q791" s="5">
        <v>39</v>
      </c>
      <c r="R791" s="5">
        <v>3</v>
      </c>
      <c r="S791" s="5"/>
      <c r="T791" s="6">
        <v>69</v>
      </c>
      <c r="Y791" s="6">
        <v>5867.18</v>
      </c>
      <c r="AE791" s="6">
        <v>4211</v>
      </c>
      <c r="AG791" s="6">
        <v>2.11</v>
      </c>
      <c r="AI791" s="6">
        <v>0.73</v>
      </c>
      <c r="AM791" s="6">
        <v>2.11</v>
      </c>
      <c r="AR791" s="6" t="s">
        <v>767</v>
      </c>
      <c r="AT791" s="4">
        <v>47.75</v>
      </c>
      <c r="AU791" s="4" t="s">
        <v>806</v>
      </c>
      <c r="AW791" s="6" t="s">
        <v>758</v>
      </c>
    </row>
    <row r="792" spans="1:49" s="6" customFormat="1" x14ac:dyDescent="0.15">
      <c r="A792" s="2">
        <v>791</v>
      </c>
      <c r="B792" s="5" t="s">
        <v>788</v>
      </c>
      <c r="C792" s="5" t="s">
        <v>132</v>
      </c>
      <c r="D792" s="5" t="s">
        <v>115</v>
      </c>
      <c r="E792" s="5" t="s">
        <v>39</v>
      </c>
      <c r="F792" s="5"/>
      <c r="G792" s="5"/>
      <c r="H792" s="5" t="s">
        <v>750</v>
      </c>
      <c r="I792" s="5" t="s">
        <v>764</v>
      </c>
      <c r="J792" s="5">
        <v>2006</v>
      </c>
      <c r="K792" s="5"/>
      <c r="L792" s="5"/>
      <c r="M792" s="5"/>
      <c r="P792" s="5"/>
      <c r="Q792" s="5"/>
      <c r="R792" s="5"/>
      <c r="S792" s="5"/>
      <c r="T792" s="6">
        <v>43</v>
      </c>
      <c r="Y792" s="6">
        <v>871.44</v>
      </c>
      <c r="AE792" s="6">
        <v>968</v>
      </c>
      <c r="AG792" s="6">
        <v>1.73</v>
      </c>
      <c r="AI792" s="6">
        <v>0.76</v>
      </c>
      <c r="AM792" s="6">
        <v>1.73</v>
      </c>
      <c r="AT792" s="4">
        <v>47.75</v>
      </c>
      <c r="AU792" s="4" t="s">
        <v>806</v>
      </c>
      <c r="AW792" s="6" t="s">
        <v>758</v>
      </c>
    </row>
    <row r="793" spans="1:49" x14ac:dyDescent="0.15">
      <c r="A793" s="2">
        <v>792</v>
      </c>
      <c r="B793" s="2" t="s">
        <v>790</v>
      </c>
      <c r="C793" s="2" t="s">
        <v>132</v>
      </c>
      <c r="D793" s="2" t="s">
        <v>115</v>
      </c>
      <c r="E793" s="2" t="s">
        <v>39</v>
      </c>
      <c r="H793" s="2" t="s">
        <v>750</v>
      </c>
      <c r="I793" s="2" t="s">
        <v>764</v>
      </c>
      <c r="J793" s="2">
        <v>1981</v>
      </c>
      <c r="T793" s="3">
        <v>276</v>
      </c>
      <c r="Y793" s="3">
        <v>5376.4</v>
      </c>
      <c r="AE793" s="3">
        <v>2697</v>
      </c>
      <c r="AG793" s="3">
        <v>2.48</v>
      </c>
      <c r="AI793" s="3">
        <v>0.74</v>
      </c>
      <c r="AM793" s="3">
        <v>2.48</v>
      </c>
      <c r="AT793" s="4">
        <v>47.75</v>
      </c>
      <c r="AU793" s="4" t="s">
        <v>806</v>
      </c>
      <c r="AW793" s="3" t="s">
        <v>758</v>
      </c>
    </row>
    <row r="794" spans="1:49" x14ac:dyDescent="0.15">
      <c r="A794" s="2">
        <v>793</v>
      </c>
      <c r="B794" s="2" t="s">
        <v>789</v>
      </c>
      <c r="C794" s="2" t="s">
        <v>132</v>
      </c>
      <c r="D794" s="2" t="s">
        <v>115</v>
      </c>
      <c r="E794" s="2" t="s">
        <v>39</v>
      </c>
      <c r="H794" s="2" t="s">
        <v>750</v>
      </c>
      <c r="I794" s="2" t="s">
        <v>764</v>
      </c>
      <c r="J794" s="2">
        <v>1984</v>
      </c>
      <c r="T794" s="3">
        <v>97</v>
      </c>
      <c r="Y794" s="3">
        <v>178.7</v>
      </c>
      <c r="AE794" s="3">
        <v>116</v>
      </c>
      <c r="AG794" s="3">
        <v>1.62</v>
      </c>
      <c r="AI794" s="3">
        <v>0.88</v>
      </c>
      <c r="AM794" s="3">
        <v>1.62</v>
      </c>
      <c r="AT794" s="4">
        <v>47.75</v>
      </c>
      <c r="AU794" s="4" t="s">
        <v>806</v>
      </c>
      <c r="AW794" s="3" t="s">
        <v>758</v>
      </c>
    </row>
    <row r="795" spans="1:49" x14ac:dyDescent="0.15">
      <c r="A795" s="2">
        <v>794</v>
      </c>
      <c r="B795" s="2" t="s">
        <v>792</v>
      </c>
      <c r="C795" s="2" t="s">
        <v>793</v>
      </c>
      <c r="D795" s="2" t="s">
        <v>794</v>
      </c>
      <c r="E795" s="2" t="s">
        <v>762</v>
      </c>
      <c r="H795" s="2" t="s">
        <v>795</v>
      </c>
      <c r="I795" s="2" t="s">
        <v>751</v>
      </c>
      <c r="J795" s="2">
        <v>2010</v>
      </c>
      <c r="K795" s="2">
        <v>5</v>
      </c>
      <c r="N795" s="3">
        <v>500</v>
      </c>
      <c r="O795" s="3">
        <v>40</v>
      </c>
      <c r="P795" s="2">
        <v>24</v>
      </c>
      <c r="Q795" s="2">
        <v>11</v>
      </c>
      <c r="R795" s="2">
        <v>61</v>
      </c>
      <c r="S795" s="2">
        <v>8</v>
      </c>
      <c r="T795" s="3">
        <v>112</v>
      </c>
      <c r="U795" s="3">
        <v>2.0299999999999998</v>
      </c>
      <c r="V795" s="3">
        <v>98.2</v>
      </c>
      <c r="W795" s="3">
        <v>1.1399999999999999</v>
      </c>
      <c r="X795" s="3">
        <v>7.24</v>
      </c>
      <c r="Y795" s="3">
        <v>17.600000000000001</v>
      </c>
      <c r="AA795" s="3">
        <v>9.32</v>
      </c>
      <c r="AB795" s="3">
        <v>13.47</v>
      </c>
      <c r="AC795" s="3">
        <v>24.8</v>
      </c>
      <c r="AD795" s="3">
        <v>16.440000000000001</v>
      </c>
      <c r="AE795" s="3">
        <v>14.33</v>
      </c>
      <c r="AR795" s="3" t="s">
        <v>767</v>
      </c>
      <c r="AT795" s="4">
        <v>47.75</v>
      </c>
      <c r="AU795" s="4" t="s">
        <v>806</v>
      </c>
      <c r="AW795" s="3" t="s">
        <v>796</v>
      </c>
    </row>
    <row r="796" spans="1:49" x14ac:dyDescent="0.15">
      <c r="A796" s="2">
        <v>795</v>
      </c>
      <c r="B796" s="2" t="s">
        <v>797</v>
      </c>
      <c r="C796" s="2" t="s">
        <v>798</v>
      </c>
      <c r="D796" s="2" t="s">
        <v>294</v>
      </c>
      <c r="E796" s="2" t="s">
        <v>799</v>
      </c>
      <c r="H796" s="2" t="s">
        <v>800</v>
      </c>
      <c r="I796" s="2" t="s">
        <v>801</v>
      </c>
      <c r="J796" s="2">
        <v>2006</v>
      </c>
      <c r="K796" s="2">
        <v>11</v>
      </c>
      <c r="N796" s="3">
        <v>1000</v>
      </c>
      <c r="O796" s="3">
        <v>75</v>
      </c>
      <c r="P796" s="2">
        <v>56</v>
      </c>
      <c r="Q796" s="2">
        <v>61</v>
      </c>
      <c r="R796" s="2">
        <v>79</v>
      </c>
      <c r="S796" s="2">
        <v>9</v>
      </c>
      <c r="T796" s="3">
        <v>214</v>
      </c>
      <c r="U796" s="3">
        <v>4.0999999999999996</v>
      </c>
      <c r="V796" s="3">
        <v>7.7</v>
      </c>
      <c r="W796" s="3">
        <v>5</v>
      </c>
      <c r="X796" s="3">
        <v>4.5999999999999996</v>
      </c>
      <c r="Y796" s="3">
        <v>24.6</v>
      </c>
      <c r="AA796" s="3">
        <v>188</v>
      </c>
      <c r="AB796" s="3">
        <v>479</v>
      </c>
      <c r="AC796" s="3">
        <v>239</v>
      </c>
      <c r="AD796" s="3">
        <v>30</v>
      </c>
      <c r="AE796" s="3">
        <v>958</v>
      </c>
      <c r="AR796" s="3" t="s">
        <v>802</v>
      </c>
      <c r="AT796" s="4">
        <v>47.75</v>
      </c>
      <c r="AU796" s="4" t="s">
        <v>806</v>
      </c>
      <c r="AW796" s="3" t="s">
        <v>758</v>
      </c>
    </row>
    <row r="797" spans="1:49" x14ac:dyDescent="0.15">
      <c r="A797" s="2">
        <v>796</v>
      </c>
      <c r="B797" s="2" t="s">
        <v>803</v>
      </c>
      <c r="C797" s="2" t="s">
        <v>804</v>
      </c>
      <c r="D797" s="2" t="s">
        <v>294</v>
      </c>
      <c r="E797" s="2" t="s">
        <v>762</v>
      </c>
      <c r="H797" s="2" t="s">
        <v>750</v>
      </c>
      <c r="I797" s="2" t="s">
        <v>805</v>
      </c>
      <c r="J797" s="2">
        <v>2011</v>
      </c>
      <c r="K797" s="2">
        <v>5</v>
      </c>
      <c r="L797" s="2">
        <v>2011</v>
      </c>
      <c r="M797" s="2">
        <v>10</v>
      </c>
      <c r="N797" s="3">
        <v>500</v>
      </c>
      <c r="O797" s="3">
        <v>84</v>
      </c>
      <c r="P797" s="2">
        <v>25</v>
      </c>
      <c r="Q797" s="2">
        <v>16</v>
      </c>
      <c r="R797" s="2">
        <v>68</v>
      </c>
      <c r="S797" s="2">
        <v>3</v>
      </c>
      <c r="T797" s="3">
        <v>120</v>
      </c>
      <c r="Y797" s="3">
        <v>494.98</v>
      </c>
      <c r="AE797" s="3">
        <v>2914.57</v>
      </c>
      <c r="AR797" s="3" t="s">
        <v>802</v>
      </c>
      <c r="AS797" s="3" t="s">
        <v>806</v>
      </c>
      <c r="AT797" s="4">
        <v>47.75</v>
      </c>
      <c r="AU797" s="4" t="s">
        <v>806</v>
      </c>
      <c r="AW797" s="3" t="s">
        <v>807</v>
      </c>
    </row>
    <row r="798" spans="1:49" x14ac:dyDescent="0.15">
      <c r="A798" s="2">
        <v>797</v>
      </c>
      <c r="B798" s="2" t="s">
        <v>803</v>
      </c>
      <c r="C798" s="2" t="s">
        <v>804</v>
      </c>
      <c r="D798" s="2" t="s">
        <v>294</v>
      </c>
      <c r="E798" s="2" t="s">
        <v>762</v>
      </c>
      <c r="H798" s="2" t="s">
        <v>750</v>
      </c>
      <c r="I798" s="2" t="s">
        <v>805</v>
      </c>
      <c r="J798" s="2">
        <v>2011</v>
      </c>
      <c r="K798" s="2">
        <v>10</v>
      </c>
      <c r="P798" s="2">
        <v>23</v>
      </c>
      <c r="Q798" s="2">
        <v>18</v>
      </c>
      <c r="R798" s="2">
        <v>57</v>
      </c>
      <c r="S798" s="2">
        <v>2</v>
      </c>
      <c r="T798" s="3">
        <v>108</v>
      </c>
      <c r="Y798" s="3">
        <v>69.45</v>
      </c>
      <c r="AE798" s="3">
        <v>2771.59</v>
      </c>
      <c r="AR798" s="3" t="s">
        <v>767</v>
      </c>
      <c r="AT798" s="4">
        <v>47.75</v>
      </c>
      <c r="AU798" s="4" t="s">
        <v>806</v>
      </c>
      <c r="AW798" s="3" t="s">
        <v>807</v>
      </c>
    </row>
    <row r="799" spans="1:49" x14ac:dyDescent="0.15">
      <c r="A799" s="2">
        <v>798</v>
      </c>
      <c r="B799" s="2" t="s">
        <v>808</v>
      </c>
      <c r="C799" s="2" t="s">
        <v>846</v>
      </c>
      <c r="D799" s="2" t="s">
        <v>115</v>
      </c>
      <c r="E799" s="2" t="s">
        <v>809</v>
      </c>
      <c r="H799" s="2" t="s">
        <v>791</v>
      </c>
      <c r="I799" s="2" t="s">
        <v>764</v>
      </c>
      <c r="J799" s="2">
        <v>2005</v>
      </c>
      <c r="K799" s="2">
        <v>7</v>
      </c>
      <c r="N799" s="3">
        <v>500</v>
      </c>
      <c r="O799" s="3">
        <v>42</v>
      </c>
      <c r="P799" s="2">
        <v>27</v>
      </c>
      <c r="Q799" s="2">
        <v>14</v>
      </c>
      <c r="R799" s="2">
        <v>17</v>
      </c>
      <c r="S799" s="2">
        <v>4</v>
      </c>
      <c r="T799" s="3">
        <v>62</v>
      </c>
      <c r="U799" s="3">
        <v>1.03</v>
      </c>
      <c r="V799" s="3">
        <v>0.92</v>
      </c>
      <c r="W799" s="3">
        <v>4.01</v>
      </c>
      <c r="X799" s="3">
        <v>2.56</v>
      </c>
      <c r="Y799" s="3">
        <v>8.52</v>
      </c>
      <c r="AA799" s="3">
        <v>6</v>
      </c>
      <c r="AB799" s="3">
        <v>11</v>
      </c>
      <c r="AC799" s="3">
        <v>114</v>
      </c>
      <c r="AD799" s="3">
        <v>7</v>
      </c>
      <c r="AE799" s="3">
        <v>138</v>
      </c>
      <c r="AG799" s="3">
        <v>0.91</v>
      </c>
      <c r="AR799" s="3" t="s">
        <v>767</v>
      </c>
      <c r="AT799" s="4">
        <v>47.75</v>
      </c>
      <c r="AU799" s="4" t="s">
        <v>806</v>
      </c>
      <c r="AW799" s="3" t="s">
        <v>812</v>
      </c>
    </row>
    <row r="800" spans="1:49" x14ac:dyDescent="0.15">
      <c r="A800" s="2">
        <v>799</v>
      </c>
      <c r="B800" s="2" t="s">
        <v>808</v>
      </c>
      <c r="C800" s="2" t="s">
        <v>116</v>
      </c>
      <c r="D800" s="2" t="s">
        <v>115</v>
      </c>
      <c r="E800" s="2" t="s">
        <v>809</v>
      </c>
      <c r="H800" s="2" t="s">
        <v>791</v>
      </c>
      <c r="I800" s="2" t="s">
        <v>764</v>
      </c>
      <c r="J800" s="2">
        <v>2005</v>
      </c>
      <c r="K800" s="2">
        <v>7</v>
      </c>
      <c r="O800" s="3">
        <v>6</v>
      </c>
      <c r="R800" s="2">
        <v>5</v>
      </c>
      <c r="T800" s="3">
        <v>5</v>
      </c>
      <c r="W800" s="3">
        <v>0.53</v>
      </c>
      <c r="X800" s="3">
        <v>0</v>
      </c>
      <c r="Y800" s="3">
        <v>0.53</v>
      </c>
      <c r="AC800" s="3">
        <v>4</v>
      </c>
      <c r="AE800" s="3">
        <v>4</v>
      </c>
      <c r="AG800" s="3">
        <v>0.32</v>
      </c>
      <c r="AR800" s="3" t="s">
        <v>767</v>
      </c>
      <c r="AT800" s="4">
        <v>47.75</v>
      </c>
      <c r="AU800" s="4" t="s">
        <v>806</v>
      </c>
      <c r="AW800" s="3" t="s">
        <v>812</v>
      </c>
    </row>
    <row r="801" spans="1:49" x14ac:dyDescent="0.15">
      <c r="A801" s="2">
        <v>800</v>
      </c>
      <c r="B801" s="2" t="s">
        <v>808</v>
      </c>
      <c r="C801" s="2" t="s">
        <v>132</v>
      </c>
      <c r="D801" s="2" t="s">
        <v>115</v>
      </c>
      <c r="E801" s="2" t="s">
        <v>809</v>
      </c>
      <c r="H801" s="2" t="s">
        <v>791</v>
      </c>
      <c r="I801" s="2" t="s">
        <v>764</v>
      </c>
      <c r="J801" s="2">
        <v>2005</v>
      </c>
      <c r="K801" s="2">
        <v>7</v>
      </c>
      <c r="O801" s="3">
        <v>32</v>
      </c>
      <c r="Q801" s="2">
        <v>12</v>
      </c>
      <c r="R801" s="2">
        <v>16</v>
      </c>
      <c r="S801" s="2">
        <v>3</v>
      </c>
      <c r="T801" s="3">
        <v>44</v>
      </c>
      <c r="V801" s="3">
        <v>0.03</v>
      </c>
      <c r="W801" s="3">
        <v>2.0099999999999998</v>
      </c>
      <c r="X801" s="3">
        <v>8.15</v>
      </c>
      <c r="Y801" s="3">
        <v>12.45</v>
      </c>
      <c r="AB801" s="3">
        <v>1</v>
      </c>
      <c r="AC801" s="3">
        <v>26</v>
      </c>
      <c r="AD801" s="3">
        <v>4</v>
      </c>
      <c r="AE801" s="3">
        <v>33</v>
      </c>
      <c r="AG801" s="3">
        <v>1.27</v>
      </c>
      <c r="AR801" s="3" t="s">
        <v>810</v>
      </c>
      <c r="AT801" s="4">
        <v>47.75</v>
      </c>
      <c r="AU801" s="4" t="s">
        <v>806</v>
      </c>
      <c r="AW801" s="3" t="s">
        <v>758</v>
      </c>
    </row>
    <row r="802" spans="1:49" x14ac:dyDescent="0.15">
      <c r="A802" s="2">
        <v>801</v>
      </c>
      <c r="B802" s="2" t="s">
        <v>808</v>
      </c>
      <c r="C802" s="2" t="s">
        <v>846</v>
      </c>
      <c r="D802" s="2" t="s">
        <v>115</v>
      </c>
      <c r="E802" s="2" t="s">
        <v>809</v>
      </c>
      <c r="H802" s="2" t="s">
        <v>791</v>
      </c>
      <c r="I802" s="2" t="s">
        <v>764</v>
      </c>
      <c r="J802" s="2">
        <v>2005</v>
      </c>
      <c r="K802" s="2">
        <v>7</v>
      </c>
      <c r="O802" s="3">
        <v>80</v>
      </c>
      <c r="P802" s="2">
        <v>27</v>
      </c>
      <c r="Q802" s="2">
        <v>19</v>
      </c>
      <c r="R802" s="2">
        <v>22</v>
      </c>
      <c r="S802" s="2">
        <v>5</v>
      </c>
      <c r="T802" s="3">
        <v>86</v>
      </c>
      <c r="U802" s="3">
        <v>0.49</v>
      </c>
      <c r="V802" s="3">
        <v>0.44</v>
      </c>
      <c r="W802" s="3">
        <v>2.82</v>
      </c>
      <c r="X802" s="3">
        <v>4.8</v>
      </c>
      <c r="Y802" s="3">
        <v>9.5500000000000007</v>
      </c>
      <c r="AA802" s="3">
        <v>3</v>
      </c>
      <c r="AB802" s="3">
        <v>6</v>
      </c>
      <c r="AC802" s="3">
        <v>71</v>
      </c>
      <c r="AD802" s="3">
        <v>5</v>
      </c>
      <c r="AE802" s="3">
        <v>86</v>
      </c>
      <c r="AG802" s="3">
        <v>1.01</v>
      </c>
      <c r="AR802" s="3" t="s">
        <v>802</v>
      </c>
      <c r="AT802" s="4">
        <v>47.75</v>
      </c>
      <c r="AU802" s="4" t="s">
        <v>806</v>
      </c>
      <c r="AW802" s="3" t="s">
        <v>813</v>
      </c>
    </row>
    <row r="803" spans="1:49" x14ac:dyDescent="0.15">
      <c r="A803" s="2">
        <v>802</v>
      </c>
      <c r="B803" s="2" t="s">
        <v>808</v>
      </c>
      <c r="C803" s="2" t="s">
        <v>846</v>
      </c>
      <c r="D803" s="2" t="s">
        <v>115</v>
      </c>
      <c r="E803" s="2" t="s">
        <v>809</v>
      </c>
      <c r="H803" s="2" t="s">
        <v>791</v>
      </c>
      <c r="I803" s="2" t="s">
        <v>764</v>
      </c>
      <c r="J803" s="2">
        <v>1996</v>
      </c>
      <c r="T803" s="3">
        <v>18</v>
      </c>
      <c r="Y803" s="3">
        <v>0.39</v>
      </c>
      <c r="AG803" s="3">
        <v>0</v>
      </c>
      <c r="AR803" s="3" t="s">
        <v>811</v>
      </c>
      <c r="AT803" s="4">
        <v>47.75</v>
      </c>
      <c r="AU803" s="4" t="s">
        <v>806</v>
      </c>
    </row>
    <row r="804" spans="1:49" x14ac:dyDescent="0.15">
      <c r="A804" s="2">
        <v>803</v>
      </c>
      <c r="B804" s="2" t="s">
        <v>808</v>
      </c>
      <c r="C804" s="2" t="s">
        <v>846</v>
      </c>
      <c r="D804" s="2" t="s">
        <v>115</v>
      </c>
      <c r="E804" s="2" t="s">
        <v>809</v>
      </c>
      <c r="H804" s="2" t="s">
        <v>791</v>
      </c>
      <c r="I804" s="2" t="s">
        <v>764</v>
      </c>
      <c r="J804" s="2">
        <v>1998</v>
      </c>
      <c r="T804" s="3">
        <v>28</v>
      </c>
      <c r="Y804" s="3">
        <v>0.42</v>
      </c>
      <c r="AG804" s="3">
        <v>0</v>
      </c>
      <c r="AT804" s="4">
        <v>47.75</v>
      </c>
      <c r="AU804" s="4" t="s">
        <v>806</v>
      </c>
    </row>
    <row r="805" spans="1:49" x14ac:dyDescent="0.15">
      <c r="A805" s="2">
        <v>804</v>
      </c>
      <c r="B805" s="2" t="s">
        <v>808</v>
      </c>
      <c r="C805" s="2" t="s">
        <v>846</v>
      </c>
      <c r="D805" s="2" t="s">
        <v>115</v>
      </c>
      <c r="E805" s="2" t="s">
        <v>809</v>
      </c>
      <c r="H805" s="2" t="s">
        <v>791</v>
      </c>
      <c r="I805" s="2" t="s">
        <v>764</v>
      </c>
      <c r="J805" s="2">
        <v>1999</v>
      </c>
      <c r="T805" s="3">
        <v>1</v>
      </c>
      <c r="Y805" s="3">
        <v>0.32</v>
      </c>
      <c r="AG805" s="3">
        <v>0</v>
      </c>
      <c r="AT805" s="4">
        <v>47.75</v>
      </c>
      <c r="AU805" s="4" t="s">
        <v>806</v>
      </c>
    </row>
    <row r="806" spans="1:49" x14ac:dyDescent="0.15">
      <c r="A806" s="2">
        <v>805</v>
      </c>
      <c r="B806" s="2" t="s">
        <v>808</v>
      </c>
      <c r="C806" s="2" t="s">
        <v>846</v>
      </c>
      <c r="D806" s="2" t="s">
        <v>115</v>
      </c>
      <c r="E806" s="2" t="s">
        <v>809</v>
      </c>
      <c r="H806" s="2" t="s">
        <v>791</v>
      </c>
      <c r="I806" s="2" t="s">
        <v>764</v>
      </c>
      <c r="J806" s="2">
        <v>2000</v>
      </c>
      <c r="T806" s="3">
        <v>14</v>
      </c>
      <c r="Y806" s="3">
        <v>2.1</v>
      </c>
      <c r="AG806" s="3">
        <v>0</v>
      </c>
      <c r="AT806" s="4">
        <v>47.75</v>
      </c>
      <c r="AU806" s="4" t="s">
        <v>806</v>
      </c>
    </row>
    <row r="807" spans="1:49" x14ac:dyDescent="0.15">
      <c r="A807" s="2">
        <v>806</v>
      </c>
      <c r="B807" s="2" t="s">
        <v>808</v>
      </c>
      <c r="C807" s="2" t="s">
        <v>846</v>
      </c>
      <c r="D807" s="2" t="s">
        <v>115</v>
      </c>
      <c r="E807" s="2" t="s">
        <v>809</v>
      </c>
      <c r="H807" s="2" t="s">
        <v>791</v>
      </c>
      <c r="I807" s="2" t="s">
        <v>764</v>
      </c>
      <c r="J807" s="2">
        <v>2001</v>
      </c>
      <c r="T807" s="3">
        <v>32</v>
      </c>
      <c r="Y807" s="3">
        <v>0.37</v>
      </c>
      <c r="AG807" s="3">
        <v>0</v>
      </c>
      <c r="AT807" s="4">
        <v>47.75</v>
      </c>
      <c r="AU807" s="4" t="s">
        <v>806</v>
      </c>
    </row>
    <row r="808" spans="1:49" x14ac:dyDescent="0.15">
      <c r="A808" s="2">
        <v>807</v>
      </c>
      <c r="B808" s="2" t="s">
        <v>808</v>
      </c>
      <c r="C808" s="2" t="s">
        <v>846</v>
      </c>
      <c r="D808" s="2" t="s">
        <v>115</v>
      </c>
      <c r="E808" s="2" t="s">
        <v>809</v>
      </c>
      <c r="H808" s="2" t="s">
        <v>791</v>
      </c>
      <c r="I808" s="2" t="s">
        <v>764</v>
      </c>
      <c r="J808" s="2">
        <v>2002</v>
      </c>
      <c r="T808" s="3">
        <v>18</v>
      </c>
      <c r="Y808" s="3">
        <v>2.27</v>
      </c>
      <c r="AG808" s="3">
        <v>0</v>
      </c>
      <c r="AT808" s="4">
        <v>47.75</v>
      </c>
      <c r="AU808" s="4" t="s">
        <v>806</v>
      </c>
    </row>
    <row r="809" spans="1:49" x14ac:dyDescent="0.15">
      <c r="A809" s="2">
        <v>808</v>
      </c>
      <c r="B809" s="2" t="s">
        <v>808</v>
      </c>
      <c r="C809" s="2" t="s">
        <v>846</v>
      </c>
      <c r="D809" s="2" t="s">
        <v>115</v>
      </c>
      <c r="E809" s="2" t="s">
        <v>809</v>
      </c>
      <c r="H809" s="2" t="s">
        <v>791</v>
      </c>
      <c r="I809" s="2" t="s">
        <v>764</v>
      </c>
      <c r="J809" s="2">
        <v>2003</v>
      </c>
      <c r="T809" s="3">
        <v>25</v>
      </c>
      <c r="Y809" s="3">
        <v>1.92</v>
      </c>
      <c r="AG809" s="3">
        <v>0.03</v>
      </c>
      <c r="AT809" s="4">
        <v>47.75</v>
      </c>
      <c r="AU809" s="4" t="s">
        <v>806</v>
      </c>
    </row>
    <row r="810" spans="1:49" x14ac:dyDescent="0.15">
      <c r="A810" s="2">
        <v>809</v>
      </c>
      <c r="B810" s="2" t="s">
        <v>808</v>
      </c>
      <c r="C810" s="2" t="s">
        <v>846</v>
      </c>
      <c r="D810" s="2" t="s">
        <v>115</v>
      </c>
      <c r="E810" s="2" t="s">
        <v>809</v>
      </c>
      <c r="H810" s="2" t="s">
        <v>791</v>
      </c>
      <c r="I810" s="2" t="s">
        <v>764</v>
      </c>
      <c r="J810" s="2">
        <v>2004</v>
      </c>
      <c r="T810" s="3">
        <v>48</v>
      </c>
      <c r="Y810" s="3">
        <v>1.58</v>
      </c>
      <c r="AG810" s="3">
        <v>0.56000000000000005</v>
      </c>
      <c r="AT810" s="4">
        <v>47.75</v>
      </c>
      <c r="AU810" s="4" t="s">
        <v>806</v>
      </c>
    </row>
    <row r="811" spans="1:49" x14ac:dyDescent="0.15">
      <c r="A811" s="2">
        <v>810</v>
      </c>
      <c r="B811" s="2" t="s">
        <v>808</v>
      </c>
      <c r="C811" s="2" t="s">
        <v>116</v>
      </c>
      <c r="D811" s="2" t="s">
        <v>115</v>
      </c>
      <c r="E811" s="2" t="s">
        <v>809</v>
      </c>
      <c r="H811" s="2" t="s">
        <v>791</v>
      </c>
      <c r="I811" s="2" t="s">
        <v>764</v>
      </c>
      <c r="J811" s="2">
        <v>1996</v>
      </c>
      <c r="T811" s="3">
        <v>23</v>
      </c>
      <c r="Y811" s="3">
        <v>0.39</v>
      </c>
      <c r="AG811" s="3">
        <v>0</v>
      </c>
      <c r="AT811" s="4">
        <v>47.75</v>
      </c>
      <c r="AU811" s="4" t="s">
        <v>806</v>
      </c>
    </row>
    <row r="812" spans="1:49" x14ac:dyDescent="0.15">
      <c r="A812" s="2">
        <v>811</v>
      </c>
      <c r="B812" s="2" t="s">
        <v>808</v>
      </c>
      <c r="C812" s="2" t="s">
        <v>116</v>
      </c>
      <c r="D812" s="2" t="s">
        <v>115</v>
      </c>
      <c r="E812" s="2" t="s">
        <v>809</v>
      </c>
      <c r="H812" s="2" t="s">
        <v>791</v>
      </c>
      <c r="I812" s="2" t="s">
        <v>764</v>
      </c>
      <c r="J812" s="2">
        <v>1998</v>
      </c>
      <c r="T812" s="3">
        <v>22</v>
      </c>
      <c r="Y812" s="3">
        <v>0.42</v>
      </c>
      <c r="AG812" s="3">
        <v>0</v>
      </c>
      <c r="AT812" s="4">
        <v>47.75</v>
      </c>
      <c r="AU812" s="4" t="s">
        <v>806</v>
      </c>
    </row>
    <row r="813" spans="1:49" x14ac:dyDescent="0.15">
      <c r="A813" s="2">
        <v>812</v>
      </c>
      <c r="B813" s="2" t="s">
        <v>808</v>
      </c>
      <c r="C813" s="2" t="s">
        <v>116</v>
      </c>
      <c r="D813" s="2" t="s">
        <v>115</v>
      </c>
      <c r="E813" s="2" t="s">
        <v>809</v>
      </c>
      <c r="H813" s="2" t="s">
        <v>791</v>
      </c>
      <c r="I813" s="2" t="s">
        <v>764</v>
      </c>
      <c r="J813" s="2">
        <v>1999</v>
      </c>
      <c r="T813" s="3">
        <v>8</v>
      </c>
      <c r="Y813" s="3">
        <v>0.44</v>
      </c>
      <c r="AG813" s="3">
        <v>0</v>
      </c>
      <c r="AT813" s="4">
        <v>47.75</v>
      </c>
      <c r="AU813" s="4" t="s">
        <v>806</v>
      </c>
    </row>
    <row r="814" spans="1:49" x14ac:dyDescent="0.15">
      <c r="A814" s="2">
        <v>813</v>
      </c>
      <c r="B814" s="2" t="s">
        <v>808</v>
      </c>
      <c r="C814" s="2" t="s">
        <v>116</v>
      </c>
      <c r="D814" s="2" t="s">
        <v>115</v>
      </c>
      <c r="E814" s="2" t="s">
        <v>809</v>
      </c>
      <c r="H814" s="2" t="s">
        <v>791</v>
      </c>
      <c r="I814" s="2" t="s">
        <v>764</v>
      </c>
      <c r="J814" s="2">
        <v>2000</v>
      </c>
      <c r="T814" s="3">
        <v>6</v>
      </c>
      <c r="Y814" s="3">
        <v>0.35</v>
      </c>
      <c r="AG814" s="3">
        <v>0</v>
      </c>
      <c r="AT814" s="4">
        <v>47.75</v>
      </c>
      <c r="AU814" s="4" t="s">
        <v>806</v>
      </c>
    </row>
    <row r="815" spans="1:49" x14ac:dyDescent="0.15">
      <c r="A815" s="2">
        <v>814</v>
      </c>
      <c r="B815" s="2" t="s">
        <v>808</v>
      </c>
      <c r="C815" s="2" t="s">
        <v>116</v>
      </c>
      <c r="D815" s="2" t="s">
        <v>115</v>
      </c>
      <c r="E815" s="2" t="s">
        <v>809</v>
      </c>
      <c r="H815" s="2" t="s">
        <v>791</v>
      </c>
      <c r="I815" s="2" t="s">
        <v>764</v>
      </c>
      <c r="J815" s="2">
        <v>2001</v>
      </c>
      <c r="T815" s="3">
        <v>12</v>
      </c>
      <c r="Y815" s="3">
        <v>0.38</v>
      </c>
      <c r="AG815" s="3">
        <v>0</v>
      </c>
      <c r="AT815" s="4">
        <v>47.75</v>
      </c>
      <c r="AU815" s="4" t="s">
        <v>806</v>
      </c>
    </row>
    <row r="816" spans="1:49" x14ac:dyDescent="0.15">
      <c r="A816" s="2">
        <v>815</v>
      </c>
      <c r="B816" s="2" t="s">
        <v>808</v>
      </c>
      <c r="C816" s="2" t="s">
        <v>116</v>
      </c>
      <c r="D816" s="2" t="s">
        <v>115</v>
      </c>
      <c r="E816" s="2" t="s">
        <v>809</v>
      </c>
      <c r="H816" s="2" t="s">
        <v>791</v>
      </c>
      <c r="I816" s="2" t="s">
        <v>764</v>
      </c>
      <c r="J816" s="2">
        <v>2002</v>
      </c>
      <c r="T816" s="3">
        <v>12</v>
      </c>
      <c r="Y816" s="3">
        <v>0.78</v>
      </c>
      <c r="AG816" s="3">
        <v>0</v>
      </c>
      <c r="AT816" s="4">
        <v>47.75</v>
      </c>
      <c r="AU816" s="4" t="s">
        <v>806</v>
      </c>
    </row>
    <row r="817" spans="1:47" x14ac:dyDescent="0.15">
      <c r="A817" s="2">
        <v>816</v>
      </c>
      <c r="B817" s="2" t="s">
        <v>808</v>
      </c>
      <c r="C817" s="2" t="s">
        <v>116</v>
      </c>
      <c r="D817" s="2" t="s">
        <v>115</v>
      </c>
      <c r="E817" s="2" t="s">
        <v>809</v>
      </c>
      <c r="H817" s="2" t="s">
        <v>791</v>
      </c>
      <c r="I817" s="2" t="s">
        <v>764</v>
      </c>
      <c r="J817" s="2">
        <v>2003</v>
      </c>
      <c r="T817" s="3">
        <v>25</v>
      </c>
      <c r="Y817" s="3">
        <v>0.68</v>
      </c>
      <c r="AG817" s="3">
        <v>0.06</v>
      </c>
      <c r="AT817" s="4">
        <v>47.75</v>
      </c>
      <c r="AU817" s="4" t="s">
        <v>806</v>
      </c>
    </row>
    <row r="818" spans="1:47" x14ac:dyDescent="0.15">
      <c r="A818" s="2">
        <v>817</v>
      </c>
      <c r="B818" s="2" t="s">
        <v>808</v>
      </c>
      <c r="C818" s="2" t="s">
        <v>116</v>
      </c>
      <c r="D818" s="2" t="s">
        <v>115</v>
      </c>
      <c r="E818" s="2" t="s">
        <v>809</v>
      </c>
      <c r="H818" s="2" t="s">
        <v>791</v>
      </c>
      <c r="I818" s="2" t="s">
        <v>764</v>
      </c>
      <c r="J818" s="2">
        <v>2004</v>
      </c>
      <c r="T818" s="3">
        <v>16</v>
      </c>
      <c r="Y818" s="3">
        <v>0.71</v>
      </c>
      <c r="AG818" s="3">
        <v>0.4</v>
      </c>
      <c r="AT818" s="4">
        <v>47.75</v>
      </c>
      <c r="AU818" s="4" t="s">
        <v>806</v>
      </c>
    </row>
    <row r="819" spans="1:47" x14ac:dyDescent="0.15">
      <c r="A819" s="2">
        <v>818</v>
      </c>
      <c r="B819" s="2" t="s">
        <v>808</v>
      </c>
      <c r="C819" s="2" t="s">
        <v>132</v>
      </c>
      <c r="D819" s="2" t="s">
        <v>115</v>
      </c>
      <c r="E819" s="2" t="s">
        <v>809</v>
      </c>
      <c r="H819" s="2" t="s">
        <v>791</v>
      </c>
      <c r="I819" s="2" t="s">
        <v>764</v>
      </c>
      <c r="J819" s="2">
        <v>1996</v>
      </c>
      <c r="T819" s="3">
        <v>66</v>
      </c>
      <c r="Y819" s="3">
        <v>37.4</v>
      </c>
      <c r="AG819" s="3">
        <v>0.86</v>
      </c>
      <c r="AT819" s="4">
        <v>47.75</v>
      </c>
      <c r="AU819" s="4" t="s">
        <v>806</v>
      </c>
    </row>
    <row r="820" spans="1:47" x14ac:dyDescent="0.15">
      <c r="A820" s="2">
        <v>819</v>
      </c>
      <c r="B820" s="2" t="s">
        <v>808</v>
      </c>
      <c r="C820" s="2" t="s">
        <v>132</v>
      </c>
      <c r="D820" s="2" t="s">
        <v>115</v>
      </c>
      <c r="E820" s="2" t="s">
        <v>809</v>
      </c>
      <c r="H820" s="2" t="s">
        <v>791</v>
      </c>
      <c r="I820" s="2" t="s">
        <v>764</v>
      </c>
      <c r="J820" s="2">
        <v>1998</v>
      </c>
      <c r="T820" s="3">
        <v>51</v>
      </c>
      <c r="Y820" s="3">
        <v>53.8</v>
      </c>
      <c r="AG820" s="3">
        <v>0.45</v>
      </c>
      <c r="AT820" s="4">
        <v>47.75</v>
      </c>
      <c r="AU820" s="4" t="s">
        <v>806</v>
      </c>
    </row>
    <row r="821" spans="1:47" x14ac:dyDescent="0.15">
      <c r="A821" s="2">
        <v>820</v>
      </c>
      <c r="B821" s="2" t="s">
        <v>808</v>
      </c>
      <c r="C821" s="2" t="s">
        <v>132</v>
      </c>
      <c r="D821" s="2" t="s">
        <v>115</v>
      </c>
      <c r="E821" s="2" t="s">
        <v>809</v>
      </c>
      <c r="H821" s="2" t="s">
        <v>791</v>
      </c>
      <c r="I821" s="2" t="s">
        <v>764</v>
      </c>
      <c r="J821" s="2">
        <v>1999</v>
      </c>
      <c r="T821" s="3">
        <v>60</v>
      </c>
      <c r="Y821" s="3">
        <v>11.92</v>
      </c>
      <c r="AG821" s="3">
        <v>0.23</v>
      </c>
      <c r="AT821" s="4">
        <v>47.75</v>
      </c>
      <c r="AU821" s="4" t="s">
        <v>806</v>
      </c>
    </row>
    <row r="822" spans="1:47" x14ac:dyDescent="0.15">
      <c r="A822" s="2">
        <v>821</v>
      </c>
      <c r="B822" s="2" t="s">
        <v>808</v>
      </c>
      <c r="C822" s="2" t="s">
        <v>132</v>
      </c>
      <c r="D822" s="2" t="s">
        <v>115</v>
      </c>
      <c r="E822" s="2" t="s">
        <v>809</v>
      </c>
      <c r="H822" s="2" t="s">
        <v>791</v>
      </c>
      <c r="I822" s="2" t="s">
        <v>764</v>
      </c>
      <c r="J822" s="2">
        <v>2000</v>
      </c>
      <c r="T822" s="3">
        <v>37</v>
      </c>
      <c r="Y822" s="3">
        <v>6.71</v>
      </c>
      <c r="AG822" s="3">
        <v>0.14000000000000001</v>
      </c>
      <c r="AT822" s="4">
        <v>47.75</v>
      </c>
      <c r="AU822" s="4" t="s">
        <v>806</v>
      </c>
    </row>
    <row r="823" spans="1:47" x14ac:dyDescent="0.15">
      <c r="A823" s="2">
        <v>822</v>
      </c>
      <c r="B823" s="2" t="s">
        <v>808</v>
      </c>
      <c r="C823" s="2" t="s">
        <v>132</v>
      </c>
      <c r="D823" s="2" t="s">
        <v>115</v>
      </c>
      <c r="E823" s="2" t="s">
        <v>809</v>
      </c>
      <c r="H823" s="2" t="s">
        <v>791</v>
      </c>
      <c r="I823" s="2" t="s">
        <v>764</v>
      </c>
      <c r="J823" s="2">
        <v>2001</v>
      </c>
      <c r="T823" s="3">
        <v>72</v>
      </c>
      <c r="Y823" s="3">
        <v>36.9</v>
      </c>
      <c r="AG823" s="3">
        <v>0.43</v>
      </c>
      <c r="AT823" s="4">
        <v>47.75</v>
      </c>
      <c r="AU823" s="4" t="s">
        <v>806</v>
      </c>
    </row>
    <row r="824" spans="1:47" x14ac:dyDescent="0.15">
      <c r="A824" s="2">
        <v>823</v>
      </c>
      <c r="B824" s="2" t="s">
        <v>808</v>
      </c>
      <c r="C824" s="2" t="s">
        <v>132</v>
      </c>
      <c r="D824" s="2" t="s">
        <v>115</v>
      </c>
      <c r="E824" s="2" t="s">
        <v>809</v>
      </c>
      <c r="H824" s="2" t="s">
        <v>791</v>
      </c>
      <c r="I824" s="2" t="s">
        <v>764</v>
      </c>
      <c r="J824" s="2">
        <v>2002</v>
      </c>
      <c r="T824" s="3">
        <v>58</v>
      </c>
      <c r="Y824" s="3">
        <v>4.5199999999999996</v>
      </c>
      <c r="AG824" s="3">
        <v>0.4</v>
      </c>
      <c r="AT824" s="4">
        <v>47.75</v>
      </c>
      <c r="AU824" s="4" t="s">
        <v>806</v>
      </c>
    </row>
    <row r="825" spans="1:47" x14ac:dyDescent="0.15">
      <c r="A825" s="2">
        <v>824</v>
      </c>
      <c r="B825" s="2" t="s">
        <v>808</v>
      </c>
      <c r="C825" s="2" t="s">
        <v>132</v>
      </c>
      <c r="D825" s="2" t="s">
        <v>115</v>
      </c>
      <c r="E825" s="2" t="s">
        <v>809</v>
      </c>
      <c r="H825" s="2" t="s">
        <v>791</v>
      </c>
      <c r="I825" s="2" t="s">
        <v>764</v>
      </c>
      <c r="J825" s="2">
        <v>2003</v>
      </c>
      <c r="T825" s="3">
        <v>94</v>
      </c>
      <c r="Y825" s="3">
        <v>28.5</v>
      </c>
      <c r="AG825" s="3">
        <v>0.51</v>
      </c>
      <c r="AT825" s="4">
        <v>47.75</v>
      </c>
      <c r="AU825" s="4" t="s">
        <v>806</v>
      </c>
    </row>
    <row r="826" spans="1:47" x14ac:dyDescent="0.15">
      <c r="A826" s="2">
        <v>825</v>
      </c>
      <c r="B826" s="2" t="s">
        <v>808</v>
      </c>
      <c r="C826" s="2" t="s">
        <v>132</v>
      </c>
      <c r="D826" s="2" t="s">
        <v>115</v>
      </c>
      <c r="E826" s="2" t="s">
        <v>809</v>
      </c>
      <c r="H826" s="2" t="s">
        <v>791</v>
      </c>
      <c r="I826" s="2" t="s">
        <v>764</v>
      </c>
      <c r="J826" s="2">
        <v>2004</v>
      </c>
      <c r="T826" s="3">
        <v>72</v>
      </c>
      <c r="Y826" s="3">
        <v>4.7</v>
      </c>
      <c r="AG826" s="3">
        <v>1.38</v>
      </c>
      <c r="AT826" s="4">
        <v>47.75</v>
      </c>
      <c r="AU826" s="4" t="s">
        <v>806</v>
      </c>
    </row>
    <row r="827" spans="1:47" x14ac:dyDescent="0.15">
      <c r="A827" s="2">
        <v>826</v>
      </c>
      <c r="B827" s="2" t="s">
        <v>808</v>
      </c>
      <c r="C827" s="2" t="s">
        <v>846</v>
      </c>
      <c r="D827" s="2" t="s">
        <v>115</v>
      </c>
      <c r="E827" s="2" t="s">
        <v>809</v>
      </c>
      <c r="H827" s="2" t="s">
        <v>791</v>
      </c>
      <c r="I827" s="2" t="s">
        <v>764</v>
      </c>
      <c r="J827" s="2">
        <v>1996</v>
      </c>
      <c r="T827" s="3">
        <v>79</v>
      </c>
      <c r="Y827" s="3">
        <v>17.48</v>
      </c>
      <c r="AG827" s="3">
        <v>0.39</v>
      </c>
      <c r="AT827" s="4">
        <v>47.75</v>
      </c>
      <c r="AU827" s="4" t="s">
        <v>806</v>
      </c>
    </row>
    <row r="828" spans="1:47" x14ac:dyDescent="0.15">
      <c r="A828" s="2">
        <v>827</v>
      </c>
      <c r="B828" s="2" t="s">
        <v>808</v>
      </c>
      <c r="C828" s="2" t="s">
        <v>846</v>
      </c>
      <c r="D828" s="2" t="s">
        <v>115</v>
      </c>
      <c r="E828" s="2" t="s">
        <v>809</v>
      </c>
      <c r="H828" s="2" t="s">
        <v>791</v>
      </c>
      <c r="I828" s="2" t="s">
        <v>764</v>
      </c>
      <c r="J828" s="2">
        <v>1998</v>
      </c>
      <c r="T828" s="3">
        <v>65</v>
      </c>
      <c r="Y828" s="3">
        <v>28.86</v>
      </c>
      <c r="AG828" s="3">
        <v>0.25</v>
      </c>
      <c r="AT828" s="4">
        <v>47.75</v>
      </c>
      <c r="AU828" s="4" t="s">
        <v>806</v>
      </c>
    </row>
    <row r="829" spans="1:47" x14ac:dyDescent="0.15">
      <c r="A829" s="2">
        <v>828</v>
      </c>
      <c r="B829" s="2" t="s">
        <v>808</v>
      </c>
      <c r="C829" s="2" t="s">
        <v>846</v>
      </c>
      <c r="D829" s="2" t="s">
        <v>115</v>
      </c>
      <c r="E829" s="2" t="s">
        <v>809</v>
      </c>
      <c r="H829" s="2" t="s">
        <v>791</v>
      </c>
      <c r="I829" s="2" t="s">
        <v>764</v>
      </c>
      <c r="J829" s="2">
        <v>1999</v>
      </c>
      <c r="T829" s="3">
        <v>63</v>
      </c>
      <c r="Y829" s="3">
        <v>4.3099999999999996</v>
      </c>
      <c r="AG829" s="3">
        <v>0.08</v>
      </c>
      <c r="AT829" s="4">
        <v>47.75</v>
      </c>
      <c r="AU829" s="4" t="s">
        <v>806</v>
      </c>
    </row>
    <row r="830" spans="1:47" x14ac:dyDescent="0.15">
      <c r="A830" s="2">
        <v>829</v>
      </c>
      <c r="B830" s="2" t="s">
        <v>808</v>
      </c>
      <c r="C830" s="2" t="s">
        <v>846</v>
      </c>
      <c r="D830" s="2" t="s">
        <v>115</v>
      </c>
      <c r="E830" s="2" t="s">
        <v>809</v>
      </c>
      <c r="H830" s="2" t="s">
        <v>791</v>
      </c>
      <c r="I830" s="2" t="s">
        <v>764</v>
      </c>
      <c r="J830" s="2">
        <v>2000</v>
      </c>
      <c r="T830" s="3">
        <v>48</v>
      </c>
      <c r="Y830" s="3">
        <v>4.34</v>
      </c>
      <c r="AG830" s="3">
        <v>7.0000000000000007E-2</v>
      </c>
      <c r="AT830" s="4">
        <v>47.75</v>
      </c>
      <c r="AU830" s="4" t="s">
        <v>806</v>
      </c>
    </row>
    <row r="831" spans="1:47" x14ac:dyDescent="0.15">
      <c r="A831" s="2">
        <v>830</v>
      </c>
      <c r="B831" s="2" t="s">
        <v>808</v>
      </c>
      <c r="C831" s="2" t="s">
        <v>846</v>
      </c>
      <c r="D831" s="2" t="s">
        <v>115</v>
      </c>
      <c r="E831" s="2" t="s">
        <v>809</v>
      </c>
      <c r="H831" s="2" t="s">
        <v>791</v>
      </c>
      <c r="I831" s="2" t="s">
        <v>764</v>
      </c>
      <c r="J831" s="2">
        <v>2001</v>
      </c>
      <c r="T831" s="3">
        <v>86</v>
      </c>
      <c r="Y831" s="3">
        <v>17.2</v>
      </c>
      <c r="AG831" s="3">
        <v>0.21</v>
      </c>
      <c r="AT831" s="4">
        <v>47.75</v>
      </c>
      <c r="AU831" s="4" t="s">
        <v>806</v>
      </c>
    </row>
    <row r="832" spans="1:47" x14ac:dyDescent="0.15">
      <c r="A832" s="2">
        <v>831</v>
      </c>
      <c r="B832" s="2" t="s">
        <v>808</v>
      </c>
      <c r="C832" s="2" t="s">
        <v>846</v>
      </c>
      <c r="D832" s="2" t="s">
        <v>115</v>
      </c>
      <c r="E832" s="2" t="s">
        <v>809</v>
      </c>
      <c r="H832" s="2" t="s">
        <v>791</v>
      </c>
      <c r="I832" s="2" t="s">
        <v>764</v>
      </c>
      <c r="J832" s="2">
        <v>2002</v>
      </c>
      <c r="T832" s="3">
        <v>65</v>
      </c>
      <c r="Y832" s="3">
        <v>3.02</v>
      </c>
      <c r="AG832" s="3">
        <v>0.21</v>
      </c>
      <c r="AT832" s="4">
        <v>47.75</v>
      </c>
      <c r="AU832" s="4" t="s">
        <v>806</v>
      </c>
    </row>
    <row r="833" spans="1:49" x14ac:dyDescent="0.15">
      <c r="A833" s="2">
        <v>832</v>
      </c>
      <c r="B833" s="2" t="s">
        <v>808</v>
      </c>
      <c r="C833" s="2" t="s">
        <v>846</v>
      </c>
      <c r="D833" s="2" t="s">
        <v>115</v>
      </c>
      <c r="E833" s="2" t="s">
        <v>809</v>
      </c>
      <c r="H833" s="2" t="s">
        <v>791</v>
      </c>
      <c r="I833" s="2" t="s">
        <v>764</v>
      </c>
      <c r="J833" s="2">
        <v>2003</v>
      </c>
      <c r="T833" s="3">
        <v>103</v>
      </c>
      <c r="Y833" s="3">
        <v>17.3</v>
      </c>
      <c r="AG833" s="3">
        <v>0.28000000000000003</v>
      </c>
      <c r="AT833" s="4">
        <v>47.75</v>
      </c>
      <c r="AU833" s="4" t="s">
        <v>806</v>
      </c>
    </row>
    <row r="834" spans="1:49" x14ac:dyDescent="0.15">
      <c r="A834" s="2">
        <v>833</v>
      </c>
      <c r="B834" s="2" t="s">
        <v>808</v>
      </c>
      <c r="C834" s="2" t="s">
        <v>846</v>
      </c>
      <c r="D834" s="2" t="s">
        <v>115</v>
      </c>
      <c r="E834" s="2" t="s">
        <v>809</v>
      </c>
      <c r="H834" s="2" t="s">
        <v>791</v>
      </c>
      <c r="I834" s="2" t="s">
        <v>764</v>
      </c>
      <c r="J834" s="2">
        <v>2004</v>
      </c>
      <c r="T834" s="3">
        <v>86</v>
      </c>
      <c r="Y834" s="3">
        <v>2.83</v>
      </c>
      <c r="AG834" s="3">
        <v>0.91</v>
      </c>
      <c r="AT834" s="4">
        <v>47.75</v>
      </c>
      <c r="AU834" s="4" t="s">
        <v>806</v>
      </c>
    </row>
    <row r="835" spans="1:49" x14ac:dyDescent="0.15">
      <c r="A835" s="2">
        <v>834</v>
      </c>
      <c r="B835" s="2" t="s">
        <v>814</v>
      </c>
      <c r="C835" s="2" t="s">
        <v>815</v>
      </c>
      <c r="D835" s="2" t="s">
        <v>115</v>
      </c>
      <c r="E835" s="2" t="s">
        <v>762</v>
      </c>
      <c r="H835" s="2" t="s">
        <v>816</v>
      </c>
      <c r="I835" s="2" t="s">
        <v>817</v>
      </c>
      <c r="J835" s="2">
        <v>2008</v>
      </c>
      <c r="K835" s="2">
        <v>6</v>
      </c>
      <c r="L835" s="2">
        <v>2008</v>
      </c>
      <c r="M835" s="2">
        <v>10</v>
      </c>
      <c r="N835" s="3">
        <v>625</v>
      </c>
      <c r="O835" s="3">
        <v>48</v>
      </c>
      <c r="P835" s="2">
        <v>28</v>
      </c>
      <c r="Q835" s="2">
        <v>19</v>
      </c>
      <c r="R835" s="2">
        <v>3</v>
      </c>
      <c r="S835" s="2">
        <v>1</v>
      </c>
      <c r="T835" s="3">
        <v>51</v>
      </c>
      <c r="Y835" s="3">
        <v>23.36</v>
      </c>
      <c r="Z835" s="3">
        <v>10.220000000000001</v>
      </c>
      <c r="AA835" s="3">
        <v>19.399999999999999</v>
      </c>
      <c r="AB835" s="3">
        <v>9.6</v>
      </c>
      <c r="AC835" s="3">
        <v>16.5</v>
      </c>
      <c r="AD835" s="3">
        <v>1.8</v>
      </c>
      <c r="AE835" s="3">
        <v>47.38</v>
      </c>
      <c r="AF835" s="3">
        <v>14.89</v>
      </c>
      <c r="AR835" s="3" t="s">
        <v>767</v>
      </c>
      <c r="AS835" s="3" t="s">
        <v>818</v>
      </c>
      <c r="AT835" s="4">
        <v>47.75</v>
      </c>
      <c r="AU835" s="4" t="s">
        <v>806</v>
      </c>
      <c r="AW835" s="3" t="s">
        <v>752</v>
      </c>
    </row>
    <row r="836" spans="1:49" x14ac:dyDescent="0.15">
      <c r="A836" s="2">
        <v>835</v>
      </c>
      <c r="B836" s="2" t="s">
        <v>819</v>
      </c>
      <c r="C836" s="2" t="s">
        <v>820</v>
      </c>
      <c r="D836" s="2" t="s">
        <v>821</v>
      </c>
      <c r="E836" s="2" t="s">
        <v>799</v>
      </c>
      <c r="H836" s="2" t="s">
        <v>750</v>
      </c>
      <c r="I836" s="2" t="s">
        <v>821</v>
      </c>
      <c r="J836" s="2">
        <v>1985</v>
      </c>
      <c r="K836" s="2">
        <v>5</v>
      </c>
      <c r="N836" s="3">
        <v>1000</v>
      </c>
      <c r="O836" s="3">
        <v>135</v>
      </c>
      <c r="P836" s="2">
        <v>23</v>
      </c>
      <c r="Q836" s="2">
        <v>21</v>
      </c>
      <c r="R836" s="2">
        <v>93</v>
      </c>
      <c r="S836" s="2">
        <v>6</v>
      </c>
      <c r="T836" s="3">
        <v>150</v>
      </c>
      <c r="U836" s="3">
        <v>2.2000000000000002</v>
      </c>
      <c r="V836" s="3">
        <v>12.13</v>
      </c>
      <c r="W836" s="3">
        <v>2.63</v>
      </c>
      <c r="X836" s="3">
        <v>16.68</v>
      </c>
      <c r="Y836" s="3">
        <v>35.28</v>
      </c>
      <c r="AA836" s="3">
        <v>88</v>
      </c>
      <c r="AB836" s="3">
        <v>238</v>
      </c>
      <c r="AC836" s="3">
        <v>122</v>
      </c>
      <c r="AD836" s="3">
        <v>9</v>
      </c>
      <c r="AE836" s="3">
        <v>557</v>
      </c>
      <c r="AT836" s="4">
        <v>47.75</v>
      </c>
      <c r="AU836" s="4" t="s">
        <v>806</v>
      </c>
      <c r="AW836" s="3" t="s">
        <v>758</v>
      </c>
    </row>
    <row r="837" spans="1:49" x14ac:dyDescent="0.15">
      <c r="A837" s="2">
        <v>836</v>
      </c>
      <c r="B837" s="2" t="s">
        <v>827</v>
      </c>
      <c r="C837" s="2" t="s">
        <v>25</v>
      </c>
      <c r="D837" s="2" t="s">
        <v>764</v>
      </c>
      <c r="E837" s="2" t="s">
        <v>799</v>
      </c>
      <c r="H837" s="2" t="s">
        <v>750</v>
      </c>
      <c r="I837" s="2" t="s">
        <v>821</v>
      </c>
      <c r="J837" s="2">
        <v>1957</v>
      </c>
      <c r="U837" s="3">
        <v>1.6</v>
      </c>
      <c r="V837" s="3">
        <v>4.0999999999999996</v>
      </c>
      <c r="W837" s="3">
        <v>2.8</v>
      </c>
      <c r="X837" s="3">
        <v>21.4</v>
      </c>
      <c r="Y837" s="3">
        <v>31.9</v>
      </c>
      <c r="AT837" s="4">
        <v>47.75</v>
      </c>
      <c r="AU837" s="4" t="s">
        <v>806</v>
      </c>
      <c r="AW837" s="3" t="s">
        <v>758</v>
      </c>
    </row>
    <row r="838" spans="1:49" x14ac:dyDescent="0.15">
      <c r="A838" s="2">
        <v>837</v>
      </c>
      <c r="B838" s="2" t="s">
        <v>827</v>
      </c>
      <c r="C838" s="2" t="s">
        <v>824</v>
      </c>
      <c r="D838" s="2" t="s">
        <v>764</v>
      </c>
      <c r="E838" s="2" t="s">
        <v>799</v>
      </c>
      <c r="H838" s="2" t="s">
        <v>750</v>
      </c>
      <c r="I838" s="2" t="s">
        <v>764</v>
      </c>
      <c r="J838" s="2">
        <v>1957</v>
      </c>
      <c r="U838" s="3">
        <v>1.3</v>
      </c>
      <c r="V838" s="3">
        <v>15.6</v>
      </c>
      <c r="W838" s="3">
        <v>2.8</v>
      </c>
      <c r="X838" s="3">
        <v>1.1000000000000001</v>
      </c>
      <c r="Y838" s="3">
        <v>12.6</v>
      </c>
      <c r="AT838" s="4">
        <v>47.75</v>
      </c>
      <c r="AU838" s="4" t="s">
        <v>806</v>
      </c>
      <c r="AW838" s="3" t="s">
        <v>758</v>
      </c>
    </row>
    <row r="839" spans="1:49" x14ac:dyDescent="0.15">
      <c r="A839" s="2">
        <v>838</v>
      </c>
      <c r="B839" s="2" t="s">
        <v>827</v>
      </c>
      <c r="C839" s="2" t="s">
        <v>55</v>
      </c>
      <c r="D839" s="2" t="s">
        <v>825</v>
      </c>
      <c r="E839" s="2" t="s">
        <v>799</v>
      </c>
      <c r="H839" s="2" t="s">
        <v>750</v>
      </c>
      <c r="I839" s="2" t="s">
        <v>764</v>
      </c>
      <c r="J839" s="2">
        <v>1957</v>
      </c>
      <c r="U839" s="3">
        <v>1.7</v>
      </c>
      <c r="V839" s="3">
        <v>16.100000000000001</v>
      </c>
      <c r="W839" s="3">
        <v>4</v>
      </c>
      <c r="X839" s="3">
        <v>8</v>
      </c>
      <c r="Y839" s="3">
        <v>27.1</v>
      </c>
      <c r="AT839" s="4">
        <v>47.75</v>
      </c>
      <c r="AU839" s="4" t="s">
        <v>806</v>
      </c>
      <c r="AW839" s="3" t="s">
        <v>758</v>
      </c>
    </row>
    <row r="840" spans="1:49" x14ac:dyDescent="0.15">
      <c r="A840" s="2">
        <v>839</v>
      </c>
      <c r="B840" s="2" t="s">
        <v>827</v>
      </c>
      <c r="C840" s="2" t="s">
        <v>55</v>
      </c>
      <c r="D840" s="2" t="s">
        <v>771</v>
      </c>
      <c r="E840" s="2" t="s">
        <v>799</v>
      </c>
      <c r="H840" s="2" t="s">
        <v>750</v>
      </c>
      <c r="I840" s="2" t="s">
        <v>825</v>
      </c>
      <c r="J840" s="2">
        <v>1957</v>
      </c>
      <c r="U840" s="3">
        <v>1.8</v>
      </c>
      <c r="V840" s="3">
        <v>31.9</v>
      </c>
      <c r="W840" s="3">
        <v>5.9</v>
      </c>
      <c r="X840" s="3">
        <v>8</v>
      </c>
      <c r="Y840" s="3">
        <v>61.9</v>
      </c>
      <c r="AT840" s="4">
        <v>47.75</v>
      </c>
      <c r="AU840" s="4" t="s">
        <v>806</v>
      </c>
      <c r="AW840" s="3" t="s">
        <v>758</v>
      </c>
    </row>
    <row r="841" spans="1:49" x14ac:dyDescent="0.15">
      <c r="A841" s="2">
        <v>840</v>
      </c>
      <c r="B841" s="2" t="s">
        <v>827</v>
      </c>
      <c r="C841" s="2" t="s">
        <v>822</v>
      </c>
      <c r="D841" s="2" t="s">
        <v>826</v>
      </c>
      <c r="E841" s="2" t="s">
        <v>799</v>
      </c>
      <c r="H841" s="2" t="s">
        <v>750</v>
      </c>
      <c r="I841" s="2" t="s">
        <v>771</v>
      </c>
      <c r="J841" s="2">
        <v>1957</v>
      </c>
      <c r="U841" s="3">
        <v>1.2</v>
      </c>
      <c r="V841" s="3">
        <v>16.899999999999999</v>
      </c>
      <c r="W841" s="3">
        <v>1.4</v>
      </c>
      <c r="X841" s="3">
        <v>13.5</v>
      </c>
      <c r="Y841" s="3">
        <v>24.3</v>
      </c>
      <c r="AT841" s="4">
        <v>47.75</v>
      </c>
      <c r="AU841" s="4" t="s">
        <v>806</v>
      </c>
      <c r="AW841" s="3" t="s">
        <v>758</v>
      </c>
    </row>
    <row r="842" spans="1:49" x14ac:dyDescent="0.15">
      <c r="A842" s="2">
        <v>841</v>
      </c>
      <c r="B842" s="2" t="s">
        <v>827</v>
      </c>
      <c r="C842" s="2" t="s">
        <v>823</v>
      </c>
      <c r="D842" s="2" t="s">
        <v>821</v>
      </c>
      <c r="E842" s="2" t="s">
        <v>799</v>
      </c>
      <c r="H842" s="2" t="s">
        <v>750</v>
      </c>
      <c r="I842" s="2" t="s">
        <v>826</v>
      </c>
      <c r="J842" s="2">
        <v>1957</v>
      </c>
      <c r="U842" s="3">
        <v>4.3</v>
      </c>
      <c r="V842" s="3">
        <v>9.4</v>
      </c>
      <c r="W842" s="3">
        <v>4.0999999999999996</v>
      </c>
      <c r="X842" s="3">
        <v>2.1</v>
      </c>
      <c r="Y842" s="3">
        <v>20.8</v>
      </c>
      <c r="AT842" s="4">
        <v>47.75</v>
      </c>
      <c r="AU842" s="4" t="s">
        <v>806</v>
      </c>
      <c r="AW842" s="3" t="s">
        <v>758</v>
      </c>
    </row>
    <row r="843" spans="1:49" x14ac:dyDescent="0.15">
      <c r="A843" s="2">
        <v>842</v>
      </c>
      <c r="B843" s="2" t="s">
        <v>827</v>
      </c>
      <c r="C843" s="2" t="s">
        <v>202</v>
      </c>
      <c r="D843" s="2" t="s">
        <v>821</v>
      </c>
      <c r="E843" s="2" t="s">
        <v>799</v>
      </c>
      <c r="H843" s="2" t="s">
        <v>750</v>
      </c>
      <c r="I843" s="2" t="s">
        <v>821</v>
      </c>
      <c r="J843" s="2">
        <v>1985</v>
      </c>
      <c r="U843" s="3">
        <v>6.7</v>
      </c>
      <c r="V843" s="3">
        <v>42.2</v>
      </c>
      <c r="W843" s="3">
        <v>3.1</v>
      </c>
      <c r="X843" s="3">
        <v>55.5</v>
      </c>
      <c r="Y843" s="3">
        <v>114.8</v>
      </c>
      <c r="AT843" s="4">
        <v>47.75</v>
      </c>
      <c r="AU843" s="4" t="s">
        <v>806</v>
      </c>
      <c r="AW843" s="3" t="s">
        <v>758</v>
      </c>
    </row>
    <row r="844" spans="1:49" x14ac:dyDescent="0.15">
      <c r="A844" s="2">
        <v>843</v>
      </c>
      <c r="B844" s="2" t="s">
        <v>828</v>
      </c>
      <c r="C844" s="2" t="s">
        <v>829</v>
      </c>
      <c r="D844" s="2" t="s">
        <v>830</v>
      </c>
      <c r="E844" s="2" t="s">
        <v>799</v>
      </c>
      <c r="F844" s="2" t="s">
        <v>832</v>
      </c>
      <c r="G844" s="2">
        <v>0</v>
      </c>
      <c r="H844" s="2" t="s">
        <v>750</v>
      </c>
      <c r="I844" s="2" t="s">
        <v>831</v>
      </c>
      <c r="J844" s="2">
        <v>2003</v>
      </c>
      <c r="O844" s="3">
        <v>12</v>
      </c>
      <c r="P844" s="2">
        <v>11</v>
      </c>
      <c r="Q844" s="2">
        <v>10</v>
      </c>
      <c r="R844" s="2">
        <v>0</v>
      </c>
      <c r="S844" s="2">
        <v>2</v>
      </c>
      <c r="T844" s="3">
        <v>24</v>
      </c>
      <c r="U844" s="3">
        <v>0.35</v>
      </c>
      <c r="V844" s="3">
        <v>6.3E-2</v>
      </c>
      <c r="W844" s="3">
        <v>0</v>
      </c>
      <c r="X844" s="3">
        <v>0</v>
      </c>
      <c r="Y844" s="3">
        <v>0.43</v>
      </c>
      <c r="AA844" s="3">
        <v>8.4000000000000005E-2</v>
      </c>
      <c r="AB844" s="3">
        <v>0.09</v>
      </c>
      <c r="AC844" s="3">
        <v>8.9999999999999993E-3</v>
      </c>
      <c r="AD844" s="3">
        <v>8.0000000000000002E-3</v>
      </c>
      <c r="AE844" s="3">
        <v>0.19</v>
      </c>
      <c r="AG844" s="3">
        <v>2.59</v>
      </c>
      <c r="AI844" s="3">
        <v>0.68</v>
      </c>
      <c r="AM844" s="3">
        <v>1.83</v>
      </c>
      <c r="AR844" s="3" t="s">
        <v>750</v>
      </c>
      <c r="AT844" s="4">
        <v>47.75</v>
      </c>
      <c r="AU844" s="4" t="s">
        <v>806</v>
      </c>
      <c r="AV844" s="3" t="s">
        <v>833</v>
      </c>
      <c r="AW844" s="3" t="s">
        <v>758</v>
      </c>
    </row>
    <row r="845" spans="1:49" x14ac:dyDescent="0.15">
      <c r="A845" s="2">
        <v>844</v>
      </c>
      <c r="B845" s="2" t="s">
        <v>828</v>
      </c>
      <c r="C845" s="2" t="s">
        <v>829</v>
      </c>
      <c r="D845" s="2" t="s">
        <v>830</v>
      </c>
      <c r="E845" s="2" t="s">
        <v>799</v>
      </c>
      <c r="F845" s="2" t="s">
        <v>832</v>
      </c>
      <c r="G845" s="2">
        <v>1</v>
      </c>
      <c r="H845" s="2" t="s">
        <v>750</v>
      </c>
      <c r="I845" s="2" t="s">
        <v>831</v>
      </c>
      <c r="J845" s="2">
        <v>2004</v>
      </c>
      <c r="O845" s="3">
        <v>12</v>
      </c>
      <c r="P845" s="2">
        <v>16</v>
      </c>
      <c r="Q845" s="2">
        <v>13</v>
      </c>
      <c r="R845" s="2">
        <v>0</v>
      </c>
      <c r="S845" s="2">
        <v>0</v>
      </c>
      <c r="T845" s="3">
        <v>30</v>
      </c>
      <c r="U845" s="3">
        <v>0.27</v>
      </c>
      <c r="V845" s="3">
        <v>0.27</v>
      </c>
      <c r="W845" s="3">
        <v>8.0000000000000002E-3</v>
      </c>
      <c r="X845" s="3">
        <v>7.0000000000000001E-3</v>
      </c>
      <c r="Y845" s="3">
        <v>0.56999999999999995</v>
      </c>
      <c r="AA845" s="3">
        <v>0.25</v>
      </c>
      <c r="AB845" s="3">
        <v>7.0000000000000007E-2</v>
      </c>
      <c r="AC845" s="3">
        <v>0</v>
      </c>
      <c r="AD845" s="3">
        <v>0</v>
      </c>
      <c r="AE845" s="3">
        <v>0.33</v>
      </c>
      <c r="AG845" s="3">
        <v>2.86</v>
      </c>
      <c r="AI845" s="3">
        <v>0.69</v>
      </c>
      <c r="AM845" s="3">
        <v>2.38</v>
      </c>
      <c r="AR845" s="3" t="s">
        <v>750</v>
      </c>
      <c r="AT845" s="4">
        <v>47.75</v>
      </c>
      <c r="AU845" s="4" t="s">
        <v>806</v>
      </c>
      <c r="AV845" s="3" t="s">
        <v>833</v>
      </c>
      <c r="AW845" s="3" t="s">
        <v>758</v>
      </c>
    </row>
    <row r="846" spans="1:49" x14ac:dyDescent="0.15">
      <c r="A846" s="2">
        <v>845</v>
      </c>
      <c r="B846" s="2" t="s">
        <v>828</v>
      </c>
      <c r="C846" s="2" t="s">
        <v>829</v>
      </c>
      <c r="D846" s="2" t="s">
        <v>830</v>
      </c>
      <c r="E846" s="2" t="s">
        <v>799</v>
      </c>
      <c r="F846" s="2" t="s">
        <v>832</v>
      </c>
      <c r="G846" s="2">
        <v>2</v>
      </c>
      <c r="H846" s="2" t="s">
        <v>750</v>
      </c>
      <c r="I846" s="2" t="s">
        <v>831</v>
      </c>
      <c r="J846" s="2">
        <v>2005</v>
      </c>
      <c r="O846" s="3">
        <v>12</v>
      </c>
      <c r="P846" s="2">
        <v>14</v>
      </c>
      <c r="Q846" s="2">
        <v>14</v>
      </c>
      <c r="R846" s="2">
        <v>2</v>
      </c>
      <c r="S846" s="2">
        <v>3</v>
      </c>
      <c r="T846" s="3">
        <v>34</v>
      </c>
      <c r="U846" s="3">
        <v>0.34</v>
      </c>
      <c r="V846" s="3">
        <v>6.8000000000000005E-2</v>
      </c>
      <c r="W846" s="3">
        <v>0</v>
      </c>
      <c r="X846" s="3">
        <v>3.3000000000000002E-2</v>
      </c>
      <c r="Y846" s="3">
        <v>0.44</v>
      </c>
      <c r="AA846" s="3">
        <v>0.18</v>
      </c>
      <c r="AB846" s="3">
        <v>0.03</v>
      </c>
      <c r="AC846" s="3">
        <v>0</v>
      </c>
      <c r="AD846" s="3">
        <v>2E-3</v>
      </c>
      <c r="AE846" s="3">
        <v>0.22</v>
      </c>
      <c r="AG846" s="3">
        <v>3.29</v>
      </c>
      <c r="AI846" s="3">
        <v>0.74</v>
      </c>
      <c r="AM846" s="3">
        <v>2.4500000000000002</v>
      </c>
      <c r="AR846" s="3" t="s">
        <v>750</v>
      </c>
      <c r="AT846" s="4">
        <v>47.75</v>
      </c>
      <c r="AU846" s="4" t="s">
        <v>806</v>
      </c>
      <c r="AV846" s="3" t="s">
        <v>833</v>
      </c>
      <c r="AW846" s="3" t="s">
        <v>758</v>
      </c>
    </row>
    <row r="847" spans="1:49" x14ac:dyDescent="0.15">
      <c r="A847" s="2">
        <v>846</v>
      </c>
      <c r="B847" s="2" t="s">
        <v>828</v>
      </c>
      <c r="C847" s="2" t="s">
        <v>829</v>
      </c>
      <c r="D847" s="2" t="s">
        <v>830</v>
      </c>
      <c r="E847" s="2" t="s">
        <v>799</v>
      </c>
      <c r="F847" s="2" t="s">
        <v>832</v>
      </c>
      <c r="G847" s="2">
        <v>4</v>
      </c>
      <c r="H847" s="2" t="s">
        <v>750</v>
      </c>
      <c r="I847" s="2" t="s">
        <v>831</v>
      </c>
      <c r="J847" s="2">
        <v>2007</v>
      </c>
      <c r="O847" s="3">
        <v>12</v>
      </c>
      <c r="P847" s="2">
        <v>12</v>
      </c>
      <c r="Q847" s="2">
        <v>20</v>
      </c>
      <c r="R847" s="2">
        <v>1</v>
      </c>
      <c r="S847" s="2">
        <v>2</v>
      </c>
      <c r="T847" s="3">
        <v>36</v>
      </c>
      <c r="U847" s="3">
        <v>0.47</v>
      </c>
      <c r="V847" s="3">
        <v>0.2</v>
      </c>
      <c r="W847" s="3">
        <v>0.01</v>
      </c>
      <c r="X847" s="3">
        <v>0.2</v>
      </c>
      <c r="Y847" s="3">
        <v>0.89</v>
      </c>
      <c r="AA847" s="3">
        <v>0.23</v>
      </c>
      <c r="AB847" s="3">
        <v>0.04</v>
      </c>
      <c r="AC847" s="3">
        <v>5.0000000000000001E-3</v>
      </c>
      <c r="AD847" s="3">
        <v>5.0000000000000001E-3</v>
      </c>
      <c r="AE847" s="3">
        <v>0.28000000000000003</v>
      </c>
      <c r="AG847" s="3">
        <v>2.89</v>
      </c>
      <c r="AI847" s="3">
        <v>0.69</v>
      </c>
      <c r="AM847" s="3">
        <v>2.7</v>
      </c>
      <c r="AR847" s="3" t="s">
        <v>750</v>
      </c>
      <c r="AT847" s="4">
        <v>47.75</v>
      </c>
      <c r="AU847" s="4" t="s">
        <v>806</v>
      </c>
      <c r="AV847" s="3" t="s">
        <v>833</v>
      </c>
      <c r="AW847" s="3" t="s">
        <v>758</v>
      </c>
    </row>
    <row r="848" spans="1:49" x14ac:dyDescent="0.15">
      <c r="A848" s="2">
        <v>847</v>
      </c>
      <c r="B848" s="2" t="s">
        <v>834</v>
      </c>
      <c r="C848" s="2" t="s">
        <v>835</v>
      </c>
      <c r="D848" s="2" t="s">
        <v>831</v>
      </c>
      <c r="E848" s="2" t="s">
        <v>799</v>
      </c>
      <c r="H848" s="2" t="s">
        <v>750</v>
      </c>
      <c r="I848" s="2" t="s">
        <v>831</v>
      </c>
      <c r="J848" s="2">
        <v>2007</v>
      </c>
      <c r="N848" s="3">
        <v>100</v>
      </c>
      <c r="O848" s="3">
        <v>108</v>
      </c>
      <c r="P848" s="2">
        <v>21</v>
      </c>
      <c r="Q848" s="2">
        <v>36</v>
      </c>
      <c r="R848" s="2">
        <v>17</v>
      </c>
      <c r="S848" s="2">
        <v>4</v>
      </c>
      <c r="T848" s="3">
        <v>127</v>
      </c>
      <c r="U848" s="3">
        <v>711.32</v>
      </c>
      <c r="V848" s="3">
        <v>3400.59</v>
      </c>
      <c r="W848" s="3">
        <v>8.4</v>
      </c>
      <c r="X848" s="3">
        <v>1.27</v>
      </c>
      <c r="Y848" s="3">
        <v>4150.42</v>
      </c>
      <c r="AA848" s="3">
        <v>13568.91</v>
      </c>
      <c r="AB848" s="3">
        <v>3960.5</v>
      </c>
      <c r="AC848" s="3">
        <v>81.83</v>
      </c>
      <c r="AD848" s="3">
        <v>2.31</v>
      </c>
      <c r="AE848" s="3">
        <v>17641.939999999999</v>
      </c>
      <c r="AG848" s="3">
        <v>1.51</v>
      </c>
      <c r="AI848" s="3">
        <v>0.36</v>
      </c>
      <c r="AM848" s="3">
        <v>1.39</v>
      </c>
      <c r="AR848" s="3" t="s">
        <v>767</v>
      </c>
      <c r="AT848" s="4">
        <v>47.75</v>
      </c>
      <c r="AU848" s="4" t="s">
        <v>806</v>
      </c>
      <c r="AW848" s="3" t="s">
        <v>758</v>
      </c>
    </row>
    <row r="849" spans="1:49" x14ac:dyDescent="0.15">
      <c r="A849" s="2">
        <v>848</v>
      </c>
      <c r="B849" s="2" t="s">
        <v>836</v>
      </c>
      <c r="C849" s="2" t="s">
        <v>837</v>
      </c>
      <c r="D849" s="2" t="s">
        <v>830</v>
      </c>
      <c r="E849" s="2" t="s">
        <v>799</v>
      </c>
      <c r="H849" s="2" t="s">
        <v>838</v>
      </c>
      <c r="I849" s="2" t="s">
        <v>831</v>
      </c>
      <c r="J849" s="2">
        <v>2009</v>
      </c>
      <c r="K849" s="2">
        <v>2</v>
      </c>
      <c r="N849" s="3">
        <v>625</v>
      </c>
      <c r="O849" s="3">
        <v>102</v>
      </c>
      <c r="P849" s="2">
        <v>7</v>
      </c>
      <c r="Q849" s="2">
        <v>18</v>
      </c>
      <c r="R849" s="2">
        <v>18</v>
      </c>
      <c r="S849" s="2">
        <v>0</v>
      </c>
      <c r="T849" s="3">
        <v>49</v>
      </c>
      <c r="U849" s="3">
        <v>6.48</v>
      </c>
      <c r="V849" s="3">
        <v>67.56</v>
      </c>
      <c r="W849" s="3">
        <v>2.34</v>
      </c>
      <c r="X849" s="3">
        <v>0</v>
      </c>
      <c r="Y849" s="3">
        <v>77.849999999999994</v>
      </c>
      <c r="AA849" s="3">
        <v>12.61</v>
      </c>
      <c r="AB849" s="3">
        <v>59.92</v>
      </c>
      <c r="AC849" s="3">
        <v>13.08</v>
      </c>
      <c r="AD849" s="3">
        <v>0</v>
      </c>
      <c r="AE849" s="3">
        <v>88.13</v>
      </c>
      <c r="AR849" s="3" t="s">
        <v>802</v>
      </c>
      <c r="AT849" s="4">
        <v>47.75</v>
      </c>
      <c r="AU849" s="4" t="s">
        <v>806</v>
      </c>
      <c r="AW849" s="3" t="s">
        <v>796</v>
      </c>
    </row>
    <row r="850" spans="1:49" x14ac:dyDescent="0.15">
      <c r="A850" s="2">
        <v>849</v>
      </c>
      <c r="B850" s="2" t="s">
        <v>839</v>
      </c>
      <c r="C850" s="2" t="s">
        <v>837</v>
      </c>
      <c r="D850" s="2" t="s">
        <v>830</v>
      </c>
      <c r="E850" s="2" t="s">
        <v>799</v>
      </c>
      <c r="H850" s="2" t="s">
        <v>840</v>
      </c>
      <c r="I850" s="2" t="s">
        <v>830</v>
      </c>
      <c r="J850" s="2">
        <v>2003</v>
      </c>
      <c r="K850" s="2">
        <v>9</v>
      </c>
      <c r="L850" s="2">
        <v>2004</v>
      </c>
      <c r="M850" s="2">
        <v>9</v>
      </c>
      <c r="N850" s="3">
        <v>500</v>
      </c>
      <c r="O850" s="3">
        <v>105</v>
      </c>
      <c r="P850" s="2">
        <v>63</v>
      </c>
      <c r="Q850" s="2">
        <v>46</v>
      </c>
      <c r="R850" s="2">
        <v>61</v>
      </c>
      <c r="S850" s="2">
        <v>5</v>
      </c>
      <c r="T850" s="3">
        <v>191</v>
      </c>
      <c r="U850" s="3">
        <v>3.43</v>
      </c>
      <c r="V850" s="3">
        <v>488.42</v>
      </c>
      <c r="W850" s="3">
        <v>6.37</v>
      </c>
      <c r="X850" s="3">
        <v>6.58</v>
      </c>
      <c r="Y850" s="3">
        <f>488.42/0.9592</f>
        <v>509.19516263552958</v>
      </c>
      <c r="AA850" s="3">
        <v>487.3</v>
      </c>
      <c r="AB850" s="3">
        <v>865.7</v>
      </c>
      <c r="AC850" s="3">
        <v>1368</v>
      </c>
      <c r="AD850" s="3">
        <v>15.9</v>
      </c>
      <c r="AE850" s="3">
        <f>1368/0.4716</f>
        <v>2900.7633587786258</v>
      </c>
      <c r="AR850" s="3" t="s">
        <v>767</v>
      </c>
      <c r="AT850" s="4">
        <v>47.75</v>
      </c>
      <c r="AU850" s="4" t="s">
        <v>806</v>
      </c>
      <c r="AW850" s="3" t="s">
        <v>796</v>
      </c>
    </row>
    <row r="851" spans="1:49" x14ac:dyDescent="0.15">
      <c r="AT851" s="4"/>
      <c r="AU851" s="4"/>
    </row>
    <row r="852" spans="1:49" x14ac:dyDescent="0.15">
      <c r="AT852" s="4"/>
      <c r="AU852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5"/>
  <sheetViews>
    <sheetView topLeftCell="D31" workbookViewId="0">
      <selection activeCell="Q24" sqref="Q24:Q55"/>
    </sheetView>
  </sheetViews>
  <sheetFormatPr defaultRowHeight="13.5" x14ac:dyDescent="0.15"/>
  <sheetData>
    <row r="3" spans="2:12" x14ac:dyDescent="0.15">
      <c r="B3">
        <v>1980</v>
      </c>
      <c r="C3">
        <v>1981</v>
      </c>
      <c r="D3">
        <v>1982</v>
      </c>
      <c r="E3">
        <v>1983</v>
      </c>
      <c r="F3">
        <v>1984</v>
      </c>
      <c r="I3">
        <v>1980</v>
      </c>
      <c r="J3">
        <v>1981</v>
      </c>
      <c r="K3">
        <v>1982</v>
      </c>
      <c r="L3">
        <v>1983</v>
      </c>
    </row>
    <row r="4" spans="2:12" x14ac:dyDescent="0.15">
      <c r="B4">
        <v>10.336696</v>
      </c>
      <c r="C4">
        <v>10.53711</v>
      </c>
      <c r="D4">
        <v>4.1867380000000001</v>
      </c>
      <c r="E4">
        <v>13.067583000000001</v>
      </c>
      <c r="F4">
        <v>22.481894</v>
      </c>
      <c r="I4">
        <v>6.8781739999999996</v>
      </c>
      <c r="J4">
        <v>6.5769739999999999</v>
      </c>
      <c r="K4">
        <v>3.5277949999999998</v>
      </c>
      <c r="L4">
        <v>19.928362</v>
      </c>
    </row>
    <row r="5" spans="2:12" x14ac:dyDescent="0.15">
      <c r="B5">
        <v>1985</v>
      </c>
      <c r="C5">
        <v>1986</v>
      </c>
      <c r="D5">
        <v>1987</v>
      </c>
      <c r="E5">
        <v>1988</v>
      </c>
      <c r="F5">
        <v>1990</v>
      </c>
      <c r="I5">
        <v>1984</v>
      </c>
      <c r="J5">
        <v>1985</v>
      </c>
      <c r="K5">
        <v>1986</v>
      </c>
      <c r="L5">
        <v>1987</v>
      </c>
    </row>
    <row r="6" spans="2:12" x14ac:dyDescent="0.15">
      <c r="B6">
        <v>5.3681089999999996</v>
      </c>
      <c r="C6">
        <v>2.12391</v>
      </c>
      <c r="D6">
        <v>3.5506869999999999</v>
      </c>
      <c r="E6">
        <v>1.169875</v>
      </c>
      <c r="F6">
        <v>3.8821089999999998</v>
      </c>
      <c r="I6">
        <v>28.847597</v>
      </c>
      <c r="J6">
        <v>7.6334410000000004</v>
      </c>
      <c r="K6">
        <v>2.4039760000000001</v>
      </c>
      <c r="L6">
        <v>1.038338</v>
      </c>
    </row>
    <row r="7" spans="2:12" x14ac:dyDescent="0.15">
      <c r="B7">
        <v>1991</v>
      </c>
      <c r="C7">
        <v>1992</v>
      </c>
      <c r="D7">
        <v>1993</v>
      </c>
      <c r="E7">
        <v>1994</v>
      </c>
      <c r="F7">
        <v>1995</v>
      </c>
      <c r="I7">
        <v>1988</v>
      </c>
      <c r="J7">
        <v>1990</v>
      </c>
      <c r="K7">
        <v>1991</v>
      </c>
      <c r="L7">
        <v>1992</v>
      </c>
    </row>
    <row r="8" spans="2:12" x14ac:dyDescent="0.15">
      <c r="B8">
        <v>8.4394670000000005</v>
      </c>
      <c r="C8">
        <v>115.808154</v>
      </c>
      <c r="D8">
        <v>87.777232999999995</v>
      </c>
      <c r="E8">
        <v>8.5950000000000006</v>
      </c>
      <c r="F8">
        <v>1.7046749999999999</v>
      </c>
      <c r="I8">
        <v>1.2290220000000001</v>
      </c>
      <c r="J8">
        <v>4.9650270000000001</v>
      </c>
      <c r="K8">
        <v>10.493124999999999</v>
      </c>
      <c r="L8">
        <v>201.64874800000001</v>
      </c>
    </row>
    <row r="9" spans="2:12" x14ac:dyDescent="0.15">
      <c r="B9">
        <v>1997</v>
      </c>
      <c r="C9">
        <v>1998</v>
      </c>
      <c r="D9">
        <v>1999</v>
      </c>
      <c r="E9">
        <v>2000</v>
      </c>
      <c r="F9">
        <v>2001</v>
      </c>
      <c r="I9">
        <v>1993</v>
      </c>
      <c r="J9">
        <v>1994</v>
      </c>
      <c r="K9">
        <v>1995</v>
      </c>
      <c r="L9">
        <v>1997</v>
      </c>
    </row>
    <row r="10" spans="2:12" x14ac:dyDescent="0.15">
      <c r="B10">
        <v>3.8880189999999999</v>
      </c>
      <c r="C10">
        <v>6.4701000000000004</v>
      </c>
      <c r="D10">
        <v>2.713219</v>
      </c>
      <c r="E10">
        <v>39.920622999999999</v>
      </c>
      <c r="F10">
        <v>4.0460289999999999</v>
      </c>
      <c r="I10">
        <v>205.43727000000001</v>
      </c>
      <c r="J10" t="s">
        <v>1003</v>
      </c>
      <c r="K10" t="s">
        <v>1003</v>
      </c>
      <c r="L10">
        <v>2.8152210000000002</v>
      </c>
    </row>
    <row r="11" spans="2:12" x14ac:dyDescent="0.15">
      <c r="B11">
        <v>2002</v>
      </c>
      <c r="C11">
        <v>2003</v>
      </c>
      <c r="D11">
        <v>2004</v>
      </c>
      <c r="E11">
        <v>2005</v>
      </c>
      <c r="F11">
        <v>2006</v>
      </c>
      <c r="I11">
        <v>1998</v>
      </c>
      <c r="J11">
        <v>1999</v>
      </c>
      <c r="K11">
        <v>2000</v>
      </c>
      <c r="L11">
        <v>2001</v>
      </c>
    </row>
    <row r="12" spans="2:12" x14ac:dyDescent="0.15">
      <c r="B12">
        <v>41.588653000000001</v>
      </c>
      <c r="C12">
        <v>25.811049000000001</v>
      </c>
      <c r="D12">
        <v>26.093788</v>
      </c>
      <c r="E12">
        <v>28.731316</v>
      </c>
      <c r="F12">
        <v>36.379953999999998</v>
      </c>
      <c r="I12">
        <v>4.8685939999999999</v>
      </c>
      <c r="J12">
        <v>1.254667</v>
      </c>
      <c r="K12">
        <v>91.347284999999999</v>
      </c>
      <c r="L12">
        <v>4.8973789999999999</v>
      </c>
    </row>
    <row r="13" spans="2:12" x14ac:dyDescent="0.15">
      <c r="B13">
        <v>2007</v>
      </c>
      <c r="C13">
        <v>2008</v>
      </c>
      <c r="D13">
        <v>2009</v>
      </c>
      <c r="E13">
        <v>2010</v>
      </c>
      <c r="F13">
        <v>2011</v>
      </c>
      <c r="I13">
        <v>2002</v>
      </c>
      <c r="J13">
        <v>2003</v>
      </c>
      <c r="K13">
        <v>2004</v>
      </c>
      <c r="L13">
        <v>2005</v>
      </c>
    </row>
    <row r="14" spans="2:12" x14ac:dyDescent="0.15">
      <c r="B14">
        <v>78.540068000000005</v>
      </c>
      <c r="C14">
        <v>83.199500999999998</v>
      </c>
      <c r="D14">
        <v>415.454769</v>
      </c>
      <c r="E14">
        <v>276.42930899999999</v>
      </c>
      <c r="F14">
        <v>57.506720000000001</v>
      </c>
      <c r="I14">
        <v>44.053440000000002</v>
      </c>
      <c r="J14">
        <v>69.560536999999997</v>
      </c>
      <c r="K14">
        <v>79.662166999999997</v>
      </c>
      <c r="L14">
        <v>57.990741999999997</v>
      </c>
    </row>
    <row r="15" spans="2:12" x14ac:dyDescent="0.15">
      <c r="B15">
        <v>2012</v>
      </c>
      <c r="I15">
        <v>2006</v>
      </c>
      <c r="J15">
        <v>2007</v>
      </c>
      <c r="K15">
        <v>2008</v>
      </c>
      <c r="L15">
        <v>2009</v>
      </c>
    </row>
    <row r="16" spans="2:12" x14ac:dyDescent="0.15">
      <c r="B16">
        <v>693.39943700000003</v>
      </c>
      <c r="I16">
        <v>85.880503000000004</v>
      </c>
      <c r="J16">
        <v>272.76401199999998</v>
      </c>
      <c r="K16">
        <v>142.27705</v>
      </c>
      <c r="L16">
        <v>1208.7660000000001</v>
      </c>
    </row>
    <row r="17" spans="1:17" x14ac:dyDescent="0.15">
      <c r="I17">
        <v>2010</v>
      </c>
      <c r="J17">
        <v>2011</v>
      </c>
      <c r="K17">
        <v>2012</v>
      </c>
    </row>
    <row r="18" spans="1:17" x14ac:dyDescent="0.15">
      <c r="I18">
        <v>450.26746100000003</v>
      </c>
      <c r="J18">
        <v>97.082499999999996</v>
      </c>
      <c r="K18">
        <v>1914.2694300000001</v>
      </c>
    </row>
    <row r="21" spans="1:17" x14ac:dyDescent="0.15">
      <c r="A21" t="s">
        <v>1004</v>
      </c>
      <c r="B21" t="s">
        <v>1005</v>
      </c>
      <c r="C21" t="s">
        <v>356</v>
      </c>
    </row>
    <row r="22" spans="1:17" x14ac:dyDescent="0.15">
      <c r="A22">
        <v>1980</v>
      </c>
      <c r="B22">
        <v>10.336696</v>
      </c>
      <c r="C22">
        <v>6.8781739999999996</v>
      </c>
      <c r="O22" t="s">
        <v>1004</v>
      </c>
      <c r="P22" t="s">
        <v>1005</v>
      </c>
    </row>
    <row r="23" spans="1:17" x14ac:dyDescent="0.15">
      <c r="A23">
        <v>1981</v>
      </c>
      <c r="B23">
        <v>10.53711</v>
      </c>
      <c r="C23">
        <v>6.5769739999999999</v>
      </c>
      <c r="O23">
        <v>1980</v>
      </c>
      <c r="P23">
        <v>10.336696</v>
      </c>
    </row>
    <row r="24" spans="1:17" x14ac:dyDescent="0.15">
      <c r="A24">
        <v>1982</v>
      </c>
      <c r="B24">
        <v>4.1867380000000001</v>
      </c>
      <c r="C24">
        <v>3.5277949999999998</v>
      </c>
      <c r="O24">
        <v>1981</v>
      </c>
      <c r="P24">
        <v>10.53711</v>
      </c>
      <c r="Q24">
        <f>P24-P23</f>
        <v>0.20041400000000031</v>
      </c>
    </row>
    <row r="25" spans="1:17" x14ac:dyDescent="0.15">
      <c r="A25">
        <v>1983</v>
      </c>
      <c r="B25">
        <v>13.067583000000001</v>
      </c>
      <c r="C25">
        <v>19.928362</v>
      </c>
      <c r="O25">
        <v>1982</v>
      </c>
      <c r="P25">
        <v>4.1867380000000001</v>
      </c>
      <c r="Q25">
        <f t="shared" ref="Q25:Q55" si="0">P25-P24</f>
        <v>-6.3503720000000001</v>
      </c>
    </row>
    <row r="26" spans="1:17" x14ac:dyDescent="0.15">
      <c r="A26">
        <v>1984</v>
      </c>
      <c r="B26">
        <v>22.481894</v>
      </c>
      <c r="C26">
        <v>28.847597</v>
      </c>
      <c r="O26">
        <v>1983</v>
      </c>
      <c r="P26">
        <v>13.067583000000001</v>
      </c>
      <c r="Q26">
        <f t="shared" si="0"/>
        <v>8.8808450000000008</v>
      </c>
    </row>
    <row r="27" spans="1:17" x14ac:dyDescent="0.15">
      <c r="A27">
        <v>1985</v>
      </c>
      <c r="B27">
        <v>5.3681089999999996</v>
      </c>
      <c r="C27">
        <v>7.6334410000000004</v>
      </c>
      <c r="O27">
        <v>1984</v>
      </c>
      <c r="P27">
        <v>22.481894</v>
      </c>
      <c r="Q27">
        <f t="shared" si="0"/>
        <v>9.4143109999999997</v>
      </c>
    </row>
    <row r="28" spans="1:17" x14ac:dyDescent="0.15">
      <c r="A28">
        <v>1986</v>
      </c>
      <c r="B28">
        <v>2.12391</v>
      </c>
      <c r="C28">
        <v>2.4039760000000001</v>
      </c>
      <c r="O28">
        <v>1985</v>
      </c>
      <c r="P28">
        <v>5.3681089999999996</v>
      </c>
      <c r="Q28">
        <f t="shared" si="0"/>
        <v>-17.113785</v>
      </c>
    </row>
    <row r="29" spans="1:17" x14ac:dyDescent="0.15">
      <c r="A29">
        <v>1987</v>
      </c>
      <c r="B29">
        <v>3.5506869999999999</v>
      </c>
      <c r="C29">
        <v>1.038338</v>
      </c>
      <c r="O29">
        <v>1986</v>
      </c>
      <c r="P29">
        <v>2.12391</v>
      </c>
      <c r="Q29">
        <f t="shared" si="0"/>
        <v>-3.2441989999999996</v>
      </c>
    </row>
    <row r="30" spans="1:17" x14ac:dyDescent="0.15">
      <c r="A30">
        <v>1988</v>
      </c>
      <c r="B30">
        <v>1.169875</v>
      </c>
      <c r="C30">
        <v>1.2290220000000001</v>
      </c>
      <c r="O30">
        <v>1987</v>
      </c>
      <c r="P30">
        <v>3.5506869999999999</v>
      </c>
      <c r="Q30">
        <f t="shared" si="0"/>
        <v>1.426777</v>
      </c>
    </row>
    <row r="31" spans="1:17" x14ac:dyDescent="0.15">
      <c r="A31">
        <v>1989</v>
      </c>
      <c r="O31">
        <v>1988</v>
      </c>
      <c r="P31">
        <v>1.169875</v>
      </c>
      <c r="Q31">
        <f t="shared" si="0"/>
        <v>-2.3808119999999997</v>
      </c>
    </row>
    <row r="32" spans="1:17" x14ac:dyDescent="0.15">
      <c r="A32">
        <v>1990</v>
      </c>
      <c r="B32">
        <v>3.8821089999999998</v>
      </c>
      <c r="C32">
        <v>4.9650270000000001</v>
      </c>
      <c r="O32">
        <v>1989</v>
      </c>
      <c r="P32">
        <f>AVERAGE(P31,P33)</f>
        <v>2.525992</v>
      </c>
      <c r="Q32">
        <f t="shared" si="0"/>
        <v>1.356117</v>
      </c>
    </row>
    <row r="33" spans="1:17" x14ac:dyDescent="0.15">
      <c r="A33">
        <v>1991</v>
      </c>
      <c r="B33">
        <v>8.4394670000000005</v>
      </c>
      <c r="C33">
        <v>10.493124999999999</v>
      </c>
      <c r="O33">
        <v>1990</v>
      </c>
      <c r="P33">
        <v>3.8821089999999998</v>
      </c>
      <c r="Q33">
        <f t="shared" si="0"/>
        <v>1.3561169999999998</v>
      </c>
    </row>
    <row r="34" spans="1:17" x14ac:dyDescent="0.15">
      <c r="A34">
        <v>1992</v>
      </c>
      <c r="B34">
        <v>115.808154</v>
      </c>
      <c r="C34">
        <v>201.64874800000001</v>
      </c>
      <c r="O34">
        <v>1991</v>
      </c>
      <c r="P34">
        <v>8.4394670000000005</v>
      </c>
      <c r="Q34">
        <f t="shared" si="0"/>
        <v>4.5573580000000007</v>
      </c>
    </row>
    <row r="35" spans="1:17" x14ac:dyDescent="0.15">
      <c r="A35">
        <v>1993</v>
      </c>
      <c r="B35">
        <v>87.777232999999995</v>
      </c>
      <c r="C35">
        <v>205.43727000000001</v>
      </c>
      <c r="O35">
        <v>1992</v>
      </c>
      <c r="P35">
        <v>115.808154</v>
      </c>
      <c r="Q35">
        <f t="shared" si="0"/>
        <v>107.36868699999999</v>
      </c>
    </row>
    <row r="36" spans="1:17" x14ac:dyDescent="0.15">
      <c r="A36">
        <v>1994</v>
      </c>
      <c r="B36">
        <v>8.5950000000000006</v>
      </c>
      <c r="C36" t="s">
        <v>1003</v>
      </c>
      <c r="O36">
        <v>1993</v>
      </c>
      <c r="P36">
        <v>87.777232999999995</v>
      </c>
      <c r="Q36">
        <f t="shared" si="0"/>
        <v>-28.030921000000006</v>
      </c>
    </row>
    <row r="37" spans="1:17" x14ac:dyDescent="0.15">
      <c r="A37">
        <v>1995</v>
      </c>
      <c r="B37">
        <v>1.7046749999999999</v>
      </c>
      <c r="C37" t="s">
        <v>1003</v>
      </c>
      <c r="O37">
        <v>1994</v>
      </c>
      <c r="P37">
        <v>8.5950000000000006</v>
      </c>
      <c r="Q37">
        <f t="shared" si="0"/>
        <v>-79.182232999999997</v>
      </c>
    </row>
    <row r="38" spans="1:17" x14ac:dyDescent="0.15">
      <c r="A38">
        <v>1996</v>
      </c>
      <c r="O38">
        <v>1995</v>
      </c>
      <c r="P38">
        <v>1.7046749999999999</v>
      </c>
      <c r="Q38">
        <f t="shared" si="0"/>
        <v>-6.8903250000000007</v>
      </c>
    </row>
    <row r="39" spans="1:17" x14ac:dyDescent="0.15">
      <c r="A39">
        <v>1997</v>
      </c>
      <c r="B39">
        <v>3.8880189999999999</v>
      </c>
      <c r="C39">
        <v>2.8152210000000002</v>
      </c>
      <c r="O39">
        <v>1996</v>
      </c>
      <c r="P39">
        <f>AVERAGE(P38,P40)</f>
        <v>2.7963469999999999</v>
      </c>
      <c r="Q39">
        <f t="shared" si="0"/>
        <v>1.091672</v>
      </c>
    </row>
    <row r="40" spans="1:17" x14ac:dyDescent="0.15">
      <c r="A40">
        <v>1998</v>
      </c>
      <c r="B40">
        <v>6.4701000000000004</v>
      </c>
      <c r="C40">
        <v>4.8685939999999999</v>
      </c>
      <c r="O40">
        <v>1997</v>
      </c>
      <c r="P40">
        <v>3.8880189999999999</v>
      </c>
      <c r="Q40">
        <f t="shared" si="0"/>
        <v>1.091672</v>
      </c>
    </row>
    <row r="41" spans="1:17" x14ac:dyDescent="0.15">
      <c r="A41">
        <v>1999</v>
      </c>
      <c r="B41">
        <v>2.713219</v>
      </c>
      <c r="C41">
        <v>1.254667</v>
      </c>
      <c r="O41">
        <v>1998</v>
      </c>
      <c r="P41">
        <v>6.4701000000000004</v>
      </c>
      <c r="Q41">
        <f t="shared" si="0"/>
        <v>2.5820810000000005</v>
      </c>
    </row>
    <row r="42" spans="1:17" x14ac:dyDescent="0.15">
      <c r="A42">
        <v>2000</v>
      </c>
      <c r="B42">
        <v>39.920622999999999</v>
      </c>
      <c r="C42">
        <v>91.347284999999999</v>
      </c>
      <c r="O42">
        <v>1999</v>
      </c>
      <c r="P42">
        <v>2.713219</v>
      </c>
      <c r="Q42">
        <f t="shared" si="0"/>
        <v>-3.7568810000000004</v>
      </c>
    </row>
    <row r="43" spans="1:17" x14ac:dyDescent="0.15">
      <c r="A43">
        <v>2001</v>
      </c>
      <c r="B43">
        <v>4.0460289999999999</v>
      </c>
      <c r="C43">
        <v>4.8973789999999999</v>
      </c>
      <c r="O43">
        <v>2000</v>
      </c>
      <c r="P43">
        <v>39.920622999999999</v>
      </c>
      <c r="Q43">
        <f t="shared" si="0"/>
        <v>37.207403999999997</v>
      </c>
    </row>
    <row r="44" spans="1:17" x14ac:dyDescent="0.15">
      <c r="A44">
        <v>2002</v>
      </c>
      <c r="B44">
        <v>41.588653000000001</v>
      </c>
      <c r="C44">
        <v>44.053440000000002</v>
      </c>
      <c r="O44">
        <v>2001</v>
      </c>
      <c r="P44">
        <v>4.0460289999999999</v>
      </c>
      <c r="Q44">
        <f t="shared" si="0"/>
        <v>-35.874594000000002</v>
      </c>
    </row>
    <row r="45" spans="1:17" x14ac:dyDescent="0.15">
      <c r="A45">
        <v>2003</v>
      </c>
      <c r="B45">
        <v>25.811049000000001</v>
      </c>
      <c r="C45">
        <v>69.560536999999997</v>
      </c>
      <c r="O45">
        <v>2002</v>
      </c>
      <c r="P45">
        <v>41.588653000000001</v>
      </c>
      <c r="Q45">
        <f t="shared" si="0"/>
        <v>37.542624000000004</v>
      </c>
    </row>
    <row r="46" spans="1:17" x14ac:dyDescent="0.15">
      <c r="A46">
        <v>2004</v>
      </c>
      <c r="B46">
        <v>26.093788</v>
      </c>
      <c r="C46">
        <v>79.662166999999997</v>
      </c>
      <c r="O46">
        <v>2003</v>
      </c>
      <c r="P46">
        <v>25.811049000000001</v>
      </c>
      <c r="Q46">
        <f t="shared" si="0"/>
        <v>-15.777604</v>
      </c>
    </row>
    <row r="47" spans="1:17" x14ac:dyDescent="0.15">
      <c r="A47">
        <v>2005</v>
      </c>
      <c r="B47">
        <v>28.731316</v>
      </c>
      <c r="C47">
        <v>57.990741999999997</v>
      </c>
      <c r="O47">
        <v>2004</v>
      </c>
      <c r="P47">
        <v>26.093788</v>
      </c>
      <c r="Q47">
        <f t="shared" si="0"/>
        <v>0.28273899999999941</v>
      </c>
    </row>
    <row r="48" spans="1:17" x14ac:dyDescent="0.15">
      <c r="A48">
        <v>2006</v>
      </c>
      <c r="B48">
        <v>36.379953999999998</v>
      </c>
      <c r="C48">
        <v>85.880503000000004</v>
      </c>
      <c r="O48">
        <v>2005</v>
      </c>
      <c r="P48">
        <v>28.731316</v>
      </c>
      <c r="Q48">
        <f t="shared" si="0"/>
        <v>2.6375279999999997</v>
      </c>
    </row>
    <row r="49" spans="1:17" x14ac:dyDescent="0.15">
      <c r="A49">
        <v>2007</v>
      </c>
      <c r="B49">
        <v>78.540068000000005</v>
      </c>
      <c r="C49">
        <v>272.76401199999998</v>
      </c>
      <c r="O49">
        <v>2006</v>
      </c>
      <c r="P49">
        <v>36.379953999999998</v>
      </c>
      <c r="Q49">
        <f t="shared" si="0"/>
        <v>7.6486379999999983</v>
      </c>
    </row>
    <row r="50" spans="1:17" x14ac:dyDescent="0.15">
      <c r="A50">
        <v>2008</v>
      </c>
      <c r="B50">
        <v>83.199500999999998</v>
      </c>
      <c r="C50">
        <v>142.27705</v>
      </c>
      <c r="O50">
        <v>2007</v>
      </c>
      <c r="P50">
        <v>78.540068000000005</v>
      </c>
      <c r="Q50">
        <f t="shared" si="0"/>
        <v>42.160114000000007</v>
      </c>
    </row>
    <row r="51" spans="1:17" x14ac:dyDescent="0.15">
      <c r="A51">
        <v>2009</v>
      </c>
      <c r="B51">
        <v>415.454769</v>
      </c>
      <c r="C51">
        <v>1208.7660000000001</v>
      </c>
      <c r="O51">
        <v>2008</v>
      </c>
      <c r="P51">
        <v>83.199500999999998</v>
      </c>
      <c r="Q51">
        <f t="shared" si="0"/>
        <v>4.6594329999999928</v>
      </c>
    </row>
    <row r="52" spans="1:17" x14ac:dyDescent="0.15">
      <c r="A52">
        <v>2010</v>
      </c>
      <c r="B52">
        <v>276.42930899999999</v>
      </c>
      <c r="C52">
        <v>450.26746100000003</v>
      </c>
      <c r="O52">
        <v>2009</v>
      </c>
      <c r="P52">
        <v>415.454769</v>
      </c>
      <c r="Q52">
        <f t="shared" si="0"/>
        <v>332.255268</v>
      </c>
    </row>
    <row r="53" spans="1:17" x14ac:dyDescent="0.15">
      <c r="A53">
        <v>2011</v>
      </c>
      <c r="B53">
        <v>57.506720000000001</v>
      </c>
      <c r="C53">
        <v>97.082499999999996</v>
      </c>
      <c r="O53">
        <v>2010</v>
      </c>
      <c r="P53">
        <v>276.42930899999999</v>
      </c>
      <c r="Q53">
        <f t="shared" si="0"/>
        <v>-139.02546000000001</v>
      </c>
    </row>
    <row r="54" spans="1:17" x14ac:dyDescent="0.15">
      <c r="A54">
        <v>2012</v>
      </c>
      <c r="B54">
        <v>693.39943700000003</v>
      </c>
      <c r="C54">
        <v>1914.2694300000001</v>
      </c>
      <c r="O54">
        <v>2011</v>
      </c>
      <c r="P54">
        <v>57.506720000000001</v>
      </c>
      <c r="Q54">
        <f t="shared" si="0"/>
        <v>-218.92258899999999</v>
      </c>
    </row>
    <row r="55" spans="1:17" x14ac:dyDescent="0.15">
      <c r="O55">
        <v>2012</v>
      </c>
      <c r="P55">
        <v>693.39943700000003</v>
      </c>
      <c r="Q55">
        <f t="shared" si="0"/>
        <v>635.89271700000006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"/>
  <sheetViews>
    <sheetView workbookViewId="0">
      <selection activeCell="C24" sqref="C24"/>
    </sheetView>
  </sheetViews>
  <sheetFormatPr defaultRowHeight="13.5" x14ac:dyDescent="0.15"/>
  <sheetData>
    <row r="4" spans="3:4" x14ac:dyDescent="0.15">
      <c r="C4" t="s">
        <v>9</v>
      </c>
      <c r="D4" t="s">
        <v>1007</v>
      </c>
    </row>
    <row r="5" spans="3:4" x14ac:dyDescent="0.15">
      <c r="C5" t="s">
        <v>76</v>
      </c>
      <c r="D5">
        <v>2.5</v>
      </c>
    </row>
    <row r="6" spans="3:4" x14ac:dyDescent="0.15">
      <c r="C6" t="s">
        <v>1006</v>
      </c>
      <c r="D6">
        <v>17.18</v>
      </c>
    </row>
    <row r="7" spans="3:4" x14ac:dyDescent="0.15">
      <c r="C7" t="s">
        <v>25</v>
      </c>
      <c r="D7">
        <v>114.16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8"/>
  <sheetViews>
    <sheetView tabSelected="1" workbookViewId="0">
      <selection activeCell="F6" sqref="F6"/>
    </sheetView>
  </sheetViews>
  <sheetFormatPr defaultRowHeight="13.5" x14ac:dyDescent="0.15"/>
  <cols>
    <col min="1" max="1" width="11.75" style="3" bestFit="1" customWidth="1"/>
    <col min="2" max="2" width="12.375" style="3" bestFit="1" customWidth="1"/>
    <col min="3" max="3" width="9.125" style="2" bestFit="1" customWidth="1"/>
  </cols>
  <sheetData>
    <row r="1" spans="1:4" x14ac:dyDescent="0.15">
      <c r="A1" s="15" t="s">
        <v>230</v>
      </c>
      <c r="B1" s="15" t="s">
        <v>223</v>
      </c>
      <c r="C1" s="15" t="s">
        <v>47</v>
      </c>
      <c r="D1" s="31" t="s">
        <v>1009</v>
      </c>
    </row>
    <row r="2" spans="1:4" x14ac:dyDescent="0.15">
      <c r="A2" s="3">
        <v>1000</v>
      </c>
      <c r="B2" s="3">
        <v>18</v>
      </c>
      <c r="C2" s="2">
        <v>1</v>
      </c>
      <c r="D2">
        <f>A2*B2</f>
        <v>18000</v>
      </c>
    </row>
    <row r="3" spans="1:4" x14ac:dyDescent="0.15">
      <c r="A3" s="3">
        <v>625</v>
      </c>
      <c r="B3" s="3">
        <v>3</v>
      </c>
      <c r="C3" s="2">
        <v>2</v>
      </c>
      <c r="D3">
        <f t="shared" ref="D3:D66" si="0">A3*B3</f>
        <v>1875</v>
      </c>
    </row>
    <row r="4" spans="1:4" x14ac:dyDescent="0.15">
      <c r="A4" s="3">
        <v>2500</v>
      </c>
      <c r="B4" s="3">
        <v>6</v>
      </c>
      <c r="C4" s="2">
        <v>2</v>
      </c>
      <c r="D4">
        <f t="shared" si="0"/>
        <v>15000</v>
      </c>
    </row>
    <row r="5" spans="1:4" x14ac:dyDescent="0.15">
      <c r="A5" s="3">
        <v>625</v>
      </c>
      <c r="B5" s="3">
        <v>12</v>
      </c>
      <c r="C5" s="2">
        <v>3</v>
      </c>
      <c r="D5">
        <f t="shared" si="0"/>
        <v>7500</v>
      </c>
    </row>
    <row r="6" spans="1:4" x14ac:dyDescent="0.15">
      <c r="A6" s="3">
        <v>625</v>
      </c>
      <c r="B6" s="3">
        <v>12</v>
      </c>
      <c r="C6" s="2">
        <v>3</v>
      </c>
      <c r="D6">
        <f t="shared" si="0"/>
        <v>7500</v>
      </c>
    </row>
    <row r="7" spans="1:4" x14ac:dyDescent="0.15">
      <c r="A7" s="3">
        <v>625</v>
      </c>
      <c r="B7" s="3">
        <v>3</v>
      </c>
      <c r="C7" s="2">
        <v>3</v>
      </c>
      <c r="D7">
        <f t="shared" si="0"/>
        <v>1875</v>
      </c>
    </row>
    <row r="8" spans="1:4" x14ac:dyDescent="0.15">
      <c r="A8" s="3">
        <v>625</v>
      </c>
      <c r="B8" s="3">
        <v>3</v>
      </c>
      <c r="C8" s="2">
        <v>3</v>
      </c>
      <c r="D8">
        <f t="shared" si="0"/>
        <v>1875</v>
      </c>
    </row>
    <row r="9" spans="1:4" x14ac:dyDescent="0.15">
      <c r="A9" s="3">
        <v>1000</v>
      </c>
      <c r="B9" s="3">
        <v>26</v>
      </c>
      <c r="C9" s="2">
        <v>4</v>
      </c>
      <c r="D9">
        <f t="shared" si="0"/>
        <v>26000</v>
      </c>
    </row>
    <row r="10" spans="1:4" x14ac:dyDescent="0.15">
      <c r="A10" s="3">
        <v>625</v>
      </c>
      <c r="B10" s="3">
        <v>3</v>
      </c>
      <c r="C10" s="2">
        <v>4</v>
      </c>
      <c r="D10">
        <f t="shared" si="0"/>
        <v>1875</v>
      </c>
    </row>
    <row r="11" spans="1:4" x14ac:dyDescent="0.15">
      <c r="A11" s="3">
        <v>625</v>
      </c>
      <c r="B11" s="3">
        <v>3</v>
      </c>
      <c r="C11" s="2">
        <v>4</v>
      </c>
      <c r="D11">
        <f t="shared" si="0"/>
        <v>1875</v>
      </c>
    </row>
    <row r="12" spans="1:4" x14ac:dyDescent="0.15">
      <c r="A12" s="3">
        <v>625</v>
      </c>
      <c r="B12" s="3">
        <v>3</v>
      </c>
      <c r="C12" s="2">
        <v>4</v>
      </c>
      <c r="D12">
        <f t="shared" si="0"/>
        <v>1875</v>
      </c>
    </row>
    <row r="13" spans="1:4" x14ac:dyDescent="0.15">
      <c r="A13" s="3">
        <v>625</v>
      </c>
      <c r="B13" s="3">
        <v>3</v>
      </c>
      <c r="C13" s="2">
        <v>5</v>
      </c>
      <c r="D13">
        <f t="shared" si="0"/>
        <v>1875</v>
      </c>
    </row>
    <row r="14" spans="1:4" x14ac:dyDescent="0.15">
      <c r="A14" s="3">
        <v>2500</v>
      </c>
      <c r="B14" s="3">
        <v>6</v>
      </c>
      <c r="C14" s="2">
        <v>5</v>
      </c>
      <c r="D14">
        <f t="shared" si="0"/>
        <v>15000</v>
      </c>
    </row>
    <row r="15" spans="1:4" x14ac:dyDescent="0.15">
      <c r="A15" s="3">
        <v>625</v>
      </c>
      <c r="B15" s="3">
        <v>3</v>
      </c>
      <c r="C15" s="2">
        <v>6</v>
      </c>
      <c r="D15">
        <f t="shared" si="0"/>
        <v>1875</v>
      </c>
    </row>
    <row r="16" spans="1:4" x14ac:dyDescent="0.15">
      <c r="A16" s="3">
        <v>625</v>
      </c>
      <c r="B16" s="3">
        <v>15</v>
      </c>
      <c r="C16" s="2">
        <v>6</v>
      </c>
      <c r="D16">
        <f t="shared" si="0"/>
        <v>9375</v>
      </c>
    </row>
    <row r="17" spans="1:4" x14ac:dyDescent="0.15">
      <c r="A17" s="3">
        <v>625</v>
      </c>
      <c r="B17" s="3">
        <v>15</v>
      </c>
      <c r="C17" s="2">
        <v>6</v>
      </c>
      <c r="D17">
        <f t="shared" si="0"/>
        <v>9375</v>
      </c>
    </row>
    <row r="18" spans="1:4" x14ac:dyDescent="0.15">
      <c r="A18" s="3">
        <v>625</v>
      </c>
      <c r="B18" s="3">
        <v>15</v>
      </c>
      <c r="C18" s="2">
        <v>6</v>
      </c>
      <c r="D18">
        <f t="shared" si="0"/>
        <v>9375</v>
      </c>
    </row>
    <row r="19" spans="1:4" x14ac:dyDescent="0.15">
      <c r="A19" s="3">
        <v>2500</v>
      </c>
      <c r="B19" s="3">
        <v>6</v>
      </c>
      <c r="C19" s="2">
        <v>6</v>
      </c>
      <c r="D19">
        <f t="shared" si="0"/>
        <v>15000</v>
      </c>
    </row>
    <row r="20" spans="1:4" x14ac:dyDescent="0.15">
      <c r="A20" s="3">
        <v>2500</v>
      </c>
      <c r="B20" s="3">
        <v>6</v>
      </c>
      <c r="C20" s="2">
        <v>7</v>
      </c>
      <c r="D20">
        <f t="shared" si="0"/>
        <v>15000</v>
      </c>
    </row>
    <row r="21" spans="1:4" x14ac:dyDescent="0.15">
      <c r="A21" s="3">
        <v>2500</v>
      </c>
      <c r="B21" s="3">
        <v>5</v>
      </c>
      <c r="C21" s="2">
        <v>8</v>
      </c>
      <c r="D21">
        <f t="shared" si="0"/>
        <v>12500</v>
      </c>
    </row>
    <row r="22" spans="1:4" x14ac:dyDescent="0.15">
      <c r="A22" s="3">
        <v>2500</v>
      </c>
      <c r="B22" s="3">
        <v>5</v>
      </c>
      <c r="C22" s="2">
        <v>8</v>
      </c>
      <c r="D22">
        <f t="shared" si="0"/>
        <v>12500</v>
      </c>
    </row>
    <row r="23" spans="1:4" x14ac:dyDescent="0.15">
      <c r="A23" s="3">
        <v>2500</v>
      </c>
      <c r="B23" s="3">
        <v>5</v>
      </c>
      <c r="C23" s="2">
        <v>8</v>
      </c>
      <c r="D23">
        <f t="shared" si="0"/>
        <v>12500</v>
      </c>
    </row>
    <row r="24" spans="1:4" x14ac:dyDescent="0.15">
      <c r="A24" s="3">
        <v>2500</v>
      </c>
      <c r="B24" s="3">
        <v>5</v>
      </c>
      <c r="C24" s="2">
        <v>8</v>
      </c>
      <c r="D24">
        <f t="shared" si="0"/>
        <v>12500</v>
      </c>
    </row>
    <row r="25" spans="1:4" x14ac:dyDescent="0.15">
      <c r="A25" s="3">
        <v>2500</v>
      </c>
      <c r="B25" s="3">
        <v>6</v>
      </c>
      <c r="C25" s="2">
        <v>8</v>
      </c>
      <c r="D25">
        <f t="shared" si="0"/>
        <v>15000</v>
      </c>
    </row>
    <row r="26" spans="1:4" x14ac:dyDescent="0.15">
      <c r="A26" s="3">
        <v>625</v>
      </c>
      <c r="B26" s="3">
        <v>15</v>
      </c>
      <c r="C26" s="2">
        <v>9</v>
      </c>
      <c r="D26">
        <f t="shared" si="0"/>
        <v>9375</v>
      </c>
    </row>
    <row r="27" spans="1:4" x14ac:dyDescent="0.15">
      <c r="A27" s="3">
        <v>1000</v>
      </c>
      <c r="B27" s="3">
        <f>29*2</f>
        <v>58</v>
      </c>
      <c r="C27" s="2">
        <v>10</v>
      </c>
      <c r="D27">
        <f t="shared" si="0"/>
        <v>58000</v>
      </c>
    </row>
    <row r="28" spans="1:4" x14ac:dyDescent="0.15">
      <c r="A28" s="3">
        <v>625</v>
      </c>
      <c r="B28" s="3">
        <v>52</v>
      </c>
      <c r="C28" s="2">
        <v>10</v>
      </c>
      <c r="D28">
        <f t="shared" si="0"/>
        <v>32500</v>
      </c>
    </row>
    <row r="29" spans="1:4" x14ac:dyDescent="0.15">
      <c r="A29" s="3">
        <v>1000</v>
      </c>
      <c r="B29" s="3">
        <v>80</v>
      </c>
      <c r="C29" s="2">
        <v>10</v>
      </c>
      <c r="D29">
        <f t="shared" si="0"/>
        <v>80000</v>
      </c>
    </row>
    <row r="30" spans="1:4" x14ac:dyDescent="0.15">
      <c r="A30" s="3">
        <v>1000</v>
      </c>
      <c r="B30" s="3">
        <v>80</v>
      </c>
      <c r="C30" s="2">
        <v>10</v>
      </c>
      <c r="D30">
        <f t="shared" si="0"/>
        <v>80000</v>
      </c>
    </row>
    <row r="31" spans="1:4" x14ac:dyDescent="0.15">
      <c r="A31" s="3">
        <v>500</v>
      </c>
      <c r="B31" s="3">
        <f>17*2</f>
        <v>34</v>
      </c>
      <c r="C31" s="2">
        <v>11</v>
      </c>
      <c r="D31">
        <f t="shared" si="0"/>
        <v>17000</v>
      </c>
    </row>
    <row r="32" spans="1:4" x14ac:dyDescent="0.15">
      <c r="A32" s="3">
        <v>1000</v>
      </c>
      <c r="B32" s="3">
        <v>18</v>
      </c>
      <c r="C32" s="2">
        <v>11</v>
      </c>
      <c r="D32">
        <f t="shared" si="0"/>
        <v>18000</v>
      </c>
    </row>
    <row r="33" spans="1:4" x14ac:dyDescent="0.15">
      <c r="A33" s="3">
        <v>500</v>
      </c>
      <c r="B33" s="3">
        <v>40</v>
      </c>
      <c r="C33" s="2">
        <v>11</v>
      </c>
      <c r="D33">
        <f t="shared" si="0"/>
        <v>20000</v>
      </c>
    </row>
    <row r="34" spans="1:4" x14ac:dyDescent="0.15">
      <c r="A34" s="3">
        <v>1000</v>
      </c>
      <c r="B34" s="3">
        <v>80</v>
      </c>
      <c r="C34" s="2">
        <v>12</v>
      </c>
      <c r="D34">
        <f t="shared" si="0"/>
        <v>80000</v>
      </c>
    </row>
    <row r="35" spans="1:4" x14ac:dyDescent="0.15">
      <c r="A35" s="3">
        <v>500</v>
      </c>
      <c r="B35" s="3">
        <v>48</v>
      </c>
      <c r="C35" s="2">
        <v>12</v>
      </c>
      <c r="D35">
        <f t="shared" si="0"/>
        <v>24000</v>
      </c>
    </row>
    <row r="36" spans="1:4" x14ac:dyDescent="0.15">
      <c r="A36" s="3">
        <v>2500</v>
      </c>
      <c r="B36" s="3">
        <v>6</v>
      </c>
      <c r="C36" s="2">
        <v>12</v>
      </c>
      <c r="D36">
        <f t="shared" si="0"/>
        <v>15000</v>
      </c>
    </row>
    <row r="37" spans="1:4" x14ac:dyDescent="0.15">
      <c r="A37" s="3">
        <v>2500</v>
      </c>
      <c r="B37" s="3">
        <v>6</v>
      </c>
      <c r="C37" s="2">
        <v>13</v>
      </c>
      <c r="D37">
        <f t="shared" si="0"/>
        <v>15000</v>
      </c>
    </row>
    <row r="38" spans="1:4" x14ac:dyDescent="0.15">
      <c r="A38" s="3">
        <v>250</v>
      </c>
      <c r="B38" s="3">
        <v>18</v>
      </c>
      <c r="C38" s="2">
        <v>14</v>
      </c>
      <c r="D38">
        <f t="shared" si="0"/>
        <v>4500</v>
      </c>
    </row>
    <row r="39" spans="1:4" x14ac:dyDescent="0.15">
      <c r="A39" s="3">
        <v>625</v>
      </c>
      <c r="B39" s="3">
        <v>18</v>
      </c>
      <c r="C39" s="2">
        <v>15</v>
      </c>
      <c r="D39">
        <f t="shared" si="0"/>
        <v>11250</v>
      </c>
    </row>
    <row r="40" spans="1:4" x14ac:dyDescent="0.15">
      <c r="A40" s="3">
        <v>1000</v>
      </c>
      <c r="B40" s="3">
        <f>29*2</f>
        <v>58</v>
      </c>
      <c r="C40" s="2">
        <v>15</v>
      </c>
      <c r="D40">
        <f t="shared" si="0"/>
        <v>58000</v>
      </c>
    </row>
    <row r="41" spans="1:4" x14ac:dyDescent="0.15">
      <c r="A41" s="3">
        <v>625</v>
      </c>
      <c r="B41" s="3">
        <v>18</v>
      </c>
      <c r="C41" s="2">
        <v>16</v>
      </c>
      <c r="D41">
        <f t="shared" si="0"/>
        <v>11250</v>
      </c>
    </row>
    <row r="42" spans="1:4" x14ac:dyDescent="0.15">
      <c r="A42" s="3">
        <v>625</v>
      </c>
      <c r="B42" s="3">
        <v>18</v>
      </c>
      <c r="C42" s="2">
        <v>16</v>
      </c>
      <c r="D42">
        <f t="shared" si="0"/>
        <v>11250</v>
      </c>
    </row>
    <row r="43" spans="1:4" x14ac:dyDescent="0.15">
      <c r="A43" s="3">
        <v>2500</v>
      </c>
      <c r="B43" s="3">
        <v>5</v>
      </c>
      <c r="C43" s="2">
        <v>17</v>
      </c>
      <c r="D43">
        <f t="shared" si="0"/>
        <v>12500</v>
      </c>
    </row>
    <row r="44" spans="1:4" x14ac:dyDescent="0.15">
      <c r="A44" s="3">
        <v>2500</v>
      </c>
      <c r="B44" s="3">
        <v>5</v>
      </c>
      <c r="C44" s="2">
        <v>17</v>
      </c>
      <c r="D44">
        <f t="shared" si="0"/>
        <v>12500</v>
      </c>
    </row>
    <row r="45" spans="1:4" x14ac:dyDescent="0.15">
      <c r="A45" s="3">
        <v>1000</v>
      </c>
      <c r="B45" s="3">
        <f>63*2</f>
        <v>126</v>
      </c>
      <c r="C45" s="2">
        <v>18</v>
      </c>
      <c r="D45">
        <f t="shared" si="0"/>
        <v>126000</v>
      </c>
    </row>
    <row r="46" spans="1:4" x14ac:dyDescent="0.15">
      <c r="A46" s="3">
        <v>1000</v>
      </c>
      <c r="B46" s="3">
        <f>63*2</f>
        <v>126</v>
      </c>
      <c r="C46" s="2">
        <v>18</v>
      </c>
      <c r="D46">
        <f t="shared" si="0"/>
        <v>126000</v>
      </c>
    </row>
    <row r="47" spans="1:4" x14ac:dyDescent="0.15">
      <c r="A47" s="3">
        <v>1000</v>
      </c>
      <c r="B47" s="3">
        <v>51</v>
      </c>
      <c r="C47" s="2">
        <v>18</v>
      </c>
      <c r="D47">
        <f t="shared" si="0"/>
        <v>51000</v>
      </c>
    </row>
    <row r="48" spans="1:4" x14ac:dyDescent="0.15">
      <c r="A48" s="3">
        <v>625</v>
      </c>
      <c r="B48" s="3">
        <v>18</v>
      </c>
      <c r="C48" s="2">
        <v>19</v>
      </c>
      <c r="D48">
        <f t="shared" si="0"/>
        <v>11250</v>
      </c>
    </row>
    <row r="49" spans="1:4" x14ac:dyDescent="0.15">
      <c r="A49" s="3">
        <v>625</v>
      </c>
      <c r="B49" s="3">
        <f>8*21</f>
        <v>168</v>
      </c>
      <c r="C49" s="2">
        <v>20</v>
      </c>
      <c r="D49">
        <f t="shared" si="0"/>
        <v>105000</v>
      </c>
    </row>
    <row r="50" spans="1:4" x14ac:dyDescent="0.15">
      <c r="A50" s="3">
        <v>625</v>
      </c>
      <c r="B50" s="3">
        <v>18</v>
      </c>
      <c r="C50" s="2">
        <v>20</v>
      </c>
      <c r="D50">
        <f t="shared" si="0"/>
        <v>11250</v>
      </c>
    </row>
    <row r="51" spans="1:4" x14ac:dyDescent="0.15">
      <c r="A51" s="3">
        <v>625</v>
      </c>
      <c r="B51" s="3">
        <v>18</v>
      </c>
      <c r="C51" s="2">
        <v>20</v>
      </c>
      <c r="D51">
        <f t="shared" si="0"/>
        <v>11250</v>
      </c>
    </row>
    <row r="52" spans="1:4" x14ac:dyDescent="0.15">
      <c r="A52" s="3">
        <v>625</v>
      </c>
      <c r="B52" s="3">
        <v>24</v>
      </c>
      <c r="C52" s="2">
        <v>20</v>
      </c>
      <c r="D52">
        <f t="shared" si="0"/>
        <v>15000</v>
      </c>
    </row>
    <row r="53" spans="1:4" x14ac:dyDescent="0.15">
      <c r="A53" s="3">
        <v>625</v>
      </c>
      <c r="B53" s="3">
        <v>24</v>
      </c>
      <c r="C53" s="2">
        <v>20</v>
      </c>
      <c r="D53">
        <f t="shared" si="0"/>
        <v>15000</v>
      </c>
    </row>
    <row r="54" spans="1:4" x14ac:dyDescent="0.15">
      <c r="A54" s="3">
        <v>625</v>
      </c>
      <c r="B54" s="3">
        <v>48</v>
      </c>
      <c r="C54" s="2">
        <v>20</v>
      </c>
      <c r="D54">
        <f t="shared" si="0"/>
        <v>30000</v>
      </c>
    </row>
    <row r="55" spans="1:4" x14ac:dyDescent="0.15">
      <c r="A55" s="3">
        <v>1000</v>
      </c>
      <c r="B55" s="3">
        <f>29*2</f>
        <v>58</v>
      </c>
      <c r="C55" s="2">
        <v>21</v>
      </c>
      <c r="D55">
        <f t="shared" si="0"/>
        <v>58000</v>
      </c>
    </row>
    <row r="56" spans="1:4" x14ac:dyDescent="0.15">
      <c r="A56" s="3">
        <v>1000</v>
      </c>
      <c r="B56" s="3">
        <v>18</v>
      </c>
      <c r="C56" s="2">
        <v>21</v>
      </c>
      <c r="D56">
        <f t="shared" si="0"/>
        <v>18000</v>
      </c>
    </row>
    <row r="57" spans="1:4" x14ac:dyDescent="0.15">
      <c r="A57" s="3">
        <v>250</v>
      </c>
      <c r="B57" s="3">
        <v>27</v>
      </c>
      <c r="C57" s="2">
        <v>22</v>
      </c>
      <c r="D57">
        <f t="shared" si="0"/>
        <v>6750</v>
      </c>
    </row>
    <row r="58" spans="1:4" x14ac:dyDescent="0.15">
      <c r="A58" s="3">
        <v>250</v>
      </c>
      <c r="B58" s="3">
        <v>84</v>
      </c>
      <c r="C58" s="2">
        <v>22</v>
      </c>
      <c r="D58">
        <f t="shared" si="0"/>
        <v>21000</v>
      </c>
    </row>
    <row r="59" spans="1:4" x14ac:dyDescent="0.15">
      <c r="A59" s="3">
        <v>2500</v>
      </c>
      <c r="B59" s="3">
        <v>5</v>
      </c>
      <c r="C59" s="2">
        <v>23</v>
      </c>
      <c r="D59">
        <f t="shared" si="0"/>
        <v>12500</v>
      </c>
    </row>
    <row r="60" spans="1:4" x14ac:dyDescent="0.15">
      <c r="A60" s="3">
        <v>1000</v>
      </c>
      <c r="B60" s="3">
        <v>26</v>
      </c>
      <c r="C60" s="3">
        <v>23</v>
      </c>
      <c r="D60">
        <f t="shared" si="0"/>
        <v>26000</v>
      </c>
    </row>
    <row r="61" spans="1:4" x14ac:dyDescent="0.15">
      <c r="A61" s="3">
        <v>625</v>
      </c>
      <c r="B61" s="3">
        <v>18</v>
      </c>
      <c r="C61" s="2">
        <v>24</v>
      </c>
      <c r="D61">
        <f t="shared" si="0"/>
        <v>11250</v>
      </c>
    </row>
    <row r="62" spans="1:4" x14ac:dyDescent="0.15">
      <c r="A62" s="3">
        <v>1000</v>
      </c>
      <c r="B62" s="3">
        <f>29*2</f>
        <v>58</v>
      </c>
      <c r="C62" s="2">
        <v>24</v>
      </c>
      <c r="D62">
        <f t="shared" si="0"/>
        <v>58000</v>
      </c>
    </row>
    <row r="63" spans="1:4" x14ac:dyDescent="0.15">
      <c r="A63" s="3">
        <v>625</v>
      </c>
      <c r="B63" s="3">
        <v>24</v>
      </c>
      <c r="C63" s="2">
        <v>24</v>
      </c>
      <c r="D63">
        <f t="shared" si="0"/>
        <v>15000</v>
      </c>
    </row>
    <row r="64" spans="1:4" x14ac:dyDescent="0.15">
      <c r="A64" s="3">
        <v>1000</v>
      </c>
      <c r="B64" s="3">
        <v>26</v>
      </c>
      <c r="C64" s="3">
        <v>24</v>
      </c>
      <c r="D64">
        <f t="shared" si="0"/>
        <v>26000</v>
      </c>
    </row>
    <row r="65" spans="1:4" x14ac:dyDescent="0.15">
      <c r="A65" s="3">
        <v>250</v>
      </c>
      <c r="B65" s="3">
        <v>27</v>
      </c>
      <c r="C65" s="2">
        <v>26</v>
      </c>
      <c r="D65">
        <f t="shared" si="0"/>
        <v>6750</v>
      </c>
    </row>
    <row r="66" spans="1:4" x14ac:dyDescent="0.15">
      <c r="A66" s="3">
        <v>625</v>
      </c>
      <c r="B66" s="3">
        <v>18</v>
      </c>
      <c r="C66" s="2">
        <v>27</v>
      </c>
      <c r="D66">
        <f t="shared" si="0"/>
        <v>11250</v>
      </c>
    </row>
    <row r="67" spans="1:4" x14ac:dyDescent="0.15">
      <c r="A67" s="3">
        <v>2500</v>
      </c>
      <c r="B67" s="3">
        <v>24</v>
      </c>
      <c r="C67" s="2">
        <v>28</v>
      </c>
      <c r="D67">
        <f t="shared" ref="D67:D92" si="1">A67*B67</f>
        <v>60000</v>
      </c>
    </row>
    <row r="68" spans="1:4" x14ac:dyDescent="0.15">
      <c r="A68" s="3">
        <v>1000</v>
      </c>
      <c r="B68" s="3">
        <f>63*2</f>
        <v>126</v>
      </c>
      <c r="C68" s="2">
        <v>29</v>
      </c>
      <c r="D68">
        <f t="shared" si="1"/>
        <v>126000</v>
      </c>
    </row>
    <row r="69" spans="1:4" x14ac:dyDescent="0.15">
      <c r="A69" s="3">
        <v>1000</v>
      </c>
      <c r="B69" s="3">
        <f>63*2</f>
        <v>126</v>
      </c>
      <c r="C69" s="2">
        <v>29</v>
      </c>
      <c r="D69">
        <f t="shared" si="1"/>
        <v>126000</v>
      </c>
    </row>
    <row r="70" spans="1:4" x14ac:dyDescent="0.15">
      <c r="A70" s="3">
        <v>1000</v>
      </c>
      <c r="B70" s="3">
        <v>105</v>
      </c>
      <c r="C70" s="2">
        <v>29</v>
      </c>
      <c r="D70">
        <f t="shared" si="1"/>
        <v>105000</v>
      </c>
    </row>
    <row r="71" spans="1:4" x14ac:dyDescent="0.15">
      <c r="A71" s="3">
        <v>1000</v>
      </c>
      <c r="B71" s="3">
        <f>63*2</f>
        <v>126</v>
      </c>
      <c r="C71" s="2">
        <v>30</v>
      </c>
      <c r="D71">
        <f t="shared" si="1"/>
        <v>126000</v>
      </c>
    </row>
    <row r="72" spans="1:4" x14ac:dyDescent="0.15">
      <c r="A72" s="3">
        <v>1000</v>
      </c>
      <c r="B72" s="3">
        <f>63*2</f>
        <v>126</v>
      </c>
      <c r="C72" s="2">
        <v>30</v>
      </c>
      <c r="D72">
        <f t="shared" si="1"/>
        <v>126000</v>
      </c>
    </row>
    <row r="73" spans="1:4" x14ac:dyDescent="0.15">
      <c r="A73" s="3">
        <v>1000</v>
      </c>
      <c r="B73" s="3">
        <v>15</v>
      </c>
      <c r="C73" s="2">
        <v>34</v>
      </c>
      <c r="D73">
        <f t="shared" si="1"/>
        <v>15000</v>
      </c>
    </row>
    <row r="74" spans="1:4" x14ac:dyDescent="0.15">
      <c r="A74" s="3">
        <v>2500</v>
      </c>
      <c r="B74" s="3">
        <v>48</v>
      </c>
      <c r="C74" s="2">
        <v>38</v>
      </c>
      <c r="D74">
        <f t="shared" si="1"/>
        <v>120000</v>
      </c>
    </row>
    <row r="75" spans="1:4" x14ac:dyDescent="0.15">
      <c r="A75" s="3">
        <v>2500</v>
      </c>
      <c r="B75" s="3">
        <v>48</v>
      </c>
      <c r="C75" s="2">
        <v>38</v>
      </c>
      <c r="D75">
        <f t="shared" si="1"/>
        <v>120000</v>
      </c>
    </row>
    <row r="76" spans="1:4" x14ac:dyDescent="0.15">
      <c r="A76" s="3">
        <v>1000</v>
      </c>
      <c r="B76" s="3">
        <v>26</v>
      </c>
      <c r="C76" s="2">
        <v>38</v>
      </c>
      <c r="D76">
        <f t="shared" si="1"/>
        <v>26000</v>
      </c>
    </row>
    <row r="77" spans="1:4" x14ac:dyDescent="0.15">
      <c r="A77" s="3">
        <v>1000</v>
      </c>
      <c r="B77" s="3">
        <v>26</v>
      </c>
      <c r="C77" s="3">
        <v>38</v>
      </c>
      <c r="D77">
        <f t="shared" si="1"/>
        <v>26000</v>
      </c>
    </row>
    <row r="78" spans="1:4" x14ac:dyDescent="0.15">
      <c r="A78" s="3">
        <v>625</v>
      </c>
      <c r="B78" s="3">
        <v>72</v>
      </c>
      <c r="C78" s="2">
        <v>40</v>
      </c>
      <c r="D78">
        <f t="shared" si="1"/>
        <v>45000</v>
      </c>
    </row>
    <row r="79" spans="1:4" x14ac:dyDescent="0.15">
      <c r="A79" s="3">
        <v>625</v>
      </c>
      <c r="B79" s="3">
        <v>72</v>
      </c>
      <c r="C79" s="2">
        <v>40</v>
      </c>
      <c r="D79">
        <f t="shared" si="1"/>
        <v>45000</v>
      </c>
    </row>
    <row r="80" spans="1:4" x14ac:dyDescent="0.15">
      <c r="A80" s="3">
        <v>625</v>
      </c>
      <c r="B80" s="3">
        <v>18</v>
      </c>
      <c r="C80" s="2">
        <v>41</v>
      </c>
      <c r="D80">
        <f t="shared" si="1"/>
        <v>11250</v>
      </c>
    </row>
    <row r="81" spans="1:4" x14ac:dyDescent="0.15">
      <c r="A81" s="3">
        <v>1000</v>
      </c>
      <c r="B81" s="3">
        <f>58*4</f>
        <v>232</v>
      </c>
      <c r="C81" s="2">
        <v>43</v>
      </c>
      <c r="D81">
        <f t="shared" si="1"/>
        <v>232000</v>
      </c>
    </row>
    <row r="82" spans="1:4" x14ac:dyDescent="0.15">
      <c r="A82" s="3">
        <v>625</v>
      </c>
      <c r="B82" s="3">
        <v>160</v>
      </c>
      <c r="C82" s="2">
        <v>51</v>
      </c>
      <c r="D82">
        <f t="shared" si="1"/>
        <v>100000</v>
      </c>
    </row>
    <row r="83" spans="1:4" x14ac:dyDescent="0.15">
      <c r="A83" s="3">
        <v>625</v>
      </c>
      <c r="B83" s="3">
        <v>56</v>
      </c>
      <c r="C83" s="2">
        <v>53</v>
      </c>
      <c r="D83">
        <f t="shared" si="1"/>
        <v>35000</v>
      </c>
    </row>
    <row r="84" spans="1:4" x14ac:dyDescent="0.15">
      <c r="A84" s="3">
        <v>1000</v>
      </c>
      <c r="B84" s="3">
        <v>15</v>
      </c>
      <c r="C84" s="2">
        <v>56</v>
      </c>
      <c r="D84">
        <f t="shared" si="1"/>
        <v>15000</v>
      </c>
    </row>
    <row r="85" spans="1:4" x14ac:dyDescent="0.15">
      <c r="A85" s="3">
        <v>1000</v>
      </c>
      <c r="B85" s="3">
        <f>26*4</f>
        <v>104</v>
      </c>
      <c r="C85" s="2">
        <v>67</v>
      </c>
      <c r="D85">
        <f t="shared" si="1"/>
        <v>104000</v>
      </c>
    </row>
    <row r="86" spans="1:4" x14ac:dyDescent="0.15">
      <c r="A86" s="3">
        <v>1000</v>
      </c>
      <c r="B86" s="3">
        <v>60</v>
      </c>
      <c r="C86" s="2">
        <v>70</v>
      </c>
      <c r="D86">
        <f t="shared" si="1"/>
        <v>60000</v>
      </c>
    </row>
    <row r="87" spans="1:4" x14ac:dyDescent="0.15">
      <c r="A87" s="3">
        <v>1000</v>
      </c>
      <c r="B87" s="3">
        <v>60</v>
      </c>
      <c r="C87" s="2">
        <v>71</v>
      </c>
      <c r="D87">
        <f t="shared" si="1"/>
        <v>60000</v>
      </c>
    </row>
    <row r="88" spans="1:4" x14ac:dyDescent="0.15">
      <c r="A88" s="3">
        <v>1000</v>
      </c>
      <c r="B88" s="3">
        <v>15</v>
      </c>
      <c r="C88" s="2">
        <v>75</v>
      </c>
      <c r="D88">
        <f t="shared" si="1"/>
        <v>15000</v>
      </c>
    </row>
    <row r="89" spans="1:4" x14ac:dyDescent="0.15">
      <c r="A89" s="3">
        <v>1000</v>
      </c>
      <c r="B89" s="3">
        <v>135</v>
      </c>
      <c r="C89" s="2">
        <v>88</v>
      </c>
      <c r="D89">
        <f t="shared" si="1"/>
        <v>135000</v>
      </c>
    </row>
    <row r="90" spans="1:4" x14ac:dyDescent="0.15">
      <c r="A90" s="3">
        <v>1000</v>
      </c>
      <c r="B90" s="3">
        <v>30</v>
      </c>
      <c r="C90" s="2">
        <v>91</v>
      </c>
      <c r="D90">
        <f t="shared" si="1"/>
        <v>30000</v>
      </c>
    </row>
    <row r="91" spans="1:4" x14ac:dyDescent="0.15">
      <c r="A91" s="3">
        <v>625</v>
      </c>
      <c r="B91" s="3">
        <v>8</v>
      </c>
      <c r="C91" s="2">
        <v>143</v>
      </c>
      <c r="D91">
        <f t="shared" si="1"/>
        <v>5000</v>
      </c>
    </row>
    <row r="92" spans="1:4" x14ac:dyDescent="0.15">
      <c r="A92" s="3">
        <v>625</v>
      </c>
      <c r="B92" s="3">
        <v>8</v>
      </c>
      <c r="C92" s="2">
        <v>143</v>
      </c>
      <c r="D92">
        <f t="shared" si="1"/>
        <v>5000</v>
      </c>
    </row>
    <row r="145" spans="1:3" x14ac:dyDescent="0.15">
      <c r="A145" s="6">
        <v>500</v>
      </c>
      <c r="B145" s="6">
        <v>28</v>
      </c>
      <c r="C145" s="5">
        <v>6</v>
      </c>
    </row>
    <row r="146" spans="1:3" x14ac:dyDescent="0.15">
      <c r="A146" s="6">
        <v>500</v>
      </c>
      <c r="B146" s="6">
        <v>28</v>
      </c>
      <c r="C146" s="5">
        <v>4</v>
      </c>
    </row>
    <row r="151" spans="1:3" x14ac:dyDescent="0.15">
      <c r="C151" s="2">
        <v>345</v>
      </c>
    </row>
    <row r="152" spans="1:3" x14ac:dyDescent="0.15">
      <c r="C152" s="2">
        <v>57</v>
      </c>
    </row>
    <row r="153" spans="1:3" x14ac:dyDescent="0.15">
      <c r="C153" s="2">
        <v>72</v>
      </c>
    </row>
    <row r="154" spans="1:3" x14ac:dyDescent="0.15">
      <c r="C154" s="2">
        <v>58</v>
      </c>
    </row>
    <row r="155" spans="1:3" x14ac:dyDescent="0.15">
      <c r="C155" s="2">
        <v>81</v>
      </c>
    </row>
    <row r="156" spans="1:3" x14ac:dyDescent="0.15">
      <c r="C156" s="2">
        <v>145</v>
      </c>
    </row>
    <row r="157" spans="1:3" x14ac:dyDescent="0.15">
      <c r="C157" s="2">
        <v>63</v>
      </c>
    </row>
    <row r="158" spans="1:3" x14ac:dyDescent="0.15">
      <c r="C158" s="2">
        <v>48</v>
      </c>
    </row>
    <row r="159" spans="1:3" x14ac:dyDescent="0.15">
      <c r="C159" s="2">
        <v>57</v>
      </c>
    </row>
    <row r="160" spans="1:3" x14ac:dyDescent="0.15">
      <c r="C160" s="2">
        <v>78</v>
      </c>
    </row>
    <row r="161" spans="3:3" x14ac:dyDescent="0.15">
      <c r="C161" s="2">
        <v>127</v>
      </c>
    </row>
    <row r="162" spans="3:3" x14ac:dyDescent="0.15">
      <c r="C162" s="2">
        <v>14</v>
      </c>
    </row>
    <row r="163" spans="3:3" x14ac:dyDescent="0.15">
      <c r="C163" s="2">
        <v>116</v>
      </c>
    </row>
    <row r="164" spans="3:3" x14ac:dyDescent="0.15">
      <c r="C164" s="2">
        <v>345</v>
      </c>
    </row>
    <row r="165" spans="3:3" x14ac:dyDescent="0.15">
      <c r="C165" s="2">
        <v>57</v>
      </c>
    </row>
    <row r="166" spans="3:3" x14ac:dyDescent="0.15">
      <c r="C166" s="2">
        <v>72</v>
      </c>
    </row>
    <row r="167" spans="3:3" x14ac:dyDescent="0.15">
      <c r="C167" s="2">
        <v>58</v>
      </c>
    </row>
    <row r="168" spans="3:3" x14ac:dyDescent="0.15">
      <c r="C168" s="2">
        <v>81</v>
      </c>
    </row>
    <row r="169" spans="3:3" x14ac:dyDescent="0.15">
      <c r="C169" s="2">
        <v>145</v>
      </c>
    </row>
    <row r="170" spans="3:3" x14ac:dyDescent="0.15">
      <c r="C170" s="2">
        <v>63</v>
      </c>
    </row>
    <row r="171" spans="3:3" x14ac:dyDescent="0.15">
      <c r="C171" s="2">
        <v>48</v>
      </c>
    </row>
    <row r="172" spans="3:3" x14ac:dyDescent="0.15">
      <c r="C172" s="2">
        <v>57</v>
      </c>
    </row>
    <row r="173" spans="3:3" x14ac:dyDescent="0.15">
      <c r="C173" s="2">
        <v>78</v>
      </c>
    </row>
    <row r="174" spans="3:3" x14ac:dyDescent="0.15">
      <c r="C174" s="2">
        <v>127</v>
      </c>
    </row>
    <row r="175" spans="3:3" x14ac:dyDescent="0.15">
      <c r="C175" s="2">
        <v>14</v>
      </c>
    </row>
    <row r="176" spans="3:3" x14ac:dyDescent="0.15">
      <c r="C176" s="2">
        <v>116</v>
      </c>
    </row>
    <row r="177" spans="1:3" x14ac:dyDescent="0.15">
      <c r="A177" s="3">
        <v>625</v>
      </c>
      <c r="B177" s="3">
        <v>48</v>
      </c>
      <c r="C177" s="2">
        <v>41</v>
      </c>
    </row>
    <row r="178" spans="1:3" x14ac:dyDescent="0.15">
      <c r="A178" s="3">
        <v>625</v>
      </c>
      <c r="B178" s="3">
        <v>48</v>
      </c>
      <c r="C178" s="2">
        <v>41</v>
      </c>
    </row>
    <row r="179" spans="1:3" x14ac:dyDescent="0.15">
      <c r="A179" s="6">
        <v>500</v>
      </c>
      <c r="B179" s="6">
        <v>180</v>
      </c>
      <c r="C179" s="5">
        <v>29</v>
      </c>
    </row>
    <row r="180" spans="1:3" x14ac:dyDescent="0.15">
      <c r="A180" s="3">
        <v>500</v>
      </c>
      <c r="B180" s="3">
        <v>42</v>
      </c>
      <c r="C180" s="2">
        <v>13</v>
      </c>
    </row>
    <row r="181" spans="1:3" x14ac:dyDescent="0.15">
      <c r="A181" s="3">
        <v>500</v>
      </c>
      <c r="B181" s="3">
        <v>3</v>
      </c>
    </row>
    <row r="182" spans="1:3" x14ac:dyDescent="0.15">
      <c r="A182" s="3">
        <v>500</v>
      </c>
      <c r="B182" s="3">
        <v>3</v>
      </c>
    </row>
    <row r="183" spans="1:3" x14ac:dyDescent="0.15">
      <c r="A183" s="3">
        <v>500</v>
      </c>
      <c r="B183" s="3">
        <v>3</v>
      </c>
    </row>
    <row r="184" spans="1:3" x14ac:dyDescent="0.15">
      <c r="A184" s="3">
        <v>500</v>
      </c>
      <c r="B184" s="3">
        <v>3</v>
      </c>
    </row>
    <row r="185" spans="1:3" x14ac:dyDescent="0.15">
      <c r="A185" s="3">
        <v>500</v>
      </c>
      <c r="B185" s="3">
        <v>3</v>
      </c>
    </row>
    <row r="186" spans="1:3" x14ac:dyDescent="0.15">
      <c r="A186" s="3">
        <v>500</v>
      </c>
      <c r="B186" s="3">
        <v>3</v>
      </c>
    </row>
    <row r="187" spans="1:3" x14ac:dyDescent="0.15">
      <c r="A187" s="3">
        <v>500</v>
      </c>
      <c r="B187" s="3">
        <v>3</v>
      </c>
    </row>
    <row r="188" spans="1:3" x14ac:dyDescent="0.15">
      <c r="A188" s="3">
        <v>500</v>
      </c>
      <c r="B188" s="3">
        <v>3</v>
      </c>
    </row>
    <row r="189" spans="1:3" x14ac:dyDescent="0.15">
      <c r="A189" s="3">
        <v>500</v>
      </c>
      <c r="B189" s="3">
        <v>3</v>
      </c>
    </row>
    <row r="190" spans="1:3" x14ac:dyDescent="0.15">
      <c r="A190" s="3">
        <v>500</v>
      </c>
      <c r="B190" s="3">
        <v>3</v>
      </c>
    </row>
    <row r="191" spans="1:3" x14ac:dyDescent="0.15">
      <c r="A191" s="3">
        <v>500</v>
      </c>
      <c r="B191" s="3">
        <v>3</v>
      </c>
    </row>
    <row r="192" spans="1:3" x14ac:dyDescent="0.15">
      <c r="A192" s="3">
        <v>500</v>
      </c>
      <c r="B192" s="3">
        <v>3</v>
      </c>
    </row>
    <row r="193" spans="1:3" x14ac:dyDescent="0.15">
      <c r="A193" s="3">
        <v>500</v>
      </c>
      <c r="B193" s="3">
        <v>3</v>
      </c>
    </row>
    <row r="194" spans="1:3" x14ac:dyDescent="0.15">
      <c r="A194" s="3">
        <v>500</v>
      </c>
      <c r="B194" s="3">
        <v>3</v>
      </c>
    </row>
    <row r="195" spans="1:3" x14ac:dyDescent="0.15">
      <c r="A195" s="3">
        <v>1000</v>
      </c>
      <c r="B195" s="3">
        <v>24</v>
      </c>
      <c r="C195" s="2">
        <v>25</v>
      </c>
    </row>
    <row r="196" spans="1:3" x14ac:dyDescent="0.15">
      <c r="A196" s="6">
        <v>1000</v>
      </c>
      <c r="B196" s="6">
        <v>80</v>
      </c>
      <c r="C196" s="5">
        <v>19</v>
      </c>
    </row>
    <row r="197" spans="1:3" x14ac:dyDescent="0.15">
      <c r="A197" s="3">
        <v>1000</v>
      </c>
      <c r="B197" s="3">
        <v>12</v>
      </c>
      <c r="C197" s="2">
        <v>6</v>
      </c>
    </row>
    <row r="198" spans="1:3" x14ac:dyDescent="0.15">
      <c r="A198" s="3">
        <v>1000</v>
      </c>
      <c r="B198" s="3">
        <v>18</v>
      </c>
      <c r="C198" s="2">
        <v>5</v>
      </c>
    </row>
    <row r="199" spans="1:3" x14ac:dyDescent="0.15">
      <c r="A199" s="3">
        <v>1000</v>
      </c>
      <c r="B199" s="3">
        <v>18</v>
      </c>
      <c r="C199" s="2">
        <v>8</v>
      </c>
    </row>
    <row r="200" spans="1:3" x14ac:dyDescent="0.15">
      <c r="A200" s="3">
        <v>1000</v>
      </c>
      <c r="B200" s="3">
        <v>18</v>
      </c>
      <c r="C200" s="2">
        <v>1</v>
      </c>
    </row>
    <row r="201" spans="1:3" x14ac:dyDescent="0.15">
      <c r="A201" s="3">
        <v>1000</v>
      </c>
      <c r="B201" s="3">
        <v>14</v>
      </c>
      <c r="C201" s="2">
        <v>9</v>
      </c>
    </row>
    <row r="202" spans="1:3" x14ac:dyDescent="0.15">
      <c r="A202" s="3">
        <v>1000</v>
      </c>
      <c r="B202" s="3">
        <v>14</v>
      </c>
    </row>
    <row r="203" spans="1:3" x14ac:dyDescent="0.15">
      <c r="A203" s="3">
        <v>1000</v>
      </c>
      <c r="B203" s="3">
        <v>14</v>
      </c>
    </row>
    <row r="204" spans="1:3" x14ac:dyDescent="0.15">
      <c r="A204" s="3">
        <v>1000</v>
      </c>
      <c r="B204" s="3">
        <v>14</v>
      </c>
    </row>
    <row r="205" spans="1:3" x14ac:dyDescent="0.15">
      <c r="A205" s="3">
        <v>1000</v>
      </c>
      <c r="B205" s="3">
        <v>14</v>
      </c>
    </row>
    <row r="206" spans="1:3" x14ac:dyDescent="0.15">
      <c r="A206" s="3">
        <v>1000</v>
      </c>
      <c r="B206" s="3">
        <v>14</v>
      </c>
    </row>
    <row r="207" spans="1:3" x14ac:dyDescent="0.15">
      <c r="A207" s="3">
        <v>1000</v>
      </c>
      <c r="B207" s="3">
        <v>14</v>
      </c>
    </row>
    <row r="208" spans="1:3" x14ac:dyDescent="0.15">
      <c r="A208" s="3">
        <v>1000</v>
      </c>
      <c r="B208" s="3">
        <v>14</v>
      </c>
    </row>
    <row r="209" spans="1:3" x14ac:dyDescent="0.15">
      <c r="A209" s="3">
        <v>1000</v>
      </c>
      <c r="B209" s="3">
        <v>26</v>
      </c>
      <c r="C209" s="2">
        <v>12</v>
      </c>
    </row>
    <row r="218" spans="1:3" x14ac:dyDescent="0.15">
      <c r="A218" s="3">
        <v>2500</v>
      </c>
      <c r="B218" s="3">
        <v>63</v>
      </c>
      <c r="C218" s="2">
        <v>34</v>
      </c>
    </row>
    <row r="219" spans="1:3" x14ac:dyDescent="0.15">
      <c r="A219" s="3">
        <v>2500</v>
      </c>
      <c r="B219" s="3">
        <v>9</v>
      </c>
      <c r="C219" s="2">
        <v>11</v>
      </c>
    </row>
    <row r="220" spans="1:3" x14ac:dyDescent="0.15">
      <c r="A220" s="3">
        <v>2500</v>
      </c>
      <c r="B220" s="3">
        <v>9</v>
      </c>
      <c r="C220" s="2">
        <v>18</v>
      </c>
    </row>
    <row r="221" spans="1:3" x14ac:dyDescent="0.15">
      <c r="A221" s="3">
        <v>2500</v>
      </c>
      <c r="B221" s="3">
        <v>9</v>
      </c>
      <c r="C221" s="2">
        <v>12</v>
      </c>
    </row>
    <row r="222" spans="1:3" x14ac:dyDescent="0.15">
      <c r="A222" s="3">
        <v>2500</v>
      </c>
      <c r="B222" s="3">
        <v>9</v>
      </c>
      <c r="C222" s="2">
        <v>24</v>
      </c>
    </row>
    <row r="223" spans="1:3" x14ac:dyDescent="0.15">
      <c r="A223" s="3">
        <v>2500</v>
      </c>
      <c r="B223" s="3">
        <v>9</v>
      </c>
      <c r="C223" s="2">
        <v>17</v>
      </c>
    </row>
    <row r="224" spans="1:3" x14ac:dyDescent="0.15">
      <c r="A224" s="3">
        <v>2500</v>
      </c>
      <c r="B224" s="3">
        <v>9</v>
      </c>
      <c r="C224" s="2">
        <v>13</v>
      </c>
    </row>
    <row r="225" spans="1:3" x14ac:dyDescent="0.15">
      <c r="A225" s="3">
        <v>2500</v>
      </c>
      <c r="B225" s="3">
        <v>9</v>
      </c>
      <c r="C225" s="2">
        <v>12</v>
      </c>
    </row>
    <row r="226" spans="1:3" x14ac:dyDescent="0.15">
      <c r="A226" s="3">
        <v>625</v>
      </c>
      <c r="B226" s="3">
        <f>24*6</f>
        <v>144</v>
      </c>
      <c r="C226" s="2">
        <v>40</v>
      </c>
    </row>
    <row r="227" spans="1:3" x14ac:dyDescent="0.15">
      <c r="A227" s="3">
        <v>625</v>
      </c>
      <c r="B227" s="3">
        <f>24*6</f>
        <v>144</v>
      </c>
      <c r="C227" s="2">
        <v>40</v>
      </c>
    </row>
    <row r="228" spans="1:3" x14ac:dyDescent="0.15">
      <c r="A228" s="3">
        <v>625</v>
      </c>
      <c r="B228" s="3">
        <v>30</v>
      </c>
      <c r="C228" s="2">
        <v>45</v>
      </c>
    </row>
    <row r="229" spans="1:3" x14ac:dyDescent="0.15">
      <c r="A229" s="3">
        <v>625</v>
      </c>
      <c r="B229" s="3">
        <v>6</v>
      </c>
    </row>
    <row r="230" spans="1:3" x14ac:dyDescent="0.15">
      <c r="A230" s="3">
        <v>625</v>
      </c>
      <c r="B230" s="3">
        <v>6</v>
      </c>
    </row>
    <row r="231" spans="1:3" x14ac:dyDescent="0.15">
      <c r="A231" s="3">
        <v>625</v>
      </c>
      <c r="B231" s="3">
        <v>6</v>
      </c>
    </row>
    <row r="232" spans="1:3" x14ac:dyDescent="0.15">
      <c r="A232" s="3">
        <v>625</v>
      </c>
      <c r="B232" s="3">
        <v>6</v>
      </c>
    </row>
    <row r="233" spans="1:3" x14ac:dyDescent="0.15">
      <c r="A233" s="3">
        <v>625</v>
      </c>
      <c r="B233" s="3">
        <v>6</v>
      </c>
    </row>
    <row r="234" spans="1:3" x14ac:dyDescent="0.15">
      <c r="A234" s="3">
        <v>625</v>
      </c>
      <c r="B234" s="3">
        <v>120</v>
      </c>
      <c r="C234" s="2">
        <v>125</v>
      </c>
    </row>
    <row r="235" spans="1:3" x14ac:dyDescent="0.15">
      <c r="A235" s="3">
        <v>625</v>
      </c>
      <c r="B235" s="3">
        <v>120</v>
      </c>
      <c r="C235" s="2">
        <v>125</v>
      </c>
    </row>
    <row r="236" spans="1:3" x14ac:dyDescent="0.15">
      <c r="A236" s="18">
        <v>625</v>
      </c>
      <c r="B236" s="18">
        <v>14</v>
      </c>
      <c r="C236" s="17">
        <v>17</v>
      </c>
    </row>
    <row r="237" spans="1:3" x14ac:dyDescent="0.15">
      <c r="A237" s="3">
        <v>500</v>
      </c>
      <c r="B237" s="3">
        <f>33*5</f>
        <v>165</v>
      </c>
      <c r="C237" s="2">
        <v>27</v>
      </c>
    </row>
    <row r="238" spans="1:3" x14ac:dyDescent="0.15">
      <c r="A238" s="3">
        <v>500</v>
      </c>
      <c r="B238" s="3">
        <f t="shared" ref="B238:B242" si="2">33*5</f>
        <v>165</v>
      </c>
      <c r="C238" s="2">
        <v>19</v>
      </c>
    </row>
    <row r="239" spans="1:3" x14ac:dyDescent="0.15">
      <c r="A239" s="3">
        <v>500</v>
      </c>
      <c r="B239" s="3">
        <f t="shared" si="2"/>
        <v>165</v>
      </c>
      <c r="C239" s="2">
        <v>15</v>
      </c>
    </row>
    <row r="240" spans="1:3" x14ac:dyDescent="0.15">
      <c r="A240" s="3">
        <v>500</v>
      </c>
      <c r="B240" s="3">
        <f t="shared" si="2"/>
        <v>165</v>
      </c>
      <c r="C240" s="2">
        <v>17</v>
      </c>
    </row>
    <row r="241" spans="1:3" x14ac:dyDescent="0.15">
      <c r="A241" s="3">
        <v>500</v>
      </c>
      <c r="B241" s="3">
        <f t="shared" si="2"/>
        <v>165</v>
      </c>
      <c r="C241" s="2">
        <v>8</v>
      </c>
    </row>
    <row r="242" spans="1:3" x14ac:dyDescent="0.15">
      <c r="A242" s="3">
        <v>500</v>
      </c>
      <c r="B242" s="3">
        <f t="shared" si="2"/>
        <v>165</v>
      </c>
      <c r="C242" s="2">
        <v>15</v>
      </c>
    </row>
    <row r="243" spans="1:3" x14ac:dyDescent="0.15">
      <c r="A243" s="3">
        <v>1000</v>
      </c>
      <c r="B243" s="3">
        <v>40</v>
      </c>
      <c r="C243" s="2">
        <v>28</v>
      </c>
    </row>
    <row r="244" spans="1:3" x14ac:dyDescent="0.15">
      <c r="A244" s="3">
        <v>1000</v>
      </c>
      <c r="B244" s="3">
        <v>40</v>
      </c>
    </row>
    <row r="245" spans="1:3" x14ac:dyDescent="0.15">
      <c r="A245" s="3">
        <v>1000</v>
      </c>
      <c r="B245" s="3">
        <v>40</v>
      </c>
    </row>
    <row r="246" spans="1:3" x14ac:dyDescent="0.15">
      <c r="A246" s="3">
        <v>1000</v>
      </c>
      <c r="B246" s="3">
        <v>40</v>
      </c>
    </row>
    <row r="247" spans="1:3" x14ac:dyDescent="0.15">
      <c r="A247" s="6">
        <v>1000</v>
      </c>
      <c r="B247" s="6">
        <v>20</v>
      </c>
      <c r="C247" s="5"/>
    </row>
    <row r="248" spans="1:3" x14ac:dyDescent="0.15">
      <c r="A248" s="6">
        <v>1000</v>
      </c>
      <c r="B248" s="6">
        <v>20</v>
      </c>
      <c r="C248" s="5"/>
    </row>
    <row r="249" spans="1:3" x14ac:dyDescent="0.15">
      <c r="A249" s="6">
        <v>1000</v>
      </c>
      <c r="B249" s="6">
        <v>20</v>
      </c>
      <c r="C249" s="5"/>
    </row>
    <row r="250" spans="1:3" x14ac:dyDescent="0.15">
      <c r="A250" s="6">
        <v>1000</v>
      </c>
      <c r="B250" s="6">
        <v>20</v>
      </c>
      <c r="C250" s="5"/>
    </row>
    <row r="251" spans="1:3" x14ac:dyDescent="0.15">
      <c r="A251" s="6">
        <v>1000</v>
      </c>
      <c r="B251" s="6">
        <v>20</v>
      </c>
      <c r="C251" s="5"/>
    </row>
    <row r="252" spans="1:3" x14ac:dyDescent="0.15">
      <c r="A252" s="6">
        <v>1000</v>
      </c>
      <c r="B252" s="6">
        <v>20</v>
      </c>
      <c r="C252" s="5"/>
    </row>
    <row r="253" spans="1:3" x14ac:dyDescent="0.15">
      <c r="A253" s="6">
        <v>1000</v>
      </c>
      <c r="B253" s="6">
        <v>20</v>
      </c>
      <c r="C253" s="5"/>
    </row>
    <row r="254" spans="1:3" x14ac:dyDescent="0.15">
      <c r="A254" s="6">
        <v>1000</v>
      </c>
      <c r="B254" s="6">
        <v>20</v>
      </c>
      <c r="C254" s="5"/>
    </row>
    <row r="255" spans="1:3" x14ac:dyDescent="0.15">
      <c r="A255" s="6">
        <v>1000</v>
      </c>
      <c r="B255" s="6">
        <v>20</v>
      </c>
      <c r="C255" s="5"/>
    </row>
    <row r="256" spans="1:3" x14ac:dyDescent="0.15">
      <c r="A256" s="6">
        <v>1000</v>
      </c>
      <c r="B256" s="6">
        <v>20</v>
      </c>
      <c r="C256" s="5"/>
    </row>
    <row r="257" spans="1:3" x14ac:dyDescent="0.15">
      <c r="A257" s="6">
        <v>1000</v>
      </c>
      <c r="B257" s="6">
        <v>20</v>
      </c>
      <c r="C257" s="5"/>
    </row>
    <row r="258" spans="1:3" x14ac:dyDescent="0.15">
      <c r="A258" s="6">
        <v>1000</v>
      </c>
      <c r="B258" s="6">
        <v>20</v>
      </c>
      <c r="C258" s="5"/>
    </row>
    <row r="259" spans="1:3" x14ac:dyDescent="0.15">
      <c r="A259" s="6">
        <v>1000</v>
      </c>
      <c r="B259" s="6">
        <v>20</v>
      </c>
      <c r="C259" s="5"/>
    </row>
    <row r="260" spans="1:3" x14ac:dyDescent="0.15">
      <c r="A260" s="6">
        <v>1000</v>
      </c>
      <c r="B260" s="6">
        <v>20</v>
      </c>
      <c r="C260" s="5"/>
    </row>
    <row r="261" spans="1:3" x14ac:dyDescent="0.15">
      <c r="A261" s="6">
        <v>1000</v>
      </c>
      <c r="B261" s="6">
        <v>20</v>
      </c>
      <c r="C261" s="5"/>
    </row>
    <row r="262" spans="1:3" x14ac:dyDescent="0.15">
      <c r="A262" s="6">
        <v>1000</v>
      </c>
      <c r="B262" s="6">
        <v>20</v>
      </c>
      <c r="C262" s="5"/>
    </row>
    <row r="263" spans="1:3" x14ac:dyDescent="0.15">
      <c r="A263" s="6">
        <v>1000</v>
      </c>
      <c r="B263" s="6">
        <v>20</v>
      </c>
      <c r="C263" s="5"/>
    </row>
    <row r="264" spans="1:3" x14ac:dyDescent="0.15">
      <c r="A264" s="6">
        <v>1000</v>
      </c>
      <c r="B264" s="6">
        <v>20</v>
      </c>
      <c r="C264" s="5"/>
    </row>
    <row r="265" spans="1:3" x14ac:dyDescent="0.15">
      <c r="A265" s="6">
        <v>1000</v>
      </c>
      <c r="B265" s="6">
        <v>20</v>
      </c>
      <c r="C265" s="5"/>
    </row>
    <row r="266" spans="1:3" x14ac:dyDescent="0.15">
      <c r="A266" s="6">
        <v>1000</v>
      </c>
      <c r="B266" s="6">
        <v>20</v>
      </c>
      <c r="C266" s="5"/>
    </row>
    <row r="267" spans="1:3" x14ac:dyDescent="0.15">
      <c r="A267" s="3">
        <v>1000</v>
      </c>
      <c r="B267" s="3">
        <v>30</v>
      </c>
      <c r="C267" s="2">
        <v>49</v>
      </c>
    </row>
    <row r="268" spans="1:3" x14ac:dyDescent="0.15">
      <c r="A268" s="3">
        <v>1000</v>
      </c>
      <c r="B268" s="3">
        <v>30</v>
      </c>
      <c r="C268" s="2">
        <v>49</v>
      </c>
    </row>
    <row r="269" spans="1:3" x14ac:dyDescent="0.15">
      <c r="A269" s="3">
        <v>500</v>
      </c>
      <c r="B269" s="3">
        <v>160</v>
      </c>
      <c r="C269" s="2">
        <v>74</v>
      </c>
    </row>
    <row r="270" spans="1:3" x14ac:dyDescent="0.15">
      <c r="A270" s="3">
        <v>500</v>
      </c>
      <c r="B270" s="3">
        <v>160</v>
      </c>
      <c r="C270" s="2">
        <v>74</v>
      </c>
    </row>
    <row r="271" spans="1:3" x14ac:dyDescent="0.15">
      <c r="A271" s="3">
        <v>500</v>
      </c>
      <c r="B271" s="3">
        <v>240</v>
      </c>
    </row>
    <row r="272" spans="1:3" x14ac:dyDescent="0.15">
      <c r="A272" s="3">
        <v>500</v>
      </c>
      <c r="B272" s="3">
        <v>80</v>
      </c>
    </row>
    <row r="273" spans="1:3" x14ac:dyDescent="0.15">
      <c r="A273" s="3">
        <v>500</v>
      </c>
      <c r="B273" s="3">
        <v>80</v>
      </c>
    </row>
    <row r="274" spans="1:3" x14ac:dyDescent="0.15">
      <c r="A274" s="3">
        <v>500</v>
      </c>
      <c r="B274" s="3">
        <v>80</v>
      </c>
    </row>
    <row r="275" spans="1:3" x14ac:dyDescent="0.15">
      <c r="A275" s="3">
        <v>625</v>
      </c>
      <c r="B275" s="3">
        <v>12</v>
      </c>
      <c r="C275" s="2">
        <v>6</v>
      </c>
    </row>
    <row r="276" spans="1:3" x14ac:dyDescent="0.15">
      <c r="A276" s="3">
        <v>500</v>
      </c>
      <c r="B276" s="3">
        <v>45</v>
      </c>
      <c r="C276" s="2">
        <v>10</v>
      </c>
    </row>
    <row r="277" spans="1:3" x14ac:dyDescent="0.15">
      <c r="C277" s="2">
        <v>5</v>
      </c>
    </row>
    <row r="278" spans="1:3" x14ac:dyDescent="0.15">
      <c r="A278" s="6"/>
      <c r="B278" s="6"/>
      <c r="C278" s="5"/>
    </row>
    <row r="279" spans="1:3" x14ac:dyDescent="0.15">
      <c r="A279" s="6"/>
      <c r="B279" s="6"/>
      <c r="C279" s="5"/>
    </row>
    <row r="280" spans="1:3" x14ac:dyDescent="0.15">
      <c r="A280" s="3">
        <v>2500</v>
      </c>
      <c r="B280" s="3">
        <v>63</v>
      </c>
      <c r="C280" s="2">
        <v>51</v>
      </c>
    </row>
    <row r="281" spans="1:3" x14ac:dyDescent="0.15">
      <c r="A281" s="3">
        <v>2500</v>
      </c>
      <c r="B281" s="3">
        <v>63</v>
      </c>
      <c r="C281" s="2">
        <v>48</v>
      </c>
    </row>
    <row r="282" spans="1:3" x14ac:dyDescent="0.15">
      <c r="A282" s="3">
        <v>500</v>
      </c>
      <c r="B282" s="3">
        <f>54*3*4</f>
        <v>648</v>
      </c>
      <c r="C282" s="2">
        <v>34</v>
      </c>
    </row>
    <row r="283" spans="1:3" x14ac:dyDescent="0.15">
      <c r="A283" s="3">
        <v>500</v>
      </c>
      <c r="B283" s="3">
        <v>162</v>
      </c>
    </row>
    <row r="284" spans="1:3" x14ac:dyDescent="0.15">
      <c r="A284" s="3">
        <v>500</v>
      </c>
      <c r="B284" s="3">
        <v>162</v>
      </c>
    </row>
    <row r="285" spans="1:3" x14ac:dyDescent="0.15">
      <c r="A285" s="3">
        <v>500</v>
      </c>
      <c r="B285" s="3">
        <v>162</v>
      </c>
    </row>
    <row r="286" spans="1:3" x14ac:dyDescent="0.15">
      <c r="A286" s="3">
        <v>500</v>
      </c>
      <c r="B286" s="3">
        <v>162</v>
      </c>
    </row>
    <row r="291" spans="1:3" x14ac:dyDescent="0.15">
      <c r="A291" s="6">
        <v>625</v>
      </c>
      <c r="B291" s="6">
        <f>56*2</f>
        <v>112</v>
      </c>
      <c r="C291" s="5">
        <v>57</v>
      </c>
    </row>
    <row r="292" spans="1:3" x14ac:dyDescent="0.15">
      <c r="A292" s="6">
        <v>625</v>
      </c>
      <c r="B292" s="6">
        <f>56*2</f>
        <v>112</v>
      </c>
      <c r="C292" s="5">
        <v>57</v>
      </c>
    </row>
    <row r="293" spans="1:3" x14ac:dyDescent="0.15">
      <c r="A293" s="3">
        <v>500</v>
      </c>
      <c r="B293" s="3">
        <v>30</v>
      </c>
      <c r="C293" s="2">
        <v>22</v>
      </c>
    </row>
    <row r="298" spans="1:3" x14ac:dyDescent="0.15">
      <c r="A298" s="3">
        <v>500</v>
      </c>
      <c r="B298" s="3">
        <v>60</v>
      </c>
      <c r="C298" s="2">
        <v>23</v>
      </c>
    </row>
    <row r="299" spans="1:3" x14ac:dyDescent="0.15">
      <c r="A299" s="3">
        <v>1000</v>
      </c>
      <c r="B299" s="3">
        <v>54</v>
      </c>
      <c r="C299" s="2">
        <v>25</v>
      </c>
    </row>
    <row r="300" spans="1:3" x14ac:dyDescent="0.15">
      <c r="A300" s="3">
        <v>1000</v>
      </c>
      <c r="B300" s="3">
        <v>54</v>
      </c>
      <c r="C300" s="2">
        <v>25</v>
      </c>
    </row>
    <row r="301" spans="1:3" x14ac:dyDescent="0.15">
      <c r="A301" s="3">
        <v>625</v>
      </c>
      <c r="B301" s="3">
        <v>42</v>
      </c>
      <c r="C301" s="2">
        <v>32</v>
      </c>
    </row>
    <row r="302" spans="1:3" x14ac:dyDescent="0.15">
      <c r="A302" s="3">
        <v>625</v>
      </c>
      <c r="B302" s="3">
        <v>21</v>
      </c>
    </row>
    <row r="303" spans="1:3" x14ac:dyDescent="0.15">
      <c r="A303" s="3">
        <v>625</v>
      </c>
      <c r="B303" s="3">
        <v>21</v>
      </c>
    </row>
    <row r="304" spans="1:3" x14ac:dyDescent="0.15">
      <c r="A304" s="3">
        <v>625</v>
      </c>
      <c r="B304" s="3">
        <v>14</v>
      </c>
      <c r="C304" s="2">
        <v>14</v>
      </c>
    </row>
    <row r="305" spans="1:3" x14ac:dyDescent="0.15">
      <c r="A305" s="3">
        <v>625</v>
      </c>
      <c r="B305" s="3">
        <v>14</v>
      </c>
      <c r="C305" s="2">
        <v>16</v>
      </c>
    </row>
    <row r="306" spans="1:3" x14ac:dyDescent="0.15">
      <c r="A306" s="3">
        <v>2500</v>
      </c>
      <c r="B306" s="3">
        <f>27*7</f>
        <v>189</v>
      </c>
      <c r="C306" s="2">
        <v>110</v>
      </c>
    </row>
    <row r="307" spans="1:3" x14ac:dyDescent="0.15">
      <c r="A307" s="3">
        <v>2500</v>
      </c>
      <c r="B307" s="3">
        <v>27</v>
      </c>
    </row>
    <row r="308" spans="1:3" x14ac:dyDescent="0.15">
      <c r="A308" s="3">
        <v>2500</v>
      </c>
      <c r="B308" s="3">
        <v>27</v>
      </c>
    </row>
    <row r="309" spans="1:3" x14ac:dyDescent="0.15">
      <c r="A309" s="3">
        <v>2500</v>
      </c>
      <c r="B309" s="3">
        <v>27</v>
      </c>
    </row>
    <row r="310" spans="1:3" x14ac:dyDescent="0.15">
      <c r="A310" s="3">
        <v>2500</v>
      </c>
      <c r="B310" s="3">
        <v>27</v>
      </c>
    </row>
    <row r="311" spans="1:3" x14ac:dyDescent="0.15">
      <c r="A311" s="3">
        <v>2500</v>
      </c>
      <c r="B311" s="3">
        <v>27</v>
      </c>
    </row>
    <row r="312" spans="1:3" x14ac:dyDescent="0.15">
      <c r="A312" s="3">
        <v>2500</v>
      </c>
      <c r="B312" s="3">
        <v>27</v>
      </c>
    </row>
    <row r="313" spans="1:3" x14ac:dyDescent="0.15">
      <c r="A313" s="3">
        <v>2500</v>
      </c>
      <c r="B313" s="3">
        <v>27</v>
      </c>
    </row>
    <row r="314" spans="1:3" x14ac:dyDescent="0.15">
      <c r="A314" s="3">
        <v>1000</v>
      </c>
      <c r="B314" s="3">
        <v>44</v>
      </c>
      <c r="C314" s="2">
        <v>131</v>
      </c>
    </row>
    <row r="315" spans="1:3" x14ac:dyDescent="0.15">
      <c r="A315" s="3">
        <v>1000</v>
      </c>
      <c r="B315" s="3">
        <v>22</v>
      </c>
    </row>
    <row r="316" spans="1:3" x14ac:dyDescent="0.15">
      <c r="A316" s="3">
        <v>1000</v>
      </c>
      <c r="B316" s="3">
        <v>22</v>
      </c>
    </row>
    <row r="320" spans="1:3" x14ac:dyDescent="0.15">
      <c r="A320" s="3">
        <v>1000</v>
      </c>
      <c r="B320" s="3">
        <v>34</v>
      </c>
      <c r="C320" s="2">
        <v>76</v>
      </c>
    </row>
    <row r="325" spans="1:3" x14ac:dyDescent="0.15">
      <c r="A325" s="3">
        <v>1000</v>
      </c>
      <c r="B325" s="3">
        <v>170</v>
      </c>
      <c r="C325" s="2">
        <v>122</v>
      </c>
    </row>
    <row r="326" spans="1:3" x14ac:dyDescent="0.15">
      <c r="A326" s="3">
        <v>1000</v>
      </c>
      <c r="B326" s="3">
        <v>42</v>
      </c>
    </row>
    <row r="327" spans="1:3" x14ac:dyDescent="0.15">
      <c r="A327" s="3">
        <v>1000</v>
      </c>
      <c r="B327" s="3">
        <v>18</v>
      </c>
    </row>
    <row r="328" spans="1:3" x14ac:dyDescent="0.15">
      <c r="A328" s="3">
        <v>1000</v>
      </c>
      <c r="B328" s="3">
        <v>50</v>
      </c>
    </row>
    <row r="329" spans="1:3" x14ac:dyDescent="0.15">
      <c r="A329" s="3">
        <v>1000</v>
      </c>
      <c r="B329" s="3">
        <v>44</v>
      </c>
    </row>
    <row r="330" spans="1:3" x14ac:dyDescent="0.15">
      <c r="A330" s="3">
        <v>1000</v>
      </c>
      <c r="B330" s="3">
        <v>24</v>
      </c>
    </row>
    <row r="331" spans="1:3" x14ac:dyDescent="0.15">
      <c r="A331" s="3">
        <v>1000</v>
      </c>
      <c r="B331" s="3">
        <v>170</v>
      </c>
      <c r="C331" s="2">
        <v>122</v>
      </c>
    </row>
    <row r="332" spans="1:3" x14ac:dyDescent="0.15">
      <c r="A332" s="3">
        <v>1000</v>
      </c>
      <c r="B332" s="3">
        <v>42</v>
      </c>
    </row>
    <row r="333" spans="1:3" x14ac:dyDescent="0.15">
      <c r="A333" s="3">
        <v>1000</v>
      </c>
      <c r="B333" s="3">
        <v>18</v>
      </c>
    </row>
    <row r="334" spans="1:3" x14ac:dyDescent="0.15">
      <c r="A334" s="3">
        <v>1000</v>
      </c>
      <c r="B334" s="3">
        <v>50</v>
      </c>
    </row>
    <row r="335" spans="1:3" x14ac:dyDescent="0.15">
      <c r="A335" s="3">
        <v>1000</v>
      </c>
      <c r="B335" s="3">
        <v>44</v>
      </c>
    </row>
    <row r="336" spans="1:3" x14ac:dyDescent="0.15">
      <c r="A336" s="3">
        <v>1000</v>
      </c>
      <c r="B336" s="3">
        <v>24</v>
      </c>
    </row>
    <row r="340" spans="1:3" x14ac:dyDescent="0.15">
      <c r="A340" s="3">
        <v>1000</v>
      </c>
      <c r="B340" s="3">
        <v>58</v>
      </c>
      <c r="C340" s="2">
        <v>24</v>
      </c>
    </row>
    <row r="341" spans="1:3" x14ac:dyDescent="0.15">
      <c r="A341" s="3">
        <v>1000</v>
      </c>
      <c r="B341" s="3">
        <v>156</v>
      </c>
      <c r="C341" s="2">
        <v>62</v>
      </c>
    </row>
    <row r="342" spans="1:3" x14ac:dyDescent="0.15">
      <c r="A342" s="3">
        <v>500</v>
      </c>
      <c r="B342" s="3">
        <v>69</v>
      </c>
      <c r="C342" s="2">
        <f>300*0.27</f>
        <v>81</v>
      </c>
    </row>
    <row r="343" spans="1:3" x14ac:dyDescent="0.15">
      <c r="A343" s="3">
        <v>625</v>
      </c>
      <c r="B343" s="3">
        <v>102</v>
      </c>
      <c r="C343" s="2">
        <v>13</v>
      </c>
    </row>
    <row r="344" spans="1:3" x14ac:dyDescent="0.15">
      <c r="A344" s="3">
        <v>1000</v>
      </c>
      <c r="B344" s="3">
        <v>320</v>
      </c>
      <c r="C344" s="2">
        <v>51</v>
      </c>
    </row>
    <row r="345" spans="1:3" x14ac:dyDescent="0.15">
      <c r="B345" s="3">
        <v>80</v>
      </c>
      <c r="C345" s="2">
        <v>32</v>
      </c>
    </row>
    <row r="346" spans="1:3" x14ac:dyDescent="0.15">
      <c r="C346" s="2">
        <v>32</v>
      </c>
    </row>
    <row r="347" spans="1:3" x14ac:dyDescent="0.15">
      <c r="C347" s="2">
        <v>18</v>
      </c>
    </row>
    <row r="348" spans="1:3" x14ac:dyDescent="0.15">
      <c r="C348" s="2">
        <v>19</v>
      </c>
    </row>
    <row r="349" spans="1:3" x14ac:dyDescent="0.15">
      <c r="A349" s="3">
        <v>500</v>
      </c>
      <c r="B349" s="3">
        <v>156</v>
      </c>
      <c r="C349" s="2">
        <v>41</v>
      </c>
    </row>
    <row r="350" spans="1:3" x14ac:dyDescent="0.15">
      <c r="A350" s="3">
        <v>500</v>
      </c>
      <c r="B350" s="3">
        <v>52</v>
      </c>
      <c r="C350" s="2">
        <v>28</v>
      </c>
    </row>
    <row r="351" spans="1:3" x14ac:dyDescent="0.15">
      <c r="A351" s="3">
        <v>500</v>
      </c>
      <c r="B351" s="3">
        <v>52</v>
      </c>
      <c r="C351" s="2">
        <v>28</v>
      </c>
    </row>
    <row r="352" spans="1:3" x14ac:dyDescent="0.15">
      <c r="A352" s="3">
        <v>500</v>
      </c>
      <c r="B352" s="3">
        <v>52</v>
      </c>
      <c r="C352" s="2">
        <v>34</v>
      </c>
    </row>
    <row r="353" spans="1:3" x14ac:dyDescent="0.15">
      <c r="A353" s="6">
        <v>500</v>
      </c>
      <c r="B353" s="6">
        <v>104</v>
      </c>
      <c r="C353" s="5">
        <v>44</v>
      </c>
    </row>
    <row r="354" spans="1:3" x14ac:dyDescent="0.15">
      <c r="A354" s="6">
        <v>500</v>
      </c>
      <c r="B354" s="6">
        <v>104</v>
      </c>
      <c r="C354" s="5">
        <v>44</v>
      </c>
    </row>
    <row r="355" spans="1:3" x14ac:dyDescent="0.15">
      <c r="A355" s="3">
        <v>625</v>
      </c>
      <c r="B355" s="3">
        <v>72</v>
      </c>
      <c r="C355" s="2">
        <v>75</v>
      </c>
    </row>
    <row r="356" spans="1:3" x14ac:dyDescent="0.15">
      <c r="A356" s="3">
        <v>625</v>
      </c>
      <c r="B356" s="3">
        <v>12</v>
      </c>
      <c r="C356" s="2">
        <v>23</v>
      </c>
    </row>
    <row r="357" spans="1:3" x14ac:dyDescent="0.15">
      <c r="A357" s="3">
        <v>625</v>
      </c>
      <c r="B357" s="3">
        <v>12</v>
      </c>
      <c r="C357" s="2">
        <v>17</v>
      </c>
    </row>
    <row r="358" spans="1:3" x14ac:dyDescent="0.15">
      <c r="A358" s="3">
        <v>625</v>
      </c>
      <c r="B358" s="3">
        <v>12</v>
      </c>
      <c r="C358" s="2">
        <v>31</v>
      </c>
    </row>
    <row r="359" spans="1:3" x14ac:dyDescent="0.15">
      <c r="A359" s="3">
        <v>625</v>
      </c>
      <c r="B359" s="3">
        <v>12</v>
      </c>
      <c r="C359" s="2">
        <v>28</v>
      </c>
    </row>
    <row r="360" spans="1:3" x14ac:dyDescent="0.15">
      <c r="A360" s="3">
        <v>625</v>
      </c>
      <c r="B360" s="3">
        <v>12</v>
      </c>
      <c r="C360" s="2">
        <v>30</v>
      </c>
    </row>
    <row r="361" spans="1:3" x14ac:dyDescent="0.15">
      <c r="A361" s="3">
        <v>625</v>
      </c>
      <c r="B361" s="3">
        <v>12</v>
      </c>
      <c r="C361" s="2">
        <v>24</v>
      </c>
    </row>
    <row r="362" spans="1:3" x14ac:dyDescent="0.15">
      <c r="A362" s="3">
        <v>625</v>
      </c>
      <c r="B362" s="3">
        <v>72</v>
      </c>
      <c r="C362" s="2">
        <v>75</v>
      </c>
    </row>
    <row r="363" spans="1:3" x14ac:dyDescent="0.15">
      <c r="A363" s="3">
        <v>625</v>
      </c>
      <c r="B363" s="3">
        <v>12</v>
      </c>
      <c r="C363" s="2">
        <v>23</v>
      </c>
    </row>
    <row r="364" spans="1:3" x14ac:dyDescent="0.15">
      <c r="A364" s="3">
        <v>625</v>
      </c>
      <c r="B364" s="3">
        <v>12</v>
      </c>
      <c r="C364" s="2">
        <v>17</v>
      </c>
    </row>
    <row r="365" spans="1:3" x14ac:dyDescent="0.15">
      <c r="A365" s="3">
        <v>625</v>
      </c>
      <c r="B365" s="3">
        <v>12</v>
      </c>
      <c r="C365" s="2">
        <v>31</v>
      </c>
    </row>
    <row r="366" spans="1:3" x14ac:dyDescent="0.15">
      <c r="A366" s="3">
        <v>625</v>
      </c>
      <c r="B366" s="3">
        <v>12</v>
      </c>
      <c r="C366" s="2">
        <v>28</v>
      </c>
    </row>
    <row r="367" spans="1:3" x14ac:dyDescent="0.15">
      <c r="A367" s="3">
        <v>625</v>
      </c>
      <c r="B367" s="3">
        <v>12</v>
      </c>
      <c r="C367" s="2">
        <v>30</v>
      </c>
    </row>
    <row r="368" spans="1:3" x14ac:dyDescent="0.15">
      <c r="A368" s="3">
        <v>625</v>
      </c>
      <c r="B368" s="3">
        <v>12</v>
      </c>
      <c r="C368" s="2">
        <v>24</v>
      </c>
    </row>
    <row r="369" spans="1:3" x14ac:dyDescent="0.15">
      <c r="A369" s="3">
        <v>625</v>
      </c>
      <c r="B369" s="3">
        <f>64*3</f>
        <v>192</v>
      </c>
      <c r="C369" s="2">
        <v>57</v>
      </c>
    </row>
    <row r="370" spans="1:3" x14ac:dyDescent="0.15">
      <c r="A370" s="3">
        <v>625</v>
      </c>
      <c r="B370" s="3">
        <v>64</v>
      </c>
      <c r="C370" s="2">
        <v>55</v>
      </c>
    </row>
    <row r="371" spans="1:3" x14ac:dyDescent="0.15">
      <c r="A371" s="3">
        <v>625</v>
      </c>
      <c r="B371" s="3">
        <v>64</v>
      </c>
      <c r="C371" s="2">
        <v>42</v>
      </c>
    </row>
    <row r="372" spans="1:3" x14ac:dyDescent="0.15">
      <c r="A372" s="3">
        <v>625</v>
      </c>
      <c r="B372" s="3">
        <v>64</v>
      </c>
      <c r="C372" s="2">
        <v>37</v>
      </c>
    </row>
    <row r="373" spans="1:3" x14ac:dyDescent="0.15">
      <c r="A373" s="3">
        <v>625</v>
      </c>
      <c r="B373" s="3">
        <v>48</v>
      </c>
      <c r="C373" s="2">
        <v>15</v>
      </c>
    </row>
    <row r="374" spans="1:3" x14ac:dyDescent="0.15">
      <c r="A374" s="3">
        <v>625</v>
      </c>
      <c r="B374" s="3">
        <v>96</v>
      </c>
      <c r="C374" s="2">
        <v>42</v>
      </c>
    </row>
    <row r="375" spans="1:3" x14ac:dyDescent="0.15">
      <c r="A375" s="3">
        <v>625</v>
      </c>
      <c r="B375" s="3">
        <v>48</v>
      </c>
      <c r="C375" s="2">
        <v>43</v>
      </c>
    </row>
    <row r="376" spans="1:3" x14ac:dyDescent="0.15">
      <c r="A376" s="3">
        <v>625</v>
      </c>
      <c r="B376" s="3">
        <f>64*3</f>
        <v>192</v>
      </c>
      <c r="C376" s="2">
        <v>57</v>
      </c>
    </row>
    <row r="377" spans="1:3" x14ac:dyDescent="0.15">
      <c r="A377" s="3">
        <v>625</v>
      </c>
      <c r="B377" s="3">
        <v>64</v>
      </c>
      <c r="C377" s="2">
        <v>55</v>
      </c>
    </row>
    <row r="378" spans="1:3" x14ac:dyDescent="0.15">
      <c r="A378" s="3">
        <v>625</v>
      </c>
      <c r="B378" s="3">
        <v>64</v>
      </c>
      <c r="C378" s="2">
        <v>42</v>
      </c>
    </row>
    <row r="379" spans="1:3" x14ac:dyDescent="0.15">
      <c r="A379" s="3">
        <v>625</v>
      </c>
      <c r="B379" s="3">
        <v>64</v>
      </c>
      <c r="C379" s="2">
        <v>37</v>
      </c>
    </row>
    <row r="380" spans="1:3" x14ac:dyDescent="0.15">
      <c r="A380" s="3">
        <v>625</v>
      </c>
      <c r="B380" s="3">
        <v>48</v>
      </c>
      <c r="C380" s="2">
        <v>15</v>
      </c>
    </row>
    <row r="381" spans="1:3" x14ac:dyDescent="0.15">
      <c r="A381" s="3">
        <v>625</v>
      </c>
      <c r="B381" s="3">
        <v>96</v>
      </c>
      <c r="C381" s="2">
        <v>42</v>
      </c>
    </row>
    <row r="382" spans="1:3" x14ac:dyDescent="0.15">
      <c r="A382" s="3">
        <v>625</v>
      </c>
      <c r="B382" s="3">
        <v>48</v>
      </c>
      <c r="C382" s="2">
        <v>43</v>
      </c>
    </row>
    <row r="383" spans="1:3" x14ac:dyDescent="0.15">
      <c r="A383" s="3">
        <v>500</v>
      </c>
      <c r="B383" s="3">
        <v>60</v>
      </c>
      <c r="C383" s="2">
        <v>12</v>
      </c>
    </row>
    <row r="384" spans="1:3" x14ac:dyDescent="0.15">
      <c r="A384" s="3">
        <v>500</v>
      </c>
      <c r="B384" s="3">
        <v>60</v>
      </c>
      <c r="C384" s="2">
        <v>15</v>
      </c>
    </row>
    <row r="392" spans="1:2" x14ac:dyDescent="0.15">
      <c r="A392" s="3">
        <v>500</v>
      </c>
      <c r="B392" s="3">
        <v>60</v>
      </c>
    </row>
    <row r="393" spans="1:2" x14ac:dyDescent="0.15">
      <c r="A393" s="3">
        <v>500</v>
      </c>
      <c r="B393" s="3">
        <v>60</v>
      </c>
    </row>
    <row r="394" spans="1:2" x14ac:dyDescent="0.15">
      <c r="A394" s="3">
        <v>500</v>
      </c>
      <c r="B394" s="3">
        <v>60</v>
      </c>
    </row>
    <row r="395" spans="1:2" x14ac:dyDescent="0.15">
      <c r="A395" s="3">
        <v>500</v>
      </c>
      <c r="B395" s="3">
        <v>60</v>
      </c>
    </row>
    <row r="396" spans="1:2" x14ac:dyDescent="0.15">
      <c r="A396" s="3">
        <v>500</v>
      </c>
      <c r="B396" s="3">
        <v>60</v>
      </c>
    </row>
    <row r="397" spans="1:2" x14ac:dyDescent="0.15">
      <c r="A397" s="3">
        <v>500</v>
      </c>
      <c r="B397" s="3">
        <v>60</v>
      </c>
    </row>
    <row r="398" spans="1:2" x14ac:dyDescent="0.15">
      <c r="A398" s="3">
        <v>500</v>
      </c>
      <c r="B398" s="3">
        <v>60</v>
      </c>
    </row>
    <row r="399" spans="1:2" x14ac:dyDescent="0.15">
      <c r="A399" s="3">
        <v>500</v>
      </c>
      <c r="B399" s="3">
        <v>60</v>
      </c>
    </row>
    <row r="400" spans="1:2" x14ac:dyDescent="0.15">
      <c r="A400" s="3">
        <v>500</v>
      </c>
      <c r="B400" s="3">
        <v>60</v>
      </c>
    </row>
    <row r="401" spans="1:3" x14ac:dyDescent="0.15">
      <c r="A401" s="3">
        <v>500</v>
      </c>
      <c r="B401" s="3">
        <v>60</v>
      </c>
    </row>
    <row r="402" spans="1:3" x14ac:dyDescent="0.15">
      <c r="A402" s="3">
        <v>500</v>
      </c>
      <c r="B402" s="3">
        <v>60</v>
      </c>
    </row>
    <row r="403" spans="1:3" x14ac:dyDescent="0.15">
      <c r="A403" s="3">
        <v>500</v>
      </c>
      <c r="B403" s="3">
        <v>60</v>
      </c>
    </row>
    <row r="404" spans="1:3" x14ac:dyDescent="0.15">
      <c r="A404" s="3">
        <v>500</v>
      </c>
      <c r="B404" s="3">
        <v>60</v>
      </c>
    </row>
    <row r="405" spans="1:3" x14ac:dyDescent="0.15">
      <c r="A405" s="3">
        <v>1000</v>
      </c>
      <c r="B405" s="3">
        <v>150</v>
      </c>
      <c r="C405" s="2">
        <v>13</v>
      </c>
    </row>
    <row r="406" spans="1:3" x14ac:dyDescent="0.15">
      <c r="A406" s="3">
        <v>625</v>
      </c>
      <c r="B406" s="3">
        <v>84</v>
      </c>
      <c r="C406" s="2">
        <v>20</v>
      </c>
    </row>
    <row r="407" spans="1:3" x14ac:dyDescent="0.15">
      <c r="A407" s="3">
        <v>625</v>
      </c>
      <c r="B407" s="3">
        <v>12</v>
      </c>
      <c r="C407" s="2">
        <v>17</v>
      </c>
    </row>
    <row r="408" spans="1:3" x14ac:dyDescent="0.15">
      <c r="A408" s="3">
        <v>625</v>
      </c>
      <c r="B408" s="3">
        <v>12</v>
      </c>
      <c r="C408" s="2">
        <v>8</v>
      </c>
    </row>
    <row r="409" spans="1:3" x14ac:dyDescent="0.15">
      <c r="A409" s="3">
        <v>625</v>
      </c>
      <c r="B409" s="3">
        <v>12</v>
      </c>
      <c r="C409" s="2">
        <v>2</v>
      </c>
    </row>
    <row r="410" spans="1:3" x14ac:dyDescent="0.15">
      <c r="A410" s="3">
        <v>625</v>
      </c>
      <c r="B410" s="3">
        <v>12</v>
      </c>
      <c r="C410" s="2">
        <v>8</v>
      </c>
    </row>
    <row r="411" spans="1:3" x14ac:dyDescent="0.15">
      <c r="A411" s="3">
        <v>625</v>
      </c>
      <c r="B411" s="3">
        <v>12</v>
      </c>
      <c r="C411" s="2">
        <v>6</v>
      </c>
    </row>
    <row r="412" spans="1:3" x14ac:dyDescent="0.15">
      <c r="A412" s="3">
        <v>625</v>
      </c>
      <c r="B412" s="3">
        <v>12</v>
      </c>
      <c r="C412" s="2">
        <v>12</v>
      </c>
    </row>
    <row r="413" spans="1:3" x14ac:dyDescent="0.15">
      <c r="A413" s="3">
        <v>625</v>
      </c>
      <c r="B413" s="3">
        <v>12</v>
      </c>
      <c r="C413" s="2">
        <v>9</v>
      </c>
    </row>
    <row r="414" spans="1:3" x14ac:dyDescent="0.15">
      <c r="A414" s="3">
        <v>625</v>
      </c>
      <c r="B414" s="3">
        <v>12</v>
      </c>
      <c r="C414" s="2">
        <v>18</v>
      </c>
    </row>
    <row r="415" spans="1:3" x14ac:dyDescent="0.15">
      <c r="A415" s="3">
        <v>625</v>
      </c>
      <c r="B415" s="3">
        <v>12</v>
      </c>
      <c r="C415" s="2">
        <v>9</v>
      </c>
    </row>
    <row r="416" spans="1:3" x14ac:dyDescent="0.15">
      <c r="A416" s="3">
        <v>625</v>
      </c>
      <c r="B416" s="3">
        <v>120</v>
      </c>
      <c r="C416" s="2">
        <v>62</v>
      </c>
    </row>
    <row r="417" spans="1:3" x14ac:dyDescent="0.15">
      <c r="A417" s="3">
        <v>625</v>
      </c>
      <c r="B417" s="3">
        <v>120</v>
      </c>
      <c r="C417" s="2">
        <v>73</v>
      </c>
    </row>
    <row r="418" spans="1:3" x14ac:dyDescent="0.15">
      <c r="A418" s="3">
        <v>625</v>
      </c>
      <c r="B418" s="3">
        <v>15</v>
      </c>
      <c r="C418" s="2">
        <v>21</v>
      </c>
    </row>
    <row r="419" spans="1:3" x14ac:dyDescent="0.15">
      <c r="A419" s="3">
        <v>625</v>
      </c>
      <c r="B419" s="3">
        <v>15</v>
      </c>
      <c r="C419" s="2">
        <v>24</v>
      </c>
    </row>
    <row r="420" spans="1:3" x14ac:dyDescent="0.15">
      <c r="A420" s="3">
        <v>625</v>
      </c>
      <c r="B420" s="3">
        <v>15</v>
      </c>
      <c r="C420" s="2">
        <v>24</v>
      </c>
    </row>
    <row r="421" spans="1:3" x14ac:dyDescent="0.15">
      <c r="A421" s="3">
        <v>625</v>
      </c>
      <c r="B421" s="3">
        <v>15</v>
      </c>
      <c r="C421" s="2">
        <v>25</v>
      </c>
    </row>
    <row r="422" spans="1:3" x14ac:dyDescent="0.15">
      <c r="A422" s="3">
        <v>625</v>
      </c>
      <c r="B422" s="3">
        <v>15</v>
      </c>
      <c r="C422" s="2">
        <v>39</v>
      </c>
    </row>
    <row r="423" spans="1:3" x14ac:dyDescent="0.15">
      <c r="A423" s="3">
        <v>625</v>
      </c>
      <c r="B423" s="3">
        <v>15</v>
      </c>
      <c r="C423" s="2">
        <v>29</v>
      </c>
    </row>
    <row r="424" spans="1:3" x14ac:dyDescent="0.15">
      <c r="A424" s="3">
        <v>625</v>
      </c>
      <c r="B424" s="3">
        <v>15</v>
      </c>
      <c r="C424" s="2">
        <v>29</v>
      </c>
    </row>
    <row r="425" spans="1:3" x14ac:dyDescent="0.15">
      <c r="A425" s="3">
        <v>625</v>
      </c>
      <c r="B425" s="3">
        <v>15</v>
      </c>
      <c r="C425" s="2">
        <v>36</v>
      </c>
    </row>
    <row r="426" spans="1:3" x14ac:dyDescent="0.15">
      <c r="A426" s="3">
        <v>625</v>
      </c>
      <c r="B426" s="3">
        <v>15</v>
      </c>
      <c r="C426" s="2">
        <v>28</v>
      </c>
    </row>
    <row r="427" spans="1:3" x14ac:dyDescent="0.15">
      <c r="A427" s="3">
        <v>625</v>
      </c>
      <c r="B427" s="3">
        <v>15</v>
      </c>
      <c r="C427" s="2">
        <v>25</v>
      </c>
    </row>
    <row r="428" spans="1:3" x14ac:dyDescent="0.15">
      <c r="A428" s="3">
        <v>625</v>
      </c>
      <c r="B428" s="3">
        <v>15</v>
      </c>
      <c r="C428" s="2">
        <v>12</v>
      </c>
    </row>
    <row r="429" spans="1:3" x14ac:dyDescent="0.15">
      <c r="A429" s="3">
        <v>625</v>
      </c>
      <c r="B429" s="3">
        <v>15</v>
      </c>
      <c r="C429" s="2">
        <v>30</v>
      </c>
    </row>
    <row r="430" spans="1:3" x14ac:dyDescent="0.15">
      <c r="A430" s="3">
        <v>625</v>
      </c>
      <c r="B430" s="3">
        <v>15</v>
      </c>
      <c r="C430" s="2">
        <v>5</v>
      </c>
    </row>
    <row r="431" spans="1:3" x14ac:dyDescent="0.15">
      <c r="A431" s="3">
        <v>625</v>
      </c>
      <c r="B431" s="3">
        <v>15</v>
      </c>
      <c r="C431" s="2">
        <v>33</v>
      </c>
    </row>
    <row r="432" spans="1:3" x14ac:dyDescent="0.15">
      <c r="A432" s="3">
        <v>625</v>
      </c>
      <c r="B432" s="3">
        <v>15</v>
      </c>
      <c r="C432" s="2">
        <v>7</v>
      </c>
    </row>
    <row r="433" spans="1:3" x14ac:dyDescent="0.15">
      <c r="A433" s="3">
        <v>625</v>
      </c>
      <c r="B433" s="3">
        <v>15</v>
      </c>
      <c r="C433" s="2">
        <v>4</v>
      </c>
    </row>
    <row r="434" spans="1:3" x14ac:dyDescent="0.15">
      <c r="A434" s="3">
        <v>500</v>
      </c>
      <c r="B434" s="3">
        <v>56</v>
      </c>
      <c r="C434" s="2">
        <v>25</v>
      </c>
    </row>
    <row r="435" spans="1:3" x14ac:dyDescent="0.15">
      <c r="A435" s="6">
        <v>900</v>
      </c>
      <c r="B435" s="6">
        <v>18</v>
      </c>
      <c r="C435" s="5">
        <v>12</v>
      </c>
    </row>
    <row r="436" spans="1:3" x14ac:dyDescent="0.15">
      <c r="A436" s="6">
        <v>900</v>
      </c>
      <c r="B436" s="6">
        <v>18</v>
      </c>
      <c r="C436" s="5">
        <v>6</v>
      </c>
    </row>
    <row r="437" spans="1:3" x14ac:dyDescent="0.15">
      <c r="A437" s="3">
        <v>500</v>
      </c>
      <c r="B437" s="3">
        <f>33*4*2</f>
        <v>264</v>
      </c>
      <c r="C437" s="2">
        <v>19</v>
      </c>
    </row>
    <row r="438" spans="1:3" x14ac:dyDescent="0.15">
      <c r="A438" s="3">
        <v>500</v>
      </c>
      <c r="B438" s="3">
        <v>66</v>
      </c>
    </row>
    <row r="439" spans="1:3" x14ac:dyDescent="0.15">
      <c r="A439" s="3">
        <v>500</v>
      </c>
      <c r="B439" s="3">
        <v>66</v>
      </c>
    </row>
    <row r="440" spans="1:3" x14ac:dyDescent="0.15">
      <c r="A440" s="3">
        <v>500</v>
      </c>
      <c r="B440" s="3">
        <v>66</v>
      </c>
    </row>
    <row r="441" spans="1:3" x14ac:dyDescent="0.15">
      <c r="A441" s="3">
        <v>500</v>
      </c>
      <c r="B441" s="3">
        <v>66</v>
      </c>
    </row>
    <row r="442" spans="1:3" x14ac:dyDescent="0.15">
      <c r="A442" s="3">
        <v>1000</v>
      </c>
      <c r="B442" s="3">
        <v>80</v>
      </c>
      <c r="C442" s="2">
        <v>23</v>
      </c>
    </row>
    <row r="443" spans="1:3" x14ac:dyDescent="0.15">
      <c r="A443" s="3">
        <v>1000</v>
      </c>
      <c r="B443" s="3">
        <v>80</v>
      </c>
      <c r="C443" s="2">
        <v>23</v>
      </c>
    </row>
    <row r="444" spans="1:3" x14ac:dyDescent="0.15">
      <c r="A444" s="3">
        <v>625</v>
      </c>
      <c r="B444" s="3">
        <v>120</v>
      </c>
      <c r="C444" s="2">
        <v>59</v>
      </c>
    </row>
    <row r="445" spans="1:3" x14ac:dyDescent="0.15">
      <c r="A445" s="3">
        <v>625</v>
      </c>
      <c r="B445" s="3">
        <v>56</v>
      </c>
      <c r="C445" s="2">
        <v>16</v>
      </c>
    </row>
    <row r="446" spans="1:3" x14ac:dyDescent="0.15">
      <c r="A446" s="3">
        <v>625</v>
      </c>
      <c r="B446" s="3">
        <v>14</v>
      </c>
      <c r="C446" s="2">
        <v>8</v>
      </c>
    </row>
    <row r="447" spans="1:3" x14ac:dyDescent="0.15">
      <c r="A447" s="3">
        <v>625</v>
      </c>
      <c r="B447" s="3">
        <v>14</v>
      </c>
      <c r="C447" s="2">
        <v>7</v>
      </c>
    </row>
    <row r="448" spans="1:3" x14ac:dyDescent="0.15">
      <c r="A448" s="3">
        <v>625</v>
      </c>
      <c r="B448" s="3">
        <v>14</v>
      </c>
      <c r="C448" s="2">
        <v>5</v>
      </c>
    </row>
    <row r="449" spans="1:3" x14ac:dyDescent="0.15">
      <c r="A449" s="3">
        <v>625</v>
      </c>
      <c r="B449" s="3">
        <v>14</v>
      </c>
      <c r="C449" s="2">
        <v>5</v>
      </c>
    </row>
    <row r="450" spans="1:3" x14ac:dyDescent="0.15">
      <c r="A450" s="3">
        <v>1000</v>
      </c>
      <c r="B450" s="3">
        <v>303</v>
      </c>
      <c r="C450" s="2">
        <v>75</v>
      </c>
    </row>
    <row r="451" spans="1:3" x14ac:dyDescent="0.15">
      <c r="A451" s="3">
        <v>1000</v>
      </c>
      <c r="B451" s="3">
        <v>75</v>
      </c>
    </row>
    <row r="452" spans="1:3" x14ac:dyDescent="0.15">
      <c r="A452" s="3">
        <v>1000</v>
      </c>
      <c r="B452" s="3">
        <v>75</v>
      </c>
    </row>
    <row r="453" spans="1:3" x14ac:dyDescent="0.15">
      <c r="A453" s="3">
        <v>1000</v>
      </c>
      <c r="B453" s="3">
        <v>75</v>
      </c>
    </row>
    <row r="454" spans="1:3" x14ac:dyDescent="0.15">
      <c r="A454" s="3">
        <v>1000</v>
      </c>
      <c r="B454" s="3">
        <v>75</v>
      </c>
    </row>
    <row r="455" spans="1:3" x14ac:dyDescent="0.15">
      <c r="A455" s="3">
        <v>1000</v>
      </c>
      <c r="B455" s="3">
        <v>303</v>
      </c>
      <c r="C455" s="2">
        <v>75</v>
      </c>
    </row>
    <row r="456" spans="1:3" x14ac:dyDescent="0.15">
      <c r="A456" s="3">
        <v>1000</v>
      </c>
      <c r="B456" s="3">
        <v>75</v>
      </c>
    </row>
    <row r="457" spans="1:3" x14ac:dyDescent="0.15">
      <c r="A457" s="3">
        <v>1000</v>
      </c>
      <c r="B457" s="3">
        <v>75</v>
      </c>
    </row>
    <row r="458" spans="1:3" x14ac:dyDescent="0.15">
      <c r="A458" s="3">
        <v>1000</v>
      </c>
      <c r="B458" s="3">
        <v>75</v>
      </c>
    </row>
    <row r="459" spans="1:3" x14ac:dyDescent="0.15">
      <c r="A459" s="3">
        <v>1000</v>
      </c>
      <c r="B459" s="3">
        <v>75</v>
      </c>
    </row>
    <row r="460" spans="1:3" x14ac:dyDescent="0.15">
      <c r="A460" s="3">
        <v>1000</v>
      </c>
      <c r="B460" s="3">
        <v>20</v>
      </c>
      <c r="C460" s="2">
        <v>17</v>
      </c>
    </row>
    <row r="461" spans="1:3" x14ac:dyDescent="0.15">
      <c r="A461" s="3">
        <v>1000</v>
      </c>
      <c r="B461" s="3">
        <v>20</v>
      </c>
      <c r="C461" s="2">
        <v>18</v>
      </c>
    </row>
    <row r="462" spans="1:3" x14ac:dyDescent="0.15">
      <c r="A462" s="3">
        <v>1000</v>
      </c>
      <c r="B462" s="3">
        <v>20</v>
      </c>
      <c r="C462" s="2">
        <v>18</v>
      </c>
    </row>
    <row r="463" spans="1:3" x14ac:dyDescent="0.15">
      <c r="A463" s="3">
        <v>1000</v>
      </c>
      <c r="B463" s="3">
        <v>20</v>
      </c>
      <c r="C463" s="2">
        <v>13</v>
      </c>
    </row>
    <row r="464" spans="1:3" x14ac:dyDescent="0.15">
      <c r="A464" s="3">
        <v>1000</v>
      </c>
      <c r="B464" s="3">
        <v>20</v>
      </c>
      <c r="C464" s="2">
        <v>21</v>
      </c>
    </row>
    <row r="465" spans="1:3" x14ac:dyDescent="0.15">
      <c r="A465" s="3">
        <v>1000</v>
      </c>
      <c r="B465" s="3">
        <v>20</v>
      </c>
      <c r="C465" s="2">
        <v>23</v>
      </c>
    </row>
    <row r="466" spans="1:3" x14ac:dyDescent="0.15">
      <c r="A466" s="3">
        <v>1000</v>
      </c>
      <c r="B466" s="3">
        <v>20</v>
      </c>
      <c r="C466" s="2">
        <v>17</v>
      </c>
    </row>
    <row r="467" spans="1:3" x14ac:dyDescent="0.15">
      <c r="A467" s="3">
        <v>1000</v>
      </c>
      <c r="B467" s="3">
        <v>20</v>
      </c>
      <c r="C467" s="2">
        <v>14</v>
      </c>
    </row>
    <row r="468" spans="1:3" x14ac:dyDescent="0.15">
      <c r="A468" s="3">
        <v>1000</v>
      </c>
      <c r="B468" s="3">
        <v>20</v>
      </c>
      <c r="C468" s="2">
        <v>20</v>
      </c>
    </row>
    <row r="469" spans="1:3" x14ac:dyDescent="0.15">
      <c r="A469" s="3">
        <v>1000</v>
      </c>
      <c r="B469" s="3">
        <v>20</v>
      </c>
      <c r="C469" s="2">
        <v>18</v>
      </c>
    </row>
    <row r="470" spans="1:3" x14ac:dyDescent="0.15">
      <c r="A470" s="3">
        <v>1000</v>
      </c>
      <c r="B470" s="3">
        <v>20</v>
      </c>
      <c r="C470" s="2">
        <v>13</v>
      </c>
    </row>
    <row r="471" spans="1:3" x14ac:dyDescent="0.15">
      <c r="A471" s="3">
        <v>1000</v>
      </c>
      <c r="B471" s="3">
        <v>20</v>
      </c>
      <c r="C471" s="2">
        <v>25</v>
      </c>
    </row>
    <row r="472" spans="1:3" x14ac:dyDescent="0.15">
      <c r="A472" s="3">
        <v>1000</v>
      </c>
      <c r="B472" s="3">
        <v>40</v>
      </c>
      <c r="C472" s="2">
        <v>94</v>
      </c>
    </row>
    <row r="473" spans="1:3" x14ac:dyDescent="0.15">
      <c r="A473" s="3">
        <v>1000</v>
      </c>
      <c r="B473" s="3">
        <v>40</v>
      </c>
      <c r="C473" s="2">
        <v>94</v>
      </c>
    </row>
    <row r="474" spans="1:3" x14ac:dyDescent="0.15">
      <c r="A474" s="3">
        <v>1000</v>
      </c>
      <c r="B474" s="3">
        <v>240</v>
      </c>
      <c r="C474" s="2">
        <v>40</v>
      </c>
    </row>
    <row r="475" spans="1:3" x14ac:dyDescent="0.15">
      <c r="A475" s="3">
        <v>500</v>
      </c>
      <c r="B475" s="3">
        <v>12</v>
      </c>
      <c r="C475" s="2">
        <v>19</v>
      </c>
    </row>
    <row r="476" spans="1:3" x14ac:dyDescent="0.15">
      <c r="A476" s="3">
        <v>500</v>
      </c>
      <c r="B476" s="3">
        <v>184</v>
      </c>
      <c r="C476" s="2">
        <v>48</v>
      </c>
    </row>
    <row r="477" spans="1:3" x14ac:dyDescent="0.15">
      <c r="A477" s="3">
        <v>625</v>
      </c>
      <c r="B477" s="3">
        <f>12*9*2</f>
        <v>216</v>
      </c>
      <c r="C477" s="2">
        <v>3</v>
      </c>
    </row>
    <row r="478" spans="1:3" x14ac:dyDescent="0.15">
      <c r="A478" s="3">
        <v>625</v>
      </c>
      <c r="B478" s="3">
        <v>108</v>
      </c>
    </row>
    <row r="479" spans="1:3" x14ac:dyDescent="0.15">
      <c r="A479" s="3">
        <v>625</v>
      </c>
      <c r="B479" s="3">
        <v>108</v>
      </c>
    </row>
    <row r="480" spans="1:3" x14ac:dyDescent="0.15">
      <c r="A480" s="3">
        <v>625</v>
      </c>
      <c r="B480" s="3">
        <v>12</v>
      </c>
    </row>
    <row r="481" spans="1:2" x14ac:dyDescent="0.15">
      <c r="A481" s="3">
        <v>625</v>
      </c>
      <c r="B481" s="3">
        <v>12</v>
      </c>
    </row>
    <row r="482" spans="1:2" x14ac:dyDescent="0.15">
      <c r="A482" s="3">
        <v>625</v>
      </c>
      <c r="B482" s="3">
        <v>12</v>
      </c>
    </row>
    <row r="483" spans="1:2" x14ac:dyDescent="0.15">
      <c r="A483" s="3">
        <v>625</v>
      </c>
      <c r="B483" s="3">
        <v>12</v>
      </c>
    </row>
    <row r="484" spans="1:2" x14ac:dyDescent="0.15">
      <c r="A484" s="3">
        <v>625</v>
      </c>
      <c r="B484" s="3">
        <v>12</v>
      </c>
    </row>
    <row r="485" spans="1:2" x14ac:dyDescent="0.15">
      <c r="A485" s="3">
        <v>625</v>
      </c>
      <c r="B485" s="3">
        <v>12</v>
      </c>
    </row>
    <row r="486" spans="1:2" x14ac:dyDescent="0.15">
      <c r="A486" s="3">
        <v>625</v>
      </c>
      <c r="B486" s="3">
        <v>12</v>
      </c>
    </row>
    <row r="487" spans="1:2" x14ac:dyDescent="0.15">
      <c r="A487" s="3">
        <v>625</v>
      </c>
      <c r="B487" s="3">
        <v>12</v>
      </c>
    </row>
    <row r="488" spans="1:2" x14ac:dyDescent="0.15">
      <c r="A488" s="3">
        <v>625</v>
      </c>
      <c r="B488" s="3">
        <v>12</v>
      </c>
    </row>
    <row r="489" spans="1:2" x14ac:dyDescent="0.15">
      <c r="A489" s="3">
        <v>625</v>
      </c>
      <c r="B489" s="3">
        <v>12</v>
      </c>
    </row>
    <row r="490" spans="1:2" x14ac:dyDescent="0.15">
      <c r="A490" s="3">
        <v>625</v>
      </c>
      <c r="B490" s="3">
        <v>12</v>
      </c>
    </row>
    <row r="491" spans="1:2" x14ac:dyDescent="0.15">
      <c r="A491" s="3">
        <v>625</v>
      </c>
      <c r="B491" s="3">
        <v>12</v>
      </c>
    </row>
    <row r="492" spans="1:2" x14ac:dyDescent="0.15">
      <c r="A492" s="3">
        <v>625</v>
      </c>
      <c r="B492" s="3">
        <v>12</v>
      </c>
    </row>
    <row r="493" spans="1:2" x14ac:dyDescent="0.15">
      <c r="A493" s="3">
        <v>625</v>
      </c>
      <c r="B493" s="3">
        <v>12</v>
      </c>
    </row>
    <row r="494" spans="1:2" x14ac:dyDescent="0.15">
      <c r="A494" s="3">
        <v>625</v>
      </c>
      <c r="B494" s="3">
        <v>12</v>
      </c>
    </row>
    <row r="495" spans="1:2" x14ac:dyDescent="0.15">
      <c r="A495" s="3">
        <v>625</v>
      </c>
      <c r="B495" s="3">
        <v>12</v>
      </c>
    </row>
    <row r="496" spans="1:2" x14ac:dyDescent="0.15">
      <c r="A496" s="3">
        <v>625</v>
      </c>
      <c r="B496" s="3">
        <v>12</v>
      </c>
    </row>
    <row r="497" spans="1:3" x14ac:dyDescent="0.15">
      <c r="A497" s="3">
        <v>625</v>
      </c>
      <c r="B497" s="3">
        <v>12</v>
      </c>
    </row>
    <row r="498" spans="1:3" x14ac:dyDescent="0.15">
      <c r="A498" s="3">
        <v>100</v>
      </c>
      <c r="B498" s="3">
        <v>36</v>
      </c>
      <c r="C498" s="2">
        <v>12</v>
      </c>
    </row>
    <row r="499" spans="1:3" x14ac:dyDescent="0.15">
      <c r="A499" s="3">
        <v>100</v>
      </c>
      <c r="B499" s="3">
        <v>36</v>
      </c>
      <c r="C499" s="2">
        <v>13</v>
      </c>
    </row>
    <row r="500" spans="1:3" x14ac:dyDescent="0.15">
      <c r="A500" s="3">
        <v>100</v>
      </c>
      <c r="B500" s="3">
        <v>36</v>
      </c>
      <c r="C500" s="2">
        <v>11</v>
      </c>
    </row>
    <row r="501" spans="1:3" x14ac:dyDescent="0.15">
      <c r="A501" s="3">
        <v>100</v>
      </c>
      <c r="B501" s="3">
        <v>36</v>
      </c>
      <c r="C501" s="2">
        <v>10</v>
      </c>
    </row>
    <row r="502" spans="1:3" x14ac:dyDescent="0.15">
      <c r="A502" s="3">
        <v>100</v>
      </c>
      <c r="B502" s="3">
        <v>36</v>
      </c>
      <c r="C502" s="2">
        <v>12</v>
      </c>
    </row>
    <row r="503" spans="1:3" x14ac:dyDescent="0.15">
      <c r="A503" s="3">
        <v>100</v>
      </c>
      <c r="B503" s="3">
        <v>36</v>
      </c>
      <c r="C503" s="2">
        <v>12</v>
      </c>
    </row>
    <row r="504" spans="1:3" x14ac:dyDescent="0.15">
      <c r="A504" s="3">
        <v>100</v>
      </c>
      <c r="B504" s="3">
        <v>36</v>
      </c>
      <c r="C504" s="2">
        <v>10</v>
      </c>
    </row>
    <row r="505" spans="1:3" x14ac:dyDescent="0.15">
      <c r="A505" s="3">
        <v>100</v>
      </c>
      <c r="B505" s="3">
        <v>36</v>
      </c>
      <c r="C505" s="2">
        <v>10</v>
      </c>
    </row>
    <row r="506" spans="1:3" x14ac:dyDescent="0.15">
      <c r="A506" s="3">
        <v>100</v>
      </c>
      <c r="B506" s="3">
        <f>36*8</f>
        <v>288</v>
      </c>
      <c r="C506" s="2">
        <v>22</v>
      </c>
    </row>
    <row r="507" spans="1:3" x14ac:dyDescent="0.15">
      <c r="A507" s="3">
        <v>100</v>
      </c>
      <c r="B507" s="3">
        <f>36*8</f>
        <v>288</v>
      </c>
      <c r="C507" s="2">
        <v>22</v>
      </c>
    </row>
    <row r="508" spans="1:3" x14ac:dyDescent="0.15">
      <c r="A508" s="3">
        <v>500</v>
      </c>
      <c r="B508" s="3">
        <v>96</v>
      </c>
      <c r="C508" s="2">
        <v>36</v>
      </c>
    </row>
    <row r="509" spans="1:3" x14ac:dyDescent="0.15">
      <c r="A509" s="3">
        <v>500</v>
      </c>
      <c r="B509" s="3">
        <v>24</v>
      </c>
      <c r="C509" s="2">
        <v>12</v>
      </c>
    </row>
    <row r="510" spans="1:3" x14ac:dyDescent="0.15">
      <c r="A510" s="3">
        <v>500</v>
      </c>
      <c r="B510" s="3">
        <v>24</v>
      </c>
      <c r="C510" s="2">
        <v>10</v>
      </c>
    </row>
    <row r="511" spans="1:3" x14ac:dyDescent="0.15">
      <c r="A511" s="3">
        <v>500</v>
      </c>
      <c r="B511" s="3">
        <v>24</v>
      </c>
      <c r="C511" s="2">
        <v>5</v>
      </c>
    </row>
    <row r="512" spans="1:3" x14ac:dyDescent="0.15">
      <c r="A512" s="3">
        <v>500</v>
      </c>
      <c r="B512" s="3">
        <v>24</v>
      </c>
      <c r="C512" s="2">
        <v>22</v>
      </c>
    </row>
    <row r="513" spans="1:3" x14ac:dyDescent="0.15">
      <c r="A513" s="3">
        <v>500</v>
      </c>
      <c r="B513" s="3">
        <v>96</v>
      </c>
      <c r="C513" s="2">
        <v>36</v>
      </c>
    </row>
    <row r="514" spans="1:3" x14ac:dyDescent="0.15">
      <c r="C514" s="2">
        <v>60</v>
      </c>
    </row>
    <row r="515" spans="1:3" x14ac:dyDescent="0.15">
      <c r="C515" s="2">
        <v>60</v>
      </c>
    </row>
    <row r="516" spans="1:3" x14ac:dyDescent="0.15">
      <c r="A516" s="3">
        <v>2500</v>
      </c>
      <c r="B516" s="3">
        <v>30</v>
      </c>
      <c r="C516" s="2">
        <v>13</v>
      </c>
    </row>
    <row r="517" spans="1:3" x14ac:dyDescent="0.15">
      <c r="A517" s="3">
        <v>2500</v>
      </c>
      <c r="B517" s="3">
        <v>5</v>
      </c>
    </row>
    <row r="518" spans="1:3" x14ac:dyDescent="0.15">
      <c r="A518" s="3">
        <v>2500</v>
      </c>
      <c r="B518" s="3">
        <v>5</v>
      </c>
    </row>
    <row r="519" spans="1:3" x14ac:dyDescent="0.15">
      <c r="A519" s="3">
        <v>2500</v>
      </c>
      <c r="B519" s="3">
        <v>5</v>
      </c>
    </row>
    <row r="520" spans="1:3" x14ac:dyDescent="0.15">
      <c r="A520" s="3">
        <v>2500</v>
      </c>
      <c r="B520" s="3">
        <v>5</v>
      </c>
    </row>
    <row r="521" spans="1:3" x14ac:dyDescent="0.15">
      <c r="A521" s="3">
        <v>2500</v>
      </c>
      <c r="B521" s="3">
        <v>5</v>
      </c>
    </row>
    <row r="522" spans="1:3" x14ac:dyDescent="0.15">
      <c r="A522" s="3">
        <v>2500</v>
      </c>
      <c r="B522" s="3">
        <v>5</v>
      </c>
    </row>
    <row r="523" spans="1:3" x14ac:dyDescent="0.15">
      <c r="A523" s="3">
        <v>500</v>
      </c>
      <c r="B523" s="3">
        <v>110</v>
      </c>
      <c r="C523" s="2">
        <v>24</v>
      </c>
    </row>
    <row r="524" spans="1:3" x14ac:dyDescent="0.15">
      <c r="C524" s="2">
        <v>57</v>
      </c>
    </row>
    <row r="525" spans="1:3" x14ac:dyDescent="0.15">
      <c r="C525" s="2">
        <v>4</v>
      </c>
    </row>
    <row r="526" spans="1:3" x14ac:dyDescent="0.15">
      <c r="C526" s="2">
        <v>46</v>
      </c>
    </row>
    <row r="527" spans="1:3" x14ac:dyDescent="0.15">
      <c r="C527" s="2">
        <v>6</v>
      </c>
    </row>
    <row r="528" spans="1:3" x14ac:dyDescent="0.15">
      <c r="A528" s="3">
        <v>1000</v>
      </c>
      <c r="B528" s="3">
        <v>64</v>
      </c>
      <c r="C528" s="2">
        <v>77</v>
      </c>
    </row>
    <row r="529" spans="1:3" x14ac:dyDescent="0.15">
      <c r="A529" s="3">
        <v>1000</v>
      </c>
      <c r="B529" s="3">
        <v>64</v>
      </c>
      <c r="C529" s="2">
        <v>77</v>
      </c>
    </row>
    <row r="530" spans="1:3" x14ac:dyDescent="0.15">
      <c r="A530" s="3">
        <v>1000</v>
      </c>
      <c r="B530" s="3">
        <v>10</v>
      </c>
      <c r="C530" s="2">
        <v>66</v>
      </c>
    </row>
    <row r="531" spans="1:3" x14ac:dyDescent="0.15">
      <c r="A531" s="3">
        <v>1000</v>
      </c>
      <c r="B531" s="3">
        <v>32</v>
      </c>
      <c r="C531" s="2">
        <v>24</v>
      </c>
    </row>
    <row r="532" spans="1:3" x14ac:dyDescent="0.15">
      <c r="A532" s="3">
        <v>1000</v>
      </c>
      <c r="B532" s="3">
        <v>16</v>
      </c>
      <c r="C532" s="2">
        <v>4</v>
      </c>
    </row>
    <row r="533" spans="1:3" x14ac:dyDescent="0.15">
      <c r="A533" s="3">
        <v>1000</v>
      </c>
      <c r="B533" s="3">
        <v>10</v>
      </c>
      <c r="C533" s="2">
        <v>66</v>
      </c>
    </row>
    <row r="534" spans="1:3" x14ac:dyDescent="0.15">
      <c r="A534" s="3">
        <v>1000</v>
      </c>
      <c r="B534" s="3">
        <v>32</v>
      </c>
      <c r="C534" s="2">
        <v>24</v>
      </c>
    </row>
    <row r="535" spans="1:3" x14ac:dyDescent="0.15">
      <c r="A535" s="3">
        <v>1000</v>
      </c>
      <c r="B535" s="3">
        <v>16</v>
      </c>
      <c r="C535" s="2">
        <v>4</v>
      </c>
    </row>
    <row r="536" spans="1:3" x14ac:dyDescent="0.15">
      <c r="A536" s="3">
        <v>1000</v>
      </c>
      <c r="B536" s="3">
        <v>20</v>
      </c>
      <c r="C536" s="2">
        <v>29</v>
      </c>
    </row>
    <row r="537" spans="1:3" x14ac:dyDescent="0.15">
      <c r="A537" s="3">
        <v>1000</v>
      </c>
      <c r="B537" s="3">
        <v>2</v>
      </c>
      <c r="C537" s="2">
        <v>3</v>
      </c>
    </row>
    <row r="538" spans="1:3" x14ac:dyDescent="0.15">
      <c r="A538" s="3">
        <v>1000</v>
      </c>
      <c r="B538" s="3">
        <v>2</v>
      </c>
      <c r="C538" s="2">
        <v>3</v>
      </c>
    </row>
    <row r="539" spans="1:3" x14ac:dyDescent="0.15">
      <c r="A539" s="3">
        <v>1000</v>
      </c>
      <c r="B539" s="3">
        <v>2</v>
      </c>
      <c r="C539" s="2">
        <v>10</v>
      </c>
    </row>
    <row r="540" spans="1:3" x14ac:dyDescent="0.15">
      <c r="A540" s="3">
        <v>1000</v>
      </c>
      <c r="B540" s="3">
        <v>2</v>
      </c>
      <c r="C540" s="2">
        <v>7</v>
      </c>
    </row>
    <row r="541" spans="1:3" x14ac:dyDescent="0.15">
      <c r="A541" s="3">
        <v>1000</v>
      </c>
      <c r="B541" s="3">
        <v>2</v>
      </c>
      <c r="C541" s="2">
        <v>7</v>
      </c>
    </row>
    <row r="542" spans="1:3" x14ac:dyDescent="0.15">
      <c r="A542" s="3">
        <v>1000</v>
      </c>
      <c r="B542" s="3">
        <v>2</v>
      </c>
      <c r="C542" s="2">
        <v>9</v>
      </c>
    </row>
    <row r="543" spans="1:3" x14ac:dyDescent="0.15">
      <c r="A543" s="3">
        <v>1000</v>
      </c>
      <c r="B543" s="3">
        <v>2</v>
      </c>
      <c r="C543" s="2">
        <v>8</v>
      </c>
    </row>
    <row r="544" spans="1:3" x14ac:dyDescent="0.15">
      <c r="A544" s="3">
        <v>1000</v>
      </c>
      <c r="B544" s="3">
        <v>2</v>
      </c>
      <c r="C544" s="2">
        <v>8</v>
      </c>
    </row>
    <row r="545" spans="1:3" x14ac:dyDescent="0.15">
      <c r="A545" s="3">
        <v>1000</v>
      </c>
      <c r="B545" s="3">
        <v>2</v>
      </c>
      <c r="C545" s="2">
        <v>9</v>
      </c>
    </row>
    <row r="546" spans="1:3" x14ac:dyDescent="0.15">
      <c r="A546" s="3">
        <v>1000</v>
      </c>
      <c r="B546" s="3">
        <v>2</v>
      </c>
      <c r="C546" s="2">
        <v>10</v>
      </c>
    </row>
    <row r="547" spans="1:3" x14ac:dyDescent="0.15">
      <c r="A547" s="3">
        <v>1000</v>
      </c>
      <c r="B547" s="3">
        <f>28*4</f>
        <v>112</v>
      </c>
      <c r="C547" s="2">
        <v>27</v>
      </c>
    </row>
    <row r="548" spans="1:3" x14ac:dyDescent="0.15">
      <c r="A548" s="3">
        <v>1000</v>
      </c>
      <c r="B548" s="3">
        <f t="shared" ref="B548:B551" si="3">28*4</f>
        <v>112</v>
      </c>
      <c r="C548" s="2">
        <v>37</v>
      </c>
    </row>
    <row r="549" spans="1:3" x14ac:dyDescent="0.15">
      <c r="A549" s="3">
        <v>1000</v>
      </c>
      <c r="B549" s="3">
        <f t="shared" si="3"/>
        <v>112</v>
      </c>
      <c r="C549" s="2">
        <v>29</v>
      </c>
    </row>
    <row r="550" spans="1:3" x14ac:dyDescent="0.15">
      <c r="A550" s="3">
        <v>1000</v>
      </c>
      <c r="B550" s="3">
        <f t="shared" si="3"/>
        <v>112</v>
      </c>
      <c r="C550" s="2">
        <v>24</v>
      </c>
    </row>
    <row r="551" spans="1:3" x14ac:dyDescent="0.15">
      <c r="A551" s="3">
        <v>1000</v>
      </c>
      <c r="B551" s="3">
        <f t="shared" si="3"/>
        <v>112</v>
      </c>
      <c r="C551" s="2">
        <v>39</v>
      </c>
    </row>
    <row r="552" spans="1:3" x14ac:dyDescent="0.15">
      <c r="A552" s="3">
        <v>1000</v>
      </c>
      <c r="B552" s="3">
        <v>28</v>
      </c>
      <c r="C552" s="2">
        <v>11</v>
      </c>
    </row>
    <row r="553" spans="1:3" x14ac:dyDescent="0.15">
      <c r="A553" s="3">
        <v>1000</v>
      </c>
      <c r="B553" s="3">
        <v>28</v>
      </c>
      <c r="C553" s="2">
        <v>23</v>
      </c>
    </row>
    <row r="554" spans="1:3" x14ac:dyDescent="0.15">
      <c r="A554" s="3">
        <v>1000</v>
      </c>
      <c r="B554" s="3">
        <v>28</v>
      </c>
      <c r="C554" s="2">
        <v>17</v>
      </c>
    </row>
    <row r="555" spans="1:3" x14ac:dyDescent="0.15">
      <c r="A555" s="3">
        <v>1000</v>
      </c>
      <c r="B555" s="3">
        <v>28</v>
      </c>
      <c r="C555" s="2">
        <v>9</v>
      </c>
    </row>
    <row r="556" spans="1:3" x14ac:dyDescent="0.15">
      <c r="A556" s="3">
        <v>1000</v>
      </c>
      <c r="B556" s="3">
        <v>28</v>
      </c>
      <c r="C556" s="2">
        <v>25</v>
      </c>
    </row>
    <row r="557" spans="1:3" x14ac:dyDescent="0.15">
      <c r="A557" s="3">
        <v>1000</v>
      </c>
      <c r="B557" s="3">
        <v>28</v>
      </c>
      <c r="C557" s="2">
        <v>14</v>
      </c>
    </row>
    <row r="558" spans="1:3" x14ac:dyDescent="0.15">
      <c r="A558" s="3">
        <v>1000</v>
      </c>
      <c r="B558" s="3">
        <v>28</v>
      </c>
      <c r="C558" s="2">
        <v>18</v>
      </c>
    </row>
    <row r="559" spans="1:3" x14ac:dyDescent="0.15">
      <c r="A559" s="3">
        <v>1000</v>
      </c>
      <c r="B559" s="3">
        <v>28</v>
      </c>
      <c r="C559" s="2">
        <v>13</v>
      </c>
    </row>
    <row r="560" spans="1:3" x14ac:dyDescent="0.15">
      <c r="A560" s="3">
        <v>1000</v>
      </c>
      <c r="B560" s="3">
        <v>28</v>
      </c>
      <c r="C560" s="2">
        <v>10</v>
      </c>
    </row>
    <row r="561" spans="1:3" x14ac:dyDescent="0.15">
      <c r="A561" s="3">
        <v>1000</v>
      </c>
      <c r="B561" s="3">
        <v>28</v>
      </c>
      <c r="C561" s="2">
        <v>13</v>
      </c>
    </row>
    <row r="562" spans="1:3" x14ac:dyDescent="0.15">
      <c r="A562" s="3">
        <v>1000</v>
      </c>
      <c r="B562" s="3">
        <v>28</v>
      </c>
      <c r="C562" s="2">
        <v>8</v>
      </c>
    </row>
    <row r="563" spans="1:3" x14ac:dyDescent="0.15">
      <c r="A563" s="3">
        <v>1000</v>
      </c>
      <c r="B563" s="3">
        <v>28</v>
      </c>
      <c r="C563" s="2">
        <v>10</v>
      </c>
    </row>
    <row r="564" spans="1:3" x14ac:dyDescent="0.15">
      <c r="A564" s="3">
        <v>1000</v>
      </c>
      <c r="B564" s="3">
        <v>28</v>
      </c>
      <c r="C564" s="2">
        <v>11</v>
      </c>
    </row>
    <row r="565" spans="1:3" x14ac:dyDescent="0.15">
      <c r="A565" s="3">
        <v>1000</v>
      </c>
      <c r="B565" s="3">
        <v>28</v>
      </c>
      <c r="C565" s="2">
        <v>10</v>
      </c>
    </row>
    <row r="566" spans="1:3" x14ac:dyDescent="0.15">
      <c r="A566" s="3">
        <v>1000</v>
      </c>
      <c r="B566" s="3">
        <v>28</v>
      </c>
      <c r="C566" s="2">
        <v>8</v>
      </c>
    </row>
    <row r="567" spans="1:3" x14ac:dyDescent="0.15">
      <c r="A567" s="3">
        <v>1000</v>
      </c>
      <c r="B567" s="3">
        <v>28</v>
      </c>
      <c r="C567" s="2">
        <v>14</v>
      </c>
    </row>
    <row r="568" spans="1:3" x14ac:dyDescent="0.15">
      <c r="A568" s="3">
        <v>1000</v>
      </c>
      <c r="B568" s="3">
        <v>28</v>
      </c>
      <c r="C568" s="2">
        <v>12</v>
      </c>
    </row>
    <row r="569" spans="1:3" x14ac:dyDescent="0.15">
      <c r="A569" s="3">
        <v>1000</v>
      </c>
      <c r="B569" s="3">
        <v>28</v>
      </c>
      <c r="C569" s="2">
        <v>16</v>
      </c>
    </row>
    <row r="570" spans="1:3" x14ac:dyDescent="0.15">
      <c r="A570" s="3">
        <v>1000</v>
      </c>
      <c r="B570" s="3">
        <v>28</v>
      </c>
      <c r="C570" s="2">
        <v>16</v>
      </c>
    </row>
    <row r="571" spans="1:3" x14ac:dyDescent="0.15">
      <c r="A571" s="3">
        <v>1000</v>
      </c>
      <c r="B571" s="3">
        <v>28</v>
      </c>
      <c r="C571" s="2">
        <v>13</v>
      </c>
    </row>
    <row r="572" spans="1:3" x14ac:dyDescent="0.15">
      <c r="A572" s="6">
        <v>500</v>
      </c>
      <c r="B572" s="6">
        <v>48</v>
      </c>
      <c r="C572" s="5">
        <v>16</v>
      </c>
    </row>
    <row r="573" spans="1:3" x14ac:dyDescent="0.15">
      <c r="A573" s="3">
        <v>625</v>
      </c>
      <c r="B573" s="3">
        <v>48</v>
      </c>
      <c r="C573" s="2">
        <v>14</v>
      </c>
    </row>
    <row r="574" spans="1:3" x14ac:dyDescent="0.15">
      <c r="A574" s="3">
        <v>625</v>
      </c>
      <c r="B574" s="3">
        <f>36*4</f>
        <v>144</v>
      </c>
      <c r="C574" s="2">
        <v>47</v>
      </c>
    </row>
    <row r="575" spans="1:3" x14ac:dyDescent="0.15">
      <c r="A575" s="3">
        <v>250</v>
      </c>
      <c r="B575" s="3">
        <v>27</v>
      </c>
      <c r="C575" s="2">
        <v>5</v>
      </c>
    </row>
    <row r="576" spans="1:3" x14ac:dyDescent="0.15">
      <c r="A576" s="3">
        <v>1000</v>
      </c>
      <c r="B576" s="3">
        <v>27</v>
      </c>
      <c r="C576" s="2">
        <v>5</v>
      </c>
    </row>
    <row r="577" spans="1:3" x14ac:dyDescent="0.15">
      <c r="A577" s="3">
        <v>500</v>
      </c>
      <c r="B577" s="3">
        <v>240</v>
      </c>
      <c r="C577" s="2">
        <v>46</v>
      </c>
    </row>
    <row r="578" spans="1:3" x14ac:dyDescent="0.15">
      <c r="A578" s="3">
        <v>500</v>
      </c>
      <c r="B578" s="3">
        <v>60</v>
      </c>
    </row>
    <row r="579" spans="1:3" x14ac:dyDescent="0.15">
      <c r="A579" s="3">
        <v>500</v>
      </c>
      <c r="B579" s="3">
        <v>60</v>
      </c>
    </row>
    <row r="580" spans="1:3" x14ac:dyDescent="0.15">
      <c r="A580" s="3">
        <v>500</v>
      </c>
      <c r="B580" s="3">
        <v>60</v>
      </c>
    </row>
    <row r="581" spans="1:3" x14ac:dyDescent="0.15">
      <c r="A581" s="3">
        <v>500</v>
      </c>
      <c r="B581" s="3">
        <v>60</v>
      </c>
    </row>
    <row r="582" spans="1:3" x14ac:dyDescent="0.15">
      <c r="A582" s="3">
        <v>1000</v>
      </c>
      <c r="B582" s="3">
        <f>24*12</f>
        <v>288</v>
      </c>
      <c r="C582" s="2">
        <v>39</v>
      </c>
    </row>
    <row r="583" spans="1:3" x14ac:dyDescent="0.15">
      <c r="A583" s="3">
        <v>1000</v>
      </c>
      <c r="B583" s="3">
        <v>72</v>
      </c>
      <c r="C583" s="2">
        <v>27</v>
      </c>
    </row>
    <row r="584" spans="1:3" x14ac:dyDescent="0.15">
      <c r="A584" s="3">
        <v>1000</v>
      </c>
      <c r="B584" s="3">
        <v>72</v>
      </c>
      <c r="C584" s="2">
        <v>34</v>
      </c>
    </row>
    <row r="585" spans="1:3" x14ac:dyDescent="0.15">
      <c r="A585" s="3">
        <v>1000</v>
      </c>
      <c r="B585" s="3">
        <v>72</v>
      </c>
      <c r="C585" s="2">
        <v>29</v>
      </c>
    </row>
    <row r="586" spans="1:3" x14ac:dyDescent="0.15">
      <c r="A586" s="3">
        <v>1000</v>
      </c>
      <c r="B586" s="3">
        <v>72</v>
      </c>
      <c r="C586" s="2">
        <v>20</v>
      </c>
    </row>
    <row r="587" spans="1:3" x14ac:dyDescent="0.15">
      <c r="A587" s="3">
        <v>1000</v>
      </c>
      <c r="B587" s="3">
        <v>60</v>
      </c>
      <c r="C587" s="2">
        <v>27</v>
      </c>
    </row>
    <row r="588" spans="1:3" x14ac:dyDescent="0.15">
      <c r="A588" s="3">
        <v>500</v>
      </c>
      <c r="B588" s="3">
        <v>24</v>
      </c>
      <c r="C588" s="2">
        <v>14</v>
      </c>
    </row>
    <row r="589" spans="1:3" x14ac:dyDescent="0.15">
      <c r="A589" s="3">
        <v>500</v>
      </c>
      <c r="B589" s="3">
        <v>24</v>
      </c>
      <c r="C589" s="2">
        <v>17</v>
      </c>
    </row>
    <row r="590" spans="1:3" x14ac:dyDescent="0.15">
      <c r="A590" s="3">
        <v>2500</v>
      </c>
      <c r="B590" s="3">
        <v>18</v>
      </c>
      <c r="C590" s="2">
        <v>11</v>
      </c>
    </row>
    <row r="591" spans="1:3" x14ac:dyDescent="0.15">
      <c r="A591" s="3">
        <v>1000</v>
      </c>
      <c r="B591" s="3">
        <v>52</v>
      </c>
      <c r="C591" s="2">
        <v>35</v>
      </c>
    </row>
    <row r="592" spans="1:3" x14ac:dyDescent="0.15">
      <c r="A592" s="3">
        <v>1000</v>
      </c>
      <c r="B592" s="3">
        <v>42</v>
      </c>
      <c r="C592" s="2">
        <v>19</v>
      </c>
    </row>
    <row r="614" spans="1:3" x14ac:dyDescent="0.15">
      <c r="A614" s="3">
        <v>500</v>
      </c>
      <c r="B614" s="3">
        <v>12</v>
      </c>
      <c r="C614" s="2">
        <v>13</v>
      </c>
    </row>
    <row r="627" spans="1:3" x14ac:dyDescent="0.15">
      <c r="A627" s="3">
        <v>1000</v>
      </c>
      <c r="B627" s="3">
        <v>90</v>
      </c>
      <c r="C627" s="2">
        <v>23</v>
      </c>
    </row>
    <row r="628" spans="1:3" x14ac:dyDescent="0.15">
      <c r="A628" s="3">
        <v>2500</v>
      </c>
      <c r="B628" s="3">
        <v>30</v>
      </c>
      <c r="C628" s="2">
        <v>5</v>
      </c>
    </row>
    <row r="629" spans="1:3" x14ac:dyDescent="0.15">
      <c r="A629" s="3">
        <v>2500</v>
      </c>
      <c r="B629" s="3">
        <v>30</v>
      </c>
      <c r="C629" s="2">
        <v>16</v>
      </c>
    </row>
    <row r="630" spans="1:3" x14ac:dyDescent="0.15">
      <c r="A630" s="3">
        <v>500</v>
      </c>
      <c r="B630" s="3">
        <v>22</v>
      </c>
      <c r="C630" s="2">
        <v>10</v>
      </c>
    </row>
    <row r="631" spans="1:3" x14ac:dyDescent="0.15">
      <c r="A631" s="3">
        <v>500</v>
      </c>
      <c r="B631" s="3">
        <v>27</v>
      </c>
      <c r="C631" s="2">
        <v>11</v>
      </c>
    </row>
    <row r="636" spans="1:3" x14ac:dyDescent="0.15">
      <c r="A636" s="3">
        <v>500</v>
      </c>
      <c r="B636" s="3">
        <v>42</v>
      </c>
      <c r="C636" s="2">
        <v>14</v>
      </c>
    </row>
    <row r="637" spans="1:3" x14ac:dyDescent="0.15">
      <c r="A637" s="3">
        <v>125</v>
      </c>
      <c r="B637" s="3">
        <v>80</v>
      </c>
      <c r="C637" s="2">
        <v>23</v>
      </c>
    </row>
    <row r="638" spans="1:3" x14ac:dyDescent="0.15">
      <c r="A638" s="3">
        <v>125</v>
      </c>
      <c r="B638" s="3">
        <v>80</v>
      </c>
      <c r="C638" s="2">
        <v>23</v>
      </c>
    </row>
    <row r="639" spans="1:3" x14ac:dyDescent="0.15">
      <c r="A639" s="3">
        <v>125</v>
      </c>
      <c r="B639" s="3">
        <v>80</v>
      </c>
      <c r="C639" s="2">
        <v>23</v>
      </c>
    </row>
    <row r="640" spans="1:3" x14ac:dyDescent="0.15">
      <c r="A640" s="3">
        <v>625</v>
      </c>
      <c r="B640" s="3">
        <v>6</v>
      </c>
      <c r="C640" s="2">
        <v>38</v>
      </c>
    </row>
    <row r="641" spans="1:3" x14ac:dyDescent="0.15">
      <c r="A641" s="3">
        <v>1000</v>
      </c>
      <c r="B641" s="3">
        <v>34</v>
      </c>
      <c r="C641" s="2">
        <v>32</v>
      </c>
    </row>
    <row r="642" spans="1:3" x14ac:dyDescent="0.15">
      <c r="A642" s="3">
        <v>1000</v>
      </c>
      <c r="B642" s="3">
        <v>34</v>
      </c>
      <c r="C642" s="2">
        <v>32</v>
      </c>
    </row>
    <row r="643" spans="1:3" x14ac:dyDescent="0.15">
      <c r="A643" s="3">
        <v>1000</v>
      </c>
      <c r="B643" s="3">
        <v>34</v>
      </c>
      <c r="C643" s="2">
        <v>17</v>
      </c>
    </row>
    <row r="644" spans="1:3" x14ac:dyDescent="0.15">
      <c r="A644" s="3">
        <v>1000</v>
      </c>
      <c r="B644" s="3">
        <v>34</v>
      </c>
      <c r="C644" s="2">
        <v>18</v>
      </c>
    </row>
    <row r="645" spans="1:3" x14ac:dyDescent="0.15">
      <c r="A645" s="3">
        <v>1000</v>
      </c>
      <c r="B645" s="3">
        <f>34*3</f>
        <v>102</v>
      </c>
      <c r="C645" s="2">
        <v>48</v>
      </c>
    </row>
    <row r="646" spans="1:3" x14ac:dyDescent="0.15">
      <c r="A646" s="3">
        <v>1000</v>
      </c>
      <c r="B646" s="3">
        <v>34</v>
      </c>
    </row>
    <row r="647" spans="1:3" x14ac:dyDescent="0.15">
      <c r="A647" s="3">
        <v>1000</v>
      </c>
      <c r="B647" s="3">
        <v>34</v>
      </c>
    </row>
    <row r="648" spans="1:3" x14ac:dyDescent="0.15">
      <c r="A648" s="3">
        <v>1000</v>
      </c>
      <c r="B648" s="3">
        <v>34</v>
      </c>
    </row>
    <row r="649" spans="1:3" x14ac:dyDescent="0.15">
      <c r="A649" s="3">
        <v>1000</v>
      </c>
      <c r="B649" s="3">
        <v>35</v>
      </c>
      <c r="C649" s="2">
        <v>22</v>
      </c>
    </row>
    <row r="650" spans="1:3" x14ac:dyDescent="0.15">
      <c r="A650" s="3">
        <v>1000</v>
      </c>
      <c r="B650" s="3">
        <v>35</v>
      </c>
      <c r="C650" s="2">
        <v>14</v>
      </c>
    </row>
    <row r="651" spans="1:3" x14ac:dyDescent="0.15">
      <c r="A651" s="3">
        <v>1000</v>
      </c>
      <c r="B651" s="3">
        <v>260</v>
      </c>
      <c r="C651" s="2">
        <v>33</v>
      </c>
    </row>
    <row r="652" spans="1:3" x14ac:dyDescent="0.15">
      <c r="A652" s="3">
        <v>1000</v>
      </c>
      <c r="B652" s="3">
        <v>36</v>
      </c>
      <c r="C652" s="2">
        <v>37</v>
      </c>
    </row>
    <row r="653" spans="1:3" x14ac:dyDescent="0.15">
      <c r="A653" s="3">
        <v>1000</v>
      </c>
      <c r="B653" s="3">
        <v>36</v>
      </c>
      <c r="C653" s="2">
        <v>37</v>
      </c>
    </row>
    <row r="655" spans="1:3" x14ac:dyDescent="0.15">
      <c r="A655" s="3">
        <v>500</v>
      </c>
      <c r="B655" s="3">
        <v>26</v>
      </c>
      <c r="C655" s="2">
        <v>24</v>
      </c>
    </row>
    <row r="656" spans="1:3" x14ac:dyDescent="0.15">
      <c r="A656" s="3">
        <v>10000</v>
      </c>
      <c r="B656" s="3">
        <v>20</v>
      </c>
      <c r="C656" s="2">
        <v>31</v>
      </c>
    </row>
    <row r="657" spans="1:3" x14ac:dyDescent="0.15">
      <c r="A657" s="3">
        <v>10000</v>
      </c>
      <c r="B657" s="3">
        <v>20</v>
      </c>
      <c r="C657" s="2">
        <v>39</v>
      </c>
    </row>
    <row r="658" spans="1:3" x14ac:dyDescent="0.15">
      <c r="A658" s="3">
        <v>10000</v>
      </c>
      <c r="B658" s="3">
        <v>20</v>
      </c>
      <c r="C658" s="2">
        <v>39</v>
      </c>
    </row>
    <row r="659" spans="1:3" x14ac:dyDescent="0.15">
      <c r="A659" s="6">
        <v>625</v>
      </c>
      <c r="B659" s="6">
        <v>280</v>
      </c>
      <c r="C659" s="5">
        <v>39</v>
      </c>
    </row>
    <row r="660" spans="1:3" x14ac:dyDescent="0.15">
      <c r="A660" s="6"/>
      <c r="B660" s="6"/>
      <c r="C660" s="5"/>
    </row>
    <row r="663" spans="1:3" x14ac:dyDescent="0.15">
      <c r="A663" s="3">
        <v>500</v>
      </c>
      <c r="B663" s="3">
        <v>40</v>
      </c>
      <c r="C663" s="2">
        <v>11</v>
      </c>
    </row>
    <row r="664" spans="1:3" x14ac:dyDescent="0.15">
      <c r="A664" s="3">
        <v>1000</v>
      </c>
      <c r="B664" s="3">
        <v>75</v>
      </c>
      <c r="C664" s="2">
        <v>61</v>
      </c>
    </row>
    <row r="665" spans="1:3" x14ac:dyDescent="0.15">
      <c r="A665" s="3">
        <v>500</v>
      </c>
      <c r="B665" s="3">
        <v>84</v>
      </c>
      <c r="C665" s="2">
        <v>16</v>
      </c>
    </row>
    <row r="666" spans="1:3" x14ac:dyDescent="0.15">
      <c r="C666" s="2">
        <v>18</v>
      </c>
    </row>
    <row r="667" spans="1:3" x14ac:dyDescent="0.15">
      <c r="A667" s="3">
        <v>500</v>
      </c>
      <c r="B667" s="3">
        <v>42</v>
      </c>
      <c r="C667" s="2">
        <v>14</v>
      </c>
    </row>
    <row r="668" spans="1:3" x14ac:dyDescent="0.15">
      <c r="B668" s="3">
        <v>6</v>
      </c>
    </row>
    <row r="669" spans="1:3" x14ac:dyDescent="0.15">
      <c r="B669" s="3">
        <v>32</v>
      </c>
      <c r="C669" s="2">
        <v>12</v>
      </c>
    </row>
    <row r="670" spans="1:3" x14ac:dyDescent="0.15">
      <c r="B670" s="3">
        <v>80</v>
      </c>
      <c r="C670" s="2">
        <v>19</v>
      </c>
    </row>
    <row r="703" spans="1:3" x14ac:dyDescent="0.15">
      <c r="A703" s="3">
        <v>625</v>
      </c>
      <c r="B703" s="3">
        <v>48</v>
      </c>
      <c r="C703" s="2">
        <v>19</v>
      </c>
    </row>
    <row r="704" spans="1:3" x14ac:dyDescent="0.15">
      <c r="A704" s="3">
        <v>1000</v>
      </c>
      <c r="B704" s="3">
        <v>135</v>
      </c>
      <c r="C704" s="2">
        <v>21</v>
      </c>
    </row>
    <row r="712" spans="1:3" x14ac:dyDescent="0.15">
      <c r="B712" s="3">
        <v>12</v>
      </c>
      <c r="C712" s="2">
        <v>10</v>
      </c>
    </row>
    <row r="713" spans="1:3" x14ac:dyDescent="0.15">
      <c r="B713" s="3">
        <v>12</v>
      </c>
      <c r="C713" s="2">
        <v>13</v>
      </c>
    </row>
    <row r="714" spans="1:3" x14ac:dyDescent="0.15">
      <c r="B714" s="3">
        <v>12</v>
      </c>
      <c r="C714" s="2">
        <v>14</v>
      </c>
    </row>
    <row r="715" spans="1:3" x14ac:dyDescent="0.15">
      <c r="B715" s="3">
        <v>12</v>
      </c>
      <c r="C715" s="2">
        <v>20</v>
      </c>
    </row>
    <row r="716" spans="1:3" x14ac:dyDescent="0.15">
      <c r="A716" s="3">
        <v>100</v>
      </c>
      <c r="B716" s="3">
        <v>108</v>
      </c>
      <c r="C716" s="2">
        <v>36</v>
      </c>
    </row>
    <row r="717" spans="1:3" x14ac:dyDescent="0.15">
      <c r="A717" s="3">
        <v>625</v>
      </c>
      <c r="B717" s="3">
        <v>102</v>
      </c>
      <c r="C717" s="2">
        <v>18</v>
      </c>
    </row>
    <row r="718" spans="1:3" x14ac:dyDescent="0.15">
      <c r="A718" s="3">
        <v>500</v>
      </c>
      <c r="B718" s="3">
        <v>105</v>
      </c>
      <c r="C718" s="2">
        <v>46</v>
      </c>
    </row>
  </sheetData>
  <sortState ref="A2:C224">
    <sortCondition ref="C2:C22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1" workbookViewId="0">
      <selection activeCell="B1" sqref="B1:D36"/>
    </sheetView>
  </sheetViews>
  <sheetFormatPr defaultRowHeight="13.5" x14ac:dyDescent="0.15"/>
  <cols>
    <col min="1" max="1" width="22.75" customWidth="1"/>
    <col min="2" max="2" width="20.125" customWidth="1"/>
    <col min="3" max="3" width="17.25" bestFit="1" customWidth="1"/>
    <col min="4" max="4" width="21.625" bestFit="1" customWidth="1"/>
  </cols>
  <sheetData>
    <row r="1" spans="2:4" ht="15" x14ac:dyDescent="0.25">
      <c r="B1" s="30" t="s">
        <v>1001</v>
      </c>
      <c r="C1" s="30"/>
      <c r="D1" s="30"/>
    </row>
    <row r="2" spans="2:4" ht="15" x14ac:dyDescent="0.25">
      <c r="B2" s="22" t="s">
        <v>901</v>
      </c>
      <c r="C2" s="22" t="s">
        <v>934</v>
      </c>
      <c r="D2" s="22" t="s">
        <v>968</v>
      </c>
    </row>
    <row r="3" spans="2:4" ht="15" x14ac:dyDescent="0.25">
      <c r="B3" s="22" t="s">
        <v>902</v>
      </c>
      <c r="C3" s="22" t="s">
        <v>935</v>
      </c>
      <c r="D3" s="22" t="s">
        <v>969</v>
      </c>
    </row>
    <row r="4" spans="2:4" ht="15" x14ac:dyDescent="0.25">
      <c r="B4" s="22" t="s">
        <v>903</v>
      </c>
      <c r="C4" s="22" t="s">
        <v>936</v>
      </c>
      <c r="D4" s="22" t="s">
        <v>970</v>
      </c>
    </row>
    <row r="5" spans="2:4" ht="15" x14ac:dyDescent="0.25">
      <c r="B5" s="22" t="s">
        <v>846</v>
      </c>
      <c r="C5" s="22" t="s">
        <v>937</v>
      </c>
      <c r="D5" s="22" t="s">
        <v>971</v>
      </c>
    </row>
    <row r="6" spans="2:4" ht="15" x14ac:dyDescent="0.25">
      <c r="B6" s="22" t="s">
        <v>904</v>
      </c>
      <c r="C6" s="22" t="s">
        <v>938</v>
      </c>
      <c r="D6" s="22" t="s">
        <v>972</v>
      </c>
    </row>
    <row r="7" spans="2:4" ht="15" x14ac:dyDescent="0.25">
      <c r="B7" s="22" t="s">
        <v>905</v>
      </c>
      <c r="C7" s="22" t="s">
        <v>939</v>
      </c>
      <c r="D7" s="22" t="s">
        <v>973</v>
      </c>
    </row>
    <row r="8" spans="2:4" ht="15" x14ac:dyDescent="0.25">
      <c r="B8" s="22" t="s">
        <v>906</v>
      </c>
      <c r="C8" s="22" t="s">
        <v>940</v>
      </c>
      <c r="D8" s="22" t="s">
        <v>974</v>
      </c>
    </row>
    <row r="9" spans="2:4" ht="15" x14ac:dyDescent="0.25">
      <c r="B9" s="22" t="s">
        <v>907</v>
      </c>
      <c r="C9" s="22" t="s">
        <v>941</v>
      </c>
      <c r="D9" s="22" t="s">
        <v>975</v>
      </c>
    </row>
    <row r="10" spans="2:4" ht="15" x14ac:dyDescent="0.25">
      <c r="B10" s="22" t="s">
        <v>908</v>
      </c>
      <c r="C10" s="22" t="s">
        <v>942</v>
      </c>
      <c r="D10" s="22" t="s">
        <v>976</v>
      </c>
    </row>
    <row r="11" spans="2:4" ht="15" x14ac:dyDescent="0.25">
      <c r="B11" s="22" t="s">
        <v>909</v>
      </c>
      <c r="C11" s="22" t="s">
        <v>943</v>
      </c>
      <c r="D11" s="22" t="s">
        <v>977</v>
      </c>
    </row>
    <row r="12" spans="2:4" ht="15" x14ac:dyDescent="0.25">
      <c r="B12" s="22" t="s">
        <v>910</v>
      </c>
      <c r="C12" s="22" t="s">
        <v>944</v>
      </c>
      <c r="D12" s="22" t="s">
        <v>978</v>
      </c>
    </row>
    <row r="13" spans="2:4" ht="15" x14ac:dyDescent="0.25">
      <c r="B13" s="22" t="s">
        <v>911</v>
      </c>
      <c r="C13" s="22" t="s">
        <v>945</v>
      </c>
      <c r="D13" s="22" t="s">
        <v>979</v>
      </c>
    </row>
    <row r="14" spans="2:4" ht="15" x14ac:dyDescent="0.25">
      <c r="B14" s="22" t="s">
        <v>912</v>
      </c>
      <c r="C14" s="22" t="s">
        <v>946</v>
      </c>
      <c r="D14" s="22" t="s">
        <v>980</v>
      </c>
    </row>
    <row r="15" spans="2:4" ht="15" x14ac:dyDescent="0.25">
      <c r="B15" s="22" t="s">
        <v>913</v>
      </c>
      <c r="C15" s="22" t="s">
        <v>847</v>
      </c>
      <c r="D15" s="22" t="s">
        <v>981</v>
      </c>
    </row>
    <row r="16" spans="2:4" ht="15" x14ac:dyDescent="0.25">
      <c r="B16" s="22" t="s">
        <v>914</v>
      </c>
      <c r="C16" s="22" t="s">
        <v>947</v>
      </c>
      <c r="D16" s="22" t="s">
        <v>982</v>
      </c>
    </row>
    <row r="17" spans="2:4" ht="15" x14ac:dyDescent="0.25">
      <c r="B17" s="22" t="s">
        <v>915</v>
      </c>
      <c r="C17" s="22" t="s">
        <v>948</v>
      </c>
      <c r="D17" s="22" t="s">
        <v>983</v>
      </c>
    </row>
    <row r="18" spans="2:4" ht="15" x14ac:dyDescent="0.25">
      <c r="B18" s="22" t="s">
        <v>916</v>
      </c>
      <c r="C18" s="22" t="s">
        <v>949</v>
      </c>
      <c r="D18" s="22" t="s">
        <v>984</v>
      </c>
    </row>
    <row r="19" spans="2:4" ht="15" x14ac:dyDescent="0.25">
      <c r="B19" s="22" t="s">
        <v>917</v>
      </c>
      <c r="C19" s="22" t="s">
        <v>950</v>
      </c>
      <c r="D19" s="22" t="s">
        <v>985</v>
      </c>
    </row>
    <row r="20" spans="2:4" ht="15" x14ac:dyDescent="0.25">
      <c r="B20" s="22" t="s">
        <v>918</v>
      </c>
      <c r="C20" s="22" t="s">
        <v>951</v>
      </c>
      <c r="D20" s="22" t="s">
        <v>986</v>
      </c>
    </row>
    <row r="21" spans="2:4" ht="15" x14ac:dyDescent="0.25">
      <c r="B21" s="22" t="s">
        <v>919</v>
      </c>
      <c r="C21" s="22" t="s">
        <v>952</v>
      </c>
      <c r="D21" s="22" t="s">
        <v>987</v>
      </c>
    </row>
    <row r="22" spans="2:4" ht="15" x14ac:dyDescent="0.25">
      <c r="B22" s="22" t="s">
        <v>920</v>
      </c>
      <c r="C22" s="22" t="s">
        <v>953</v>
      </c>
      <c r="D22" s="22" t="s">
        <v>988</v>
      </c>
    </row>
    <row r="23" spans="2:4" ht="15" x14ac:dyDescent="0.25">
      <c r="B23" s="22" t="s">
        <v>921</v>
      </c>
      <c r="C23" s="22" t="s">
        <v>954</v>
      </c>
      <c r="D23" s="22" t="s">
        <v>989</v>
      </c>
    </row>
    <row r="24" spans="2:4" ht="15" x14ac:dyDescent="0.25">
      <c r="B24" s="22" t="s">
        <v>922</v>
      </c>
      <c r="C24" s="22" t="s">
        <v>955</v>
      </c>
      <c r="D24" s="22" t="s">
        <v>990</v>
      </c>
    </row>
    <row r="25" spans="2:4" ht="15" x14ac:dyDescent="0.25">
      <c r="B25" s="22" t="s">
        <v>923</v>
      </c>
      <c r="C25" s="22" t="s">
        <v>956</v>
      </c>
      <c r="D25" s="22" t="s">
        <v>991</v>
      </c>
    </row>
    <row r="26" spans="2:4" ht="15" x14ac:dyDescent="0.25">
      <c r="B26" s="22" t="s">
        <v>924</v>
      </c>
      <c r="C26" s="22" t="s">
        <v>957</v>
      </c>
      <c r="D26" s="22" t="s">
        <v>992</v>
      </c>
    </row>
    <row r="27" spans="2:4" ht="15" x14ac:dyDescent="0.25">
      <c r="B27" s="22" t="s">
        <v>925</v>
      </c>
      <c r="C27" s="22" t="s">
        <v>958</v>
      </c>
      <c r="D27" s="22" t="s">
        <v>993</v>
      </c>
    </row>
    <row r="28" spans="2:4" ht="15" x14ac:dyDescent="0.25">
      <c r="B28" s="22" t="s">
        <v>926</v>
      </c>
      <c r="C28" s="22" t="s">
        <v>959</v>
      </c>
      <c r="D28" s="22" t="s">
        <v>842</v>
      </c>
    </row>
    <row r="29" spans="2:4" ht="15" x14ac:dyDescent="0.25">
      <c r="B29" s="22" t="s">
        <v>927</v>
      </c>
      <c r="C29" s="22" t="s">
        <v>960</v>
      </c>
      <c r="D29" s="22" t="s">
        <v>994</v>
      </c>
    </row>
    <row r="30" spans="2:4" ht="15" x14ac:dyDescent="0.25">
      <c r="B30" s="22" t="s">
        <v>928</v>
      </c>
      <c r="C30" s="22" t="s">
        <v>961</v>
      </c>
      <c r="D30" s="22" t="s">
        <v>995</v>
      </c>
    </row>
    <row r="31" spans="2:4" ht="15" x14ac:dyDescent="0.25">
      <c r="B31" s="22" t="s">
        <v>929</v>
      </c>
      <c r="C31" s="22" t="s">
        <v>962</v>
      </c>
      <c r="D31" s="22" t="s">
        <v>996</v>
      </c>
    </row>
    <row r="32" spans="2:4" ht="15" x14ac:dyDescent="0.25">
      <c r="B32" s="22" t="s">
        <v>930</v>
      </c>
      <c r="C32" s="22" t="s">
        <v>630</v>
      </c>
      <c r="D32" s="22" t="s">
        <v>997</v>
      </c>
    </row>
    <row r="33" spans="2:4" ht="15" x14ac:dyDescent="0.25">
      <c r="B33" s="22" t="s">
        <v>931</v>
      </c>
      <c r="C33" s="22" t="s">
        <v>963</v>
      </c>
      <c r="D33" s="22" t="s">
        <v>998</v>
      </c>
    </row>
    <row r="34" spans="2:4" ht="15" x14ac:dyDescent="0.25">
      <c r="B34" s="22" t="s">
        <v>932</v>
      </c>
      <c r="C34" s="22" t="s">
        <v>964</v>
      </c>
      <c r="D34" s="22" t="s">
        <v>999</v>
      </c>
    </row>
    <row r="35" spans="2:4" ht="15" x14ac:dyDescent="0.25">
      <c r="B35" s="22" t="s">
        <v>933</v>
      </c>
      <c r="C35" s="22" t="s">
        <v>965</v>
      </c>
      <c r="D35" s="22" t="s">
        <v>1000</v>
      </c>
    </row>
    <row r="36" spans="2:4" ht="15" x14ac:dyDescent="0.25">
      <c r="B36" s="23" t="s">
        <v>967</v>
      </c>
      <c r="C36" s="23" t="s">
        <v>966</v>
      </c>
      <c r="D36" s="23"/>
    </row>
  </sheetData>
  <sortState ref="B1:B105">
    <sortCondition ref="B1:B105"/>
  </sortState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22" sqref="M22:M23"/>
    </sheetView>
  </sheetViews>
  <sheetFormatPr defaultRowHeight="13.5" x14ac:dyDescent="0.15"/>
  <cols>
    <col min="10" max="10" width="11.625" bestFit="1" customWidth="1"/>
    <col min="11" max="11" width="9.5" bestFit="1" customWidth="1"/>
    <col min="12" max="12" width="11.625" bestFit="1" customWidth="1"/>
  </cols>
  <sheetData>
    <row r="1" spans="1:8" ht="15.75" x14ac:dyDescent="0.15">
      <c r="A1" s="19"/>
    </row>
    <row r="2" spans="1:8" x14ac:dyDescent="0.15">
      <c r="A2" s="25" t="s">
        <v>890</v>
      </c>
      <c r="B2" s="25" t="s">
        <v>889</v>
      </c>
      <c r="C2" s="25" t="s">
        <v>887</v>
      </c>
      <c r="D2" s="25" t="s">
        <v>888</v>
      </c>
      <c r="F2" t="s">
        <v>893</v>
      </c>
      <c r="G2" t="s">
        <v>892</v>
      </c>
      <c r="H2" t="s">
        <v>894</v>
      </c>
    </row>
    <row r="3" spans="1:8" x14ac:dyDescent="0.15">
      <c r="A3" s="25">
        <v>36</v>
      </c>
      <c r="B3" s="25">
        <v>3.15</v>
      </c>
      <c r="C3" s="25">
        <v>0.12</v>
      </c>
      <c r="D3" s="25">
        <v>7.77</v>
      </c>
      <c r="E3" t="s">
        <v>891</v>
      </c>
      <c r="F3">
        <f>C3*100/D3</f>
        <v>1.5444015444015444</v>
      </c>
      <c r="G3">
        <f>(C3+F3)/B3</f>
        <v>0.52838144266715703</v>
      </c>
      <c r="H3">
        <f>F3/B3</f>
        <v>0.4902862045719189</v>
      </c>
    </row>
    <row r="4" spans="1:8" x14ac:dyDescent="0.15">
      <c r="A4" s="25">
        <v>36</v>
      </c>
      <c r="B4" s="25">
        <v>5.23</v>
      </c>
      <c r="C4" s="25">
        <v>0.23</v>
      </c>
      <c r="D4" s="25">
        <v>9.16</v>
      </c>
      <c r="E4" t="s">
        <v>891</v>
      </c>
      <c r="F4">
        <f t="shared" ref="F4:F16" si="0">C4*100/D4</f>
        <v>2.5109170305676853</v>
      </c>
      <c r="G4">
        <f t="shared" ref="G4:G16" si="1">(C4+F4)/B4</f>
        <v>0.52407591406647902</v>
      </c>
      <c r="H4">
        <f t="shared" ref="H4:H16" si="2">F4/B4</f>
        <v>0.48009885861714818</v>
      </c>
    </row>
    <row r="5" spans="1:8" x14ac:dyDescent="0.15">
      <c r="A5" s="25">
        <v>16</v>
      </c>
      <c r="B5">
        <v>0.67</v>
      </c>
      <c r="C5">
        <v>2.1000000000000001E-2</v>
      </c>
      <c r="D5">
        <v>4.84</v>
      </c>
      <c r="E5" t="s">
        <v>98</v>
      </c>
      <c r="F5">
        <f t="shared" si="0"/>
        <v>0.43388429752066121</v>
      </c>
      <c r="G5">
        <f t="shared" si="1"/>
        <v>0.6789317873442704</v>
      </c>
      <c r="H5">
        <f t="shared" si="2"/>
        <v>0.64758850376218091</v>
      </c>
    </row>
    <row r="6" spans="1:8" x14ac:dyDescent="0.15">
      <c r="A6" s="25">
        <v>12</v>
      </c>
      <c r="B6">
        <v>2.64</v>
      </c>
      <c r="C6">
        <v>7.4999999999999997E-2</v>
      </c>
      <c r="D6">
        <v>4.1399999999999997</v>
      </c>
      <c r="E6" t="s">
        <v>98</v>
      </c>
      <c r="F6">
        <f t="shared" si="0"/>
        <v>1.8115942028985508</v>
      </c>
      <c r="G6">
        <f t="shared" si="1"/>
        <v>0.71461901624945101</v>
      </c>
      <c r="H6">
        <f t="shared" si="2"/>
        <v>0.68620992534036007</v>
      </c>
    </row>
    <row r="7" spans="1:8" x14ac:dyDescent="0.15">
      <c r="A7" s="25">
        <v>12</v>
      </c>
      <c r="B7">
        <v>5.25</v>
      </c>
      <c r="C7">
        <v>0.20599999999999999</v>
      </c>
      <c r="D7">
        <v>5.03</v>
      </c>
      <c r="E7" t="s">
        <v>98</v>
      </c>
      <c r="F7">
        <f t="shared" si="0"/>
        <v>4.0954274353876734</v>
      </c>
      <c r="G7">
        <f t="shared" si="1"/>
        <v>0.81931951150241411</v>
      </c>
      <c r="H7">
        <f t="shared" si="2"/>
        <v>0.78008141626431871</v>
      </c>
    </row>
    <row r="8" spans="1:8" x14ac:dyDescent="0.15">
      <c r="A8" s="25">
        <v>16</v>
      </c>
      <c r="B8">
        <v>1.5</v>
      </c>
      <c r="C8">
        <v>5.7000000000000002E-2</v>
      </c>
      <c r="D8">
        <v>9.58</v>
      </c>
      <c r="E8" t="s">
        <v>98</v>
      </c>
      <c r="F8">
        <f t="shared" si="0"/>
        <v>0.59498956158663885</v>
      </c>
      <c r="G8">
        <f t="shared" si="1"/>
        <v>0.43465970772442591</v>
      </c>
      <c r="H8">
        <f t="shared" si="2"/>
        <v>0.39665970772442588</v>
      </c>
    </row>
    <row r="9" spans="1:8" x14ac:dyDescent="0.15">
      <c r="A9" s="25">
        <v>12</v>
      </c>
      <c r="B9">
        <v>3.65</v>
      </c>
      <c r="C9">
        <v>0.252</v>
      </c>
      <c r="D9">
        <v>12.93</v>
      </c>
      <c r="E9" t="s">
        <v>98</v>
      </c>
      <c r="F9">
        <f t="shared" si="0"/>
        <v>1.9489559164733179</v>
      </c>
      <c r="G9">
        <f t="shared" si="1"/>
        <v>0.60300162095159404</v>
      </c>
      <c r="H9">
        <f t="shared" si="2"/>
        <v>0.53396052506118297</v>
      </c>
    </row>
    <row r="10" spans="1:8" x14ac:dyDescent="0.15">
      <c r="A10" s="25">
        <v>12</v>
      </c>
      <c r="B10">
        <v>8.0299999999999994</v>
      </c>
      <c r="C10">
        <v>0.496</v>
      </c>
      <c r="D10">
        <v>13.89</v>
      </c>
      <c r="E10" t="s">
        <v>98</v>
      </c>
      <c r="F10">
        <f t="shared" si="0"/>
        <v>3.5709143268538517</v>
      </c>
      <c r="G10">
        <f t="shared" si="1"/>
        <v>0.50646504693074113</v>
      </c>
      <c r="H10">
        <f t="shared" si="2"/>
        <v>0.44469667831305754</v>
      </c>
    </row>
    <row r="11" spans="1:8" x14ac:dyDescent="0.15">
      <c r="A11" s="25">
        <v>16</v>
      </c>
      <c r="B11">
        <v>0.85</v>
      </c>
      <c r="C11">
        <v>2.5999999999999999E-2</v>
      </c>
      <c r="D11">
        <v>7.04</v>
      </c>
      <c r="E11" t="s">
        <v>98</v>
      </c>
      <c r="F11">
        <f t="shared" si="0"/>
        <v>0.36931818181818182</v>
      </c>
      <c r="G11">
        <f t="shared" si="1"/>
        <v>0.46508021390374338</v>
      </c>
      <c r="H11">
        <f t="shared" si="2"/>
        <v>0.43449197860962568</v>
      </c>
    </row>
    <row r="12" spans="1:8" x14ac:dyDescent="0.15">
      <c r="A12" s="25">
        <v>12</v>
      </c>
      <c r="B12">
        <v>3.54</v>
      </c>
      <c r="C12">
        <v>0.193</v>
      </c>
      <c r="D12">
        <v>10.84</v>
      </c>
      <c r="E12" t="s">
        <v>98</v>
      </c>
      <c r="F12">
        <f t="shared" si="0"/>
        <v>1.7804428044280445</v>
      </c>
      <c r="G12">
        <f t="shared" si="1"/>
        <v>0.5574697187649843</v>
      </c>
      <c r="H12">
        <f t="shared" si="2"/>
        <v>0.50294994475368493</v>
      </c>
    </row>
    <row r="13" spans="1:8" x14ac:dyDescent="0.15">
      <c r="A13" s="25">
        <v>12</v>
      </c>
      <c r="B13">
        <v>8.35</v>
      </c>
      <c r="C13">
        <v>0.48899999999999999</v>
      </c>
      <c r="D13">
        <v>12.08</v>
      </c>
      <c r="E13" t="s">
        <v>98</v>
      </c>
      <c r="F13">
        <f t="shared" si="0"/>
        <v>4.0480132450331121</v>
      </c>
      <c r="G13">
        <f t="shared" si="1"/>
        <v>0.5433548796446841</v>
      </c>
      <c r="H13">
        <f t="shared" si="2"/>
        <v>0.48479200539318712</v>
      </c>
    </row>
    <row r="14" spans="1:8" x14ac:dyDescent="0.15">
      <c r="A14" s="25">
        <v>16</v>
      </c>
      <c r="B14">
        <v>1.07</v>
      </c>
      <c r="C14">
        <v>0.02</v>
      </c>
      <c r="D14">
        <v>8.4499999999999993</v>
      </c>
      <c r="E14" t="s">
        <v>98</v>
      </c>
      <c r="F14">
        <f t="shared" si="0"/>
        <v>0.23668639053254439</v>
      </c>
      <c r="G14">
        <f t="shared" si="1"/>
        <v>0.23989382292761155</v>
      </c>
      <c r="H14">
        <f t="shared" si="2"/>
        <v>0.22120223414256485</v>
      </c>
    </row>
    <row r="15" spans="1:8" x14ac:dyDescent="0.15">
      <c r="A15" s="25">
        <v>12</v>
      </c>
      <c r="B15">
        <v>2.56</v>
      </c>
      <c r="C15">
        <v>6.8000000000000005E-2</v>
      </c>
      <c r="D15">
        <v>8.89</v>
      </c>
      <c r="E15" t="s">
        <v>98</v>
      </c>
      <c r="F15">
        <f t="shared" si="0"/>
        <v>0.7649043869516311</v>
      </c>
      <c r="G15">
        <f t="shared" si="1"/>
        <v>0.32535327615298087</v>
      </c>
      <c r="H15">
        <f t="shared" si="2"/>
        <v>0.29879077615298089</v>
      </c>
    </row>
    <row r="16" spans="1:8" x14ac:dyDescent="0.15">
      <c r="A16" s="25">
        <v>12</v>
      </c>
      <c r="B16">
        <v>5.4</v>
      </c>
      <c r="C16">
        <v>0.13200000000000001</v>
      </c>
      <c r="D16">
        <v>8.6300000000000008</v>
      </c>
      <c r="E16" t="s">
        <v>98</v>
      </c>
      <c r="F16">
        <f t="shared" si="0"/>
        <v>1.52954808806489</v>
      </c>
      <c r="G16">
        <f t="shared" si="1"/>
        <v>0.30769409038238699</v>
      </c>
      <c r="H16">
        <f t="shared" si="2"/>
        <v>0.28324964593794255</v>
      </c>
    </row>
    <row r="17" spans="1:13" ht="15.75" x14ac:dyDescent="0.15">
      <c r="A17" s="19"/>
    </row>
    <row r="18" spans="1:13" ht="15.75" x14ac:dyDescent="0.15">
      <c r="A18" s="19"/>
    </row>
    <row r="19" spans="1:13" ht="15.75" x14ac:dyDescent="0.15">
      <c r="A19" s="19"/>
    </row>
    <row r="20" spans="1:13" ht="15.75" x14ac:dyDescent="0.15">
      <c r="A20" s="19"/>
    </row>
    <row r="21" spans="1:13" x14ac:dyDescent="0.15">
      <c r="J21" s="29"/>
      <c r="K21" s="29" t="s">
        <v>895</v>
      </c>
      <c r="L21" s="29" t="s">
        <v>896</v>
      </c>
      <c r="M21" s="29" t="s">
        <v>897</v>
      </c>
    </row>
    <row r="22" spans="1:13" x14ac:dyDescent="0.15">
      <c r="J22" s="27" t="s">
        <v>898</v>
      </c>
      <c r="K22" s="27">
        <v>51.5</v>
      </c>
      <c r="L22" s="27">
        <v>8</v>
      </c>
      <c r="M22" s="27">
        <v>43.5</v>
      </c>
    </row>
    <row r="23" spans="1:13" ht="14.25" x14ac:dyDescent="0.15">
      <c r="F23" s="26"/>
      <c r="J23" s="28" t="s">
        <v>899</v>
      </c>
      <c r="K23" s="28"/>
      <c r="L23" s="28"/>
      <c r="M23" s="28">
        <v>47.75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4"/>
  <sheetViews>
    <sheetView workbookViewId="0">
      <selection activeCell="I1" sqref="I1"/>
    </sheetView>
  </sheetViews>
  <sheetFormatPr defaultRowHeight="13.5" x14ac:dyDescent="0.15"/>
  <sheetData>
    <row r="1" spans="4:5" ht="15" x14ac:dyDescent="0.25">
      <c r="D1" s="20">
        <v>1980</v>
      </c>
      <c r="E1" s="20">
        <v>170000</v>
      </c>
    </row>
    <row r="2" spans="4:5" ht="15" x14ac:dyDescent="0.25">
      <c r="D2" s="20">
        <v>1981</v>
      </c>
      <c r="E2" s="20">
        <v>118000</v>
      </c>
    </row>
    <row r="3" spans="4:5" ht="15" x14ac:dyDescent="0.25">
      <c r="D3" s="20">
        <v>1982</v>
      </c>
      <c r="E3" s="20">
        <v>603000</v>
      </c>
    </row>
    <row r="4" spans="4:5" ht="15" x14ac:dyDescent="0.25">
      <c r="D4" s="20">
        <v>1983</v>
      </c>
      <c r="E4" s="20">
        <v>725000</v>
      </c>
    </row>
    <row r="5" spans="4:5" ht="15" x14ac:dyDescent="0.25">
      <c r="D5" s="20">
        <v>1984</v>
      </c>
      <c r="E5" s="20">
        <v>122000</v>
      </c>
    </row>
    <row r="6" spans="4:5" ht="15" x14ac:dyDescent="0.25">
      <c r="D6" s="20">
        <v>1985</v>
      </c>
      <c r="E6" s="20">
        <v>567000</v>
      </c>
    </row>
    <row r="7" spans="4:5" ht="15" x14ac:dyDescent="0.25">
      <c r="D7" s="20">
        <v>1986</v>
      </c>
      <c r="E7" s="20">
        <v>144000</v>
      </c>
    </row>
    <row r="8" spans="4:5" ht="15" x14ac:dyDescent="0.25">
      <c r="D8" s="20">
        <v>1987</v>
      </c>
      <c r="E8" s="20">
        <v>260000</v>
      </c>
    </row>
    <row r="9" spans="4:5" ht="15" x14ac:dyDescent="0.25">
      <c r="D9" s="20">
        <v>1988</v>
      </c>
      <c r="E9" s="20">
        <v>105000</v>
      </c>
    </row>
    <row r="10" spans="4:5" ht="15" x14ac:dyDescent="0.25">
      <c r="D10" s="20">
        <v>1989</v>
      </c>
      <c r="E10" s="20">
        <v>10000</v>
      </c>
    </row>
    <row r="11" spans="4:5" ht="15" x14ac:dyDescent="0.25">
      <c r="D11" s="20">
        <v>1990</v>
      </c>
      <c r="E11" s="20">
        <v>52000</v>
      </c>
    </row>
    <row r="12" spans="4:5" ht="15" x14ac:dyDescent="0.25">
      <c r="D12" s="20">
        <v>1991</v>
      </c>
      <c r="E12" s="20">
        <v>330000</v>
      </c>
    </row>
    <row r="13" spans="4:5" ht="15" x14ac:dyDescent="0.25">
      <c r="D13" s="20">
        <v>1992</v>
      </c>
      <c r="E13" s="20">
        <v>115000</v>
      </c>
    </row>
    <row r="14" spans="4:5" ht="15" x14ac:dyDescent="0.25">
      <c r="D14" s="20">
        <v>1993</v>
      </c>
      <c r="E14" s="20">
        <v>145000</v>
      </c>
    </row>
    <row r="15" spans="4:5" ht="15" x14ac:dyDescent="0.25">
      <c r="D15" s="20">
        <v>1994</v>
      </c>
      <c r="E15" s="20">
        <v>20000</v>
      </c>
    </row>
    <row r="16" spans="4:5" ht="15" x14ac:dyDescent="0.25">
      <c r="D16" s="20">
        <v>1995</v>
      </c>
      <c r="E16" s="20">
        <v>58500</v>
      </c>
    </row>
    <row r="17" spans="4:5" ht="15" x14ac:dyDescent="0.25">
      <c r="D17" s="20">
        <v>1996</v>
      </c>
      <c r="E17" s="20">
        <v>851500</v>
      </c>
    </row>
    <row r="18" spans="4:5" ht="15" x14ac:dyDescent="0.25">
      <c r="D18" s="20">
        <v>1997</v>
      </c>
      <c r="E18" s="20">
        <v>793000</v>
      </c>
    </row>
    <row r="19" spans="4:5" ht="15" x14ac:dyDescent="0.25">
      <c r="D19" s="20">
        <v>1998</v>
      </c>
      <c r="E19" s="20">
        <v>718000</v>
      </c>
    </row>
    <row r="20" spans="4:5" ht="15" x14ac:dyDescent="0.25">
      <c r="D20" s="20">
        <v>1999</v>
      </c>
      <c r="E20" s="20">
        <v>330000</v>
      </c>
    </row>
    <row r="21" spans="4:5" ht="15" x14ac:dyDescent="0.25">
      <c r="D21" s="20">
        <v>2000</v>
      </c>
      <c r="E21" s="20">
        <v>298000</v>
      </c>
    </row>
    <row r="22" spans="4:5" ht="15" x14ac:dyDescent="0.25">
      <c r="D22" s="20">
        <v>2001</v>
      </c>
      <c r="E22" s="20">
        <v>560000</v>
      </c>
    </row>
    <row r="23" spans="4:5" ht="15" x14ac:dyDescent="0.25">
      <c r="D23" s="20">
        <v>2002</v>
      </c>
      <c r="E23" s="20">
        <v>1548000</v>
      </c>
    </row>
    <row r="24" spans="4:5" ht="15" x14ac:dyDescent="0.25">
      <c r="D24" s="20">
        <v>2003</v>
      </c>
      <c r="E24" s="20">
        <v>279000</v>
      </c>
    </row>
    <row r="25" spans="4:5" ht="15" x14ac:dyDescent="0.25">
      <c r="D25" s="20">
        <v>2004</v>
      </c>
      <c r="E25" s="20">
        <v>748500</v>
      </c>
    </row>
    <row r="26" spans="4:5" ht="15" x14ac:dyDescent="0.25">
      <c r="D26" s="20">
        <v>2005</v>
      </c>
      <c r="E26" s="20">
        <v>1252000</v>
      </c>
    </row>
    <row r="27" spans="4:5" ht="15" x14ac:dyDescent="0.25">
      <c r="D27" s="20">
        <v>2006</v>
      </c>
      <c r="E27" s="20">
        <v>3329750</v>
      </c>
    </row>
    <row r="28" spans="4:5" ht="15" x14ac:dyDescent="0.25">
      <c r="D28" s="20">
        <v>2007</v>
      </c>
      <c r="E28" s="20">
        <v>2145800</v>
      </c>
    </row>
    <row r="29" spans="4:5" ht="15" x14ac:dyDescent="0.25">
      <c r="D29" s="20">
        <v>2008</v>
      </c>
      <c r="E29" s="20">
        <v>954750</v>
      </c>
    </row>
    <row r="30" spans="4:5" ht="15" x14ac:dyDescent="0.25">
      <c r="D30" s="20">
        <v>2009</v>
      </c>
      <c r="E30" s="20">
        <v>1649450</v>
      </c>
    </row>
    <row r="31" spans="4:5" ht="15" x14ac:dyDescent="0.25">
      <c r="D31" s="20">
        <v>2010</v>
      </c>
      <c r="E31" s="20">
        <v>942325</v>
      </c>
    </row>
    <row r="32" spans="4:5" ht="15" x14ac:dyDescent="0.25">
      <c r="D32" s="20">
        <v>2011</v>
      </c>
      <c r="E32" s="20">
        <v>626025</v>
      </c>
    </row>
    <row r="33" spans="4:5" ht="15" x14ac:dyDescent="0.25">
      <c r="D33" s="20">
        <v>2012</v>
      </c>
      <c r="E33" s="20">
        <v>247500</v>
      </c>
    </row>
    <row r="34" spans="4:5" ht="15" x14ac:dyDescent="0.25">
      <c r="D34" s="20">
        <v>2013</v>
      </c>
      <c r="E34" s="20">
        <v>240000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5" sqref="L15"/>
    </sheetView>
  </sheetViews>
  <sheetFormatPr defaultRowHeight="13.5" x14ac:dyDescent="0.15"/>
  <cols>
    <col min="1" max="1" width="17.375" bestFit="1" customWidth="1"/>
  </cols>
  <sheetData>
    <row r="1" spans="1:9" ht="15" x14ac:dyDescent="0.25">
      <c r="A1" s="24" t="s">
        <v>876</v>
      </c>
      <c r="B1" s="24" t="s">
        <v>850</v>
      </c>
      <c r="C1" s="24" t="s">
        <v>877</v>
      </c>
      <c r="D1" s="24" t="s">
        <v>878</v>
      </c>
    </row>
    <row r="2" spans="1:9" ht="15" x14ac:dyDescent="0.25">
      <c r="A2" s="21" t="s">
        <v>851</v>
      </c>
      <c r="B2" s="22"/>
      <c r="C2" s="22">
        <v>97.42</v>
      </c>
      <c r="D2" s="22">
        <v>0.56999999999999995</v>
      </c>
      <c r="I2" s="22"/>
    </row>
    <row r="3" spans="1:9" ht="15" x14ac:dyDescent="0.25">
      <c r="A3" s="21" t="s">
        <v>853</v>
      </c>
      <c r="B3" s="22">
        <v>0.69</v>
      </c>
      <c r="C3" s="22">
        <v>99.42</v>
      </c>
      <c r="D3" s="22">
        <v>0.2</v>
      </c>
      <c r="I3" s="22"/>
    </row>
    <row r="4" spans="1:9" ht="15" x14ac:dyDescent="0.25">
      <c r="A4" s="21" t="s">
        <v>852</v>
      </c>
      <c r="B4" s="22">
        <v>0.43</v>
      </c>
      <c r="C4" s="22">
        <v>99.43</v>
      </c>
      <c r="D4" s="22">
        <v>0.17</v>
      </c>
      <c r="I4" s="22"/>
    </row>
    <row r="5" spans="1:9" ht="15" x14ac:dyDescent="0.25">
      <c r="A5" s="22" t="s">
        <v>854</v>
      </c>
      <c r="B5" s="22">
        <v>1.1000000000000001</v>
      </c>
      <c r="C5" s="22">
        <v>99.72</v>
      </c>
      <c r="D5" s="22">
        <v>0.15</v>
      </c>
      <c r="I5" s="22"/>
    </row>
    <row r="6" spans="1:9" ht="15" x14ac:dyDescent="0.25">
      <c r="A6" s="22" t="s">
        <v>866</v>
      </c>
      <c r="B6" s="22">
        <v>2.2000000000000002</v>
      </c>
      <c r="C6" s="22">
        <v>99.2</v>
      </c>
      <c r="D6" s="22"/>
      <c r="I6" s="22"/>
    </row>
    <row r="7" spans="1:9" ht="15" x14ac:dyDescent="0.25">
      <c r="A7" s="22" t="s">
        <v>866</v>
      </c>
      <c r="B7" s="22">
        <v>1.84</v>
      </c>
      <c r="C7" s="22">
        <v>85.06</v>
      </c>
      <c r="D7" s="22">
        <v>8.3000000000000007</v>
      </c>
      <c r="I7" s="22"/>
    </row>
    <row r="8" spans="1:9" ht="15" x14ac:dyDescent="0.25">
      <c r="A8" s="21" t="s">
        <v>855</v>
      </c>
      <c r="B8" s="22">
        <v>0.17</v>
      </c>
      <c r="C8" s="22">
        <v>99.86</v>
      </c>
      <c r="D8" s="22">
        <v>0.03</v>
      </c>
      <c r="I8" s="22"/>
    </row>
    <row r="9" spans="1:9" ht="15" x14ac:dyDescent="0.25">
      <c r="A9" s="22" t="s">
        <v>856</v>
      </c>
      <c r="B9" s="22">
        <v>0.57999999999999996</v>
      </c>
      <c r="C9" s="22">
        <v>99.73</v>
      </c>
      <c r="D9" s="22">
        <v>1.9E-2</v>
      </c>
      <c r="I9" s="22"/>
    </row>
    <row r="10" spans="1:9" ht="15" x14ac:dyDescent="0.25">
      <c r="A10" s="22" t="s">
        <v>857</v>
      </c>
      <c r="B10" s="22">
        <v>1.54</v>
      </c>
      <c r="C10" s="22">
        <v>99.87</v>
      </c>
      <c r="D10" s="22"/>
      <c r="I10" s="22"/>
    </row>
    <row r="11" spans="1:9" ht="15" x14ac:dyDescent="0.25">
      <c r="A11" s="21" t="s">
        <v>858</v>
      </c>
      <c r="B11" s="22">
        <v>0.28000000000000003</v>
      </c>
      <c r="C11" s="22">
        <v>99.93</v>
      </c>
      <c r="D11" s="22"/>
      <c r="I11" s="22"/>
    </row>
    <row r="12" spans="1:9" ht="15" x14ac:dyDescent="0.25">
      <c r="A12" s="21" t="s">
        <v>859</v>
      </c>
      <c r="B12" s="22">
        <v>0.71</v>
      </c>
      <c r="C12" s="22">
        <v>99.11</v>
      </c>
      <c r="D12" s="22">
        <v>0.32</v>
      </c>
      <c r="I12" s="22"/>
    </row>
    <row r="13" spans="1:9" ht="15" x14ac:dyDescent="0.25">
      <c r="A13" s="21" t="s">
        <v>860</v>
      </c>
      <c r="B13" s="22">
        <v>1.93</v>
      </c>
      <c r="C13" s="22">
        <v>99.59</v>
      </c>
      <c r="D13" s="22">
        <v>0.26700000000000002</v>
      </c>
      <c r="I13" s="22"/>
    </row>
    <row r="14" spans="1:9" ht="15" x14ac:dyDescent="0.25">
      <c r="A14" s="21" t="s">
        <v>861</v>
      </c>
      <c r="B14" s="22">
        <v>1.36</v>
      </c>
      <c r="C14" s="22">
        <v>99.7</v>
      </c>
      <c r="D14" s="22">
        <v>8.8999999999999999E-3</v>
      </c>
      <c r="I14" s="22"/>
    </row>
    <row r="15" spans="1:9" ht="15" x14ac:dyDescent="0.25">
      <c r="A15" s="21" t="s">
        <v>862</v>
      </c>
      <c r="B15" s="22">
        <v>0.47</v>
      </c>
      <c r="C15" s="22">
        <v>99.92</v>
      </c>
      <c r="D15" s="22"/>
      <c r="I15" s="22"/>
    </row>
    <row r="16" spans="1:9" ht="15" x14ac:dyDescent="0.25">
      <c r="A16" s="22" t="s">
        <v>863</v>
      </c>
      <c r="B16" s="22">
        <v>0.93700000000000006</v>
      </c>
      <c r="C16" s="22">
        <v>99.29</v>
      </c>
      <c r="D16" s="22">
        <v>0.14699999999999999</v>
      </c>
      <c r="I16" s="22"/>
    </row>
    <row r="17" spans="1:9" ht="15" x14ac:dyDescent="0.25">
      <c r="A17" s="21" t="s">
        <v>864</v>
      </c>
      <c r="B17" s="22">
        <v>0.21</v>
      </c>
      <c r="C17" s="22">
        <v>99.51</v>
      </c>
      <c r="D17" s="22">
        <v>0.16900000000000001</v>
      </c>
      <c r="I17" s="22"/>
    </row>
    <row r="18" spans="1:9" ht="15" x14ac:dyDescent="0.25">
      <c r="A18" s="21" t="s">
        <v>865</v>
      </c>
      <c r="B18" s="22">
        <v>0.65</v>
      </c>
      <c r="C18" s="22">
        <v>99.41</v>
      </c>
      <c r="D18" s="22">
        <v>0.34599999999999997</v>
      </c>
      <c r="I18" s="22"/>
    </row>
    <row r="19" spans="1:9" ht="15" x14ac:dyDescent="0.25">
      <c r="A19" s="21" t="s">
        <v>867</v>
      </c>
      <c r="B19" s="22">
        <v>10.35</v>
      </c>
      <c r="C19" s="22">
        <v>99.7</v>
      </c>
      <c r="D19" s="22">
        <v>8.6999999999999994E-2</v>
      </c>
      <c r="I19" s="22"/>
    </row>
    <row r="20" spans="1:9" ht="15" x14ac:dyDescent="0.25">
      <c r="A20" s="22" t="s">
        <v>868</v>
      </c>
      <c r="B20" s="22">
        <v>2.31</v>
      </c>
      <c r="C20" s="22">
        <v>99.87</v>
      </c>
      <c r="D20" s="22">
        <v>0.01</v>
      </c>
      <c r="I20" s="22"/>
    </row>
    <row r="21" spans="1:9" ht="15" x14ac:dyDescent="0.25">
      <c r="A21" s="21" t="s">
        <v>869</v>
      </c>
      <c r="B21" s="22">
        <v>3.07</v>
      </c>
      <c r="C21" s="22">
        <v>99.68</v>
      </c>
      <c r="D21" s="22">
        <v>5.8000000000000003E-2</v>
      </c>
      <c r="I21" s="22"/>
    </row>
    <row r="22" spans="1:9" ht="15" x14ac:dyDescent="0.25">
      <c r="A22" s="21" t="s">
        <v>870</v>
      </c>
      <c r="B22" s="22">
        <v>9.3000000000000007</v>
      </c>
      <c r="C22" s="22">
        <v>58.4</v>
      </c>
      <c r="D22" s="22">
        <v>38.121000000000002</v>
      </c>
      <c r="I22" s="22"/>
    </row>
    <row r="23" spans="1:9" ht="15" x14ac:dyDescent="0.25">
      <c r="A23" s="21" t="s">
        <v>871</v>
      </c>
      <c r="B23" s="22">
        <v>6.99</v>
      </c>
      <c r="C23" s="22">
        <v>99.61</v>
      </c>
      <c r="D23" s="22">
        <v>0.33200000000000002</v>
      </c>
      <c r="I23" s="22"/>
    </row>
    <row r="24" spans="1:9" ht="15" x14ac:dyDescent="0.25">
      <c r="A24" s="22" t="s">
        <v>872</v>
      </c>
      <c r="B24" s="22">
        <v>3</v>
      </c>
      <c r="C24" s="22">
        <v>88.7</v>
      </c>
      <c r="D24" s="22">
        <v>1.7</v>
      </c>
      <c r="I24" s="22"/>
    </row>
    <row r="25" spans="1:9" ht="15" x14ac:dyDescent="0.25">
      <c r="A25" s="21" t="s">
        <v>873</v>
      </c>
      <c r="B25" s="22">
        <v>4.5199999999999996</v>
      </c>
      <c r="C25" s="22">
        <v>99.48</v>
      </c>
      <c r="D25" s="22">
        <v>0.152</v>
      </c>
      <c r="I25" s="22"/>
    </row>
    <row r="26" spans="1:9" ht="15" x14ac:dyDescent="0.25">
      <c r="A26" s="21" t="s">
        <v>874</v>
      </c>
      <c r="B26" s="22">
        <v>4.21</v>
      </c>
      <c r="C26" s="22">
        <v>96.09</v>
      </c>
      <c r="D26" s="22">
        <v>3.38</v>
      </c>
      <c r="I26" s="22"/>
    </row>
    <row r="27" spans="1:9" ht="15" x14ac:dyDescent="0.25">
      <c r="A27" s="22" t="s">
        <v>875</v>
      </c>
      <c r="B27" s="22">
        <v>1.24</v>
      </c>
      <c r="C27" s="22">
        <v>99.89</v>
      </c>
      <c r="D27" s="22"/>
      <c r="I27" s="23"/>
    </row>
    <row r="28" spans="1:9" ht="15" x14ac:dyDescent="0.25">
      <c r="A28" s="23" t="s">
        <v>875</v>
      </c>
      <c r="B28" s="23">
        <v>1.33</v>
      </c>
      <c r="C28" s="23">
        <v>99.5</v>
      </c>
      <c r="D28" s="23">
        <v>0.16500000000000001</v>
      </c>
    </row>
    <row r="33" spans="9:9" x14ac:dyDescent="0.15">
      <c r="I33" t="e">
        <f>STDEV(I2:I27)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5"/>
  <sheetViews>
    <sheetView topLeftCell="F1" workbookViewId="0">
      <selection activeCell="F1" sqref="F1:F4"/>
    </sheetView>
  </sheetViews>
  <sheetFormatPr defaultRowHeight="13.5" x14ac:dyDescent="0.15"/>
  <sheetData>
    <row r="1" spans="6:7" x14ac:dyDescent="0.15">
      <c r="F1">
        <v>81</v>
      </c>
    </row>
    <row r="2" spans="6:7" x14ac:dyDescent="0.15">
      <c r="F2">
        <v>63.5</v>
      </c>
    </row>
    <row r="3" spans="6:7" x14ac:dyDescent="0.15">
      <c r="F3">
        <v>26</v>
      </c>
    </row>
    <row r="4" spans="6:7" x14ac:dyDescent="0.15">
      <c r="F4">
        <v>19</v>
      </c>
    </row>
    <row r="5" spans="6:7" x14ac:dyDescent="0.15">
      <c r="G5">
        <f>STDEV(F1:F4)/2</f>
        <v>14.867995549725816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zoomScale="70" zoomScaleNormal="70" workbookViewId="0">
      <selection activeCell="P4" sqref="P4"/>
    </sheetView>
  </sheetViews>
  <sheetFormatPr defaultRowHeight="15" x14ac:dyDescent="0.3"/>
  <cols>
    <col min="1" max="16384" width="9" style="11"/>
  </cols>
  <sheetData>
    <row r="1" spans="1:16" x14ac:dyDescent="0.3">
      <c r="A1" s="11" t="s">
        <v>312</v>
      </c>
      <c r="E1" s="11" t="s">
        <v>313</v>
      </c>
      <c r="H1" s="11" t="s">
        <v>349</v>
      </c>
      <c r="N1" s="11" t="s">
        <v>344</v>
      </c>
    </row>
    <row r="2" spans="1:16" x14ac:dyDescent="0.3">
      <c r="A2" s="11" t="s">
        <v>297</v>
      </c>
      <c r="B2" s="11" t="s">
        <v>298</v>
      </c>
      <c r="C2" s="11" t="s">
        <v>299</v>
      </c>
      <c r="D2" s="11" t="s">
        <v>226</v>
      </c>
      <c r="E2" s="11" t="s">
        <v>314</v>
      </c>
      <c r="F2" s="11">
        <v>1.82</v>
      </c>
      <c r="H2" s="11" t="s">
        <v>350</v>
      </c>
      <c r="I2" s="11" t="s">
        <v>351</v>
      </c>
      <c r="J2" s="11" t="s">
        <v>352</v>
      </c>
      <c r="K2" s="11" t="s">
        <v>353</v>
      </c>
    </row>
    <row r="3" spans="1:16" x14ac:dyDescent="0.3">
      <c r="B3" s="11">
        <v>3</v>
      </c>
      <c r="D3" s="11">
        <v>1.98</v>
      </c>
      <c r="F3" s="11">
        <v>1.71</v>
      </c>
      <c r="I3" s="11">
        <v>0.86</v>
      </c>
      <c r="J3" s="11">
        <v>1.23</v>
      </c>
      <c r="K3" s="11">
        <v>0.35</v>
      </c>
      <c r="N3" s="10">
        <v>3.2</v>
      </c>
      <c r="O3" s="10">
        <v>0.79</v>
      </c>
      <c r="P3" s="10">
        <v>7.31</v>
      </c>
    </row>
    <row r="4" spans="1:16" x14ac:dyDescent="0.3">
      <c r="B4" s="11">
        <v>3.3</v>
      </c>
      <c r="C4" s="11">
        <v>0.85</v>
      </c>
      <c r="D4" s="11">
        <v>2.66</v>
      </c>
      <c r="F4" s="11">
        <v>1.61</v>
      </c>
      <c r="I4" s="11">
        <v>1.19</v>
      </c>
      <c r="J4" s="11">
        <v>1.28</v>
      </c>
      <c r="K4" s="11">
        <v>0.22</v>
      </c>
      <c r="N4" s="10">
        <v>3.02</v>
      </c>
      <c r="O4" s="10">
        <v>0.81</v>
      </c>
      <c r="P4" s="10">
        <v>5.48</v>
      </c>
    </row>
    <row r="5" spans="1:16" x14ac:dyDescent="0.3">
      <c r="B5" s="11">
        <v>3.96</v>
      </c>
      <c r="C5" s="11">
        <v>0.86</v>
      </c>
      <c r="D5" s="11">
        <v>3.91</v>
      </c>
      <c r="E5" s="12" t="s">
        <v>225</v>
      </c>
      <c r="F5" s="12">
        <v>0.63</v>
      </c>
      <c r="G5" s="12"/>
      <c r="H5" s="12"/>
      <c r="I5" s="12">
        <v>2.2000000000000002</v>
      </c>
      <c r="J5" s="12">
        <v>3.55</v>
      </c>
      <c r="K5" s="12">
        <v>0.57999999999999996</v>
      </c>
      <c r="L5" s="12"/>
      <c r="M5" s="12"/>
      <c r="N5" s="10">
        <v>3.29</v>
      </c>
      <c r="O5" s="10">
        <v>0.81</v>
      </c>
      <c r="P5" s="10">
        <v>7.47</v>
      </c>
    </row>
    <row r="6" spans="1:16" x14ac:dyDescent="0.3">
      <c r="B6" s="11">
        <v>3.4</v>
      </c>
      <c r="C6" s="11">
        <v>0.77</v>
      </c>
      <c r="D6" s="11">
        <v>3.37</v>
      </c>
      <c r="E6" s="12"/>
      <c r="F6" s="12">
        <v>0.72</v>
      </c>
      <c r="G6" s="12"/>
      <c r="H6" s="12"/>
      <c r="I6" s="12">
        <v>1.43</v>
      </c>
      <c r="J6" s="12">
        <v>1.99</v>
      </c>
      <c r="K6" s="12">
        <v>0.5</v>
      </c>
      <c r="L6" s="12"/>
      <c r="M6" s="12"/>
      <c r="N6" s="10">
        <v>2.94</v>
      </c>
      <c r="O6" s="10">
        <v>0.74</v>
      </c>
      <c r="P6" s="10">
        <v>6.31</v>
      </c>
    </row>
    <row r="7" spans="1:16" x14ac:dyDescent="0.3">
      <c r="B7" s="11">
        <v>3.38</v>
      </c>
      <c r="C7" s="11">
        <v>0.89</v>
      </c>
      <c r="D7" s="11">
        <v>2.61</v>
      </c>
      <c r="E7" s="12"/>
      <c r="F7" s="12">
        <v>0.66</v>
      </c>
      <c r="G7" s="12"/>
      <c r="H7" s="11" t="s">
        <v>355</v>
      </c>
      <c r="I7" s="11">
        <f>AVERAGE(I3:I6)</f>
        <v>1.42</v>
      </c>
      <c r="J7" s="11">
        <f t="shared" ref="J7:K7" si="0">AVERAGE(J3:J6)</f>
        <v>2.0124999999999997</v>
      </c>
      <c r="K7" s="11">
        <f t="shared" si="0"/>
        <v>0.41249999999999998</v>
      </c>
      <c r="L7" s="12"/>
      <c r="M7" s="12"/>
      <c r="N7" s="10">
        <v>3.63</v>
      </c>
      <c r="O7" s="10">
        <v>0.79600000000000004</v>
      </c>
      <c r="P7" s="10">
        <v>10.9</v>
      </c>
    </row>
    <row r="8" spans="1:16" x14ac:dyDescent="0.3">
      <c r="B8" s="11">
        <v>1.79</v>
      </c>
      <c r="C8" s="11">
        <v>0.6</v>
      </c>
      <c r="D8" s="11">
        <v>1.21</v>
      </c>
      <c r="E8" s="11" t="s">
        <v>316</v>
      </c>
      <c r="H8" s="11" t="s">
        <v>356</v>
      </c>
      <c r="I8" s="11">
        <f>STDEV(I3:I6)</f>
        <v>0.57008771254956936</v>
      </c>
      <c r="J8" s="11">
        <f t="shared" ref="J8:K8" si="1">STDEV(J3:J6)</f>
        <v>1.0821698880798098</v>
      </c>
      <c r="K8" s="11">
        <f t="shared" si="1"/>
        <v>0.15986973864159956</v>
      </c>
      <c r="N8" s="10">
        <v>3.17</v>
      </c>
      <c r="O8" s="10" t="s">
        <v>343</v>
      </c>
      <c r="P8" s="10">
        <v>7.72</v>
      </c>
    </row>
    <row r="9" spans="1:16" x14ac:dyDescent="0.3">
      <c r="B9" s="11">
        <v>3.63</v>
      </c>
      <c r="C9" s="11">
        <v>0.83</v>
      </c>
      <c r="D9" s="11">
        <v>3.52</v>
      </c>
      <c r="E9" s="11" t="s">
        <v>314</v>
      </c>
      <c r="F9" s="11">
        <v>1.1859999999999999</v>
      </c>
      <c r="H9" s="12" t="s">
        <v>354</v>
      </c>
      <c r="I9" s="12">
        <v>0.96</v>
      </c>
      <c r="J9" s="12">
        <v>1.37</v>
      </c>
      <c r="K9" s="12">
        <v>0.24</v>
      </c>
      <c r="N9" s="10">
        <v>3.28</v>
      </c>
      <c r="O9" s="10">
        <v>0.63</v>
      </c>
      <c r="P9" s="10">
        <v>4.26</v>
      </c>
    </row>
    <row r="10" spans="1:16" x14ac:dyDescent="0.3">
      <c r="B10" s="11">
        <v>3.61</v>
      </c>
      <c r="C10" s="11">
        <v>0.95</v>
      </c>
      <c r="D10" s="11">
        <v>2.77</v>
      </c>
      <c r="F10" s="11">
        <v>3.93</v>
      </c>
      <c r="I10" s="11">
        <v>1</v>
      </c>
      <c r="J10" s="11">
        <v>1.46</v>
      </c>
      <c r="K10" s="11">
        <v>0.28999999999999998</v>
      </c>
      <c r="N10" s="10">
        <v>3</v>
      </c>
      <c r="O10" s="10">
        <v>0.72499999999999998</v>
      </c>
      <c r="P10" s="10">
        <v>7.96</v>
      </c>
    </row>
    <row r="11" spans="1:16" x14ac:dyDescent="0.3">
      <c r="B11" s="11">
        <v>3.17</v>
      </c>
      <c r="C11" s="11">
        <v>0.79</v>
      </c>
      <c r="D11" s="11">
        <v>2.73</v>
      </c>
      <c r="F11" s="11">
        <v>1.4</v>
      </c>
      <c r="I11" s="11">
        <v>1.84</v>
      </c>
      <c r="J11" s="11">
        <v>2.78</v>
      </c>
      <c r="K11" s="11">
        <v>0.6</v>
      </c>
      <c r="N11" s="10">
        <v>2.83</v>
      </c>
      <c r="O11" s="10">
        <v>0.92800000000000005</v>
      </c>
      <c r="P11" s="10">
        <v>3.94</v>
      </c>
    </row>
    <row r="12" spans="1:16" x14ac:dyDescent="0.3">
      <c r="B12" s="11">
        <v>3.6</v>
      </c>
      <c r="C12" s="11">
        <v>0.86</v>
      </c>
      <c r="D12" s="11">
        <v>3.08</v>
      </c>
      <c r="F12" s="11">
        <v>3.87</v>
      </c>
      <c r="I12" s="11">
        <v>1.21</v>
      </c>
      <c r="J12" s="11">
        <v>2.37</v>
      </c>
      <c r="K12" s="11">
        <v>0.52</v>
      </c>
      <c r="N12" s="10">
        <v>2.75</v>
      </c>
      <c r="O12" s="10">
        <v>0.73099999999999998</v>
      </c>
      <c r="P12" s="10">
        <v>5.97</v>
      </c>
    </row>
    <row r="13" spans="1:16" x14ac:dyDescent="0.3">
      <c r="B13" s="11">
        <v>2.52</v>
      </c>
      <c r="C13" s="11">
        <v>0.98</v>
      </c>
      <c r="D13" s="11">
        <v>1.41</v>
      </c>
      <c r="F13" s="11">
        <v>1.24</v>
      </c>
      <c r="G13" s="11">
        <f>STDEV(F9:F13)</f>
        <v>1.4398976352505068</v>
      </c>
      <c r="H13" s="11" t="s">
        <v>355</v>
      </c>
      <c r="I13" s="11">
        <f>AVERAGE(I9:I12)</f>
        <v>1.2524999999999999</v>
      </c>
      <c r="J13" s="11">
        <f t="shared" ref="J13" si="2">AVERAGE(J9:J12)</f>
        <v>1.9949999999999999</v>
      </c>
      <c r="K13" s="11">
        <f t="shared" ref="K13" si="3">AVERAGE(K9:K12)</f>
        <v>0.41249999999999998</v>
      </c>
      <c r="N13" s="10">
        <v>3.08</v>
      </c>
      <c r="O13" s="10">
        <v>0.71599999999999997</v>
      </c>
      <c r="P13" s="10">
        <v>8.64</v>
      </c>
    </row>
    <row r="14" spans="1:16" x14ac:dyDescent="0.3">
      <c r="B14" s="11">
        <v>3.43</v>
      </c>
      <c r="C14" s="11">
        <v>0.93</v>
      </c>
      <c r="D14" s="11">
        <v>2.5499999999999998</v>
      </c>
      <c r="E14" s="11" t="s">
        <v>225</v>
      </c>
      <c r="F14" s="11">
        <v>0.46</v>
      </c>
      <c r="H14" s="11" t="s">
        <v>356</v>
      </c>
      <c r="I14" s="11">
        <f>STDEV(I9:I12)</f>
        <v>0.40672472263190523</v>
      </c>
      <c r="J14" s="11">
        <f t="shared" ref="J14:K14" si="4">STDEV(J9:J12)</f>
        <v>0.69130311730817517</v>
      </c>
      <c r="K14" s="11">
        <f t="shared" si="4"/>
        <v>0.17461863207191464</v>
      </c>
      <c r="N14" s="10">
        <v>3.21</v>
      </c>
      <c r="O14" s="10">
        <v>0.83</v>
      </c>
      <c r="P14" s="10">
        <v>6.94</v>
      </c>
    </row>
    <row r="15" spans="1:16" x14ac:dyDescent="0.3">
      <c r="A15" s="11" t="s">
        <v>300</v>
      </c>
      <c r="B15" s="11">
        <v>3.33</v>
      </c>
      <c r="C15" s="11">
        <v>0.78</v>
      </c>
      <c r="D15" s="11">
        <v>3.18</v>
      </c>
      <c r="F15" s="11">
        <v>0.8</v>
      </c>
      <c r="N15" s="10">
        <v>3.04</v>
      </c>
      <c r="O15" s="10">
        <v>0.80200000000000005</v>
      </c>
      <c r="P15" s="10">
        <v>6.22</v>
      </c>
    </row>
    <row r="16" spans="1:16" x14ac:dyDescent="0.3">
      <c r="B16" s="11">
        <v>3.59</v>
      </c>
      <c r="C16" s="11">
        <v>0.88</v>
      </c>
      <c r="D16" s="11">
        <v>3.13</v>
      </c>
      <c r="F16" s="11">
        <v>0.51</v>
      </c>
      <c r="N16" s="10">
        <v>2.88</v>
      </c>
      <c r="O16" s="10">
        <v>0.76500000000000001</v>
      </c>
      <c r="P16" s="10">
        <v>6.05</v>
      </c>
    </row>
    <row r="17" spans="1:16" x14ac:dyDescent="0.3">
      <c r="B17" s="11">
        <v>3.09</v>
      </c>
      <c r="C17" s="11">
        <v>0.97</v>
      </c>
      <c r="D17" s="11">
        <v>1.92</v>
      </c>
      <c r="F17" s="11">
        <v>0.89</v>
      </c>
      <c r="N17" s="10">
        <v>2.67</v>
      </c>
      <c r="O17" s="10">
        <v>0.65700000000000003</v>
      </c>
      <c r="P17" s="10">
        <v>6.79</v>
      </c>
    </row>
    <row r="18" spans="1:16" x14ac:dyDescent="0.3">
      <c r="B18" s="11">
        <v>3.23</v>
      </c>
      <c r="C18" s="11">
        <v>0.87</v>
      </c>
      <c r="D18" s="11">
        <v>2.34</v>
      </c>
      <c r="F18" s="11">
        <v>0.27</v>
      </c>
      <c r="G18" s="11">
        <f>STDEV(F14:F18)</f>
        <v>0.25481365740477879</v>
      </c>
      <c r="N18" s="10">
        <v>2.42</v>
      </c>
      <c r="O18" s="10">
        <v>0.66100000000000003</v>
      </c>
      <c r="P18" s="10">
        <v>5.32</v>
      </c>
    </row>
    <row r="19" spans="1:16" x14ac:dyDescent="0.3">
      <c r="B19" s="11">
        <v>2.2999999999999998</v>
      </c>
      <c r="C19" s="11">
        <v>0.66</v>
      </c>
      <c r="D19" s="11">
        <v>1.82</v>
      </c>
      <c r="E19" s="11" t="s">
        <v>320</v>
      </c>
      <c r="H19" s="11" t="s">
        <v>330</v>
      </c>
      <c r="N19" s="10">
        <v>2.54</v>
      </c>
      <c r="O19" s="10">
        <v>0.65900000000000003</v>
      </c>
      <c r="P19" s="10">
        <v>6.25</v>
      </c>
    </row>
    <row r="20" spans="1:16" x14ac:dyDescent="0.3">
      <c r="B20" s="11">
        <v>3.46</v>
      </c>
      <c r="C20" s="11">
        <v>0.91</v>
      </c>
      <c r="D20" s="11">
        <v>2.67</v>
      </c>
      <c r="E20" s="11" t="s">
        <v>314</v>
      </c>
      <c r="F20" s="11">
        <v>1.1100000000000001</v>
      </c>
      <c r="H20" s="11" t="s">
        <v>331</v>
      </c>
      <c r="I20" s="11" t="s">
        <v>332</v>
      </c>
      <c r="J20" s="11" t="s">
        <v>333</v>
      </c>
      <c r="K20" s="11" t="s">
        <v>334</v>
      </c>
      <c r="L20" s="11" t="s">
        <v>335</v>
      </c>
      <c r="M20" s="11" t="s">
        <v>336</v>
      </c>
      <c r="N20" s="10">
        <v>2.61</v>
      </c>
      <c r="O20" s="10">
        <v>0.71699999999999997</v>
      </c>
      <c r="P20" s="10">
        <v>5.22</v>
      </c>
    </row>
    <row r="21" spans="1:16" x14ac:dyDescent="0.3">
      <c r="B21" s="11">
        <v>3.44</v>
      </c>
      <c r="C21" s="11">
        <v>0.72</v>
      </c>
      <c r="D21" s="11">
        <v>4.34</v>
      </c>
      <c r="F21" s="11">
        <v>1.1399999999999999</v>
      </c>
      <c r="H21" s="11">
        <v>25</v>
      </c>
      <c r="I21" s="11">
        <v>13</v>
      </c>
      <c r="J21" s="11">
        <v>0.36</v>
      </c>
      <c r="K21" s="11">
        <v>0.94</v>
      </c>
      <c r="L21" s="11">
        <v>0.45</v>
      </c>
      <c r="M21" s="11">
        <v>1.02</v>
      </c>
      <c r="N21" s="10">
        <v>2.96</v>
      </c>
      <c r="O21" s="10">
        <v>0.76100000000000001</v>
      </c>
      <c r="P21" s="10">
        <v>6.83</v>
      </c>
    </row>
    <row r="22" spans="1:16" x14ac:dyDescent="0.3">
      <c r="B22" s="11">
        <v>2.42</v>
      </c>
      <c r="C22" s="11">
        <v>0.94</v>
      </c>
      <c r="D22" s="11">
        <v>1.31</v>
      </c>
      <c r="F22" s="11">
        <v>1.36</v>
      </c>
      <c r="H22" s="11">
        <v>28</v>
      </c>
      <c r="I22" s="11">
        <v>6</v>
      </c>
      <c r="J22" s="11">
        <v>0.38</v>
      </c>
      <c r="K22" s="11">
        <v>0.97</v>
      </c>
      <c r="L22" s="11">
        <v>0.47</v>
      </c>
      <c r="M22" s="11">
        <v>1.97</v>
      </c>
      <c r="N22" s="10">
        <v>3.23</v>
      </c>
      <c r="O22" s="10">
        <v>0.81799999999999995</v>
      </c>
      <c r="P22" s="10">
        <v>7.05</v>
      </c>
    </row>
    <row r="23" spans="1:16" x14ac:dyDescent="0.3">
      <c r="B23" s="11">
        <v>3.7</v>
      </c>
      <c r="C23" s="11">
        <v>0.87</v>
      </c>
      <c r="D23" s="11">
        <v>3.15</v>
      </c>
      <c r="F23" s="11">
        <v>2.29</v>
      </c>
      <c r="H23" s="11">
        <v>23</v>
      </c>
      <c r="I23" s="11">
        <v>2</v>
      </c>
      <c r="J23" s="11">
        <v>0.54</v>
      </c>
      <c r="K23" s="11">
        <v>0.95</v>
      </c>
      <c r="L23" s="11">
        <v>0.61</v>
      </c>
      <c r="M23" s="11">
        <v>1.01</v>
      </c>
      <c r="N23" s="10">
        <v>1.28</v>
      </c>
      <c r="O23" s="10">
        <v>0.311</v>
      </c>
      <c r="P23" s="10">
        <v>6.46</v>
      </c>
    </row>
    <row r="24" spans="1:16" x14ac:dyDescent="0.3">
      <c r="B24" s="11">
        <v>3.18</v>
      </c>
      <c r="C24" s="11">
        <v>0.75</v>
      </c>
      <c r="D24" s="11">
        <v>2.99</v>
      </c>
      <c r="F24" s="11">
        <v>1.84</v>
      </c>
      <c r="G24" s="11">
        <f>STDEV(F20:F24)</f>
        <v>0.50731646927731444</v>
      </c>
      <c r="H24" s="11">
        <v>51</v>
      </c>
      <c r="I24" s="11">
        <v>15</v>
      </c>
      <c r="J24" s="11">
        <v>0.55000000000000004</v>
      </c>
      <c r="K24" s="11">
        <v>1</v>
      </c>
      <c r="L24" s="11">
        <v>0.6</v>
      </c>
      <c r="M24" s="11">
        <v>1.07</v>
      </c>
      <c r="N24" s="10">
        <v>2.82</v>
      </c>
      <c r="O24" s="10">
        <v>0.78800000000000003</v>
      </c>
      <c r="P24" s="10">
        <v>5.17</v>
      </c>
    </row>
    <row r="25" spans="1:16" x14ac:dyDescent="0.3">
      <c r="B25" s="11">
        <v>3.04</v>
      </c>
      <c r="C25" s="11">
        <v>0.78</v>
      </c>
      <c r="D25" s="11">
        <v>2.4300000000000002</v>
      </c>
      <c r="E25" s="11" t="s">
        <v>225</v>
      </c>
      <c r="F25" s="11">
        <v>0.93</v>
      </c>
      <c r="H25" s="11">
        <v>67</v>
      </c>
      <c r="I25" s="11">
        <v>35</v>
      </c>
      <c r="J25" s="11">
        <v>0.77</v>
      </c>
      <c r="K25" s="11">
        <v>0.92</v>
      </c>
      <c r="L25" s="11">
        <v>0.66</v>
      </c>
      <c r="M25" s="11">
        <v>1.39</v>
      </c>
      <c r="N25" s="10">
        <v>3.36</v>
      </c>
      <c r="O25" s="10">
        <v>0.71399999999999997</v>
      </c>
      <c r="P25" s="10">
        <v>7.65</v>
      </c>
    </row>
    <row r="26" spans="1:16" x14ac:dyDescent="0.3">
      <c r="B26" s="11">
        <v>3.19</v>
      </c>
      <c r="C26" s="11">
        <v>0.7</v>
      </c>
      <c r="D26" s="11">
        <v>3.83</v>
      </c>
      <c r="F26" s="11">
        <v>0.89</v>
      </c>
      <c r="H26" s="11">
        <v>91</v>
      </c>
      <c r="I26" s="11">
        <v>38</v>
      </c>
      <c r="J26" s="11">
        <v>1.03</v>
      </c>
      <c r="K26" s="11">
        <v>0.93</v>
      </c>
      <c r="L26" s="11">
        <v>0.76</v>
      </c>
      <c r="M26" s="11">
        <v>1.5</v>
      </c>
      <c r="N26" s="10">
        <v>3.09</v>
      </c>
      <c r="O26" s="10">
        <v>0.73</v>
      </c>
      <c r="P26" s="10">
        <v>9.0299999999999994</v>
      </c>
    </row>
    <row r="27" spans="1:16" x14ac:dyDescent="0.3">
      <c r="A27" s="11" t="s">
        <v>301</v>
      </c>
      <c r="B27" s="11">
        <v>3.6</v>
      </c>
      <c r="C27" s="11">
        <v>0.88</v>
      </c>
      <c r="D27" s="11">
        <v>2.97</v>
      </c>
      <c r="F27" s="11">
        <v>0.59</v>
      </c>
      <c r="H27" s="11">
        <v>28</v>
      </c>
      <c r="I27" s="11">
        <v>7</v>
      </c>
      <c r="J27" s="11">
        <v>0.35</v>
      </c>
      <c r="K27" s="11">
        <v>0.92</v>
      </c>
      <c r="L27" s="11">
        <v>0.44</v>
      </c>
      <c r="M27" s="11">
        <v>1.79</v>
      </c>
      <c r="N27" s="10">
        <v>2.9</v>
      </c>
      <c r="O27" s="10">
        <v>0.83199999999999996</v>
      </c>
      <c r="P27" s="10">
        <v>7.44</v>
      </c>
    </row>
    <row r="28" spans="1:16" x14ac:dyDescent="0.3">
      <c r="B28" s="11">
        <v>3.63</v>
      </c>
      <c r="C28" s="11">
        <v>0.93</v>
      </c>
      <c r="D28" s="11">
        <v>2.67</v>
      </c>
      <c r="F28" s="11">
        <v>0.96</v>
      </c>
      <c r="H28" s="11">
        <v>37</v>
      </c>
      <c r="I28" s="11">
        <v>14</v>
      </c>
      <c r="J28" s="11">
        <v>0.32</v>
      </c>
      <c r="K28" s="11">
        <v>0.94</v>
      </c>
      <c r="L28" s="11">
        <v>0.46</v>
      </c>
      <c r="M28" s="11">
        <v>2.27</v>
      </c>
      <c r="N28" s="10">
        <v>2.5099999999999998</v>
      </c>
      <c r="O28" s="10">
        <v>0.59399999999999997</v>
      </c>
      <c r="P28" s="10">
        <v>7.76</v>
      </c>
    </row>
    <row r="29" spans="1:16" x14ac:dyDescent="0.3">
      <c r="B29" s="11">
        <v>3.58</v>
      </c>
      <c r="C29" s="11">
        <v>0.81</v>
      </c>
      <c r="D29" s="11">
        <v>3.64</v>
      </c>
      <c r="F29" s="11">
        <v>0.92</v>
      </c>
      <c r="G29" s="11">
        <f>STDEV(F25:F29)</f>
        <v>0.15188811671753702</v>
      </c>
      <c r="H29" s="11">
        <v>106</v>
      </c>
      <c r="I29" s="11">
        <v>71</v>
      </c>
      <c r="J29" s="11">
        <v>1</v>
      </c>
      <c r="K29" s="11">
        <v>0.98</v>
      </c>
      <c r="L29" s="11">
        <v>0.71</v>
      </c>
      <c r="M29" s="11">
        <v>1.79</v>
      </c>
      <c r="N29" s="10">
        <v>2.52</v>
      </c>
      <c r="O29" s="10">
        <v>0.60699999999999998</v>
      </c>
      <c r="P29" s="10">
        <v>7.25</v>
      </c>
    </row>
    <row r="30" spans="1:16" x14ac:dyDescent="0.3">
      <c r="B30" s="11">
        <v>3.63</v>
      </c>
      <c r="C30" s="11">
        <v>0.87</v>
      </c>
      <c r="D30" s="11">
        <v>3.07</v>
      </c>
      <c r="E30" s="11" t="s">
        <v>226</v>
      </c>
      <c r="F30" s="11">
        <v>0.5</v>
      </c>
      <c r="H30" s="11">
        <v>715</v>
      </c>
      <c r="I30" s="11">
        <v>97</v>
      </c>
      <c r="J30" s="11">
        <v>0.65</v>
      </c>
      <c r="K30" s="11">
        <v>0.32</v>
      </c>
      <c r="L30" s="11">
        <v>0.22</v>
      </c>
      <c r="M30" s="11">
        <v>1.5</v>
      </c>
      <c r="N30" s="10">
        <v>3.38</v>
      </c>
      <c r="O30" s="10">
        <v>0.81</v>
      </c>
      <c r="P30" s="10">
        <v>8.36</v>
      </c>
    </row>
    <row r="31" spans="1:16" x14ac:dyDescent="0.3">
      <c r="B31" s="11">
        <v>1.28</v>
      </c>
      <c r="C31" s="11">
        <v>0.37</v>
      </c>
      <c r="D31" s="11">
        <v>1.62</v>
      </c>
      <c r="F31" s="11">
        <v>0.52</v>
      </c>
      <c r="H31" s="11">
        <v>138</v>
      </c>
      <c r="I31" s="11">
        <v>30</v>
      </c>
      <c r="J31" s="11">
        <v>0.6</v>
      </c>
      <c r="K31" s="11">
        <v>0.75</v>
      </c>
      <c r="L31" s="11">
        <v>0.48</v>
      </c>
      <c r="M31" s="11">
        <v>1.39</v>
      </c>
      <c r="N31" s="10">
        <v>2.48</v>
      </c>
      <c r="O31" s="10">
        <v>0.65500000000000003</v>
      </c>
      <c r="P31" s="10">
        <v>5.6</v>
      </c>
    </row>
    <row r="32" spans="1:16" x14ac:dyDescent="0.3">
      <c r="B32" s="11">
        <v>1.5</v>
      </c>
      <c r="C32" s="11">
        <v>0.57999999999999996</v>
      </c>
      <c r="D32" s="11">
        <v>1.1100000000000001</v>
      </c>
      <c r="F32" s="11">
        <v>0.59</v>
      </c>
      <c r="H32" s="11">
        <v>245</v>
      </c>
      <c r="I32" s="11">
        <v>31</v>
      </c>
      <c r="J32" s="11">
        <v>0.51</v>
      </c>
      <c r="K32" s="11">
        <v>0.64</v>
      </c>
      <c r="L32" s="11">
        <v>0.32</v>
      </c>
      <c r="M32" s="11">
        <v>1.07</v>
      </c>
      <c r="N32" s="10">
        <v>3.2</v>
      </c>
      <c r="O32" s="10">
        <v>0.753</v>
      </c>
      <c r="P32" s="10">
        <v>8.5</v>
      </c>
    </row>
    <row r="33" spans="1:16" x14ac:dyDescent="0.3">
      <c r="B33" s="11">
        <v>3.07</v>
      </c>
      <c r="C33" s="11">
        <v>0.79</v>
      </c>
      <c r="D33" s="11">
        <v>2.61</v>
      </c>
      <c r="F33" s="11">
        <v>0.38</v>
      </c>
      <c r="H33" s="11">
        <v>44</v>
      </c>
      <c r="I33" s="11">
        <v>10</v>
      </c>
      <c r="J33" s="11">
        <v>0.5</v>
      </c>
      <c r="K33" s="11">
        <v>0.94</v>
      </c>
      <c r="L33" s="11">
        <v>0.57999999999999996</v>
      </c>
      <c r="M33" s="11">
        <v>1.01</v>
      </c>
      <c r="N33" s="10">
        <v>3.58</v>
      </c>
      <c r="O33" s="10">
        <v>0.83899999999999997</v>
      </c>
      <c r="P33" s="10">
        <v>9.26</v>
      </c>
    </row>
    <row r="34" spans="1:16" x14ac:dyDescent="0.3">
      <c r="B34" s="11">
        <v>3.23</v>
      </c>
      <c r="C34" s="11">
        <v>0.93</v>
      </c>
      <c r="D34" s="11">
        <v>2.13</v>
      </c>
      <c r="F34" s="11">
        <v>0.71</v>
      </c>
      <c r="G34" s="11">
        <f>STDEV(F30:F34)</f>
        <v>0.12144957801491137</v>
      </c>
      <c r="H34" s="11">
        <f>AVERAGE(H21:H33)</f>
        <v>122.92307692307692</v>
      </c>
      <c r="I34" s="11">
        <f t="shared" ref="I34:M34" si="5">AVERAGE(I21:I33)</f>
        <v>28.384615384615383</v>
      </c>
      <c r="J34" s="11">
        <f t="shared" si="5"/>
        <v>0.58153846153846156</v>
      </c>
      <c r="K34" s="11">
        <f t="shared" si="5"/>
        <v>0.86153846153846159</v>
      </c>
      <c r="L34" s="11">
        <f t="shared" si="5"/>
        <v>0.52</v>
      </c>
      <c r="M34" s="11">
        <f t="shared" si="5"/>
        <v>1.4446153846153846</v>
      </c>
      <c r="N34" s="10">
        <v>3.33</v>
      </c>
      <c r="O34" s="10">
        <v>0.89100000000000001</v>
      </c>
      <c r="P34" s="10">
        <v>9.39</v>
      </c>
    </row>
    <row r="35" spans="1:16" x14ac:dyDescent="0.3">
      <c r="B35" s="11">
        <v>0.92</v>
      </c>
      <c r="C35" s="11">
        <v>0.92</v>
      </c>
      <c r="D35" s="11">
        <v>0.37</v>
      </c>
      <c r="E35" s="11" t="s">
        <v>323</v>
      </c>
      <c r="H35" s="11">
        <f>STDEV(H21:H33)</f>
        <v>188.52429619656522</v>
      </c>
      <c r="I35" s="11">
        <f t="shared" ref="I35:M35" si="6">STDEV(I21:I33)</f>
        <v>27.816477315727997</v>
      </c>
      <c r="J35" s="11">
        <f t="shared" si="6"/>
        <v>0.23147520219403475</v>
      </c>
      <c r="K35" s="11">
        <f t="shared" si="6"/>
        <v>0.19095576075128579</v>
      </c>
      <c r="L35" s="11">
        <f t="shared" si="6"/>
        <v>0.15286159317064141</v>
      </c>
      <c r="M35" s="11">
        <f t="shared" si="6"/>
        <v>0.41298941440460157</v>
      </c>
      <c r="N35" s="10">
        <v>3.02</v>
      </c>
      <c r="O35" s="10">
        <v>0.73699999999999999</v>
      </c>
      <c r="P35" s="10">
        <v>7.88</v>
      </c>
    </row>
    <row r="36" spans="1:16" x14ac:dyDescent="0.3">
      <c r="B36" s="11">
        <v>2</v>
      </c>
      <c r="C36" s="11">
        <v>1</v>
      </c>
      <c r="D36" s="11">
        <v>1</v>
      </c>
      <c r="E36" s="11" t="s">
        <v>314</v>
      </c>
      <c r="F36" s="11">
        <v>1.61</v>
      </c>
      <c r="N36" s="10">
        <v>2.89</v>
      </c>
      <c r="O36" s="10">
        <v>0.69</v>
      </c>
      <c r="P36" s="10">
        <v>7.77</v>
      </c>
    </row>
    <row r="37" spans="1:16" x14ac:dyDescent="0.3">
      <c r="B37" s="11">
        <v>3.3</v>
      </c>
      <c r="C37" s="11">
        <v>0.81</v>
      </c>
      <c r="D37" s="11">
        <v>2.78</v>
      </c>
      <c r="F37" s="11">
        <v>1.86</v>
      </c>
      <c r="N37" s="10">
        <v>3.04</v>
      </c>
      <c r="O37" s="10">
        <v>0.71399999999999997</v>
      </c>
      <c r="P37" s="10">
        <v>7.99</v>
      </c>
    </row>
    <row r="38" spans="1:16" x14ac:dyDescent="0.3">
      <c r="B38" s="11">
        <v>4.13</v>
      </c>
      <c r="C38" s="11">
        <v>0.96</v>
      </c>
      <c r="D38" s="11">
        <v>3.39</v>
      </c>
      <c r="F38" s="11">
        <v>1.82</v>
      </c>
      <c r="H38" s="11" t="s">
        <v>359</v>
      </c>
      <c r="N38" s="10">
        <v>2.93</v>
      </c>
      <c r="O38" s="10">
        <v>0.76100000000000001</v>
      </c>
      <c r="P38" s="10">
        <v>6.19</v>
      </c>
    </row>
    <row r="39" spans="1:16" x14ac:dyDescent="0.3">
      <c r="A39" s="11" t="s">
        <v>302</v>
      </c>
      <c r="B39" s="11">
        <v>3.66</v>
      </c>
      <c r="C39" s="11">
        <v>0.94</v>
      </c>
      <c r="D39" s="11">
        <v>2.71</v>
      </c>
      <c r="E39" s="11" t="s">
        <v>225</v>
      </c>
      <c r="F39" s="11">
        <v>0.78</v>
      </c>
      <c r="H39" s="11" t="s">
        <v>350</v>
      </c>
      <c r="N39" s="10">
        <v>2.57</v>
      </c>
      <c r="O39" s="10">
        <v>0.65300000000000002</v>
      </c>
      <c r="P39" s="10">
        <v>6.51</v>
      </c>
    </row>
    <row r="40" spans="1:16" x14ac:dyDescent="0.3">
      <c r="B40" s="11">
        <v>3.08</v>
      </c>
      <c r="C40" s="11">
        <v>0.81</v>
      </c>
      <c r="D40" s="11">
        <v>2.38</v>
      </c>
      <c r="F40" s="11">
        <v>0.77</v>
      </c>
      <c r="I40" s="11" t="s">
        <v>360</v>
      </c>
      <c r="J40" s="11" t="s">
        <v>368</v>
      </c>
      <c r="K40" s="11" t="s">
        <v>369</v>
      </c>
      <c r="N40" s="10">
        <v>2.62</v>
      </c>
      <c r="O40" s="10">
        <v>0.68899999999999995</v>
      </c>
      <c r="P40" s="10">
        <v>6.05</v>
      </c>
    </row>
    <row r="41" spans="1:16" x14ac:dyDescent="0.3">
      <c r="B41" s="11">
        <v>2.62</v>
      </c>
      <c r="C41" s="11">
        <v>0.93</v>
      </c>
      <c r="D41" s="11">
        <v>1.44</v>
      </c>
      <c r="F41" s="11">
        <v>0.83</v>
      </c>
      <c r="H41" s="11" t="s">
        <v>361</v>
      </c>
      <c r="I41" s="11">
        <v>33</v>
      </c>
      <c r="J41" s="11">
        <v>2.8</v>
      </c>
      <c r="K41" s="11">
        <v>52</v>
      </c>
      <c r="N41" s="10">
        <v>3.31</v>
      </c>
      <c r="O41" s="10">
        <v>0.90300000000000002</v>
      </c>
      <c r="P41" s="10">
        <v>5.85</v>
      </c>
    </row>
    <row r="42" spans="1:16" x14ac:dyDescent="0.3">
      <c r="B42" s="11">
        <v>2.9</v>
      </c>
      <c r="C42" s="11">
        <v>0.87</v>
      </c>
      <c r="D42" s="11">
        <v>1.85</v>
      </c>
      <c r="E42" s="11" t="s">
        <v>324</v>
      </c>
      <c r="F42" s="11">
        <v>0.27</v>
      </c>
      <c r="H42" s="11" t="s">
        <v>362</v>
      </c>
      <c r="I42" s="11">
        <v>38</v>
      </c>
      <c r="J42" s="11">
        <v>23.4</v>
      </c>
      <c r="K42" s="11">
        <v>502</v>
      </c>
      <c r="N42" s="10">
        <v>3.04</v>
      </c>
      <c r="O42" s="10">
        <v>0.79900000000000004</v>
      </c>
      <c r="P42" s="10">
        <v>6.2</v>
      </c>
    </row>
    <row r="43" spans="1:16" x14ac:dyDescent="0.3">
      <c r="B43" s="11">
        <v>2.37</v>
      </c>
      <c r="C43" s="11">
        <v>0.92</v>
      </c>
      <c r="D43" s="11">
        <v>1.25</v>
      </c>
      <c r="F43" s="11">
        <v>0.22</v>
      </c>
      <c r="H43" s="11" t="s">
        <v>363</v>
      </c>
      <c r="I43" s="11">
        <v>80</v>
      </c>
      <c r="J43" s="11">
        <v>13.9</v>
      </c>
      <c r="K43" s="11">
        <v>460</v>
      </c>
      <c r="N43" s="10">
        <v>3.37</v>
      </c>
      <c r="O43" s="10">
        <v>0.76600000000000001</v>
      </c>
      <c r="P43" s="10">
        <v>9.7899999999999991</v>
      </c>
    </row>
    <row r="44" spans="1:16" x14ac:dyDescent="0.3">
      <c r="B44" s="11">
        <v>2.61</v>
      </c>
      <c r="C44" s="11">
        <v>0.7</v>
      </c>
      <c r="D44" s="11">
        <v>2.15</v>
      </c>
      <c r="F44" s="11">
        <v>0.21</v>
      </c>
      <c r="H44" s="11" t="s">
        <v>364</v>
      </c>
      <c r="I44" s="11">
        <v>15</v>
      </c>
      <c r="J44" s="11">
        <v>6.9</v>
      </c>
      <c r="K44" s="11">
        <v>32</v>
      </c>
      <c r="N44" s="10">
        <v>3.05</v>
      </c>
      <c r="O44" s="10">
        <v>0.84399999999999997</v>
      </c>
      <c r="P44" s="10">
        <v>5.25</v>
      </c>
    </row>
    <row r="45" spans="1:16" x14ac:dyDescent="0.3">
      <c r="B45" s="11">
        <v>3.43</v>
      </c>
      <c r="C45" s="11">
        <v>0.93</v>
      </c>
      <c r="D45" s="11">
        <v>2.4500000000000002</v>
      </c>
      <c r="E45" s="11" t="s">
        <v>325</v>
      </c>
      <c r="F45" s="11">
        <v>1.42</v>
      </c>
      <c r="H45" s="11" t="s">
        <v>365</v>
      </c>
      <c r="N45" s="10">
        <v>3.31</v>
      </c>
      <c r="O45" s="10">
        <v>0.81599999999999995</v>
      </c>
      <c r="P45" s="10">
        <v>7.37</v>
      </c>
    </row>
    <row r="46" spans="1:16" x14ac:dyDescent="0.3">
      <c r="B46" s="11">
        <v>2.25</v>
      </c>
      <c r="C46" s="11">
        <v>0.71</v>
      </c>
      <c r="D46" s="11">
        <v>1.5</v>
      </c>
      <c r="F46" s="11">
        <v>1.96</v>
      </c>
      <c r="H46" s="11" t="s">
        <v>361</v>
      </c>
      <c r="I46" s="11">
        <v>24</v>
      </c>
      <c r="J46" s="11">
        <v>1.57</v>
      </c>
      <c r="K46" s="11">
        <v>22</v>
      </c>
      <c r="N46" s="10">
        <v>3.45</v>
      </c>
      <c r="O46" s="10">
        <v>0.82299999999999995</v>
      </c>
      <c r="P46" s="10">
        <v>8.68</v>
      </c>
    </row>
    <row r="47" spans="1:16" x14ac:dyDescent="0.3">
      <c r="B47" s="11">
        <v>3.69</v>
      </c>
      <c r="C47" s="11">
        <v>0.92</v>
      </c>
      <c r="D47" s="11">
        <v>2.96</v>
      </c>
      <c r="F47" s="11">
        <v>1.54</v>
      </c>
      <c r="H47" s="11" t="s">
        <v>362</v>
      </c>
      <c r="I47" s="11">
        <v>23</v>
      </c>
      <c r="J47" s="11">
        <v>27.6</v>
      </c>
      <c r="K47" s="11">
        <v>490</v>
      </c>
      <c r="N47" s="10">
        <v>3.41</v>
      </c>
      <c r="O47" s="10">
        <v>0.58499999999999996</v>
      </c>
      <c r="P47" s="10">
        <v>7.48</v>
      </c>
    </row>
    <row r="48" spans="1:16" x14ac:dyDescent="0.3">
      <c r="B48" s="11">
        <v>3.96</v>
      </c>
      <c r="C48" s="11">
        <v>0.85</v>
      </c>
      <c r="D48" s="11">
        <v>4.17</v>
      </c>
      <c r="H48" s="11" t="s">
        <v>363</v>
      </c>
      <c r="I48" s="11">
        <v>55</v>
      </c>
      <c r="J48" s="11">
        <v>7.44</v>
      </c>
      <c r="K48" s="11">
        <v>143</v>
      </c>
      <c r="M48" s="11" t="s">
        <v>675</v>
      </c>
    </row>
    <row r="49" spans="1:22" x14ac:dyDescent="0.3">
      <c r="B49" s="11">
        <v>3.14</v>
      </c>
      <c r="C49" s="11">
        <v>0.82</v>
      </c>
      <c r="D49" s="11">
        <v>2.2999999999999998</v>
      </c>
      <c r="H49" s="11" t="s">
        <v>364</v>
      </c>
      <c r="I49" s="11">
        <v>12</v>
      </c>
      <c r="J49" s="11">
        <v>17.5</v>
      </c>
      <c r="K49" s="11">
        <v>22</v>
      </c>
      <c r="M49" s="11" t="s">
        <v>676</v>
      </c>
      <c r="N49" s="11" t="s">
        <v>680</v>
      </c>
      <c r="Q49" s="11" t="s">
        <v>683</v>
      </c>
    </row>
    <row r="50" spans="1:22" x14ac:dyDescent="0.3">
      <c r="B50" s="11">
        <v>3.41</v>
      </c>
      <c r="C50" s="11">
        <v>0.95</v>
      </c>
      <c r="D50" s="11">
        <v>2.2999999999999998</v>
      </c>
      <c r="H50" s="11" t="s">
        <v>366</v>
      </c>
      <c r="M50" s="11" t="s">
        <v>677</v>
      </c>
      <c r="N50" s="11">
        <f>63.7-32.9</f>
        <v>30.800000000000004</v>
      </c>
      <c r="O50" s="11">
        <f>13.6-7.7</f>
        <v>5.8999999999999995</v>
      </c>
      <c r="P50" s="11">
        <v>0</v>
      </c>
      <c r="Q50" s="11">
        <f>AVERAGE(N50:P50)</f>
        <v>12.233333333333334</v>
      </c>
    </row>
    <row r="51" spans="1:22" x14ac:dyDescent="0.3">
      <c r="A51" s="11" t="s">
        <v>303</v>
      </c>
      <c r="B51" s="11">
        <f>AVERAGE(B3:B50)</f>
        <v>3.0781249999999996</v>
      </c>
      <c r="C51" s="11">
        <f t="shared" ref="C51:D51" si="7">AVERAGE(C3:C50)</f>
        <v>0.83702127659574488</v>
      </c>
      <c r="D51" s="11">
        <f t="shared" si="7"/>
        <v>2.4943749999999998</v>
      </c>
      <c r="H51" s="11" t="s">
        <v>361</v>
      </c>
      <c r="I51" s="11">
        <v>25</v>
      </c>
      <c r="J51" s="11">
        <v>1.73</v>
      </c>
      <c r="K51" s="11">
        <v>11</v>
      </c>
      <c r="M51" s="11" t="s">
        <v>678</v>
      </c>
      <c r="N51" s="11">
        <f>32.9-10.1</f>
        <v>22.799999999999997</v>
      </c>
      <c r="O51" s="11">
        <f>7.7-2.6</f>
        <v>5.0999999999999996</v>
      </c>
      <c r="P51" s="11">
        <v>0</v>
      </c>
      <c r="Q51" s="11">
        <f t="shared" ref="Q51:Q57" si="8">AVERAGE(N51:P51)</f>
        <v>9.2999999999999989</v>
      </c>
    </row>
    <row r="52" spans="1:22" x14ac:dyDescent="0.3">
      <c r="B52" s="11">
        <f>STDEV(B3:B50)</f>
        <v>0.70406012874868873</v>
      </c>
      <c r="C52" s="11">
        <f t="shared" ref="C52:D52" si="9">STDEV(C3:C50)</f>
        <v>0.1209188533797869</v>
      </c>
      <c r="D52" s="11">
        <f t="shared" si="9"/>
        <v>0.87663987669068333</v>
      </c>
      <c r="H52" s="11" t="s">
        <v>362</v>
      </c>
      <c r="I52" s="11">
        <v>24</v>
      </c>
      <c r="J52" s="11">
        <v>19.78</v>
      </c>
      <c r="K52" s="11">
        <v>118</v>
      </c>
      <c r="M52" s="11" t="s">
        <v>679</v>
      </c>
      <c r="N52" s="11">
        <v>10.1</v>
      </c>
      <c r="O52" s="11">
        <v>2.6</v>
      </c>
      <c r="P52" s="11">
        <v>0</v>
      </c>
      <c r="Q52" s="11">
        <f t="shared" si="8"/>
        <v>4.2333333333333334</v>
      </c>
    </row>
    <row r="53" spans="1:22" x14ac:dyDescent="0.3">
      <c r="H53" s="11" t="s">
        <v>363</v>
      </c>
      <c r="I53" s="11">
        <v>42</v>
      </c>
      <c r="J53" s="11">
        <v>3.9</v>
      </c>
      <c r="K53" s="11">
        <v>82</v>
      </c>
      <c r="N53" s="11" t="s">
        <v>681</v>
      </c>
    </row>
    <row r="54" spans="1:22" x14ac:dyDescent="0.3">
      <c r="A54" s="11" t="s">
        <v>383</v>
      </c>
      <c r="H54" s="11" t="s">
        <v>364</v>
      </c>
      <c r="I54" s="11">
        <v>8</v>
      </c>
      <c r="J54" s="11">
        <v>3.04</v>
      </c>
      <c r="K54" s="11">
        <v>3</v>
      </c>
      <c r="M54" s="11" t="s">
        <v>682</v>
      </c>
      <c r="N54" s="11">
        <f>34.8-2.7</f>
        <v>32.099999999999994</v>
      </c>
      <c r="O54" s="11">
        <f>73.96-2</f>
        <v>71.959999999999994</v>
      </c>
      <c r="P54" s="11">
        <v>65.099999999999994</v>
      </c>
      <c r="Q54" s="11">
        <f t="shared" si="8"/>
        <v>56.386666666666656</v>
      </c>
    </row>
    <row r="55" spans="1:22" x14ac:dyDescent="0.3">
      <c r="B55" s="11" t="s">
        <v>384</v>
      </c>
      <c r="C55" s="11" t="s">
        <v>378</v>
      </c>
      <c r="D55" s="11" t="s">
        <v>352</v>
      </c>
      <c r="E55" s="11" t="s">
        <v>353</v>
      </c>
      <c r="H55" s="11" t="s">
        <v>367</v>
      </c>
      <c r="M55" s="11" t="s">
        <v>677</v>
      </c>
      <c r="N55" s="11">
        <f>0.5</f>
        <v>0.5</v>
      </c>
      <c r="O55" s="11">
        <v>1.7</v>
      </c>
      <c r="P55" s="11">
        <v>1.5</v>
      </c>
      <c r="Q55" s="11">
        <f t="shared" si="8"/>
        <v>1.2333333333333334</v>
      </c>
    </row>
    <row r="56" spans="1:22" x14ac:dyDescent="0.3">
      <c r="H56" s="11" t="s">
        <v>361</v>
      </c>
      <c r="I56" s="11">
        <v>49</v>
      </c>
      <c r="J56" s="11">
        <v>1.01</v>
      </c>
      <c r="K56" s="11">
        <v>35</v>
      </c>
      <c r="M56" s="11" t="s">
        <v>678</v>
      </c>
      <c r="N56" s="11">
        <v>0</v>
      </c>
      <c r="O56" s="11">
        <v>0.3</v>
      </c>
      <c r="P56" s="11">
        <v>0</v>
      </c>
      <c r="Q56" s="11">
        <f t="shared" si="8"/>
        <v>9.9999999999999992E-2</v>
      </c>
    </row>
    <row r="57" spans="1:22" x14ac:dyDescent="0.3">
      <c r="H57" s="11" t="s">
        <v>362</v>
      </c>
      <c r="I57" s="11">
        <v>38</v>
      </c>
      <c r="J57" s="11">
        <v>16.78</v>
      </c>
      <c r="K57" s="11">
        <v>555</v>
      </c>
      <c r="M57" s="11" t="s">
        <v>679</v>
      </c>
      <c r="N57" s="11">
        <v>2.2999999999999998</v>
      </c>
      <c r="O57" s="11">
        <v>0</v>
      </c>
      <c r="P57" s="11">
        <v>0</v>
      </c>
      <c r="Q57" s="11">
        <f t="shared" si="8"/>
        <v>0.76666666666666661</v>
      </c>
    </row>
    <row r="58" spans="1:22" x14ac:dyDescent="0.3">
      <c r="H58" s="11" t="s">
        <v>363</v>
      </c>
      <c r="I58" s="11">
        <v>63</v>
      </c>
      <c r="J58" s="11">
        <v>2.81</v>
      </c>
      <c r="K58" s="11">
        <v>184</v>
      </c>
    </row>
    <row r="59" spans="1:22" x14ac:dyDescent="0.3">
      <c r="H59" s="11" t="s">
        <v>364</v>
      </c>
      <c r="I59" s="11">
        <v>16</v>
      </c>
      <c r="J59" s="11">
        <v>10.96</v>
      </c>
      <c r="K59" s="11">
        <v>25</v>
      </c>
    </row>
    <row r="60" spans="1:22" x14ac:dyDescent="0.3">
      <c r="A60" s="11" t="s">
        <v>403</v>
      </c>
      <c r="C60" s="11" t="s">
        <v>410</v>
      </c>
      <c r="M60" s="11" t="s">
        <v>676</v>
      </c>
      <c r="N60" s="11" t="s">
        <v>680</v>
      </c>
      <c r="Q60" s="11" t="s">
        <v>683</v>
      </c>
    </row>
    <row r="61" spans="1:22" x14ac:dyDescent="0.3">
      <c r="A61" s="11" t="s">
        <v>404</v>
      </c>
      <c r="B61" s="11" t="s">
        <v>404</v>
      </c>
      <c r="D61" s="11" t="s">
        <v>411</v>
      </c>
      <c r="E61" s="11" t="s">
        <v>404</v>
      </c>
      <c r="F61" s="11" t="s">
        <v>412</v>
      </c>
      <c r="H61" s="11" t="s">
        <v>466</v>
      </c>
      <c r="M61" s="11" t="s">
        <v>677</v>
      </c>
      <c r="N61" s="11">
        <f>323.3-312.3</f>
        <v>11</v>
      </c>
      <c r="O61" s="11">
        <f>351.5-203.9</f>
        <v>147.6</v>
      </c>
      <c r="P61" s="11">
        <v>0</v>
      </c>
      <c r="Q61" s="11">
        <f>AVERAGE(N61:P61)</f>
        <v>52.866666666666667</v>
      </c>
    </row>
    <row r="62" spans="1:22" x14ac:dyDescent="0.3">
      <c r="A62" s="11">
        <v>3.13</v>
      </c>
      <c r="B62" s="11">
        <v>0.76100000000000001</v>
      </c>
      <c r="D62" s="11">
        <v>2.02</v>
      </c>
      <c r="E62" s="11">
        <v>2.96</v>
      </c>
      <c r="F62" s="11">
        <v>0.89</v>
      </c>
      <c r="I62" s="11" t="s">
        <v>467</v>
      </c>
      <c r="M62" s="11" t="s">
        <v>678</v>
      </c>
      <c r="N62" s="11">
        <f>312.3-286.7</f>
        <v>25.600000000000023</v>
      </c>
      <c r="P62" s="11">
        <v>0</v>
      </c>
      <c r="Q62" s="11">
        <f t="shared" ref="Q62:Q63" si="10">AVERAGE(N62:P62)</f>
        <v>12.800000000000011</v>
      </c>
      <c r="R62" s="3"/>
      <c r="S62" s="3"/>
      <c r="T62" s="3"/>
      <c r="U62" s="3"/>
      <c r="V62" s="3"/>
    </row>
    <row r="63" spans="1:22" x14ac:dyDescent="0.3">
      <c r="A63" s="11">
        <v>2.93</v>
      </c>
      <c r="B63" s="11">
        <v>0.78900000000000003</v>
      </c>
      <c r="D63" s="11">
        <v>1.1599999999999999</v>
      </c>
      <c r="E63" s="11">
        <v>1.79</v>
      </c>
      <c r="F63" s="11">
        <v>0.9</v>
      </c>
      <c r="M63" s="11" t="s">
        <v>679</v>
      </c>
      <c r="N63" s="11">
        <v>286.7</v>
      </c>
      <c r="O63" s="11">
        <v>203.9</v>
      </c>
      <c r="P63" s="11">
        <v>229.7</v>
      </c>
      <c r="Q63" s="11">
        <f t="shared" si="10"/>
        <v>240.1</v>
      </c>
      <c r="R63" s="3"/>
      <c r="S63" s="3"/>
      <c r="T63" s="3"/>
      <c r="U63" s="3"/>
      <c r="V63" s="3"/>
    </row>
    <row r="64" spans="1:22" x14ac:dyDescent="0.3">
      <c r="A64" s="11">
        <v>3.32</v>
      </c>
      <c r="B64" s="11">
        <v>0.85299999999999998</v>
      </c>
      <c r="D64" s="11">
        <v>1.34</v>
      </c>
      <c r="E64" s="11">
        <v>0.95</v>
      </c>
      <c r="F64" s="11">
        <v>0.28000000000000003</v>
      </c>
      <c r="N64" s="11" t="s">
        <v>681</v>
      </c>
      <c r="R64" s="3"/>
      <c r="S64" s="3"/>
      <c r="T64" s="3"/>
      <c r="U64" s="3"/>
      <c r="V64" s="3"/>
    </row>
    <row r="65" spans="1:22" x14ac:dyDescent="0.3">
      <c r="A65" s="11">
        <v>2.88</v>
      </c>
      <c r="B65" s="11">
        <v>0.747</v>
      </c>
      <c r="D65" s="11">
        <v>2.15</v>
      </c>
      <c r="E65" s="11">
        <v>3.35</v>
      </c>
      <c r="F65" s="11">
        <v>0.91</v>
      </c>
      <c r="M65" s="11" t="s">
        <v>682</v>
      </c>
      <c r="N65" s="11">
        <f>367.8-309.3</f>
        <v>58.5</v>
      </c>
      <c r="O65" s="11">
        <f>113.1-14.4</f>
        <v>98.699999999999989</v>
      </c>
      <c r="P65" s="11">
        <f>307.2-25.5</f>
        <v>281.7</v>
      </c>
      <c r="Q65" s="11">
        <f t="shared" ref="Q65:Q68" si="11">AVERAGE(N65:P65)</f>
        <v>146.29999999999998</v>
      </c>
      <c r="R65" s="3"/>
      <c r="S65" s="3"/>
      <c r="T65" s="3"/>
      <c r="U65" s="3"/>
      <c r="V65" s="3"/>
    </row>
    <row r="66" spans="1:22" x14ac:dyDescent="0.3">
      <c r="A66" s="11">
        <v>3.21</v>
      </c>
      <c r="B66" s="11">
        <v>0.83799999999999997</v>
      </c>
      <c r="D66" s="11">
        <v>2.81</v>
      </c>
      <c r="E66" s="11">
        <v>3.6</v>
      </c>
      <c r="F66" s="11">
        <v>0.88</v>
      </c>
      <c r="H66" s="11" t="s">
        <v>472</v>
      </c>
      <c r="M66" s="11" t="s">
        <v>677</v>
      </c>
      <c r="N66" s="11">
        <f>309.3-300.7</f>
        <v>8.6000000000000227</v>
      </c>
      <c r="O66" s="11">
        <f>14.4-5.81</f>
        <v>8.59</v>
      </c>
      <c r="P66" s="11">
        <v>4.9000000000000004</v>
      </c>
      <c r="Q66" s="11">
        <f t="shared" si="11"/>
        <v>7.3633333333333413</v>
      </c>
    </row>
    <row r="67" spans="1:22" x14ac:dyDescent="0.3">
      <c r="D67" s="11">
        <v>1.1599999999999999</v>
      </c>
      <c r="E67" s="11">
        <v>1.92</v>
      </c>
      <c r="F67" s="11">
        <v>0.96</v>
      </c>
      <c r="I67" s="11" t="s">
        <v>404</v>
      </c>
      <c r="J67" s="11" t="s">
        <v>473</v>
      </c>
      <c r="M67" s="11" t="s">
        <v>678</v>
      </c>
      <c r="N67" s="11">
        <f>300.7-239.7</f>
        <v>61</v>
      </c>
      <c r="O67" s="11">
        <v>0</v>
      </c>
      <c r="P67" s="11">
        <v>13.4</v>
      </c>
      <c r="Q67" s="11">
        <f t="shared" si="11"/>
        <v>24.8</v>
      </c>
    </row>
    <row r="68" spans="1:22" x14ac:dyDescent="0.3">
      <c r="A68" s="11">
        <f>AVERAGE(A62:A66)</f>
        <v>3.0940000000000003</v>
      </c>
      <c r="B68" s="11">
        <f>AVERAGE(B62:B66)</f>
        <v>0.79759999999999998</v>
      </c>
      <c r="D68" s="11">
        <v>0.71</v>
      </c>
      <c r="E68" s="11">
        <v>1.38</v>
      </c>
      <c r="F68" s="11">
        <v>0.87</v>
      </c>
      <c r="I68" s="11">
        <v>2.95</v>
      </c>
      <c r="J68" s="11">
        <v>0.77</v>
      </c>
      <c r="M68" s="11" t="s">
        <v>679</v>
      </c>
      <c r="N68" s="11">
        <v>239.7</v>
      </c>
      <c r="O68" s="11">
        <v>5.8</v>
      </c>
      <c r="P68" s="11">
        <v>7.2</v>
      </c>
      <c r="Q68" s="11">
        <f t="shared" si="11"/>
        <v>84.233333333333334</v>
      </c>
    </row>
    <row r="69" spans="1:22" x14ac:dyDescent="0.3">
      <c r="A69" s="11">
        <f>STDEV(A62:A66)</f>
        <v>0.18609137540466505</v>
      </c>
      <c r="B69" s="11">
        <f>STDEV(B62:B66)</f>
        <v>4.6570376850525896E-2</v>
      </c>
      <c r="D69" s="11">
        <v>0.39</v>
      </c>
      <c r="E69" s="11">
        <v>0.65</v>
      </c>
      <c r="F69" s="11">
        <v>0.65</v>
      </c>
      <c r="I69" s="11">
        <v>2.4300000000000002</v>
      </c>
      <c r="J69" s="11">
        <v>0.75</v>
      </c>
    </row>
    <row r="70" spans="1:22" x14ac:dyDescent="0.3">
      <c r="D70" s="11">
        <v>1.2</v>
      </c>
      <c r="E70" s="11">
        <v>2.12</v>
      </c>
      <c r="F70" s="11">
        <v>0.91</v>
      </c>
      <c r="I70" s="11">
        <v>2.38</v>
      </c>
      <c r="J70" s="11">
        <v>0.84</v>
      </c>
    </row>
    <row r="71" spans="1:22" x14ac:dyDescent="0.3">
      <c r="D71" s="11">
        <v>1.93</v>
      </c>
      <c r="E71" s="11">
        <v>2.58</v>
      </c>
      <c r="F71" s="11">
        <v>1</v>
      </c>
      <c r="I71" s="11">
        <f>AVERAGE(I68:I70)</f>
        <v>2.5866666666666669</v>
      </c>
      <c r="J71" s="11">
        <f>AVERAGE(J68:J70)</f>
        <v>0.78666666666666663</v>
      </c>
    </row>
    <row r="72" spans="1:22" x14ac:dyDescent="0.3">
      <c r="I72" s="11">
        <f>_xlfn.STDEV.P(I68:I70)</f>
        <v>0.25772509040103619</v>
      </c>
      <c r="J72" s="11">
        <f>_xlfn.STDEV.P(J68:J70)</f>
        <v>3.8586123009300734E-2</v>
      </c>
    </row>
    <row r="73" spans="1:22" x14ac:dyDescent="0.3">
      <c r="D73" s="11">
        <f>STDEV(D62:D71)</f>
        <v>0.72993226474181261</v>
      </c>
      <c r="E73" s="11">
        <f t="shared" ref="E73:F73" si="12">STDEV(E62:E71)</f>
        <v>0.99139632169312986</v>
      </c>
      <c r="F73" s="11">
        <f t="shared" si="12"/>
        <v>0.21235452536841415</v>
      </c>
    </row>
    <row r="74" spans="1:22" x14ac:dyDescent="0.3">
      <c r="A74" s="11" t="s">
        <v>423</v>
      </c>
      <c r="H74" s="11" t="s">
        <v>565</v>
      </c>
      <c r="I74" s="11" t="s">
        <v>567</v>
      </c>
      <c r="J74" s="11" t="s">
        <v>568</v>
      </c>
    </row>
    <row r="75" spans="1:22" x14ac:dyDescent="0.3">
      <c r="B75" s="11" t="s">
        <v>426</v>
      </c>
      <c r="C75" s="11" t="s">
        <v>404</v>
      </c>
      <c r="D75" s="11" t="s">
        <v>424</v>
      </c>
      <c r="E75" s="11" t="s">
        <v>425</v>
      </c>
      <c r="H75" s="11" t="s">
        <v>569</v>
      </c>
      <c r="I75" s="11">
        <v>597</v>
      </c>
      <c r="J75" s="11">
        <v>43</v>
      </c>
      <c r="K75" s="11">
        <v>640</v>
      </c>
      <c r="M75" s="11">
        <v>864</v>
      </c>
      <c r="N75" s="11">
        <v>0</v>
      </c>
      <c r="O75" s="11">
        <v>864</v>
      </c>
    </row>
    <row r="76" spans="1:22" x14ac:dyDescent="0.3">
      <c r="B76" s="11">
        <v>3.9275000000000002</v>
      </c>
      <c r="C76" s="11">
        <v>2.645</v>
      </c>
      <c r="D76" s="11">
        <v>0.84350000000000003</v>
      </c>
      <c r="E76" s="11">
        <v>0.1148</v>
      </c>
      <c r="I76" s="11">
        <v>107</v>
      </c>
      <c r="J76" s="11">
        <v>69</v>
      </c>
      <c r="K76" s="11">
        <v>176</v>
      </c>
      <c r="M76" s="11">
        <v>32</v>
      </c>
      <c r="N76" s="11">
        <v>48</v>
      </c>
      <c r="O76" s="11">
        <v>80</v>
      </c>
    </row>
    <row r="77" spans="1:22" x14ac:dyDescent="0.3">
      <c r="B77" s="11">
        <v>3.4417</v>
      </c>
      <c r="C77" s="11">
        <v>2.4283000000000001</v>
      </c>
      <c r="D77" s="11">
        <v>0.82099999999999995</v>
      </c>
      <c r="E77" s="11">
        <v>0.16039999999999999</v>
      </c>
      <c r="I77" s="11">
        <v>123</v>
      </c>
      <c r="J77" s="11">
        <v>16</v>
      </c>
      <c r="K77" s="11">
        <v>139</v>
      </c>
      <c r="M77" s="11">
        <v>128</v>
      </c>
      <c r="N77" s="11">
        <v>16</v>
      </c>
      <c r="O77" s="11">
        <v>144</v>
      </c>
    </row>
    <row r="78" spans="1:22" x14ac:dyDescent="0.3">
      <c r="B78" s="11">
        <v>3.6633</v>
      </c>
      <c r="C78" s="11">
        <v>2.5950000000000002</v>
      </c>
      <c r="D78" s="11">
        <v>0.90369999999999995</v>
      </c>
      <c r="E78" s="11">
        <v>0.1115</v>
      </c>
      <c r="I78" s="11">
        <f>AVERAGE(I75:I77)</f>
        <v>275.66666666666669</v>
      </c>
      <c r="J78" s="11">
        <f t="shared" ref="J78:O78" si="13">AVERAGE(J75:J77)</f>
        <v>42.666666666666664</v>
      </c>
      <c r="K78" s="11">
        <f t="shared" si="13"/>
        <v>318.33333333333331</v>
      </c>
      <c r="M78" s="11">
        <f t="shared" si="13"/>
        <v>341.33333333333331</v>
      </c>
      <c r="N78" s="11">
        <f t="shared" si="13"/>
        <v>21.333333333333332</v>
      </c>
      <c r="O78" s="11">
        <f t="shared" si="13"/>
        <v>362.66666666666669</v>
      </c>
    </row>
    <row r="79" spans="1:22" x14ac:dyDescent="0.3">
      <c r="B79" s="11">
        <v>1.5567</v>
      </c>
      <c r="C79" s="11">
        <v>1.1964999999999999</v>
      </c>
      <c r="D79" s="11">
        <v>0.48649999999999999</v>
      </c>
      <c r="E79" s="11">
        <v>0.2036</v>
      </c>
      <c r="H79" s="11" t="s">
        <v>570</v>
      </c>
      <c r="I79" s="11">
        <v>280</v>
      </c>
      <c r="J79" s="11">
        <v>80</v>
      </c>
      <c r="K79" s="11">
        <v>360</v>
      </c>
      <c r="M79" s="11">
        <v>171</v>
      </c>
      <c r="O79" s="11">
        <v>171</v>
      </c>
    </row>
    <row r="80" spans="1:22" x14ac:dyDescent="0.3">
      <c r="B80" s="11">
        <v>2.2282999999999999</v>
      </c>
      <c r="C80" s="11">
        <v>1.625</v>
      </c>
      <c r="D80" s="11">
        <v>0.58499999999999996</v>
      </c>
      <c r="E80" s="11">
        <v>9.4900000000000002E-3</v>
      </c>
      <c r="I80" s="11">
        <v>62</v>
      </c>
      <c r="J80" s="11">
        <v>205</v>
      </c>
      <c r="K80" s="11">
        <v>268</v>
      </c>
      <c r="M80" s="11">
        <v>32</v>
      </c>
      <c r="N80" s="11">
        <v>309</v>
      </c>
      <c r="O80" s="11">
        <v>582</v>
      </c>
    </row>
    <row r="81" spans="1:15" x14ac:dyDescent="0.3">
      <c r="B81" s="11">
        <v>2.262</v>
      </c>
      <c r="C81" s="11">
        <v>1.2892999999999999</v>
      </c>
      <c r="D81" s="11">
        <v>0.45779999999999998</v>
      </c>
      <c r="E81" s="11">
        <v>0.21310000000000001</v>
      </c>
      <c r="I81" s="11">
        <v>510</v>
      </c>
      <c r="J81" s="11">
        <v>117</v>
      </c>
      <c r="K81" s="11">
        <v>825</v>
      </c>
      <c r="M81" s="11">
        <v>132</v>
      </c>
      <c r="N81" s="11">
        <v>128</v>
      </c>
      <c r="O81" s="11">
        <v>172</v>
      </c>
    </row>
    <row r="82" spans="1:15" x14ac:dyDescent="0.3">
      <c r="B82" s="11">
        <v>0.83879999999999999</v>
      </c>
      <c r="C82" s="11">
        <v>0.74</v>
      </c>
      <c r="D82" s="11">
        <v>0.36680000000000001</v>
      </c>
      <c r="E82" s="11">
        <v>0.17349999999999999</v>
      </c>
      <c r="I82" s="11">
        <f>AVERAGE(I79:I81)</f>
        <v>284</v>
      </c>
      <c r="J82" s="11">
        <f t="shared" ref="J82" si="14">AVERAGE(J79:J81)</f>
        <v>134</v>
      </c>
      <c r="K82" s="11">
        <f t="shared" ref="K82" si="15">AVERAGE(K79:K81)</f>
        <v>484.33333333333331</v>
      </c>
      <c r="M82" s="11">
        <f t="shared" ref="M82" si="16">AVERAGE(M79:M81)</f>
        <v>111.66666666666667</v>
      </c>
      <c r="N82" s="11">
        <f t="shared" ref="N82" si="17">AVERAGE(N79:N81)</f>
        <v>218.5</v>
      </c>
      <c r="O82" s="11">
        <f t="shared" ref="O82" si="18">AVERAGE(O79:O81)</f>
        <v>308.33333333333331</v>
      </c>
    </row>
    <row r="83" spans="1:15" x14ac:dyDescent="0.3">
      <c r="B83" s="11">
        <v>1.4633</v>
      </c>
      <c r="C83" s="11">
        <v>0.9133</v>
      </c>
      <c r="D83" s="11">
        <v>0.28220000000000001</v>
      </c>
      <c r="E83" s="11">
        <v>3.9199999999999999E-2</v>
      </c>
    </row>
    <row r="85" spans="1:15" x14ac:dyDescent="0.3">
      <c r="B85" s="11">
        <f>AVERAGE(B76:B83)</f>
        <v>2.4226999999999999</v>
      </c>
      <c r="C85" s="11">
        <f t="shared" ref="C85:E85" si="19">AVERAGE(C76:C83)</f>
        <v>1.6790499999999999</v>
      </c>
      <c r="D85" s="11">
        <f t="shared" si="19"/>
        <v>0.59331249999999991</v>
      </c>
      <c r="E85" s="11">
        <f t="shared" si="19"/>
        <v>0.12819875</v>
      </c>
    </row>
    <row r="86" spans="1:15" x14ac:dyDescent="0.3">
      <c r="B86" s="11">
        <f>STDEV(B76:B83)</f>
        <v>1.139212247877579</v>
      </c>
      <c r="C86" s="11">
        <f t="shared" ref="C86:E86" si="20">STDEV(C76:C83)</f>
        <v>0.7736064244821137</v>
      </c>
      <c r="D86" s="11">
        <f t="shared" si="20"/>
        <v>0.23564996097420218</v>
      </c>
      <c r="E86" s="11">
        <f t="shared" si="20"/>
        <v>7.4117295154851881E-2</v>
      </c>
    </row>
    <row r="87" spans="1:15" x14ac:dyDescent="0.3">
      <c r="A87" s="11" t="s">
        <v>449</v>
      </c>
    </row>
    <row r="88" spans="1:15" x14ac:dyDescent="0.3">
      <c r="B88" s="11" t="s">
        <v>450</v>
      </c>
      <c r="C88" s="11" t="s">
        <v>451</v>
      </c>
      <c r="D88" s="11" t="s">
        <v>452</v>
      </c>
      <c r="E88" s="11" t="s">
        <v>453</v>
      </c>
      <c r="F88" s="11" t="s">
        <v>454</v>
      </c>
      <c r="G88" s="11" t="s">
        <v>455</v>
      </c>
    </row>
    <row r="89" spans="1:15" x14ac:dyDescent="0.3">
      <c r="B89" s="11">
        <v>3.3713000000000002</v>
      </c>
      <c r="C89" s="11">
        <v>3.0434999999999999</v>
      </c>
      <c r="D89" s="11">
        <v>0.79359999999999997</v>
      </c>
      <c r="E89" s="11">
        <v>0.84899999999999998</v>
      </c>
      <c r="F89" s="11">
        <v>2.6543000000000001</v>
      </c>
      <c r="G89" s="11">
        <v>1.9802999999999999</v>
      </c>
    </row>
    <row r="90" spans="1:15" x14ac:dyDescent="0.3">
      <c r="B90" s="11">
        <v>3.2559999999999998</v>
      </c>
      <c r="C90" s="11">
        <v>1.9757</v>
      </c>
      <c r="D90" s="11">
        <v>0.75329999999999997</v>
      </c>
      <c r="E90" s="11">
        <v>0.54530000000000001</v>
      </c>
      <c r="F90" s="11">
        <v>2.6046999999999998</v>
      </c>
      <c r="G90" s="11">
        <v>1.478</v>
      </c>
    </row>
    <row r="91" spans="1:15" x14ac:dyDescent="0.3">
      <c r="B91" s="11">
        <v>1.6853</v>
      </c>
      <c r="C91" s="11">
        <v>0.63590000000000002</v>
      </c>
      <c r="D91" s="11">
        <v>0.45540000000000003</v>
      </c>
      <c r="E91" s="11">
        <v>0.55110000000000003</v>
      </c>
      <c r="F91" s="11">
        <v>2.1585999999999999</v>
      </c>
      <c r="G91" s="11">
        <v>1.0951</v>
      </c>
    </row>
    <row r="92" spans="1:15" x14ac:dyDescent="0.3">
      <c r="B92" s="11">
        <v>2.5682999999999998</v>
      </c>
      <c r="C92" s="11">
        <v>2.2042999999999999</v>
      </c>
      <c r="D92" s="11">
        <v>0.56779999999999997</v>
      </c>
      <c r="E92" s="11">
        <v>0.6149</v>
      </c>
      <c r="F92" s="11">
        <v>2.6135000000000002</v>
      </c>
      <c r="G92" s="11">
        <v>1.2101</v>
      </c>
    </row>
    <row r="93" spans="1:15" x14ac:dyDescent="0.3">
      <c r="B93" s="11">
        <v>2.8247</v>
      </c>
      <c r="C93" s="11">
        <v>2.4569000000000001</v>
      </c>
      <c r="D93" s="11">
        <v>0.63339999999999996</v>
      </c>
      <c r="E93" s="11">
        <v>0.64529999999999998</v>
      </c>
      <c r="F93" s="11">
        <v>3.0849000000000002</v>
      </c>
      <c r="G93" s="11">
        <v>1.6913</v>
      </c>
    </row>
    <row r="94" spans="1:15" x14ac:dyDescent="0.3">
      <c r="A94" s="11" t="s">
        <v>456</v>
      </c>
      <c r="B94" s="11">
        <f>STDEV(B89:B93)</f>
        <v>0.67339373474958908</v>
      </c>
      <c r="C94" s="11">
        <f t="shared" ref="C94:G94" si="21">STDEV(C89:C93)</f>
        <v>0.89173125323720681</v>
      </c>
      <c r="D94" s="11">
        <f t="shared" si="21"/>
        <v>0.13762354449729824</v>
      </c>
      <c r="E94" s="11">
        <f t="shared" si="21"/>
        <v>0.12369734031093883</v>
      </c>
      <c r="F94" s="11">
        <f t="shared" si="21"/>
        <v>0.32803338244757857</v>
      </c>
      <c r="G94" s="11">
        <f t="shared" si="21"/>
        <v>0.35893773554754649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7" sqref="B17"/>
    </sheetView>
  </sheetViews>
  <sheetFormatPr defaultRowHeight="13.5" x14ac:dyDescent="0.15"/>
  <cols>
    <col min="1" max="1" width="21.375" bestFit="1" customWidth="1"/>
    <col min="2" max="2" width="53.375" bestFit="1" customWidth="1"/>
  </cols>
  <sheetData>
    <row r="1" spans="1:2" ht="15.75" x14ac:dyDescent="0.25">
      <c r="A1" s="1" t="s">
        <v>4</v>
      </c>
      <c r="B1" s="1" t="s">
        <v>5</v>
      </c>
    </row>
    <row r="2" spans="1:2" ht="15.75" x14ac:dyDescent="0.25">
      <c r="A2" s="1" t="s">
        <v>6</v>
      </c>
      <c r="B2" s="1" t="s">
        <v>22</v>
      </c>
    </row>
    <row r="3" spans="1:2" ht="15.75" x14ac:dyDescent="0.25">
      <c r="A3" s="1" t="s">
        <v>7</v>
      </c>
      <c r="B3" s="1" t="s">
        <v>23</v>
      </c>
    </row>
    <row r="4" spans="1:2" ht="15.75" x14ac:dyDescent="0.25">
      <c r="A4" s="1" t="s">
        <v>8</v>
      </c>
      <c r="B4" s="1" t="s">
        <v>21</v>
      </c>
    </row>
    <row r="5" spans="1:2" ht="15.75" x14ac:dyDescent="0.25">
      <c r="A5" s="1" t="s">
        <v>9</v>
      </c>
      <c r="B5" s="1" t="s">
        <v>20</v>
      </c>
    </row>
    <row r="6" spans="1:2" ht="15.75" x14ac:dyDescent="0.25">
      <c r="A6" s="1" t="s">
        <v>10</v>
      </c>
      <c r="B6" s="1" t="s">
        <v>19</v>
      </c>
    </row>
    <row r="7" spans="1:2" ht="15.75" x14ac:dyDescent="0.25">
      <c r="A7" s="1" t="s">
        <v>11</v>
      </c>
      <c r="B7" s="1" t="s">
        <v>18</v>
      </c>
    </row>
    <row r="8" spans="1:2" ht="15.75" x14ac:dyDescent="0.25">
      <c r="A8" s="1" t="s">
        <v>13</v>
      </c>
      <c r="B8" s="1" t="s">
        <v>16</v>
      </c>
    </row>
    <row r="9" spans="1:2" ht="15.75" x14ac:dyDescent="0.25">
      <c r="A9" s="1" t="s">
        <v>14</v>
      </c>
      <c r="B9" s="1" t="s">
        <v>17</v>
      </c>
    </row>
    <row r="10" spans="1:2" ht="15.75" x14ac:dyDescent="0.25">
      <c r="A10" s="1" t="s">
        <v>15</v>
      </c>
      <c r="B10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origin data</vt:lpstr>
      <vt:lpstr>种面积</vt:lpstr>
      <vt:lpstr>区域名</vt:lpstr>
      <vt:lpstr>湿重干重转换</vt:lpstr>
      <vt:lpstr>面积</vt:lpstr>
      <vt:lpstr>碳酸钙含量</vt:lpstr>
      <vt:lpstr>Sheet1</vt:lpstr>
      <vt:lpstr>metadata</vt:lpstr>
      <vt:lpstr>Explanation</vt:lpstr>
      <vt:lpstr>年平均变化</vt:lpstr>
      <vt:lpstr>Shell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2016-05-17T02:29:43Z</dcterms:modified>
</cp:coreProperties>
</file>