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iler Metrics" sheetId="1" r:id="rId3"/>
    <sheet state="visible" name="Results" sheetId="2" r:id="rId4"/>
  </sheets>
  <definedNames/>
  <calcPr/>
</workbook>
</file>

<file path=xl/sharedStrings.xml><?xml version="1.0" encoding="utf-8"?>
<sst xmlns="http://schemas.openxmlformats.org/spreadsheetml/2006/main" count="56" uniqueCount="54">
  <si>
    <t>NVIDIA V100 SXM2 16GB (GV100 GPU)</t>
  </si>
  <si>
    <t>T_sp</t>
  </si>
  <si>
    <t>SP FLOP Throughput</t>
  </si>
  <si>
    <t>GFLOPS</t>
  </si>
  <si>
    <t>T_dp</t>
  </si>
  <si>
    <t>DP FLOP Throughput</t>
  </si>
  <si>
    <t>T_int</t>
  </si>
  <si>
    <t>Integer multiply-add operation throughput</t>
  </si>
  <si>
    <t>GIOPS</t>
  </si>
  <si>
    <t>T_add</t>
  </si>
  <si>
    <t>Integer addition operation throughput</t>
  </si>
  <si>
    <t>FFT Size</t>
  </si>
  <si>
    <t>T_ldst</t>
  </si>
  <si>
    <t>Load/store instruction throughput on shared memory</t>
  </si>
  <si>
    <t>GOPS</t>
  </si>
  <si>
    <t>B_mem</t>
  </si>
  <si>
    <t>Memory bandwidth</t>
  </si>
  <si>
    <t>GB/s</t>
  </si>
  <si>
    <t>nvprof --metrics flop_count_sp_fma,inst_compute_ld_st,inst_executed,inst_fp_32,dram_read_transactions,dram_write_transactions,alu_fu_utilization,dram_utilization,l1_shared_utilization,ldst_fu_utilization,l2_utilization,cf_fu_utilization,sysmem_utilization,tex_fu_utilization,tex_utilization --profile-from-start off --log-file test.log ./benchfft 2048</t>
  </si>
  <si>
    <t>nvprof --profile-from-start off ./benchfft 2048</t>
  </si>
  <si>
    <t>http://images.nvidia.com/content/volta-architecture/pdf/volta-architecture-whitepaper.pdf</t>
  </si>
  <si>
    <t>https://github.com/ekondis/mixbench</t>
  </si>
  <si>
    <t>https://github.com/ekondis/gpumembench</t>
  </si>
  <si>
    <t>https://docs.nvidia.com/cuda/cuda-c-programming-guide/index.html</t>
  </si>
  <si>
    <t>nvprof --metrics flop_count_sp_fma,flop_count_dp_fma,inst_compute_ld_st,inst_executed,inst_fp_32,inst_fp_64,inst_integer,dram_read_transactions,dram_write_transactions --profile-from-start off ./benchfft {SIZE}</t>
  </si>
  <si>
    <t>Measured Quantities</t>
  </si>
  <si>
    <t>flop_count_sp</t>
  </si>
  <si>
    <t>flop_count_sp_add</t>
  </si>
  <si>
    <t>flop_count_sp_mul</t>
  </si>
  <si>
    <t>flop_count_sp_fma</t>
  </si>
  <si>
    <t>flop_sp_efficiency</t>
  </si>
  <si>
    <t>inst_compute_ld_st</t>
  </si>
  <si>
    <t>inst_executed</t>
  </si>
  <si>
    <t>inst_fp_32</t>
  </si>
  <si>
    <t>dram_read_transactions</t>
  </si>
  <si>
    <t>dram_write_transactions</t>
  </si>
  <si>
    <t>dram_utilization</t>
  </si>
  <si>
    <t>ldst_fu_utilization</t>
  </si>
  <si>
    <t>l2_utilization</t>
  </si>
  <si>
    <t>cf_fu_utilization</t>
  </si>
  <si>
    <t>sysmem_utilization</t>
  </si>
  <si>
    <t>tex_fu_utilization</t>
  </si>
  <si>
    <t>tex_utilization</t>
  </si>
  <si>
    <t>time(us)</t>
  </si>
  <si>
    <t>Note:inst_fp_32 printed in sci. notation for size 2^29</t>
  </si>
  <si>
    <t>Derived Quantities</t>
  </si>
  <si>
    <t>Compute Operations</t>
  </si>
  <si>
    <t>DRAM bytes accessed</t>
  </si>
  <si>
    <t>Operation mix efficiency (%)</t>
  </si>
  <si>
    <t>Operation instruction density (%)</t>
  </si>
  <si>
    <t>Ld/St instruction density (%)</t>
  </si>
  <si>
    <t>Other instruction density (%)</t>
  </si>
  <si>
    <t>Operational Intensity</t>
  </si>
  <si>
    <t>GFLOP/s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</si>
</sst>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ages.nvidia.com/content/volta-architecture/pdf/volta-architecture-whitepaper.pdf" TargetMode="External"/><Relationship Id="rId2" Type="http://schemas.openxmlformats.org/officeDocument/2006/relationships/hyperlink" Target="https://github.com/ekondis/mixbench" TargetMode="External"/><Relationship Id="rId3" Type="http://schemas.openxmlformats.org/officeDocument/2006/relationships/hyperlink" Target="https://github.com/ekondis/gpumembench" TargetMode="External"/><Relationship Id="rId4" Type="http://schemas.openxmlformats.org/officeDocument/2006/relationships/hyperlink" Target="https://docs.nvidia.com/cuda/cuda-c-programming-guide/index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86"/>
  </cols>
  <sheetData>
    <row r="1">
      <c r="A1" s="2" t="s">
        <v>0</v>
      </c>
    </row>
    <row r="2">
      <c r="A2" s="2" t="s">
        <v>1</v>
      </c>
      <c r="B2" s="2" t="s">
        <v>2</v>
      </c>
      <c r="C2" s="2">
        <v>15448.19</v>
      </c>
      <c r="D2" s="2" t="s">
        <v>3</v>
      </c>
    </row>
    <row r="3">
      <c r="A3" s="2" t="s">
        <v>4</v>
      </c>
      <c r="B3" s="2" t="s">
        <v>5</v>
      </c>
      <c r="C3" s="2">
        <v>7184.26</v>
      </c>
      <c r="D3" s="2" t="s">
        <v>3</v>
      </c>
    </row>
    <row r="4">
      <c r="A4" s="2" t="s">
        <v>6</v>
      </c>
      <c r="B4" s="2" t="s">
        <v>7</v>
      </c>
      <c r="C4" s="2">
        <v>14272.02</v>
      </c>
      <c r="D4" s="2" t="s">
        <v>8</v>
      </c>
    </row>
    <row r="5">
      <c r="A5" s="2" t="s">
        <v>9</v>
      </c>
      <c r="B5" s="2" t="s">
        <v>10</v>
      </c>
      <c r="C5">
        <f>C4/2</f>
        <v>7136.01</v>
      </c>
      <c r="D5" s="2" t="s">
        <v>8</v>
      </c>
    </row>
    <row r="6">
      <c r="A6" s="2" t="s">
        <v>12</v>
      </c>
      <c r="B6" s="2" t="s">
        <v>13</v>
      </c>
      <c r="C6" s="2">
        <v>2205.6</v>
      </c>
      <c r="D6" s="2" t="s">
        <v>14</v>
      </c>
    </row>
    <row r="7">
      <c r="A7" s="2" t="s">
        <v>15</v>
      </c>
      <c r="B7" s="2" t="s">
        <v>16</v>
      </c>
      <c r="C7" s="2">
        <v>898.05</v>
      </c>
      <c r="D7" s="2" t="s">
        <v>17</v>
      </c>
    </row>
    <row r="9">
      <c r="B9" s="2" t="s">
        <v>18</v>
      </c>
    </row>
    <row r="10">
      <c r="B10" s="2" t="s">
        <v>19</v>
      </c>
    </row>
    <row r="37">
      <c r="A37" s="4" t="s">
        <v>20</v>
      </c>
    </row>
    <row r="38">
      <c r="A38" s="4" t="s">
        <v>21</v>
      </c>
    </row>
    <row r="39">
      <c r="A39" s="4" t="s">
        <v>22</v>
      </c>
    </row>
    <row r="40">
      <c r="A40" s="4" t="s">
        <v>23</v>
      </c>
    </row>
    <row r="42">
      <c r="A42" s="2" t="s">
        <v>24</v>
      </c>
    </row>
  </sheetData>
  <mergeCells count="1">
    <mergeCell ref="A1:B1"/>
  </mergeCells>
  <hyperlinks>
    <hyperlink r:id="rId1" ref="A37"/>
    <hyperlink r:id="rId2" ref="A38"/>
    <hyperlink r:id="rId3" ref="A39"/>
    <hyperlink r:id="rId4" ref="A40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/>
      <c r="B1" s="3">
        <v>8.0</v>
      </c>
      <c r="C1" s="3">
        <v>9.0</v>
      </c>
      <c r="D1" s="3">
        <v>10.0</v>
      </c>
      <c r="E1" s="3">
        <v>11.0</v>
      </c>
      <c r="F1" s="3">
        <v>12.0</v>
      </c>
      <c r="G1" s="3">
        <v>13.0</v>
      </c>
      <c r="H1" s="3">
        <v>14.0</v>
      </c>
      <c r="I1" s="3">
        <v>15.0</v>
      </c>
      <c r="J1" s="3">
        <v>16.0</v>
      </c>
      <c r="K1" s="3">
        <v>17.0</v>
      </c>
      <c r="L1" s="3">
        <v>18.0</v>
      </c>
      <c r="M1" s="3">
        <v>19.0</v>
      </c>
      <c r="N1" s="3">
        <v>20.0</v>
      </c>
      <c r="O1" s="3">
        <v>21.0</v>
      </c>
      <c r="P1" s="3">
        <v>22.0</v>
      </c>
      <c r="Q1" s="3">
        <v>23.0</v>
      </c>
      <c r="R1" s="3">
        <v>24.0</v>
      </c>
      <c r="S1" s="3">
        <v>25.0</v>
      </c>
      <c r="T1" s="3">
        <v>26.0</v>
      </c>
      <c r="U1" s="3">
        <v>27.0</v>
      </c>
      <c r="V1" s="3">
        <v>28.0</v>
      </c>
      <c r="W1" s="3">
        <v>29.0</v>
      </c>
      <c r="X1" s="3"/>
      <c r="Y1" s="1"/>
      <c r="Z1" s="1"/>
    </row>
    <row r="2">
      <c r="A2" s="3" t="s">
        <v>11</v>
      </c>
      <c r="B2" s="3">
        <f t="shared" ref="B2:W2" si="1">2^B1</f>
        <v>256</v>
      </c>
      <c r="C2" s="3">
        <f t="shared" si="1"/>
        <v>512</v>
      </c>
      <c r="D2" s="3">
        <f t="shared" si="1"/>
        <v>1024</v>
      </c>
      <c r="E2" s="3">
        <f t="shared" si="1"/>
        <v>2048</v>
      </c>
      <c r="F2" s="3">
        <f t="shared" si="1"/>
        <v>4096</v>
      </c>
      <c r="G2" s="3">
        <f t="shared" si="1"/>
        <v>8192</v>
      </c>
      <c r="H2" s="3">
        <f t="shared" si="1"/>
        <v>16384</v>
      </c>
      <c r="I2" s="3">
        <f t="shared" si="1"/>
        <v>32768</v>
      </c>
      <c r="J2" s="3">
        <f t="shared" si="1"/>
        <v>65536</v>
      </c>
      <c r="K2" s="3">
        <f t="shared" si="1"/>
        <v>131072</v>
      </c>
      <c r="L2" s="3">
        <f t="shared" si="1"/>
        <v>262144</v>
      </c>
      <c r="M2" s="3">
        <f t="shared" si="1"/>
        <v>524288</v>
      </c>
      <c r="N2" s="3">
        <f t="shared" si="1"/>
        <v>1048576</v>
      </c>
      <c r="O2" s="3">
        <f t="shared" si="1"/>
        <v>2097152</v>
      </c>
      <c r="P2" s="3">
        <f t="shared" si="1"/>
        <v>4194304</v>
      </c>
      <c r="Q2" s="3">
        <f t="shared" si="1"/>
        <v>8388608</v>
      </c>
      <c r="R2" s="3">
        <f t="shared" si="1"/>
        <v>16777216</v>
      </c>
      <c r="S2" s="3">
        <f t="shared" si="1"/>
        <v>33554432</v>
      </c>
      <c r="T2" s="3">
        <f t="shared" si="1"/>
        <v>67108864</v>
      </c>
      <c r="U2" s="3">
        <f t="shared" si="1"/>
        <v>134217728</v>
      </c>
      <c r="V2" s="3">
        <f t="shared" si="1"/>
        <v>268435456</v>
      </c>
      <c r="W2" s="3">
        <f t="shared" si="1"/>
        <v>536870912</v>
      </c>
      <c r="X2" s="3"/>
      <c r="Y2" s="1"/>
      <c r="Z2" s="1"/>
    </row>
    <row r="3">
      <c r="A3" s="3" t="s">
        <v>25</v>
      </c>
      <c r="B3" s="2"/>
      <c r="C3" s="2"/>
      <c r="D3" s="2"/>
      <c r="E3" s="2"/>
      <c r="F3" s="2"/>
      <c r="G3" s="2"/>
      <c r="H3" s="2"/>
      <c r="L3" s="2"/>
      <c r="R3" s="2"/>
      <c r="U3" s="2"/>
      <c r="V3" s="2"/>
    </row>
    <row r="4">
      <c r="A4" s="2" t="s">
        <v>26</v>
      </c>
      <c r="B4" s="2"/>
      <c r="C4" s="2"/>
      <c r="D4" s="2"/>
      <c r="E4" s="2"/>
      <c r="F4" s="2"/>
      <c r="G4" s="2"/>
      <c r="H4" s="2"/>
      <c r="L4" s="2"/>
      <c r="R4" s="2"/>
      <c r="U4" s="2"/>
      <c r="V4" s="2"/>
    </row>
    <row r="5">
      <c r="A5" s="2" t="s">
        <v>27</v>
      </c>
      <c r="B5" s="2"/>
      <c r="C5" s="2"/>
      <c r="D5" s="2"/>
      <c r="E5" s="2"/>
      <c r="F5" s="2"/>
      <c r="G5" s="2"/>
      <c r="H5" s="2"/>
      <c r="L5" s="2"/>
      <c r="R5" s="2"/>
      <c r="U5" s="2"/>
      <c r="V5" s="2"/>
    </row>
    <row r="6">
      <c r="A6" s="2" t="s">
        <v>28</v>
      </c>
    </row>
    <row r="7">
      <c r="A7" s="2" t="s">
        <v>29</v>
      </c>
      <c r="B7" s="2">
        <v>25088.0</v>
      </c>
      <c r="C7" s="2">
        <v>2560.0</v>
      </c>
      <c r="D7" s="2">
        <v>5504.0</v>
      </c>
      <c r="E7" s="2">
        <v>22784.0</v>
      </c>
      <c r="F7" s="2">
        <v>56320.0</v>
      </c>
      <c r="G7" s="2">
        <v>112640.0</v>
      </c>
      <c r="H7" s="2">
        <v>88064.0</v>
      </c>
      <c r="I7">
        <f>372736+114688</f>
        <v>487424</v>
      </c>
      <c r="J7">
        <f>794624+229376</f>
        <v>1024000</v>
      </c>
      <c r="K7">
        <f>1048576+1671168</f>
        <v>2719744</v>
      </c>
      <c r="L7" s="2">
        <v>2097152.0</v>
      </c>
      <c r="M7">
        <f>1835008+5570560+4784128</f>
        <v>12189696</v>
      </c>
      <c r="N7">
        <f>3670016+11141120+10354688</f>
        <v>25165824</v>
      </c>
      <c r="O7">
        <f>20578304+7340032+22282240</f>
        <v>50200576</v>
      </c>
      <c r="P7">
        <f>47710208+41156608+14680064</f>
        <v>103546880</v>
      </c>
      <c r="Q7">
        <f>100663296+51380224</f>
        <v>152043520</v>
      </c>
      <c r="R7" s="2">
        <v>1.02760448E8</v>
      </c>
      <c r="S7">
        <f>268435456+427819008</f>
        <v>696254464</v>
      </c>
      <c r="T7">
        <f>536870912+855638016</f>
        <v>1392508928</v>
      </c>
      <c r="U7" s="2">
        <v>1.073741824E9</v>
      </c>
      <c r="V7" s="2">
        <v>1.442840576E9</v>
      </c>
      <c r="W7">
        <f>6442450944+3288334336</f>
        <v>9730785280</v>
      </c>
    </row>
    <row r="8">
      <c r="A8" s="2" t="s">
        <v>30</v>
      </c>
      <c r="B8" s="2"/>
      <c r="C8" s="2"/>
      <c r="D8" s="2"/>
      <c r="E8" s="2"/>
      <c r="F8" s="2"/>
      <c r="G8" s="2"/>
      <c r="H8" s="2"/>
      <c r="J8" s="2"/>
      <c r="L8" s="2"/>
      <c r="R8" s="2"/>
      <c r="U8" s="2"/>
      <c r="V8" s="2"/>
    </row>
    <row r="9">
      <c r="A9" s="2" t="s">
        <v>31</v>
      </c>
      <c r="B9" s="2">
        <v>11008.0</v>
      </c>
      <c r="C9" s="2">
        <v>6016.0</v>
      </c>
      <c r="D9" s="2">
        <v>11392.0</v>
      </c>
      <c r="E9" s="2">
        <v>20992.0</v>
      </c>
      <c r="F9" s="2">
        <v>41984.0</v>
      </c>
      <c r="G9" s="2">
        <v>118784.0</v>
      </c>
      <c r="H9" s="2">
        <v>99328.0</v>
      </c>
      <c r="I9">
        <f>368640+495616</f>
        <v>864256</v>
      </c>
      <c r="J9" s="2">
        <f>770048+991232</f>
        <v>1761280</v>
      </c>
      <c r="K9">
        <f>1343488+794624</f>
        <v>2138112</v>
      </c>
      <c r="L9" s="2">
        <v>2686976.0</v>
      </c>
      <c r="M9">
        <f>7929856+5932704+3538944</f>
        <v>17401504</v>
      </c>
      <c r="N9">
        <f>15859712+11665408+7208960</f>
        <v>34734080</v>
      </c>
      <c r="O9">
        <f>14417920+31719424+23330816</f>
        <v>69468160</v>
      </c>
      <c r="P9">
        <f>47185920+28835840+63438848</f>
        <v>139460608</v>
      </c>
      <c r="Q9">
        <f>50855936+50855936</f>
        <v>101711872</v>
      </c>
      <c r="R9" s="2">
        <v>1.01711872E8</v>
      </c>
      <c r="S9">
        <f>343932928+203423744</f>
        <v>547356672</v>
      </c>
      <c r="T9">
        <f>687865856+406847488</f>
        <v>1094713344</v>
      </c>
      <c r="U9" s="2">
        <v>1.375731712E9</v>
      </c>
      <c r="V9" s="2">
        <v>1.627389952E9</v>
      </c>
      <c r="W9">
        <f>3254779904+3254779904</f>
        <v>6509559808</v>
      </c>
    </row>
    <row r="10">
      <c r="A10" s="2" t="s">
        <v>32</v>
      </c>
      <c r="B10" s="2">
        <v>4064.0</v>
      </c>
      <c r="C10" s="2">
        <v>756.0</v>
      </c>
      <c r="D10" s="2">
        <v>1456.0</v>
      </c>
      <c r="E10" s="2">
        <v>3368.0</v>
      </c>
      <c r="F10" s="2">
        <v>7432.0</v>
      </c>
      <c r="G10" s="2">
        <v>17008.0</v>
      </c>
      <c r="H10" s="2">
        <v>22816.0</v>
      </c>
      <c r="I10">
        <f>66048+49536</f>
        <v>115584</v>
      </c>
      <c r="J10" s="2">
        <f>139264+99072</f>
        <v>238336</v>
      </c>
      <c r="K10">
        <f>273408+242688</f>
        <v>516096</v>
      </c>
      <c r="L10" s="2">
        <v>546816.0</v>
      </c>
      <c r="M10">
        <f>792576+995328+765952</f>
        <v>2553856</v>
      </c>
      <c r="N10">
        <f>1585152+1990656+1658880</f>
        <v>5234688</v>
      </c>
      <c r="O10">
        <f>2981888+3170304+3981312</f>
        <v>10133504</v>
      </c>
      <c r="P10">
        <f>8454144+5963776+6340608</f>
        <v>20758528</v>
      </c>
      <c r="Q10">
        <f>14614528+12599296</f>
        <v>27213824</v>
      </c>
      <c r="R10" s="2">
        <v>2.5198592E7</v>
      </c>
      <c r="S10">
        <f>69992448+62128128</f>
        <v>132120576</v>
      </c>
      <c r="T10">
        <f>139984896+124256256</f>
        <v>264241152</v>
      </c>
      <c r="U10" s="2">
        <v>2.79969792E8</v>
      </c>
      <c r="V10" s="2">
        <v>3.73817344E8</v>
      </c>
      <c r="W10">
        <f>935329792+806354944</f>
        <v>1741684736</v>
      </c>
    </row>
    <row r="11">
      <c r="A11" s="2" t="s">
        <v>33</v>
      </c>
      <c r="B11" s="2">
        <v>107520.0</v>
      </c>
      <c r="C11" s="2">
        <v>14336.0</v>
      </c>
      <c r="D11" s="2">
        <v>31488.0</v>
      </c>
      <c r="E11" s="2">
        <v>80384.0</v>
      </c>
      <c r="F11" s="2">
        <v>182272.0</v>
      </c>
      <c r="G11" s="2">
        <v>389120.0</v>
      </c>
      <c r="H11" s="2">
        <v>467968.0</v>
      </c>
      <c r="I11">
        <f>688128+1134592</f>
        <v>1822720</v>
      </c>
      <c r="J11" s="2">
        <f>2498560+1376256</f>
        <v>3874816</v>
      </c>
      <c r="K11">
        <f>4964352+5423104</f>
        <v>10387456</v>
      </c>
      <c r="L11" s="2">
        <v>9928704.0</v>
      </c>
      <c r="M11">
        <f>11010048+16318464+12648448</f>
        <v>39976960</v>
      </c>
      <c r="N11">
        <f>22020096+32636928+28966912</f>
        <v>83623936</v>
      </c>
      <c r="O11">
        <f>61997056+44040192+65273856</f>
        <v>171311104</v>
      </c>
      <c r="P11">
        <f>145227776+123994112+88080384</f>
        <v>357302272</v>
      </c>
      <c r="Q11">
        <f>318242816+268435456</f>
        <v>586678272</v>
      </c>
      <c r="R11" s="2">
        <v>5.36870912E8</v>
      </c>
      <c r="S11">
        <f>1270874112+1388314624</f>
        <v>2659188736</v>
      </c>
      <c r="T11">
        <f>2541748224+2776629248</f>
        <v>5318377472</v>
      </c>
      <c r="U11" s="2">
        <v>5.083496448E9</v>
      </c>
      <c r="V11" s="2">
        <v>7.667187712E9</v>
      </c>
      <c r="W11">
        <f>20368000000+17180000000</f>
        <v>37548000000</v>
      </c>
    </row>
    <row r="12">
      <c r="A12" s="2" t="s">
        <v>34</v>
      </c>
      <c r="B12" s="2">
        <v>8.0</v>
      </c>
      <c r="C12" s="2">
        <v>0.0</v>
      </c>
      <c r="D12" s="2">
        <v>48.0</v>
      </c>
      <c r="E12" s="2">
        <v>4.0</v>
      </c>
      <c r="F12" s="2">
        <v>24.0</v>
      </c>
      <c r="G12" s="2">
        <v>557.0</v>
      </c>
      <c r="H12" s="2">
        <v>24.0</v>
      </c>
      <c r="I12">
        <f>216+72</f>
        <v>288</v>
      </c>
      <c r="J12" s="2">
        <f>323+247</f>
        <v>570</v>
      </c>
      <c r="K12">
        <f>33046+614</f>
        <v>33660</v>
      </c>
      <c r="L12" s="2">
        <v>455.0</v>
      </c>
      <c r="M12">
        <f>131325+48889+131286</f>
        <v>311500</v>
      </c>
      <c r="N12">
        <f>262399+262477+196237</f>
        <v>721113</v>
      </c>
      <c r="O12">
        <f>524766+524327+501136</f>
        <v>1550229</v>
      </c>
      <c r="P12">
        <f>1049001+1039811+1048839</f>
        <v>3137651</v>
      </c>
      <c r="Q12">
        <f>2091225+2097781</f>
        <v>4189006</v>
      </c>
      <c r="R12" s="2">
        <v>4192545.0</v>
      </c>
      <c r="S12">
        <f>8390735+8388101</f>
        <v>16778836</v>
      </c>
      <c r="T12">
        <f>16778321+16777606</f>
        <v>33555927</v>
      </c>
      <c r="U12" s="2">
        <v>3.3557684E7</v>
      </c>
      <c r="V12" s="2">
        <v>6.7109463E7</v>
      </c>
      <c r="W12">
        <f>134218575+135308707</f>
        <v>269527282</v>
      </c>
    </row>
    <row r="13">
      <c r="A13" s="2" t="s">
        <v>35</v>
      </c>
      <c r="B13" s="2">
        <v>4.0</v>
      </c>
      <c r="C13" s="2">
        <v>5.0</v>
      </c>
      <c r="D13" s="2">
        <v>53.0</v>
      </c>
      <c r="E13" s="2">
        <v>4.0</v>
      </c>
      <c r="F13" s="2">
        <v>188.0</v>
      </c>
      <c r="G13" s="2">
        <v>425.0</v>
      </c>
      <c r="H13" s="2">
        <v>2224.0</v>
      </c>
      <c r="I13">
        <f>8888+2113</f>
        <v>11001</v>
      </c>
      <c r="J13" s="2">
        <f>3342+4204</f>
        <v>7546</v>
      </c>
      <c r="K13">
        <f>12209+20388</f>
        <v>32597</v>
      </c>
      <c r="L13" s="2">
        <v>65885.0</v>
      </c>
      <c r="M13" s="2">
        <f>129505+131370+131435</f>
        <v>392310</v>
      </c>
      <c r="N13">
        <f>256088+261023+245872</f>
        <v>762983</v>
      </c>
      <c r="O13">
        <f>518330+504058+517728</f>
        <v>1540116</v>
      </c>
      <c r="P13">
        <f>1042199+1046582+1042824</f>
        <v>3131605</v>
      </c>
      <c r="Q13">
        <f>2079086+2079734</f>
        <v>4158820</v>
      </c>
      <c r="R13" s="2">
        <v>4176538.0</v>
      </c>
      <c r="S13">
        <f>8404294+8367546</f>
        <v>16771840</v>
      </c>
      <c r="T13">
        <f>16788640+16774418</f>
        <v>33563058</v>
      </c>
      <c r="U13" s="2">
        <v>3.3567243E7</v>
      </c>
      <c r="V13" s="2">
        <v>6.7090419E7</v>
      </c>
      <c r="W13">
        <f>134142927+134275703</f>
        <v>268418630</v>
      </c>
    </row>
    <row r="14">
      <c r="A14" s="2" t="s">
        <v>36</v>
      </c>
      <c r="B14" s="2">
        <v>1.0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  <c r="K14" s="2">
        <v>2.0</v>
      </c>
      <c r="L14" s="2">
        <v>2.0</v>
      </c>
      <c r="M14" s="2">
        <v>6.0</v>
      </c>
      <c r="N14" s="2">
        <v>8.0</v>
      </c>
      <c r="O14" s="2">
        <v>8.0</v>
      </c>
      <c r="P14" s="2">
        <v>8.0</v>
      </c>
      <c r="Q14" s="2">
        <v>9.0</v>
      </c>
      <c r="R14" s="2">
        <v>9.0</v>
      </c>
      <c r="S14" s="2">
        <v>9.0</v>
      </c>
      <c r="T14" s="2">
        <v>9.0</v>
      </c>
      <c r="U14" s="2">
        <v>7.0</v>
      </c>
      <c r="V14" s="2">
        <v>10.0</v>
      </c>
      <c r="W14" s="2">
        <v>10.0</v>
      </c>
    </row>
    <row r="15">
      <c r="A15" s="2" t="s">
        <v>37</v>
      </c>
      <c r="B15" s="2">
        <v>1.0</v>
      </c>
      <c r="C15" s="2">
        <v>2.0</v>
      </c>
      <c r="D15" s="2">
        <v>1.0</v>
      </c>
      <c r="E15" s="2">
        <v>1.0</v>
      </c>
      <c r="F15" s="2">
        <v>2.0</v>
      </c>
      <c r="G15" s="2">
        <v>3.0</v>
      </c>
      <c r="H15" s="2">
        <v>1.0</v>
      </c>
      <c r="I15" s="2">
        <v>3.0</v>
      </c>
      <c r="J15" s="2">
        <v>2.0</v>
      </c>
      <c r="K15" s="2">
        <v>2.0</v>
      </c>
      <c r="L15" s="2">
        <v>2.0</v>
      </c>
      <c r="M15" s="2">
        <v>3.0</v>
      </c>
      <c r="N15" s="2">
        <v>3.0</v>
      </c>
      <c r="O15" s="2">
        <v>2.0</v>
      </c>
      <c r="P15" s="2">
        <v>2.0</v>
      </c>
      <c r="Q15" s="2">
        <v>1.0</v>
      </c>
      <c r="R15" s="2">
        <v>1.0</v>
      </c>
      <c r="S15" s="2">
        <v>2.0</v>
      </c>
      <c r="T15" s="2">
        <v>2.0</v>
      </c>
      <c r="U15" s="2">
        <v>2.0</v>
      </c>
      <c r="V15" s="2">
        <v>1.0</v>
      </c>
      <c r="W15" s="2">
        <v>1.0</v>
      </c>
    </row>
    <row r="16">
      <c r="A16" s="2" t="s">
        <v>38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2.0</v>
      </c>
      <c r="O16" s="2">
        <v>2.0</v>
      </c>
      <c r="P16" s="2">
        <v>2.0</v>
      </c>
      <c r="Q16" s="2">
        <v>2.0</v>
      </c>
      <c r="R16" s="2">
        <v>2.0</v>
      </c>
      <c r="S16" s="2">
        <v>2.0</v>
      </c>
      <c r="T16" s="2">
        <v>2.0</v>
      </c>
      <c r="U16" s="2">
        <v>1.0</v>
      </c>
      <c r="V16" s="2">
        <v>2.0</v>
      </c>
      <c r="W16" s="2">
        <v>2.0</v>
      </c>
    </row>
    <row r="17">
      <c r="A17" s="2" t="s">
        <v>39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</row>
    <row r="18">
      <c r="A18" s="2" t="s">
        <v>40</v>
      </c>
      <c r="B18" s="2">
        <v>1.0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</row>
    <row r="19">
      <c r="A19" s="2" t="s">
        <v>41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</row>
    <row r="20">
      <c r="A20" s="2" t="s">
        <v>42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2.0</v>
      </c>
      <c r="O20" s="2">
        <v>1.0</v>
      </c>
      <c r="P20" s="2">
        <v>2.0</v>
      </c>
      <c r="Q20" s="2">
        <v>1.0</v>
      </c>
      <c r="R20" s="2">
        <v>1.0</v>
      </c>
      <c r="S20" s="2">
        <v>2.0</v>
      </c>
      <c r="T20" s="2">
        <v>1.0</v>
      </c>
      <c r="U20" s="2">
        <v>1.0</v>
      </c>
      <c r="V20" s="2">
        <v>1.0</v>
      </c>
      <c r="W20" s="2">
        <v>1.0</v>
      </c>
    </row>
    <row r="21">
      <c r="A21" s="2" t="s">
        <v>43</v>
      </c>
      <c r="B21" s="2">
        <v>8.96</v>
      </c>
      <c r="C21" s="2">
        <v>4.032</v>
      </c>
      <c r="D21" s="2">
        <v>5.728</v>
      </c>
      <c r="E21" s="2">
        <v>10.848</v>
      </c>
      <c r="F21" s="2">
        <v>12.384</v>
      </c>
      <c r="G21" s="2">
        <v>11.968</v>
      </c>
      <c r="H21" s="2">
        <v>21.952</v>
      </c>
      <c r="I21">
        <f>6.88+4.416</f>
        <v>11.296</v>
      </c>
      <c r="J21">
        <f>5.792+7.808</f>
        <v>13.6</v>
      </c>
      <c r="K21">
        <f>14.111+9.696</f>
        <v>23.807</v>
      </c>
      <c r="L21" s="2">
        <v>22.687</v>
      </c>
      <c r="M21">
        <f>15.359+10.24+9.6</f>
        <v>35.199</v>
      </c>
      <c r="N21">
        <f>25.376+23.776+21.024</f>
        <v>70.176</v>
      </c>
      <c r="O21">
        <f>49.632+48.351+44.768</f>
        <v>142.751</v>
      </c>
      <c r="P21">
        <f>95.583+90.688+88.543</f>
        <v>274.814</v>
      </c>
      <c r="Q21">
        <f>362.46+176.67</f>
        <v>539.13</v>
      </c>
      <c r="R21" s="2">
        <v>1057.9</v>
      </c>
      <c r="S21">
        <f>1369.3+696.92</f>
        <v>2066.22</v>
      </c>
      <c r="T21">
        <f>2758.1+1373.6</f>
        <v>4131.7</v>
      </c>
      <c r="U21" s="2">
        <v>9350.6</v>
      </c>
      <c r="V21" s="2">
        <v>2099.2</v>
      </c>
      <c r="W21">
        <f>3132.4+1110.1</f>
        <v>4242.5</v>
      </c>
    </row>
    <row r="22">
      <c r="W22" s="2" t="s">
        <v>44</v>
      </c>
    </row>
    <row r="23">
      <c r="A23" s="3" t="s">
        <v>45</v>
      </c>
    </row>
    <row r="24">
      <c r="A24" s="2" t="s">
        <v>46</v>
      </c>
      <c r="B24">
        <f t="shared" ref="B24:W24" si="2">B11+B7</f>
        <v>132608</v>
      </c>
      <c r="C24">
        <f t="shared" si="2"/>
        <v>16896</v>
      </c>
      <c r="D24">
        <f t="shared" si="2"/>
        <v>36992</v>
      </c>
      <c r="E24">
        <f t="shared" si="2"/>
        <v>103168</v>
      </c>
      <c r="F24">
        <f t="shared" si="2"/>
        <v>238592</v>
      </c>
      <c r="G24">
        <f t="shared" si="2"/>
        <v>501760</v>
      </c>
      <c r="H24">
        <f t="shared" si="2"/>
        <v>556032</v>
      </c>
      <c r="I24">
        <f t="shared" si="2"/>
        <v>2310144</v>
      </c>
      <c r="J24">
        <f t="shared" si="2"/>
        <v>4898816</v>
      </c>
      <c r="K24">
        <f t="shared" si="2"/>
        <v>13107200</v>
      </c>
      <c r="L24">
        <f t="shared" si="2"/>
        <v>12025856</v>
      </c>
      <c r="M24">
        <f t="shared" si="2"/>
        <v>52166656</v>
      </c>
      <c r="N24">
        <f t="shared" si="2"/>
        <v>108789760</v>
      </c>
      <c r="O24">
        <f t="shared" si="2"/>
        <v>221511680</v>
      </c>
      <c r="P24">
        <f t="shared" si="2"/>
        <v>460849152</v>
      </c>
      <c r="Q24">
        <f t="shared" si="2"/>
        <v>738721792</v>
      </c>
      <c r="R24">
        <f t="shared" si="2"/>
        <v>639631360</v>
      </c>
      <c r="S24">
        <f t="shared" si="2"/>
        <v>3355443200</v>
      </c>
      <c r="T24">
        <f t="shared" si="2"/>
        <v>6710886400</v>
      </c>
      <c r="U24">
        <f t="shared" si="2"/>
        <v>6157238272</v>
      </c>
      <c r="V24">
        <f t="shared" si="2"/>
        <v>9110028288</v>
      </c>
      <c r="W24">
        <f t="shared" si="2"/>
        <v>47278785280</v>
      </c>
    </row>
    <row r="25">
      <c r="A25" s="2" t="s">
        <v>47</v>
      </c>
      <c r="B25">
        <f t="shared" ref="B25:W25" si="3">32*(B12+B13)</f>
        <v>384</v>
      </c>
      <c r="C25">
        <f t="shared" si="3"/>
        <v>160</v>
      </c>
      <c r="D25">
        <f t="shared" si="3"/>
        <v>3232</v>
      </c>
      <c r="E25">
        <f t="shared" si="3"/>
        <v>256</v>
      </c>
      <c r="F25">
        <f t="shared" si="3"/>
        <v>6784</v>
      </c>
      <c r="G25">
        <f t="shared" si="3"/>
        <v>31424</v>
      </c>
      <c r="H25">
        <f t="shared" si="3"/>
        <v>71936</v>
      </c>
      <c r="I25">
        <f t="shared" si="3"/>
        <v>361248</v>
      </c>
      <c r="J25">
        <f t="shared" si="3"/>
        <v>259712</v>
      </c>
      <c r="K25">
        <f t="shared" si="3"/>
        <v>2120224</v>
      </c>
      <c r="L25">
        <f t="shared" si="3"/>
        <v>2122880</v>
      </c>
      <c r="M25">
        <f t="shared" si="3"/>
        <v>22521920</v>
      </c>
      <c r="N25">
        <f t="shared" si="3"/>
        <v>47491072</v>
      </c>
      <c r="O25">
        <f t="shared" si="3"/>
        <v>98891040</v>
      </c>
      <c r="P25">
        <f t="shared" si="3"/>
        <v>200616192</v>
      </c>
      <c r="Q25">
        <f t="shared" si="3"/>
        <v>267130432</v>
      </c>
      <c r="R25">
        <f t="shared" si="3"/>
        <v>267810656</v>
      </c>
      <c r="S25">
        <f t="shared" si="3"/>
        <v>1073621632</v>
      </c>
      <c r="T25">
        <f t="shared" si="3"/>
        <v>2147807520</v>
      </c>
      <c r="U25">
        <f t="shared" si="3"/>
        <v>2147997664</v>
      </c>
      <c r="V25">
        <f t="shared" si="3"/>
        <v>4294396224</v>
      </c>
      <c r="W25">
        <f t="shared" si="3"/>
        <v>17214269184</v>
      </c>
    </row>
    <row r="26">
      <c r="A26" s="2" t="s">
        <v>48</v>
      </c>
      <c r="B26">
        <f t="shared" ref="B26:W26" si="4">B24/(2*B11)*100</f>
        <v>61.66666667</v>
      </c>
      <c r="C26">
        <f t="shared" si="4"/>
        <v>58.92857143</v>
      </c>
      <c r="D26">
        <f t="shared" si="4"/>
        <v>58.7398374</v>
      </c>
      <c r="E26">
        <f t="shared" si="4"/>
        <v>64.17197452</v>
      </c>
      <c r="F26">
        <f t="shared" si="4"/>
        <v>65.4494382</v>
      </c>
      <c r="G26">
        <f t="shared" si="4"/>
        <v>64.47368421</v>
      </c>
      <c r="H26">
        <f t="shared" si="4"/>
        <v>59.40919037</v>
      </c>
      <c r="I26">
        <f t="shared" si="4"/>
        <v>63.37078652</v>
      </c>
      <c r="J26">
        <f t="shared" si="4"/>
        <v>63.21353066</v>
      </c>
      <c r="K26">
        <f t="shared" si="4"/>
        <v>63.09148265</v>
      </c>
      <c r="L26">
        <f t="shared" si="4"/>
        <v>60.56105611</v>
      </c>
      <c r="M26">
        <f t="shared" si="4"/>
        <v>65.24590164</v>
      </c>
      <c r="N26">
        <f t="shared" si="4"/>
        <v>65.04702194</v>
      </c>
      <c r="O26">
        <f t="shared" si="4"/>
        <v>64.65187452</v>
      </c>
      <c r="P26">
        <f t="shared" si="4"/>
        <v>64.49009538</v>
      </c>
      <c r="Q26">
        <f t="shared" si="4"/>
        <v>62.95799821</v>
      </c>
      <c r="R26">
        <f t="shared" si="4"/>
        <v>59.5703125</v>
      </c>
      <c r="S26">
        <f t="shared" si="4"/>
        <v>63.09148265</v>
      </c>
      <c r="T26">
        <f t="shared" si="4"/>
        <v>63.09148265</v>
      </c>
      <c r="U26">
        <f t="shared" si="4"/>
        <v>60.56105611</v>
      </c>
      <c r="V26">
        <f t="shared" si="4"/>
        <v>59.40919037</v>
      </c>
      <c r="W26">
        <f t="shared" si="4"/>
        <v>62.9577944</v>
      </c>
    </row>
    <row r="27">
      <c r="A27" s="2" t="s">
        <v>49</v>
      </c>
      <c r="B27">
        <f t="shared" ref="B27:W27" si="5">B11/(32*B10)*100</f>
        <v>82.67716535</v>
      </c>
      <c r="C27">
        <f t="shared" si="5"/>
        <v>59.25925926</v>
      </c>
      <c r="D27">
        <f t="shared" si="5"/>
        <v>67.58241758</v>
      </c>
      <c r="E27">
        <f t="shared" si="5"/>
        <v>74.58432304</v>
      </c>
      <c r="F27">
        <f t="shared" si="5"/>
        <v>76.64155005</v>
      </c>
      <c r="G27">
        <f t="shared" si="5"/>
        <v>71.4957667</v>
      </c>
      <c r="H27">
        <f t="shared" si="5"/>
        <v>64.09537167</v>
      </c>
      <c r="I27">
        <f t="shared" si="5"/>
        <v>49.28017719</v>
      </c>
      <c r="J27">
        <f t="shared" si="5"/>
        <v>50.80558539</v>
      </c>
      <c r="K27">
        <f t="shared" si="5"/>
        <v>62.8968254</v>
      </c>
      <c r="L27">
        <f t="shared" si="5"/>
        <v>56.74157303</v>
      </c>
      <c r="M27">
        <f t="shared" si="5"/>
        <v>48.91740176</v>
      </c>
      <c r="N27">
        <f t="shared" si="5"/>
        <v>49.92175274</v>
      </c>
      <c r="O27">
        <f t="shared" si="5"/>
        <v>52.82942603</v>
      </c>
      <c r="P27">
        <f t="shared" si="5"/>
        <v>53.78847672</v>
      </c>
      <c r="Q27">
        <f t="shared" si="5"/>
        <v>67.36905479</v>
      </c>
      <c r="R27">
        <f t="shared" si="5"/>
        <v>66.57997399</v>
      </c>
      <c r="S27">
        <f t="shared" si="5"/>
        <v>62.8968254</v>
      </c>
      <c r="T27">
        <f t="shared" si="5"/>
        <v>62.8968254</v>
      </c>
      <c r="U27">
        <f t="shared" si="5"/>
        <v>56.74157303</v>
      </c>
      <c r="V27">
        <f t="shared" si="5"/>
        <v>64.09537167</v>
      </c>
      <c r="W27">
        <f t="shared" si="5"/>
        <v>67.37011445</v>
      </c>
    </row>
    <row r="28">
      <c r="A28" s="2" t="s">
        <v>50</v>
      </c>
      <c r="B28">
        <f t="shared" ref="B28:W28" si="6">B9/(32*B10)*100</f>
        <v>8.464566929</v>
      </c>
      <c r="C28">
        <f t="shared" si="6"/>
        <v>24.86772487</v>
      </c>
      <c r="D28">
        <f t="shared" si="6"/>
        <v>24.45054945</v>
      </c>
      <c r="E28">
        <f t="shared" si="6"/>
        <v>19.47743468</v>
      </c>
      <c r="F28">
        <f t="shared" si="6"/>
        <v>17.65339074</v>
      </c>
      <c r="G28">
        <f t="shared" si="6"/>
        <v>21.82502352</v>
      </c>
      <c r="H28">
        <f t="shared" si="6"/>
        <v>13.60448808</v>
      </c>
      <c r="I28">
        <f t="shared" si="6"/>
        <v>23.36655592</v>
      </c>
      <c r="J28">
        <f t="shared" si="6"/>
        <v>23.09344791</v>
      </c>
      <c r="K28">
        <f t="shared" si="6"/>
        <v>12.94642857</v>
      </c>
      <c r="L28">
        <f t="shared" si="6"/>
        <v>15.35580524</v>
      </c>
      <c r="M28">
        <f t="shared" si="6"/>
        <v>21.29317393</v>
      </c>
      <c r="N28">
        <f t="shared" si="6"/>
        <v>20.73552426</v>
      </c>
      <c r="O28">
        <f t="shared" si="6"/>
        <v>21.42279709</v>
      </c>
      <c r="P28">
        <f t="shared" si="6"/>
        <v>20.99447514</v>
      </c>
      <c r="Q28">
        <f t="shared" si="6"/>
        <v>11.67971102</v>
      </c>
      <c r="R28">
        <f t="shared" si="6"/>
        <v>12.61378414</v>
      </c>
      <c r="S28">
        <f t="shared" si="6"/>
        <v>12.94642857</v>
      </c>
      <c r="T28">
        <f t="shared" si="6"/>
        <v>12.94642857</v>
      </c>
      <c r="U28">
        <f t="shared" si="6"/>
        <v>15.35580524</v>
      </c>
      <c r="V28">
        <f t="shared" si="6"/>
        <v>13.60448808</v>
      </c>
      <c r="W28">
        <f t="shared" si="6"/>
        <v>11.67971102</v>
      </c>
    </row>
    <row r="29">
      <c r="A29" s="2" t="s">
        <v>51</v>
      </c>
      <c r="B29">
        <f t="shared" ref="B29:W29" si="7">100-B27-B28</f>
        <v>8.858267717</v>
      </c>
      <c r="C29">
        <f t="shared" si="7"/>
        <v>15.87301587</v>
      </c>
      <c r="D29">
        <f t="shared" si="7"/>
        <v>7.967032967</v>
      </c>
      <c r="E29">
        <f t="shared" si="7"/>
        <v>5.93824228</v>
      </c>
      <c r="F29">
        <f t="shared" si="7"/>
        <v>5.705059203</v>
      </c>
      <c r="G29">
        <f t="shared" si="7"/>
        <v>6.679209784</v>
      </c>
      <c r="H29">
        <f t="shared" si="7"/>
        <v>22.30014025</v>
      </c>
      <c r="I29">
        <f t="shared" si="7"/>
        <v>27.35326689</v>
      </c>
      <c r="J29">
        <f t="shared" si="7"/>
        <v>26.1009667</v>
      </c>
      <c r="K29">
        <f t="shared" si="7"/>
        <v>24.15674603</v>
      </c>
      <c r="L29">
        <f t="shared" si="7"/>
        <v>27.90262172</v>
      </c>
      <c r="M29">
        <f t="shared" si="7"/>
        <v>29.78942431</v>
      </c>
      <c r="N29">
        <f t="shared" si="7"/>
        <v>29.342723</v>
      </c>
      <c r="O29">
        <f t="shared" si="7"/>
        <v>25.74777688</v>
      </c>
      <c r="P29">
        <f t="shared" si="7"/>
        <v>25.21704815</v>
      </c>
      <c r="Q29">
        <f t="shared" si="7"/>
        <v>20.9512342</v>
      </c>
      <c r="R29">
        <f t="shared" si="7"/>
        <v>20.80624187</v>
      </c>
      <c r="S29">
        <f t="shared" si="7"/>
        <v>24.15674603</v>
      </c>
      <c r="T29">
        <f t="shared" si="7"/>
        <v>24.15674603</v>
      </c>
      <c r="U29">
        <f t="shared" si="7"/>
        <v>27.90262172</v>
      </c>
      <c r="V29">
        <f t="shared" si="7"/>
        <v>22.30014025</v>
      </c>
      <c r="W29">
        <f t="shared" si="7"/>
        <v>20.95017453</v>
      </c>
    </row>
    <row r="30">
      <c r="A30" s="2" t="s">
        <v>52</v>
      </c>
      <c r="B30">
        <f t="shared" ref="B30:W30" si="8">B24/B25</f>
        <v>345.3333333</v>
      </c>
      <c r="C30">
        <f t="shared" si="8"/>
        <v>105.6</v>
      </c>
      <c r="D30">
        <f t="shared" si="8"/>
        <v>11.44554455</v>
      </c>
      <c r="E30">
        <f t="shared" si="8"/>
        <v>403</v>
      </c>
      <c r="F30">
        <f t="shared" si="8"/>
        <v>35.16981132</v>
      </c>
      <c r="G30">
        <f t="shared" si="8"/>
        <v>15.96741344</v>
      </c>
      <c r="H30">
        <f t="shared" si="8"/>
        <v>7.729537367</v>
      </c>
      <c r="I30">
        <f t="shared" si="8"/>
        <v>6.394897688</v>
      </c>
      <c r="J30">
        <f t="shared" si="8"/>
        <v>18.86249384</v>
      </c>
      <c r="K30">
        <f t="shared" si="8"/>
        <v>6.181988318</v>
      </c>
      <c r="L30">
        <f t="shared" si="8"/>
        <v>5.664877902</v>
      </c>
      <c r="M30">
        <f t="shared" si="8"/>
        <v>2.316261491</v>
      </c>
      <c r="N30">
        <f t="shared" si="8"/>
        <v>2.2907413</v>
      </c>
      <c r="O30">
        <f t="shared" si="8"/>
        <v>2.239957027</v>
      </c>
      <c r="P30">
        <f t="shared" si="8"/>
        <v>2.297168276</v>
      </c>
      <c r="Q30">
        <f t="shared" si="8"/>
        <v>2.765397362</v>
      </c>
      <c r="R30">
        <f t="shared" si="8"/>
        <v>2.388371581</v>
      </c>
      <c r="S30">
        <f t="shared" si="8"/>
        <v>3.125349844</v>
      </c>
      <c r="T30">
        <f t="shared" si="8"/>
        <v>3.124528775</v>
      </c>
      <c r="U30">
        <f t="shared" si="8"/>
        <v>2.866501382</v>
      </c>
      <c r="V30">
        <f t="shared" si="8"/>
        <v>2.121375815</v>
      </c>
      <c r="W30">
        <f t="shared" si="8"/>
        <v>2.746488089</v>
      </c>
    </row>
    <row r="32">
      <c r="A32" s="2" t="s">
        <v>53</v>
      </c>
    </row>
  </sheetData>
  <drawing r:id="rId1"/>
</worksheet>
</file>