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cc89c3b879ce5/Desktop/DCF/"/>
    </mc:Choice>
  </mc:AlternateContent>
  <xr:revisionPtr revIDLastSave="0" documentId="8_{14773003-39FF-4268-AF32-C98D91EFB12A}" xr6:coauthVersionLast="47" xr6:coauthVersionMax="47" xr10:uidLastSave="{00000000-0000-0000-0000-000000000000}"/>
  <bookViews>
    <workbookView xWindow="-28920" yWindow="1185" windowWidth="29040" windowHeight="15840" xr2:uid="{60E7DE2E-11D4-43C2-B399-AF43AE5C54BE}"/>
  </bookViews>
  <sheets>
    <sheet name="DCF" sheetId="1" r:id="rId1"/>
    <sheet name="Income Statement" sheetId="9" r:id="rId2"/>
    <sheet name="Cash Flow Statement" sheetId="8" r:id="rId3"/>
  </sheets>
  <definedNames>
    <definedName name="tgr">DCF!$C$18</definedName>
    <definedName name="wacc">DCF!$C$17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1" l="1"/>
  <c r="D76" i="1"/>
  <c r="N4" i="1"/>
  <c r="N3" i="1"/>
  <c r="N2" i="1"/>
  <c r="C18" i="1"/>
  <c r="C17" i="1"/>
  <c r="W90" i="1"/>
  <c r="W89" i="1"/>
  <c r="W88" i="1"/>
  <c r="W83" i="1"/>
  <c r="W82" i="1"/>
  <c r="W81" i="1"/>
  <c r="W74" i="1"/>
  <c r="W73" i="1"/>
  <c r="W72" i="1"/>
  <c r="W68" i="1"/>
  <c r="W67" i="1"/>
  <c r="W66" i="1"/>
  <c r="W62" i="1"/>
  <c r="W60" i="1"/>
  <c r="W61" i="1"/>
  <c r="W59" i="1" s="1"/>
  <c r="S49" i="1"/>
  <c r="S50" i="1" s="1"/>
  <c r="R49" i="1"/>
  <c r="R50" i="1" s="1"/>
  <c r="Q49" i="1"/>
  <c r="Q50" i="1" s="1"/>
  <c r="P49" i="1"/>
  <c r="P50" i="1" s="1"/>
  <c r="O49" i="1"/>
  <c r="O50" i="1" s="1"/>
  <c r="N49" i="1"/>
  <c r="N50" i="1" s="1"/>
  <c r="S47" i="1"/>
  <c r="R47" i="1"/>
  <c r="Q47" i="1"/>
  <c r="P47" i="1"/>
  <c r="O47" i="1"/>
  <c r="N47" i="1"/>
  <c r="S44" i="1"/>
  <c r="R44" i="1"/>
  <c r="Q44" i="1"/>
  <c r="P44" i="1"/>
  <c r="O44" i="1"/>
  <c r="N44" i="1"/>
  <c r="S36" i="1"/>
  <c r="R36" i="1"/>
  <c r="Q36" i="1"/>
  <c r="P36" i="1"/>
  <c r="O36" i="1"/>
  <c r="S32" i="1"/>
  <c r="R32" i="1"/>
  <c r="Q32" i="1"/>
  <c r="P32" i="1"/>
  <c r="O32" i="1"/>
  <c r="N32" i="1"/>
  <c r="S39" i="1"/>
  <c r="S40" i="1" s="1"/>
  <c r="R39" i="1"/>
  <c r="R40" i="1" s="1"/>
  <c r="Q39" i="1"/>
  <c r="Q40" i="1" s="1"/>
  <c r="P39" i="1"/>
  <c r="P40" i="1" s="1"/>
  <c r="O39" i="1"/>
  <c r="O40" i="1" s="1"/>
  <c r="O56" i="1"/>
  <c r="P56" i="1" s="1"/>
  <c r="Q56" i="1" s="1"/>
  <c r="R56" i="1" s="1"/>
  <c r="S56" i="1" s="1"/>
  <c r="T56" i="1" s="1"/>
  <c r="U56" i="1" s="1"/>
  <c r="V56" i="1" s="1"/>
  <c r="W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Y58" i="1" s="1"/>
  <c r="S33" i="1"/>
  <c r="R33" i="1"/>
  <c r="Q33" i="1"/>
  <c r="P33" i="1"/>
  <c r="O33" i="1"/>
  <c r="N33" i="1"/>
  <c r="S37" i="1"/>
  <c r="R37" i="1"/>
  <c r="Q37" i="1"/>
  <c r="P37" i="1"/>
  <c r="O37" i="1"/>
  <c r="N35" i="1"/>
  <c r="N37" i="1" s="1"/>
  <c r="M46" i="1"/>
  <c r="L46" i="1"/>
  <c r="K46" i="1"/>
  <c r="J46" i="1"/>
  <c r="I46" i="1"/>
  <c r="H46" i="1"/>
  <c r="G46" i="1"/>
  <c r="F46" i="1"/>
  <c r="E46" i="1"/>
  <c r="D46" i="1"/>
  <c r="M35" i="1"/>
  <c r="L35" i="1"/>
  <c r="K35" i="1"/>
  <c r="J35" i="1"/>
  <c r="I35" i="1"/>
  <c r="H35" i="1"/>
  <c r="G35" i="1"/>
  <c r="F35" i="1"/>
  <c r="E35" i="1"/>
  <c r="D35" i="1"/>
  <c r="M43" i="1"/>
  <c r="L43" i="1"/>
  <c r="K43" i="1"/>
  <c r="J43" i="1"/>
  <c r="I43" i="1"/>
  <c r="H43" i="1"/>
  <c r="G43" i="1"/>
  <c r="F43" i="1"/>
  <c r="E43" i="1"/>
  <c r="D43" i="1"/>
  <c r="M31" i="1"/>
  <c r="L31" i="1"/>
  <c r="K31" i="1"/>
  <c r="J31" i="1"/>
  <c r="I31" i="1"/>
  <c r="H31" i="1"/>
  <c r="G31" i="1"/>
  <c r="F31" i="1"/>
  <c r="E31" i="1"/>
  <c r="D31" i="1"/>
  <c r="M52" i="1"/>
  <c r="L52" i="1"/>
  <c r="L92" i="1" s="1"/>
  <c r="K52" i="1"/>
  <c r="K92" i="1" s="1"/>
  <c r="J52" i="1"/>
  <c r="J92" i="1" s="1"/>
  <c r="I52" i="1"/>
  <c r="I92" i="1" s="1"/>
  <c r="H52" i="1"/>
  <c r="H92" i="1" s="1"/>
  <c r="G52" i="1"/>
  <c r="F52" i="1"/>
  <c r="F92" i="1" s="1"/>
  <c r="E52" i="1"/>
  <c r="E92" i="1" s="1"/>
  <c r="D52" i="1"/>
  <c r="D92" i="1" s="1"/>
  <c r="K21" i="8"/>
  <c r="J21" i="8"/>
  <c r="I21" i="8"/>
  <c r="H21" i="8"/>
  <c r="G21" i="8"/>
  <c r="F21" i="8"/>
  <c r="E21" i="8"/>
  <c r="D21" i="8"/>
  <c r="C21" i="8"/>
  <c r="B21" i="8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S28" i="1"/>
  <c r="R28" i="1"/>
  <c r="Q28" i="1"/>
  <c r="P28" i="1"/>
  <c r="O28" i="1"/>
  <c r="N28" i="1"/>
  <c r="N73" i="1" s="1"/>
  <c r="S25" i="1"/>
  <c r="R25" i="1"/>
  <c r="Q25" i="1"/>
  <c r="P25" i="1"/>
  <c r="O25" i="1"/>
  <c r="N25" i="1"/>
  <c r="N66" i="1" s="1"/>
  <c r="S22" i="1"/>
  <c r="R22" i="1"/>
  <c r="Q22" i="1"/>
  <c r="P22" i="1"/>
  <c r="P61" i="1" s="1"/>
  <c r="O22" i="1"/>
  <c r="M27" i="1"/>
  <c r="M70" i="1" s="1"/>
  <c r="M76" i="1" s="1"/>
  <c r="L27" i="1"/>
  <c r="L70" i="1" s="1"/>
  <c r="L76" i="1" s="1"/>
  <c r="K27" i="1"/>
  <c r="K70" i="1" s="1"/>
  <c r="K76" i="1" s="1"/>
  <c r="J27" i="1"/>
  <c r="J70" i="1" s="1"/>
  <c r="I27" i="1"/>
  <c r="I70" i="1" s="1"/>
  <c r="I76" i="1" s="1"/>
  <c r="H27" i="1"/>
  <c r="H70" i="1" s="1"/>
  <c r="H76" i="1" s="1"/>
  <c r="G27" i="1"/>
  <c r="G70" i="1" s="1"/>
  <c r="G76" i="1" s="1"/>
  <c r="F27" i="1"/>
  <c r="F70" i="1" s="1"/>
  <c r="F76" i="1" s="1"/>
  <c r="E27" i="1"/>
  <c r="E70" i="1" s="1"/>
  <c r="E76" i="1" s="1"/>
  <c r="D27" i="1"/>
  <c r="D70" i="1" s="1"/>
  <c r="M24" i="1"/>
  <c r="M64" i="1" s="1"/>
  <c r="L24" i="1"/>
  <c r="L64" i="1" s="1"/>
  <c r="K24" i="1"/>
  <c r="K64" i="1" s="1"/>
  <c r="J24" i="1"/>
  <c r="J64" i="1" s="1"/>
  <c r="I24" i="1"/>
  <c r="I64" i="1" s="1"/>
  <c r="H24" i="1"/>
  <c r="H64" i="1" s="1"/>
  <c r="G24" i="1"/>
  <c r="G64" i="1" s="1"/>
  <c r="F24" i="1"/>
  <c r="F64" i="1" s="1"/>
  <c r="E24" i="1"/>
  <c r="E64" i="1" s="1"/>
  <c r="D24" i="1"/>
  <c r="D64" i="1" s="1"/>
  <c r="M21" i="1"/>
  <c r="M58" i="1" s="1"/>
  <c r="L21" i="1"/>
  <c r="L58" i="1" s="1"/>
  <c r="K21" i="1"/>
  <c r="J21" i="1"/>
  <c r="J58" i="1" s="1"/>
  <c r="I21" i="1"/>
  <c r="I58" i="1" s="1"/>
  <c r="H21" i="1"/>
  <c r="H58" i="1" s="1"/>
  <c r="G21" i="1"/>
  <c r="G58" i="1" s="1"/>
  <c r="F21" i="1"/>
  <c r="F58" i="1" s="1"/>
  <c r="E21" i="1"/>
  <c r="D21" i="1"/>
  <c r="D58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C4" i="1"/>
  <c r="W87" i="1" l="1"/>
  <c r="W80" i="1"/>
  <c r="F71" i="1"/>
  <c r="L71" i="1"/>
  <c r="K71" i="1"/>
  <c r="E71" i="1"/>
  <c r="I71" i="1"/>
  <c r="D71" i="1"/>
  <c r="O73" i="1"/>
  <c r="P73" i="1" s="1"/>
  <c r="Q73" i="1" s="1"/>
  <c r="R73" i="1" s="1"/>
  <c r="S73" i="1" s="1"/>
  <c r="T73" i="1" s="1"/>
  <c r="U73" i="1" s="1"/>
  <c r="V73" i="1" s="1"/>
  <c r="J71" i="1"/>
  <c r="H71" i="1"/>
  <c r="W71" i="1"/>
  <c r="W65" i="1"/>
  <c r="G71" i="1"/>
  <c r="M71" i="1"/>
  <c r="N74" i="1" s="1"/>
  <c r="O74" i="1" s="1"/>
  <c r="P74" i="1" s="1"/>
  <c r="Q74" i="1" s="1"/>
  <c r="R74" i="1" s="1"/>
  <c r="S74" i="1" s="1"/>
  <c r="T74" i="1" s="1"/>
  <c r="U74" i="1" s="1"/>
  <c r="V74" i="1" s="1"/>
  <c r="E32" i="1"/>
  <c r="N68" i="1"/>
  <c r="P67" i="1"/>
  <c r="Q67" i="1" s="1"/>
  <c r="R67" i="1" s="1"/>
  <c r="S67" i="1" s="1"/>
  <c r="T67" i="1" s="1"/>
  <c r="U67" i="1" s="1"/>
  <c r="V67" i="1" s="1"/>
  <c r="N67" i="1"/>
  <c r="O67" i="1"/>
  <c r="Q61" i="1"/>
  <c r="R61" i="1" s="1"/>
  <c r="S61" i="1" s="1"/>
  <c r="T61" i="1" s="1"/>
  <c r="U61" i="1" s="1"/>
  <c r="V61" i="1" s="1"/>
  <c r="K32" i="1"/>
  <c r="D93" i="1"/>
  <c r="G49" i="1"/>
  <c r="G50" i="1" s="1"/>
  <c r="H65" i="1"/>
  <c r="G59" i="1"/>
  <c r="M59" i="1"/>
  <c r="I59" i="1"/>
  <c r="I49" i="1"/>
  <c r="I50" i="1" s="1"/>
  <c r="M49" i="1"/>
  <c r="M86" i="1" s="1"/>
  <c r="M87" i="1" s="1"/>
  <c r="L93" i="1"/>
  <c r="H49" i="1"/>
  <c r="H86" i="1" s="1"/>
  <c r="H87" i="1" s="1"/>
  <c r="Q41" i="1"/>
  <c r="I65" i="1"/>
  <c r="D65" i="1"/>
  <c r="J65" i="1"/>
  <c r="F49" i="1"/>
  <c r="F50" i="1" s="1"/>
  <c r="L49" i="1"/>
  <c r="L50" i="1" s="1"/>
  <c r="D49" i="1"/>
  <c r="D86" i="1" s="1"/>
  <c r="D87" i="1" s="1"/>
  <c r="J49" i="1"/>
  <c r="J50" i="1" s="1"/>
  <c r="I93" i="1"/>
  <c r="E49" i="1"/>
  <c r="E86" i="1" s="1"/>
  <c r="K49" i="1"/>
  <c r="K86" i="1" s="1"/>
  <c r="H59" i="1"/>
  <c r="L65" i="1"/>
  <c r="J59" i="1"/>
  <c r="F93" i="1"/>
  <c r="G65" i="1"/>
  <c r="M65" i="1"/>
  <c r="H93" i="1"/>
  <c r="F65" i="1"/>
  <c r="J93" i="1"/>
  <c r="S41" i="1"/>
  <c r="O41" i="1"/>
  <c r="E58" i="1"/>
  <c r="E59" i="1" s="1"/>
  <c r="K58" i="1"/>
  <c r="K59" i="1" s="1"/>
  <c r="G53" i="1"/>
  <c r="M53" i="1"/>
  <c r="P41" i="1"/>
  <c r="R41" i="1"/>
  <c r="G92" i="1"/>
  <c r="G93" i="1" s="1"/>
  <c r="M92" i="1"/>
  <c r="M93" i="1" s="1"/>
  <c r="D53" i="1"/>
  <c r="J53" i="1"/>
  <c r="D36" i="1"/>
  <c r="J36" i="1"/>
  <c r="F32" i="1"/>
  <c r="L47" i="1"/>
  <c r="I53" i="1"/>
  <c r="F47" i="1"/>
  <c r="L32" i="1"/>
  <c r="K53" i="1"/>
  <c r="G32" i="1"/>
  <c r="M32" i="1"/>
  <c r="G47" i="1"/>
  <c r="M47" i="1"/>
  <c r="H44" i="1"/>
  <c r="I32" i="1"/>
  <c r="M39" i="1"/>
  <c r="G44" i="1"/>
  <c r="M44" i="1"/>
  <c r="E47" i="1"/>
  <c r="K47" i="1"/>
  <c r="E53" i="1"/>
  <c r="I44" i="1"/>
  <c r="E36" i="1"/>
  <c r="K36" i="1"/>
  <c r="F53" i="1"/>
  <c r="L53" i="1"/>
  <c r="H32" i="1"/>
  <c r="D44" i="1"/>
  <c r="J44" i="1"/>
  <c r="F39" i="1"/>
  <c r="L39" i="1"/>
  <c r="H47" i="1"/>
  <c r="G39" i="1"/>
  <c r="E44" i="1"/>
  <c r="K44" i="1"/>
  <c r="I47" i="1"/>
  <c r="H53" i="1"/>
  <c r="D32" i="1"/>
  <c r="J32" i="1"/>
  <c r="F44" i="1"/>
  <c r="L44" i="1"/>
  <c r="H36" i="1"/>
  <c r="D47" i="1"/>
  <c r="J47" i="1"/>
  <c r="H39" i="1"/>
  <c r="N39" i="1"/>
  <c r="F36" i="1"/>
  <c r="L36" i="1"/>
  <c r="D39" i="1"/>
  <c r="J39" i="1"/>
  <c r="N36" i="1"/>
  <c r="G36" i="1"/>
  <c r="I37" i="1"/>
  <c r="E39" i="1"/>
  <c r="K39" i="1"/>
  <c r="I36" i="1"/>
  <c r="I39" i="1"/>
  <c r="M36" i="1"/>
  <c r="M37" i="1"/>
  <c r="D37" i="1"/>
  <c r="E37" i="1"/>
  <c r="G37" i="1"/>
  <c r="K37" i="1"/>
  <c r="J37" i="1"/>
  <c r="H37" i="1"/>
  <c r="F37" i="1"/>
  <c r="L37" i="1"/>
  <c r="G33" i="1"/>
  <c r="M33" i="1"/>
  <c r="I25" i="1"/>
  <c r="E28" i="1"/>
  <c r="K28" i="1"/>
  <c r="E54" i="1"/>
  <c r="E33" i="1"/>
  <c r="K33" i="1"/>
  <c r="F33" i="1"/>
  <c r="L33" i="1"/>
  <c r="I22" i="1"/>
  <c r="H22" i="1"/>
  <c r="I54" i="1"/>
  <c r="G22" i="1"/>
  <c r="J22" i="1"/>
  <c r="F25" i="1"/>
  <c r="L25" i="1"/>
  <c r="G54" i="1"/>
  <c r="M54" i="1"/>
  <c r="K22" i="1"/>
  <c r="G25" i="1"/>
  <c r="M25" i="1"/>
  <c r="J33" i="1"/>
  <c r="N22" i="1"/>
  <c r="M22" i="1"/>
  <c r="H54" i="1"/>
  <c r="F22" i="1"/>
  <c r="L22" i="1"/>
  <c r="H33" i="1"/>
  <c r="J54" i="1"/>
  <c r="K54" i="1"/>
  <c r="L54" i="1"/>
  <c r="H25" i="1"/>
  <c r="E25" i="1"/>
  <c r="F28" i="1"/>
  <c r="L28" i="1"/>
  <c r="F54" i="1"/>
  <c r="G28" i="1"/>
  <c r="M28" i="1"/>
  <c r="D28" i="1"/>
  <c r="J28" i="1"/>
  <c r="K25" i="1"/>
  <c r="H28" i="1"/>
  <c r="E22" i="1"/>
  <c r="I33" i="1"/>
  <c r="D33" i="1"/>
  <c r="D25" i="1"/>
  <c r="J25" i="1"/>
  <c r="I28" i="1"/>
  <c r="N90" i="1" l="1"/>
  <c r="O90" i="1" s="1"/>
  <c r="P90" i="1" s="1"/>
  <c r="Q90" i="1" s="1"/>
  <c r="R90" i="1" s="1"/>
  <c r="S90" i="1" s="1"/>
  <c r="T90" i="1" s="1"/>
  <c r="U90" i="1" s="1"/>
  <c r="V90" i="1" s="1"/>
  <c r="N88" i="1"/>
  <c r="O88" i="1" s="1"/>
  <c r="P88" i="1" s="1"/>
  <c r="Q88" i="1" s="1"/>
  <c r="R88" i="1" s="1"/>
  <c r="S88" i="1" s="1"/>
  <c r="T88" i="1" s="1"/>
  <c r="U88" i="1" s="1"/>
  <c r="V88" i="1" s="1"/>
  <c r="N89" i="1"/>
  <c r="N65" i="1"/>
  <c r="N72" i="1"/>
  <c r="O72" i="1" s="1"/>
  <c r="P72" i="1" s="1"/>
  <c r="Q72" i="1" s="1"/>
  <c r="R72" i="1" s="1"/>
  <c r="S72" i="1" s="1"/>
  <c r="T72" i="1" s="1"/>
  <c r="U72" i="1" s="1"/>
  <c r="V72" i="1" s="1"/>
  <c r="P66" i="1"/>
  <c r="Q66" i="1" s="1"/>
  <c r="R66" i="1" s="1"/>
  <c r="S66" i="1" s="1"/>
  <c r="T66" i="1" s="1"/>
  <c r="U66" i="1" s="1"/>
  <c r="V66" i="1" s="1"/>
  <c r="P68" i="1"/>
  <c r="Q68" i="1" s="1"/>
  <c r="R68" i="1" s="1"/>
  <c r="S68" i="1" s="1"/>
  <c r="T68" i="1" s="1"/>
  <c r="U68" i="1" s="1"/>
  <c r="V68" i="1" s="1"/>
  <c r="O66" i="1"/>
  <c r="O68" i="1"/>
  <c r="P71" i="1"/>
  <c r="P65" i="1"/>
  <c r="N61" i="1"/>
  <c r="O61" i="1" s="1"/>
  <c r="N62" i="1"/>
  <c r="O62" i="1" s="1"/>
  <c r="P62" i="1" s="1"/>
  <c r="Q62" i="1" s="1"/>
  <c r="R62" i="1" s="1"/>
  <c r="S62" i="1" s="1"/>
  <c r="T62" i="1" s="1"/>
  <c r="U62" i="1" s="1"/>
  <c r="V62" i="1" s="1"/>
  <c r="N60" i="1"/>
  <c r="J86" i="1"/>
  <c r="J87" i="1" s="1"/>
  <c r="G86" i="1"/>
  <c r="G87" i="1" s="1"/>
  <c r="M50" i="1"/>
  <c r="K50" i="1"/>
  <c r="H50" i="1"/>
  <c r="I86" i="1"/>
  <c r="I87" i="1" s="1"/>
  <c r="D50" i="1"/>
  <c r="L86" i="1"/>
  <c r="L87" i="1" s="1"/>
  <c r="E87" i="1"/>
  <c r="F86" i="1"/>
  <c r="F87" i="1" s="1"/>
  <c r="E65" i="1"/>
  <c r="E93" i="1"/>
  <c r="E50" i="1"/>
  <c r="K40" i="1"/>
  <c r="K41" i="1"/>
  <c r="K79" i="1"/>
  <c r="K80" i="1" s="1"/>
  <c r="D40" i="1"/>
  <c r="D41" i="1"/>
  <c r="D79" i="1"/>
  <c r="D80" i="1" s="1"/>
  <c r="L40" i="1"/>
  <c r="L41" i="1"/>
  <c r="L79" i="1"/>
  <c r="L80" i="1" s="1"/>
  <c r="E40" i="1"/>
  <c r="E41" i="1"/>
  <c r="E79" i="1"/>
  <c r="E80" i="1" s="1"/>
  <c r="F40" i="1"/>
  <c r="F41" i="1"/>
  <c r="F79" i="1"/>
  <c r="F80" i="1" s="1"/>
  <c r="K93" i="1"/>
  <c r="N93" i="1" s="1"/>
  <c r="L59" i="1"/>
  <c r="K87" i="1"/>
  <c r="N40" i="1"/>
  <c r="N41" i="1"/>
  <c r="M40" i="1"/>
  <c r="M79" i="1"/>
  <c r="M80" i="1" s="1"/>
  <c r="M41" i="1"/>
  <c r="F59" i="1"/>
  <c r="I40" i="1"/>
  <c r="I79" i="1"/>
  <c r="I80" i="1" s="1"/>
  <c r="I41" i="1"/>
  <c r="H40" i="1"/>
  <c r="H79" i="1"/>
  <c r="H80" i="1" s="1"/>
  <c r="H41" i="1"/>
  <c r="G40" i="1"/>
  <c r="G79" i="1"/>
  <c r="G80" i="1" s="1"/>
  <c r="G41" i="1"/>
  <c r="J40" i="1"/>
  <c r="J41" i="1"/>
  <c r="J79" i="1"/>
  <c r="J80" i="1" s="1"/>
  <c r="K65" i="1"/>
  <c r="O65" i="1" l="1"/>
  <c r="O71" i="1"/>
  <c r="N71" i="1"/>
  <c r="O93" i="1"/>
  <c r="O89" i="1"/>
  <c r="N87" i="1"/>
  <c r="N82" i="1"/>
  <c r="O82" i="1" s="1"/>
  <c r="P82" i="1" s="1"/>
  <c r="Q82" i="1" s="1"/>
  <c r="R82" i="1" s="1"/>
  <c r="S82" i="1" s="1"/>
  <c r="T82" i="1" s="1"/>
  <c r="U82" i="1" s="1"/>
  <c r="V82" i="1" s="1"/>
  <c r="N83" i="1"/>
  <c r="O83" i="1" s="1"/>
  <c r="P83" i="1" s="1"/>
  <c r="Q83" i="1" s="1"/>
  <c r="R83" i="1" s="1"/>
  <c r="S83" i="1" s="1"/>
  <c r="T83" i="1" s="1"/>
  <c r="U83" i="1" s="1"/>
  <c r="V83" i="1" s="1"/>
  <c r="N81" i="1"/>
  <c r="Q71" i="1"/>
  <c r="Q65" i="1"/>
  <c r="O60" i="1"/>
  <c r="N59" i="1"/>
  <c r="N58" i="1" s="1"/>
  <c r="N92" i="1" s="1"/>
  <c r="P93" i="1" l="1"/>
  <c r="Q93" i="1" s="1"/>
  <c r="P89" i="1"/>
  <c r="O87" i="1"/>
  <c r="O81" i="1"/>
  <c r="N80" i="1"/>
  <c r="N79" i="1" s="1"/>
  <c r="N64" i="1"/>
  <c r="R65" i="1"/>
  <c r="R71" i="1"/>
  <c r="P60" i="1"/>
  <c r="O59" i="1"/>
  <c r="O58" i="1" s="1"/>
  <c r="R93" i="1" l="1"/>
  <c r="S93" i="1" s="1"/>
  <c r="O86" i="1"/>
  <c r="O92" i="1"/>
  <c r="Q89" i="1"/>
  <c r="P87" i="1"/>
  <c r="P81" i="1"/>
  <c r="O80" i="1"/>
  <c r="O79" i="1" s="1"/>
  <c r="O64" i="1"/>
  <c r="N70" i="1"/>
  <c r="N76" i="1" s="1"/>
  <c r="S71" i="1"/>
  <c r="S65" i="1"/>
  <c r="Q60" i="1"/>
  <c r="P59" i="1"/>
  <c r="P58" i="1" s="1"/>
  <c r="P92" i="1" s="1"/>
  <c r="T93" i="1" l="1"/>
  <c r="P86" i="1"/>
  <c r="R89" i="1"/>
  <c r="Q87" i="1"/>
  <c r="Q81" i="1"/>
  <c r="P80" i="1"/>
  <c r="P79" i="1" s="1"/>
  <c r="P64" i="1"/>
  <c r="O70" i="1"/>
  <c r="O76" i="1" s="1"/>
  <c r="T71" i="1"/>
  <c r="T65" i="1"/>
  <c r="R60" i="1"/>
  <c r="Q59" i="1"/>
  <c r="Q58" i="1" s="1"/>
  <c r="O95" i="1" l="1"/>
  <c r="O96" i="1" s="1"/>
  <c r="U93" i="1"/>
  <c r="V93" i="1" s="1"/>
  <c r="W93" i="1" s="1"/>
  <c r="Q86" i="1"/>
  <c r="Q92" i="1"/>
  <c r="S89" i="1"/>
  <c r="R87" i="1"/>
  <c r="R81" i="1"/>
  <c r="Q80" i="1"/>
  <c r="Q79" i="1" s="1"/>
  <c r="Q64" i="1"/>
  <c r="P70" i="1"/>
  <c r="P76" i="1" s="1"/>
  <c r="U71" i="1"/>
  <c r="V65" i="1"/>
  <c r="U65" i="1"/>
  <c r="S60" i="1"/>
  <c r="R59" i="1"/>
  <c r="R58" i="1" s="1"/>
  <c r="P95" i="1" l="1"/>
  <c r="P96" i="1" s="1"/>
  <c r="R86" i="1"/>
  <c r="R92" i="1"/>
  <c r="T89" i="1"/>
  <c r="S87" i="1"/>
  <c r="S81" i="1"/>
  <c r="R80" i="1"/>
  <c r="R79" i="1" s="1"/>
  <c r="R64" i="1"/>
  <c r="Q70" i="1"/>
  <c r="Q76" i="1" s="1"/>
  <c r="V71" i="1"/>
  <c r="T60" i="1"/>
  <c r="S59" i="1"/>
  <c r="S58" i="1" s="1"/>
  <c r="Q95" i="1" l="1"/>
  <c r="Q96" i="1" s="1"/>
  <c r="S86" i="1"/>
  <c r="S92" i="1"/>
  <c r="U89" i="1"/>
  <c r="T87" i="1"/>
  <c r="T81" i="1"/>
  <c r="S80" i="1"/>
  <c r="S79" i="1" s="1"/>
  <c r="S64" i="1"/>
  <c r="R70" i="1"/>
  <c r="R76" i="1" s="1"/>
  <c r="U60" i="1"/>
  <c r="T59" i="1"/>
  <c r="T58" i="1" s="1"/>
  <c r="T92" i="1" s="1"/>
  <c r="R95" i="1" l="1"/>
  <c r="R96" i="1" s="1"/>
  <c r="T86" i="1"/>
  <c r="V89" i="1"/>
  <c r="V87" i="1" s="1"/>
  <c r="U87" i="1"/>
  <c r="U81" i="1"/>
  <c r="T80" i="1"/>
  <c r="T79" i="1" s="1"/>
  <c r="T64" i="1"/>
  <c r="S70" i="1"/>
  <c r="S76" i="1" s="1"/>
  <c r="V60" i="1"/>
  <c r="V59" i="1" s="1"/>
  <c r="U59" i="1"/>
  <c r="U58" i="1" s="1"/>
  <c r="U92" i="1" s="1"/>
  <c r="S95" i="1" l="1"/>
  <c r="S96" i="1" s="1"/>
  <c r="U86" i="1"/>
  <c r="V81" i="1"/>
  <c r="V80" i="1" s="1"/>
  <c r="U80" i="1"/>
  <c r="U79" i="1" s="1"/>
  <c r="U64" i="1"/>
  <c r="T70" i="1"/>
  <c r="T76" i="1" s="1"/>
  <c r="V58" i="1"/>
  <c r="T95" i="1" l="1"/>
  <c r="T96" i="1" s="1"/>
  <c r="V86" i="1"/>
  <c r="V92" i="1"/>
  <c r="V79" i="1"/>
  <c r="W58" i="1"/>
  <c r="V64" i="1"/>
  <c r="U70" i="1"/>
  <c r="U76" i="1" s="1"/>
  <c r="U95" i="1" l="1"/>
  <c r="U96" i="1" s="1"/>
  <c r="W86" i="1"/>
  <c r="W92" i="1"/>
  <c r="W64" i="1"/>
  <c r="W79" i="1"/>
  <c r="V70" i="1"/>
  <c r="V76" i="1" s="1"/>
  <c r="N86" i="1"/>
  <c r="N95" i="1" s="1"/>
  <c r="N96" i="1" s="1"/>
  <c r="W70" i="1" l="1"/>
  <c r="W76" i="1" s="1"/>
  <c r="W95" i="1" s="1"/>
  <c r="V95" i="1"/>
  <c r="V96" i="1" s="1"/>
  <c r="W96" i="1" l="1"/>
  <c r="W97" i="1"/>
  <c r="W98" i="1" s="1"/>
  <c r="W99" i="1" l="1"/>
  <c r="W102" i="1" s="1"/>
  <c r="W104" i="1" s="1"/>
  <c r="H3" i="1" s="1"/>
</calcChain>
</file>

<file path=xl/sharedStrings.xml><?xml version="1.0" encoding="utf-8"?>
<sst xmlns="http://schemas.openxmlformats.org/spreadsheetml/2006/main" count="209" uniqueCount="138">
  <si>
    <t>Ticker</t>
  </si>
  <si>
    <t>Date</t>
  </si>
  <si>
    <t>DIS</t>
  </si>
  <si>
    <t>Assumptions</t>
  </si>
  <si>
    <t>Income Statement</t>
  </si>
  <si>
    <t>Cash Flow Items</t>
  </si>
  <si>
    <t>DCF</t>
  </si>
  <si>
    <t>Revenues</t>
  </si>
  <si>
    <t>Cost of revenues</t>
  </si>
  <si>
    <t>Marketing</t>
  </si>
  <si>
    <t>Technology and development</t>
  </si>
  <si>
    <t>General and administrative</t>
  </si>
  <si>
    <t>Loss on extinguishment of debt</t>
  </si>
  <si>
    <t>Operating income</t>
  </si>
  <si>
    <t>Other income (expense):</t>
  </si>
  <si>
    <t>Interest expense</t>
  </si>
  <si>
    <t>Interest and other income (expense)</t>
  </si>
  <si>
    <t>Income before income taxes</t>
  </si>
  <si>
    <t>Provision for income taxes</t>
  </si>
  <si>
    <t>Net income</t>
  </si>
  <si>
    <t>Earnings per share:</t>
  </si>
  <si>
    <t>Weighted-average common shares outstanding:</t>
  </si>
  <si>
    <t>Income Statement [Abstract]</t>
  </si>
  <si>
    <t>Basic (in dollars per share)</t>
  </si>
  <si>
    <t>Diluted (in dollars per share)</t>
  </si>
  <si>
    <t>Basic (in shares)</t>
  </si>
  <si>
    <t>Diluted (in shares)</t>
  </si>
  <si>
    <t>Dec. 31, 2016</t>
  </si>
  <si>
    <t>Dec. 31, 2015</t>
  </si>
  <si>
    <t>Dec. 31, 2014</t>
  </si>
  <si>
    <t>Dec. 31, 2012</t>
  </si>
  <si>
    <t>Dec. 31, 2013</t>
  </si>
  <si>
    <t>Dec. 31, 2017</t>
  </si>
  <si>
    <t>Dec. 31, 2018</t>
  </si>
  <si>
    <t>Dec. 31, 2019</t>
  </si>
  <si>
    <t>Dec. 31, 2020</t>
  </si>
  <si>
    <t>Dec. 31, 2021</t>
  </si>
  <si>
    <t> </t>
  </si>
  <si>
    <t xml:space="preserve">Recorded in </t>
  </si>
  <si>
    <t>s</t>
  </si>
  <si>
    <t>Cash flows from operating activities:</t>
  </si>
  <si>
    <t>Change in streaming content liabilities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</si>
  <si>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</si>
  <si>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</si>
  <si>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</si>
  <si>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</si>
  <si>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</si>
  <si>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</si>
  <si>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current assets</t>
  </si>
  <si>
    <t>Accrued expenses</t>
  </si>
  <si>
    <t>Deferred revenue</t>
  </si>
  <si>
    <t>Other non-current assets and liabilities</t>
  </si>
  <si>
    <t>Cash flows from investing activities:</t>
  </si>
  <si>
    <t>Purchases of property and equipment</t>
  </si>
  <si>
    <t>Other assets</t>
  </si>
  <si>
    <t>Purchases of short-term investments</t>
  </si>
  <si>
    <t>Proceeds from sale of short-term investments</t>
  </si>
  <si>
    <t>Proceeds from maturities of short-term investments</t>
  </si>
  <si>
    <t>Cash flows from financing activities:</t>
  </si>
  <si>
    <t>Proceeds from issuance of debt</t>
  </si>
  <si>
    <t>Proceeds from issuance of common stock</t>
  </si>
  <si>
    <t>Net cash provided by financing activities</t>
  </si>
  <si>
    <t>Effect of exchange rate changes on cash and cash equivalents</t>
  </si>
  <si>
    <t>Cash and cash equivalents, beginning of year</t>
  </si>
  <si>
    <t>Cash and cash equivalents, end of year</t>
  </si>
  <si>
    <t>Supplemental disclosure:</t>
  </si>
  <si>
    <t>Income taxes paid</t>
  </si>
  <si>
    <t>Interest paid</t>
  </si>
  <si>
    <t>Adjustments to reconcile net income to net cash provided by operating activities:</t>
  </si>
  <si>
    <t>Additions to streaming content library</t>
  </si>
  <si>
    <t>Amortization of streaming content library</t>
  </si>
  <si>
    <t>Amortization of DVD content library</t>
  </si>
  <si>
    <t>Accounts payable</t>
  </si>
  <si>
    <t>Net cash provided by operating activities</t>
  </si>
  <si>
    <t>Acquisition of DVD content library</t>
  </si>
  <si>
    <t>Net cash used in investing activities</t>
  </si>
  <si>
    <t>Proceeds from public offering of common stock, net of issuance costs</t>
  </si>
  <si>
    <t>Debt issuance costs</t>
  </si>
  <si>
    <t>Redemption of debt</t>
  </si>
  <si>
    <t>Principal payments of lease financing obligations</t>
  </si>
  <si>
    <t>Net increase (decrease) in cash and cash equivalents</t>
  </si>
  <si>
    <t>Increase (decrease) in investing activities included in liabilities</t>
  </si>
  <si>
    <t>Foreign currency remeasurement loss (gain) on long-term debt</t>
  </si>
  <si>
    <t>Acquisitions</t>
  </si>
  <si>
    <t>Repurchases of common stock</t>
  </si>
  <si>
    <t>Taxes paid related to net share settlement of equity awards</t>
  </si>
  <si>
    <t>Revenue</t>
  </si>
  <si>
    <t>% growth</t>
  </si>
  <si>
    <t>EBIT</t>
  </si>
  <si>
    <t>% of sales</t>
  </si>
  <si>
    <t>Taxes</t>
  </si>
  <si>
    <t>% of EBIT</t>
  </si>
  <si>
    <t>x</t>
  </si>
  <si>
    <t>D&amp;A</t>
  </si>
  <si>
    <t>Capital Expenditures</t>
  </si>
  <si>
    <t>Change in Networking Capital</t>
  </si>
  <si>
    <t>% change in sales</t>
  </si>
  <si>
    <t>Amortization of Content Library</t>
  </si>
  <si>
    <t>% of CapEx</t>
  </si>
  <si>
    <t>% of additions to streaming content library</t>
  </si>
  <si>
    <t>Additions to content library</t>
  </si>
  <si>
    <t xml:space="preserve">Taxes </t>
  </si>
  <si>
    <t>EBIAT</t>
  </si>
  <si>
    <t>Total D&amp;A</t>
  </si>
  <si>
    <t>CapEx + Additions to Content Library</t>
  </si>
  <si>
    <t>% sales</t>
  </si>
  <si>
    <t>CapEx + Additions</t>
  </si>
  <si>
    <t>Change in NWC</t>
  </si>
  <si>
    <t>Unlevered Free Cash Flow</t>
  </si>
  <si>
    <t>Optimistic Case</t>
  </si>
  <si>
    <t>Base Case</t>
  </si>
  <si>
    <t>Conservative Case</t>
  </si>
  <si>
    <t>Switches</t>
  </si>
  <si>
    <t>Revenue Growth</t>
  </si>
  <si>
    <t>EBIT Margin</t>
  </si>
  <si>
    <t>CapEx</t>
  </si>
  <si>
    <t>WACC</t>
  </si>
  <si>
    <t>TGR</t>
  </si>
  <si>
    <t>Value Assumptions</t>
  </si>
  <si>
    <t>Revenue 2031</t>
  </si>
  <si>
    <t>Revenue 2023-24</t>
  </si>
  <si>
    <t>EBIT 2031</t>
  </si>
  <si>
    <t>Taxes 2031</t>
  </si>
  <si>
    <t>EBIT 2023-24</t>
  </si>
  <si>
    <t>EBIT 2023 - 24</t>
  </si>
  <si>
    <t>D&amp;A 2031</t>
  </si>
  <si>
    <t>CapEx + Additions 2031</t>
  </si>
  <si>
    <t>Terminal Value</t>
  </si>
  <si>
    <t>Present Value of Terminal Value</t>
  </si>
  <si>
    <t>Enterprise Value</t>
  </si>
  <si>
    <t>(+) Cash</t>
  </si>
  <si>
    <t>(-) Debt</t>
  </si>
  <si>
    <t>Equity Value</t>
  </si>
  <si>
    <t>Number of Shares</t>
  </si>
  <si>
    <t>Implied Price per Share</t>
  </si>
  <si>
    <t>Present Value of Free Cash Flow</t>
  </si>
  <si>
    <t>Implied Share Price</t>
  </si>
  <si>
    <t>Current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</si>
</sst>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* #,##0_);_(* \(#,##0\);_(* &quot;-&quot;??_);_(@_)"/>
    <numFmt numFmtId="167" formatCode="0.0%"/>
    <numFmt numFmtId="168" formatCode="0%;\(0%\)"/>
    <numFmt numFmtId="169" formatCode="0.0%;\(0.0%\)"/>
    <numFmt numFmtId="170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top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 wrapText="1"/>
    </xf>
    <xf numFmtId="37" fontId="2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37" fontId="2" fillId="0" borderId="0" xfId="0" applyNumberFormat="1" applyFont="1" applyAlignment="1">
      <alignment horizontal="right"/>
    </xf>
    <xf numFmtId="166" fontId="0" fillId="0" borderId="0" xfId="1" applyNumberFormat="1" applyFont="1" applyAlignment="1">
      <alignment vertical="center"/>
    </xf>
    <xf numFmtId="166" fontId="1" fillId="0" borderId="0" xfId="1" applyNumberFormat="1" applyFont="1" applyAlignment="1">
      <alignment vertical="center"/>
    </xf>
    <xf numFmtId="166" fontId="3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 wrapText="1"/>
    </xf>
    <xf numFmtId="166" fontId="1" fillId="0" borderId="0" xfId="1" applyNumberFormat="1" applyFont="1" applyAlignment="1"/>
    <xf numFmtId="166" fontId="0" fillId="0" borderId="0" xfId="1" applyNumberFormat="1" applyFont="1" applyAlignment="1"/>
    <xf numFmtId="166" fontId="2" fillId="0" borderId="0" xfId="1" applyNumberFormat="1" applyFont="1" applyAlignment="1"/>
    <xf numFmtId="166" fontId="2" fillId="0" borderId="0" xfId="1" applyNumberFormat="1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6" fillId="0" borderId="0" xfId="0" applyFont="1"/>
    <xf numFmtId="9" fontId="0" fillId="0" borderId="0" xfId="2" applyFont="1"/>
    <xf numFmtId="0" fontId="5" fillId="3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8" fillId="0" borderId="7" xfId="0" applyFont="1" applyBorder="1"/>
    <xf numFmtId="0" fontId="8" fillId="0" borderId="4" xfId="0" applyFont="1" applyBorder="1"/>
    <xf numFmtId="0" fontId="1" fillId="0" borderId="5" xfId="0" applyFont="1" applyBorder="1"/>
    <xf numFmtId="0" fontId="0" fillId="2" borderId="15" xfId="0" applyFill="1" applyBorder="1"/>
    <xf numFmtId="9" fontId="0" fillId="2" borderId="0" xfId="0" applyNumberFormat="1" applyFill="1"/>
    <xf numFmtId="167" fontId="0" fillId="2" borderId="0" xfId="0" applyNumberFormat="1" applyFill="1"/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166" fontId="7" fillId="0" borderId="0" xfId="1" applyNumberFormat="1" applyFont="1" applyAlignment="1">
      <alignment horizontal="right"/>
    </xf>
    <xf numFmtId="166" fontId="0" fillId="0" borderId="1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9" fontId="6" fillId="0" borderId="0" xfId="2" applyFont="1" applyAlignment="1">
      <alignment horizontal="right"/>
    </xf>
    <xf numFmtId="9" fontId="6" fillId="0" borderId="13" xfId="2" applyFont="1" applyBorder="1" applyAlignment="1">
      <alignment horizontal="right"/>
    </xf>
    <xf numFmtId="0" fontId="0" fillId="0" borderId="13" xfId="0" applyBorder="1" applyAlignment="1">
      <alignment horizontal="right"/>
    </xf>
    <xf numFmtId="168" fontId="6" fillId="0" borderId="0" xfId="2" applyNumberFormat="1" applyFont="1" applyAlignment="1">
      <alignment horizontal="right"/>
    </xf>
    <xf numFmtId="168" fontId="6" fillId="0" borderId="13" xfId="2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168" fontId="8" fillId="0" borderId="0" xfId="2" applyNumberFormat="1" applyFont="1" applyBorder="1" applyAlignment="1">
      <alignment horizontal="right"/>
    </xf>
    <xf numFmtId="168" fontId="8" fillId="0" borderId="13" xfId="2" applyNumberFormat="1" applyFont="1" applyBorder="1" applyAlignment="1">
      <alignment horizontal="right"/>
    </xf>
    <xf numFmtId="168" fontId="8" fillId="0" borderId="8" xfId="2" applyNumberFormat="1" applyFont="1" applyBorder="1" applyAlignment="1">
      <alignment horizontal="right"/>
    </xf>
    <xf numFmtId="168" fontId="8" fillId="0" borderId="5" xfId="2" applyNumberFormat="1" applyFont="1" applyBorder="1" applyAlignment="1">
      <alignment horizontal="right"/>
    </xf>
    <xf numFmtId="168" fontId="8" fillId="0" borderId="12" xfId="2" applyNumberFormat="1" applyFont="1" applyBorder="1" applyAlignment="1">
      <alignment horizontal="right"/>
    </xf>
    <xf numFmtId="168" fontId="8" fillId="0" borderId="6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6" xfId="0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8" fontId="6" fillId="0" borderId="16" xfId="2" applyNumberFormat="1" applyFon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0" fontId="0" fillId="0" borderId="0" xfId="0" applyAlignment="1">
      <alignment horizontal="left"/>
    </xf>
    <xf numFmtId="168" fontId="6" fillId="0" borderId="0" xfId="2" applyNumberFormat="1" applyFont="1" applyBorder="1" applyAlignment="1">
      <alignment horizontal="right"/>
    </xf>
    <xf numFmtId="168" fontId="0" fillId="2" borderId="17" xfId="0" applyNumberFormat="1" applyFill="1" applyBorder="1" applyAlignment="1">
      <alignment horizontal="right"/>
    </xf>
    <xf numFmtId="9" fontId="0" fillId="2" borderId="17" xfId="0" applyNumberFormat="1" applyFill="1" applyBorder="1" applyAlignment="1">
      <alignment horizontal="right"/>
    </xf>
    <xf numFmtId="9" fontId="0" fillId="2" borderId="18" xfId="0" applyNumberFormat="1" applyFill="1" applyBorder="1" applyAlignment="1">
      <alignment horizontal="right"/>
    </xf>
    <xf numFmtId="168" fontId="0" fillId="2" borderId="18" xfId="0" applyNumberForma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166" fontId="0" fillId="0" borderId="10" xfId="0" applyNumberFormat="1" applyBorder="1" applyAlignment="1">
      <alignment horizontal="right"/>
    </xf>
    <xf numFmtId="10" fontId="0" fillId="2" borderId="0" xfId="0" applyNumberFormat="1" applyFill="1"/>
    <xf numFmtId="168" fontId="0" fillId="0" borderId="0" xfId="0" applyNumberFormat="1" applyAlignment="1">
      <alignment horizontal="right"/>
    </xf>
    <xf numFmtId="169" fontId="6" fillId="0" borderId="0" xfId="0" applyNumberFormat="1" applyFont="1" applyAlignment="1">
      <alignment horizontal="right"/>
    </xf>
    <xf numFmtId="167" fontId="0" fillId="2" borderId="0" xfId="2" applyNumberFormat="1" applyFont="1" applyFill="1"/>
    <xf numFmtId="168" fontId="6" fillId="0" borderId="10" xfId="2" applyNumberFormat="1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70" fontId="0" fillId="0" borderId="0" xfId="0" applyNumberFormat="1" applyAlignment="1">
      <alignment horizontal="right"/>
    </xf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80E-A377-4459-B6EE-79B25568CC28}">
  <dimension ref="A1:Y104"/>
  <sheetViews>
    <sheetView showGridLines="0" tabSelected="1" topLeftCell="A71" zoomScale="85" zoomScaleNormal="85" workbookViewId="0">
      <selection activeCell="W102" sqref="W102"/>
    </sheetView>
  </sheetViews>
  <sheetFormatPr defaultColWidth="8.85546875" defaultRowHeight="15" outlineLevelRow="1" outlineLevelCol="1" x14ac:dyDescent="0.25"/>
  <cols>
    <col min="2" max="2" width="66.42578125" bestFit="1" customWidth="1"/>
    <col min="3" max="3" width="9.7109375" bestFit="1" customWidth="1"/>
    <col min="4" max="13" width="8.85546875" style="42" outlineLevel="1"/>
    <col min="14" max="22" width="8.85546875" style="42"/>
    <col min="23" max="23" width="12.5703125" style="42" bestFit="1" customWidth="1"/>
    <col min="24" max="16384" width="8.85546875" style="42"/>
  </cols>
  <sheetData>
    <row r="1" spans="1:19" customFormat="1" x14ac:dyDescent="0.25">
      <c r="A1" s="1"/>
      <c r="J1" s="42"/>
      <c r="K1" s="42"/>
      <c r="L1" s="42"/>
      <c r="M1" s="42"/>
    </row>
    <row r="2" spans="1:19" customFormat="1" x14ac:dyDescent="0.25">
      <c r="J2" t="s">
        <v>111</v>
      </c>
      <c r="M2">
        <v>142.15</v>
      </c>
      <c r="N2" s="32">
        <f>M2/$H$4-1</f>
        <v>-0.28119943365695788</v>
      </c>
    </row>
    <row r="3" spans="1:19" customFormat="1" x14ac:dyDescent="0.25">
      <c r="B3" s="2" t="s">
        <v>0</v>
      </c>
      <c r="C3" s="3" t="s">
        <v>2</v>
      </c>
      <c r="E3" t="s">
        <v>136</v>
      </c>
      <c r="H3" s="86">
        <f ca="1">W104</f>
        <v>303.03007023988357</v>
      </c>
      <c r="J3" t="s">
        <v>110</v>
      </c>
      <c r="M3">
        <v>188.12</v>
      </c>
      <c r="N3" s="32">
        <f t="shared" ref="N3:N4" si="0">M3/$H$4-1</f>
        <v>-4.8745954692556603E-2</v>
      </c>
    </row>
    <row r="4" spans="1:19" customFormat="1" x14ac:dyDescent="0.25">
      <c r="B4" s="2" t="s">
        <v>1</v>
      </c>
      <c r="C4" s="4">
        <f ca="1">TODAY()</f>
        <v>45335</v>
      </c>
      <c r="E4" t="s">
        <v>137</v>
      </c>
      <c r="H4" s="86">
        <v>197.76</v>
      </c>
      <c r="J4" t="s">
        <v>109</v>
      </c>
      <c r="M4">
        <v>286.70999999999998</v>
      </c>
      <c r="N4" s="32">
        <f t="shared" si="0"/>
        <v>0.44978762135922334</v>
      </c>
    </row>
    <row r="5" spans="1:19" customFormat="1" x14ac:dyDescent="0.25">
      <c r="J5" s="42"/>
      <c r="K5" s="42"/>
      <c r="L5" s="42"/>
      <c r="M5" s="42"/>
    </row>
    <row r="6" spans="1:19" customFormat="1" x14ac:dyDescent="0.25">
      <c r="B6" s="33" t="s">
        <v>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customFormat="1" x14ac:dyDescent="0.25">
      <c r="B7" s="2" t="s">
        <v>112</v>
      </c>
      <c r="E7" s="2" t="s">
        <v>111</v>
      </c>
      <c r="G7" s="42"/>
      <c r="I7" s="42"/>
      <c r="J7" s="2" t="s">
        <v>110</v>
      </c>
      <c r="L7" s="42"/>
      <c r="N7" s="42"/>
      <c r="O7" t="s">
        <v>109</v>
      </c>
      <c r="P7" s="42"/>
    </row>
    <row r="8" spans="1:19" customFormat="1" x14ac:dyDescent="0.25">
      <c r="B8" t="s">
        <v>113</v>
      </c>
      <c r="C8" s="39">
        <v>2</v>
      </c>
      <c r="E8" t="s">
        <v>120</v>
      </c>
      <c r="F8" s="42"/>
      <c r="G8" s="42"/>
      <c r="H8" s="41">
        <v>0.8</v>
      </c>
      <c r="I8" s="42"/>
      <c r="L8" s="42"/>
      <c r="N8" s="42"/>
      <c r="O8" t="s">
        <v>120</v>
      </c>
      <c r="P8" s="42"/>
      <c r="Q8" s="41">
        <v>1.2</v>
      </c>
    </row>
    <row r="9" spans="1:19" customFormat="1" x14ac:dyDescent="0.25">
      <c r="B9" t="s">
        <v>114</v>
      </c>
      <c r="C9" s="39">
        <v>2</v>
      </c>
      <c r="E9" t="s">
        <v>119</v>
      </c>
      <c r="F9" s="42"/>
      <c r="G9" s="42"/>
      <c r="H9" s="40">
        <v>0.01</v>
      </c>
      <c r="I9" s="42"/>
      <c r="J9" t="s">
        <v>119</v>
      </c>
      <c r="K9" s="42"/>
      <c r="L9" s="42"/>
      <c r="M9" s="41">
        <v>0.03</v>
      </c>
      <c r="N9" s="42"/>
      <c r="O9" t="s">
        <v>119</v>
      </c>
      <c r="P9" s="42"/>
      <c r="Q9" s="40">
        <v>0.05</v>
      </c>
    </row>
    <row r="10" spans="1:19" customFormat="1" x14ac:dyDescent="0.25">
      <c r="B10" t="s">
        <v>90</v>
      </c>
      <c r="C10" s="39">
        <v>2</v>
      </c>
      <c r="E10" s="70" t="s">
        <v>123</v>
      </c>
      <c r="F10" s="42"/>
      <c r="G10" s="42"/>
      <c r="H10" s="41">
        <v>0.9</v>
      </c>
      <c r="I10" s="42"/>
      <c r="J10" t="s">
        <v>121</v>
      </c>
      <c r="K10" s="42"/>
      <c r="L10" s="42"/>
      <c r="M10" s="41">
        <v>0.3</v>
      </c>
      <c r="N10" s="42"/>
      <c r="O10" s="70" t="s">
        <v>124</v>
      </c>
      <c r="P10" s="42"/>
      <c r="Q10" s="41">
        <v>1.1000000000000001</v>
      </c>
    </row>
    <row r="11" spans="1:19" customFormat="1" x14ac:dyDescent="0.25">
      <c r="B11" t="s">
        <v>93</v>
      </c>
      <c r="C11" s="39">
        <v>2</v>
      </c>
      <c r="E11" t="s">
        <v>121</v>
      </c>
      <c r="F11" s="42"/>
      <c r="G11" s="42"/>
      <c r="H11" s="41">
        <v>0.28000000000000003</v>
      </c>
      <c r="I11" s="42"/>
      <c r="J11" t="s">
        <v>122</v>
      </c>
      <c r="K11" s="42"/>
      <c r="L11" s="42"/>
      <c r="M11" s="40">
        <v>0.18</v>
      </c>
      <c r="N11" s="42"/>
      <c r="O11" t="s">
        <v>121</v>
      </c>
      <c r="P11" s="42"/>
      <c r="Q11" s="41">
        <v>0.32</v>
      </c>
    </row>
    <row r="12" spans="1:19" customFormat="1" x14ac:dyDescent="0.25">
      <c r="B12" t="s">
        <v>115</v>
      </c>
      <c r="C12" s="39">
        <v>2</v>
      </c>
      <c r="E12" t="s">
        <v>122</v>
      </c>
      <c r="F12" s="42"/>
      <c r="G12" s="42"/>
      <c r="H12" s="40">
        <v>0.25</v>
      </c>
      <c r="I12" s="42"/>
      <c r="J12" t="s">
        <v>125</v>
      </c>
      <c r="K12" s="42"/>
      <c r="L12" s="42"/>
      <c r="M12" s="40">
        <v>0.45</v>
      </c>
      <c r="N12" s="42"/>
      <c r="O12" t="s">
        <v>90</v>
      </c>
      <c r="P12" s="42"/>
      <c r="Q12" s="40">
        <v>0.21</v>
      </c>
    </row>
    <row r="13" spans="1:19" customFormat="1" x14ac:dyDescent="0.25">
      <c r="B13" t="s">
        <v>116</v>
      </c>
      <c r="C13" s="39">
        <v>2</v>
      </c>
      <c r="E13" t="s">
        <v>125</v>
      </c>
      <c r="F13" s="42"/>
      <c r="G13" s="42"/>
      <c r="H13" s="40">
        <v>0.55000000000000004</v>
      </c>
      <c r="I13" s="42"/>
      <c r="J13" t="s">
        <v>126</v>
      </c>
      <c r="K13" s="42"/>
      <c r="L13" s="42"/>
      <c r="M13" s="40">
        <v>0.48</v>
      </c>
      <c r="N13" s="42"/>
      <c r="O13" t="s">
        <v>125</v>
      </c>
      <c r="P13" s="42"/>
      <c r="Q13" s="79">
        <v>0.42</v>
      </c>
    </row>
    <row r="14" spans="1:19" customFormat="1" x14ac:dyDescent="0.25">
      <c r="B14" t="s">
        <v>117</v>
      </c>
      <c r="C14" s="39">
        <v>2</v>
      </c>
      <c r="E14" t="s">
        <v>126</v>
      </c>
      <c r="F14" s="42"/>
      <c r="G14" s="42"/>
      <c r="H14" s="40">
        <v>0.5</v>
      </c>
      <c r="I14" s="42"/>
      <c r="J14" s="42"/>
      <c r="K14" s="42"/>
      <c r="L14" s="42"/>
      <c r="M14" s="42"/>
      <c r="N14" s="42"/>
      <c r="O14" t="s">
        <v>126</v>
      </c>
      <c r="P14" s="42"/>
      <c r="Q14" s="40">
        <v>0.46</v>
      </c>
    </row>
    <row r="15" spans="1:19" customFormat="1" x14ac:dyDescent="0.25"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9" customFormat="1" x14ac:dyDescent="0.25">
      <c r="B16" s="2" t="s">
        <v>118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9" customFormat="1" x14ac:dyDescent="0.25">
      <c r="B17" t="s">
        <v>116</v>
      </c>
      <c r="C17" s="41">
        <f>CHOOSE(C13,H17,M17,Q17)</f>
        <v>0.105</v>
      </c>
      <c r="E17" t="s">
        <v>116</v>
      </c>
      <c r="F17" s="42"/>
      <c r="G17" s="42"/>
      <c r="H17" s="41">
        <v>0.115</v>
      </c>
      <c r="J17" t="s">
        <v>116</v>
      </c>
      <c r="K17" s="42"/>
      <c r="L17" s="42"/>
      <c r="M17" s="41">
        <v>0.105</v>
      </c>
      <c r="O17" t="s">
        <v>116</v>
      </c>
      <c r="P17" s="42"/>
      <c r="Q17" s="41">
        <v>9.5000000000000001E-2</v>
      </c>
    </row>
    <row r="18" spans="1:19" customFormat="1" x14ac:dyDescent="0.25">
      <c r="B18" t="s">
        <v>117</v>
      </c>
      <c r="C18" s="82">
        <f>CHOOSE(C14,H18,M18,Q18)</f>
        <v>2.5000000000000001E-2</v>
      </c>
      <c r="E18" t="s">
        <v>117</v>
      </c>
      <c r="F18" s="42"/>
      <c r="G18" s="42"/>
      <c r="H18" s="40">
        <v>0.02</v>
      </c>
      <c r="J18" t="s">
        <v>117</v>
      </c>
      <c r="K18" s="42"/>
      <c r="L18" s="42"/>
      <c r="M18" s="41">
        <v>2.5000000000000001E-2</v>
      </c>
      <c r="O18" t="s">
        <v>117</v>
      </c>
      <c r="P18" s="42"/>
      <c r="Q18" s="40">
        <v>0.03</v>
      </c>
    </row>
    <row r="19" spans="1:19" customFormat="1" x14ac:dyDescent="0.25">
      <c r="A19" t="s">
        <v>92</v>
      </c>
    </row>
    <row r="20" spans="1:19" outlineLevel="1" x14ac:dyDescent="0.25">
      <c r="B20" s="33" t="s">
        <v>4</v>
      </c>
      <c r="C20" s="33"/>
      <c r="D20" s="43">
        <f>2012</f>
        <v>2012</v>
      </c>
      <c r="E20" s="43">
        <f>D20+1</f>
        <v>2013</v>
      </c>
      <c r="F20" s="43">
        <f>E20+1</f>
        <v>2014</v>
      </c>
      <c r="G20" s="43">
        <f t="shared" ref="G20:S20" si="1">F20+1</f>
        <v>2015</v>
      </c>
      <c r="H20" s="43">
        <f t="shared" si="1"/>
        <v>2016</v>
      </c>
      <c r="I20" s="43">
        <f t="shared" si="1"/>
        <v>2017</v>
      </c>
      <c r="J20" s="43">
        <f t="shared" si="1"/>
        <v>2018</v>
      </c>
      <c r="K20" s="43">
        <f t="shared" si="1"/>
        <v>2019</v>
      </c>
      <c r="L20" s="43">
        <f t="shared" si="1"/>
        <v>2020</v>
      </c>
      <c r="M20" s="43">
        <f t="shared" si="1"/>
        <v>2021</v>
      </c>
      <c r="N20" s="44">
        <f t="shared" si="1"/>
        <v>2022</v>
      </c>
      <c r="O20" s="45">
        <f t="shared" si="1"/>
        <v>2023</v>
      </c>
      <c r="P20" s="45">
        <f t="shared" si="1"/>
        <v>2024</v>
      </c>
      <c r="Q20" s="45">
        <f t="shared" si="1"/>
        <v>2025</v>
      </c>
      <c r="R20" s="45">
        <f t="shared" si="1"/>
        <v>2026</v>
      </c>
      <c r="S20" s="45">
        <f t="shared" si="1"/>
        <v>2027</v>
      </c>
    </row>
    <row r="21" spans="1:19" outlineLevel="1" x14ac:dyDescent="0.25">
      <c r="B21" t="s">
        <v>86</v>
      </c>
      <c r="D21" s="46">
        <f>'Income Statement'!C6/'Income Statement'!$B$3</f>
        <v>3609.2820000000002</v>
      </c>
      <c r="E21" s="46">
        <f>'Income Statement'!D6/'Income Statement'!$B$3</f>
        <v>4374.5619999999999</v>
      </c>
      <c r="F21" s="46">
        <f>'Income Statement'!E6/'Income Statement'!$B$3</f>
        <v>5504.6559999999999</v>
      </c>
      <c r="G21" s="46">
        <f>'Income Statement'!F6/'Income Statement'!$B$3</f>
        <v>6779.5110000000004</v>
      </c>
      <c r="H21" s="46">
        <f>'Income Statement'!G6/'Income Statement'!$B$3</f>
        <v>8830.6689999999999</v>
      </c>
      <c r="I21" s="46">
        <f>'Income Statement'!H6/'Income Statement'!$B$3</f>
        <v>11692.713</v>
      </c>
      <c r="J21" s="46">
        <f>'Income Statement'!I6/'Income Statement'!$B$3</f>
        <v>15794.341</v>
      </c>
      <c r="K21" s="46">
        <f>'Income Statement'!J6/'Income Statement'!$B$3</f>
        <v>20156.447</v>
      </c>
      <c r="L21" s="46">
        <f>'Income Statement'!K6/'Income Statement'!$B$3</f>
        <v>24996.056</v>
      </c>
      <c r="M21" s="46">
        <f>'Income Statement'!L6/'Income Statement'!$B$3</f>
        <v>29697.844000000001</v>
      </c>
      <c r="N21" s="47">
        <v>32250</v>
      </c>
      <c r="O21" s="48">
        <v>34974</v>
      </c>
      <c r="P21" s="48">
        <v>38517</v>
      </c>
      <c r="Q21" s="48">
        <v>42356</v>
      </c>
      <c r="R21" s="48">
        <v>46174</v>
      </c>
      <c r="S21" s="48">
        <v>49314</v>
      </c>
    </row>
    <row r="22" spans="1:19" outlineLevel="1" x14ac:dyDescent="0.25">
      <c r="B22" s="31" t="s">
        <v>87</v>
      </c>
      <c r="E22" s="49">
        <f>E21/D21-1</f>
        <v>0.21203109094828276</v>
      </c>
      <c r="F22" s="49">
        <f>F21/E21-1</f>
        <v>0.25833306283006174</v>
      </c>
      <c r="G22" s="49">
        <f t="shared" ref="G22:S22" si="2">G21/F21-1</f>
        <v>0.23159576184233854</v>
      </c>
      <c r="H22" s="49">
        <f t="shared" si="2"/>
        <v>0.30255249973043763</v>
      </c>
      <c r="I22" s="49">
        <f t="shared" si="2"/>
        <v>0.32410273785598798</v>
      </c>
      <c r="J22" s="49">
        <f t="shared" si="2"/>
        <v>0.35078497180252355</v>
      </c>
      <c r="K22" s="49">
        <f t="shared" si="2"/>
        <v>0.27618157667990073</v>
      </c>
      <c r="L22" s="49">
        <f t="shared" si="2"/>
        <v>0.24010228588401517</v>
      </c>
      <c r="M22" s="49">
        <f t="shared" si="2"/>
        <v>0.18810119484449861</v>
      </c>
      <c r="N22" s="50">
        <f t="shared" si="2"/>
        <v>8.5937416871069816E-2</v>
      </c>
      <c r="O22" s="49">
        <f t="shared" si="2"/>
        <v>8.4465116279069719E-2</v>
      </c>
      <c r="P22" s="49">
        <f t="shared" si="2"/>
        <v>0.1013038256990908</v>
      </c>
      <c r="Q22" s="49">
        <f t="shared" si="2"/>
        <v>9.9670275462782731E-2</v>
      </c>
      <c r="R22" s="49">
        <f t="shared" si="2"/>
        <v>9.0140712059684658E-2</v>
      </c>
      <c r="S22" s="49">
        <f t="shared" si="2"/>
        <v>6.800363841122703E-2</v>
      </c>
    </row>
    <row r="23" spans="1:19" outlineLevel="1" x14ac:dyDescent="0.25">
      <c r="N23" s="51"/>
    </row>
    <row r="24" spans="1:19" outlineLevel="1" x14ac:dyDescent="0.25">
      <c r="B24" t="s">
        <v>88</v>
      </c>
      <c r="D24" s="46">
        <f>'Income Statement'!C11/'Income Statement'!$B$3</f>
        <v>49.991999999999997</v>
      </c>
      <c r="E24" s="46">
        <f>'Income Statement'!D11/'Income Statement'!$B$3</f>
        <v>228.34700000000001</v>
      </c>
      <c r="F24" s="46">
        <f>'Income Statement'!E11/'Income Statement'!$B$3</f>
        <v>402.64800000000002</v>
      </c>
      <c r="G24" s="46">
        <f>'Income Statement'!F11/'Income Statement'!$B$3</f>
        <v>305.82600000000002</v>
      </c>
      <c r="H24" s="46">
        <f>'Income Statement'!G11/'Income Statement'!$B$3</f>
        <v>379.79300000000001</v>
      </c>
      <c r="I24" s="46">
        <f>'Income Statement'!H11/'Income Statement'!$B$3</f>
        <v>838.67899999999997</v>
      </c>
      <c r="J24" s="46">
        <f>'Income Statement'!I11/'Income Statement'!$B$3</f>
        <v>1605.2260000000001</v>
      </c>
      <c r="K24" s="46">
        <f>'Income Statement'!J11/'Income Statement'!$B$3</f>
        <v>2604.2539999999999</v>
      </c>
      <c r="L24" s="46">
        <f>'Income Statement'!K11/'Income Statement'!$B$3</f>
        <v>4585.2889999999998</v>
      </c>
      <c r="M24" s="46">
        <f>'Income Statement'!L11/'Income Statement'!$B$3</f>
        <v>6194.509</v>
      </c>
      <c r="N24" s="51">
        <v>6297</v>
      </c>
      <c r="O24" s="42">
        <v>6946</v>
      </c>
      <c r="P24" s="42">
        <v>8179</v>
      </c>
      <c r="Q24" s="42">
        <v>9851</v>
      </c>
      <c r="R24" s="42">
        <v>11262</v>
      </c>
      <c r="S24" s="42">
        <v>12854</v>
      </c>
    </row>
    <row r="25" spans="1:19" outlineLevel="1" x14ac:dyDescent="0.25">
      <c r="B25" t="s">
        <v>89</v>
      </c>
      <c r="D25" s="52">
        <f>D24/D21</f>
        <v>1.385095428952351E-2</v>
      </c>
      <c r="E25" s="52">
        <f t="shared" ref="E25:M25" si="3">E24/E21</f>
        <v>5.2198825848164918E-2</v>
      </c>
      <c r="F25" s="52">
        <f t="shared" si="3"/>
        <v>7.3146805177289928E-2</v>
      </c>
      <c r="G25" s="52">
        <f t="shared" si="3"/>
        <v>4.5110333178897413E-2</v>
      </c>
      <c r="H25" s="52">
        <f t="shared" si="3"/>
        <v>4.3008406271370835E-2</v>
      </c>
      <c r="I25" s="52">
        <f t="shared" si="3"/>
        <v>7.1726638633822615E-2</v>
      </c>
      <c r="J25" s="52">
        <f t="shared" si="3"/>
        <v>0.10163298361102879</v>
      </c>
      <c r="K25" s="52">
        <f t="shared" si="3"/>
        <v>0.12920203645017397</v>
      </c>
      <c r="L25" s="52">
        <f t="shared" si="3"/>
        <v>0.18344049957321265</v>
      </c>
      <c r="M25" s="52">
        <f t="shared" si="3"/>
        <v>0.20858446828665406</v>
      </c>
      <c r="N25" s="53">
        <f t="shared" ref="N25" si="4">N24/N21</f>
        <v>0.19525581395348837</v>
      </c>
      <c r="O25" s="52">
        <f t="shared" ref="O25" si="5">O24/O21</f>
        <v>0.19860467776062218</v>
      </c>
      <c r="P25" s="52">
        <f t="shared" ref="P25" si="6">P24/P21</f>
        <v>0.21234779448035931</v>
      </c>
      <c r="Q25" s="52">
        <f t="shared" ref="Q25" si="7">Q24/Q21</f>
        <v>0.23257625838133913</v>
      </c>
      <c r="R25" s="52">
        <f t="shared" ref="R25" si="8">R24/R21</f>
        <v>0.24390349547364318</v>
      </c>
      <c r="S25" s="52">
        <f t="shared" ref="S25" si="9">S24/S21</f>
        <v>0.26065620310662285</v>
      </c>
    </row>
    <row r="26" spans="1:19" outlineLevel="1" x14ac:dyDescent="0.25">
      <c r="N26" s="51"/>
    </row>
    <row r="27" spans="1:19" outlineLevel="1" x14ac:dyDescent="0.25">
      <c r="B27" t="s">
        <v>90</v>
      </c>
      <c r="D27" s="46">
        <f>'Income Statement'!C18/'Income Statement'!$B$3</f>
        <v>13.327999999999999</v>
      </c>
      <c r="E27" s="46">
        <f>'Income Statement'!D18/'Income Statement'!$B$3</f>
        <v>58.670999999999999</v>
      </c>
      <c r="F27" s="46">
        <f>'Income Statement'!E18/'Income Statement'!$B$3</f>
        <v>82.57</v>
      </c>
      <c r="G27" s="46">
        <f>'Income Statement'!F18/'Income Statement'!$B$3</f>
        <v>19.244</v>
      </c>
      <c r="H27" s="46">
        <f>'Income Statement'!G18/'Income Statement'!$B$3</f>
        <v>73.828999999999994</v>
      </c>
      <c r="I27" s="46">
        <f>'Income Statement'!H18/'Income Statement'!$B$3</f>
        <v>-73.608000000000004</v>
      </c>
      <c r="J27" s="46">
        <f>'Income Statement'!I18/'Income Statement'!$B$3</f>
        <v>15.215999999999999</v>
      </c>
      <c r="K27" s="46">
        <f>'Income Statement'!J18/'Income Statement'!$B$3</f>
        <v>195.315</v>
      </c>
      <c r="L27" s="46">
        <f>'Income Statement'!K18/'Income Statement'!$B$3</f>
        <v>437.95400000000001</v>
      </c>
      <c r="M27" s="46">
        <f>'Income Statement'!L18/'Income Statement'!$B$3</f>
        <v>723.875</v>
      </c>
      <c r="N27" s="51">
        <v>978</v>
      </c>
      <c r="O27" s="42">
        <v>1070</v>
      </c>
      <c r="P27" s="42">
        <v>1336</v>
      </c>
      <c r="Q27" s="42">
        <v>1715</v>
      </c>
      <c r="R27" s="42">
        <v>2049</v>
      </c>
      <c r="S27" s="42">
        <v>2345</v>
      </c>
    </row>
    <row r="28" spans="1:19" outlineLevel="1" x14ac:dyDescent="0.25">
      <c r="B28" t="s">
        <v>91</v>
      </c>
      <c r="D28" s="52">
        <f>D27/D24</f>
        <v>0.26660265642502801</v>
      </c>
      <c r="E28" s="52">
        <f t="shared" ref="E28:M28" si="10">E27/E24</f>
        <v>0.25693790590636179</v>
      </c>
      <c r="F28" s="52">
        <f t="shared" si="10"/>
        <v>0.20506745345810731</v>
      </c>
      <c r="G28" s="52">
        <f t="shared" si="10"/>
        <v>6.2924669583357851E-2</v>
      </c>
      <c r="H28" s="52">
        <f t="shared" si="10"/>
        <v>0.19439273498984971</v>
      </c>
      <c r="I28" s="52">
        <f t="shared" si="10"/>
        <v>-8.7766594847373078E-2</v>
      </c>
      <c r="J28" s="52">
        <f t="shared" si="10"/>
        <v>9.4790390885769338E-3</v>
      </c>
      <c r="K28" s="52">
        <f t="shared" si="10"/>
        <v>7.4998444852153442E-2</v>
      </c>
      <c r="L28" s="52">
        <f t="shared" si="10"/>
        <v>9.5512845537107913E-2</v>
      </c>
      <c r="M28" s="52">
        <f t="shared" si="10"/>
        <v>0.11685752656102365</v>
      </c>
      <c r="N28" s="53">
        <f t="shared" ref="N28" si="11">N27/N24</f>
        <v>0.15531205335874226</v>
      </c>
      <c r="O28" s="52">
        <f t="shared" ref="O28" si="12">O27/O24</f>
        <v>0.1540454938093867</v>
      </c>
      <c r="P28" s="52">
        <f t="shared" ref="P28" si="13">P27/P24</f>
        <v>0.16334515221909768</v>
      </c>
      <c r="Q28" s="52">
        <f t="shared" ref="Q28" si="14">Q27/Q24</f>
        <v>0.17409400060907523</v>
      </c>
      <c r="R28" s="52">
        <f t="shared" ref="R28" si="15">R27/R24</f>
        <v>0.18193926478423014</v>
      </c>
      <c r="S28" s="52">
        <f t="shared" ref="S28" si="16">S27/S24</f>
        <v>0.18243348374046989</v>
      </c>
    </row>
    <row r="29" spans="1:19" outlineLevel="1" x14ac:dyDescent="0.25">
      <c r="N29" s="51"/>
    </row>
    <row r="30" spans="1:19" outlineLevel="1" x14ac:dyDescent="0.25">
      <c r="B30" s="33" t="s">
        <v>5</v>
      </c>
      <c r="C30" s="33"/>
      <c r="D30" s="43">
        <f>2012</f>
        <v>2012</v>
      </c>
      <c r="E30" s="43">
        <f>D30+1</f>
        <v>2013</v>
      </c>
      <c r="F30" s="43">
        <f>E30+1</f>
        <v>2014</v>
      </c>
      <c r="G30" s="43">
        <f t="shared" ref="G30:S30" si="17">F30+1</f>
        <v>2015</v>
      </c>
      <c r="H30" s="43">
        <f t="shared" si="17"/>
        <v>2016</v>
      </c>
      <c r="I30" s="43">
        <f t="shared" si="17"/>
        <v>2017</v>
      </c>
      <c r="J30" s="43">
        <f t="shared" si="17"/>
        <v>2018</v>
      </c>
      <c r="K30" s="43">
        <f t="shared" si="17"/>
        <v>2019</v>
      </c>
      <c r="L30" s="43">
        <f t="shared" si="17"/>
        <v>2020</v>
      </c>
      <c r="M30" s="43">
        <f t="shared" si="17"/>
        <v>2021</v>
      </c>
      <c r="N30" s="44">
        <f t="shared" si="17"/>
        <v>2022</v>
      </c>
      <c r="O30" s="45">
        <f t="shared" si="17"/>
        <v>2023</v>
      </c>
      <c r="P30" s="45">
        <f t="shared" si="17"/>
        <v>2024</v>
      </c>
      <c r="Q30" s="45">
        <f t="shared" si="17"/>
        <v>2025</v>
      </c>
      <c r="R30" s="45">
        <f t="shared" si="17"/>
        <v>2026</v>
      </c>
      <c r="S30" s="45">
        <f t="shared" si="17"/>
        <v>2027</v>
      </c>
    </row>
    <row r="31" spans="1:19" outlineLevel="1" x14ac:dyDescent="0.25">
      <c r="B31" s="27" t="s">
        <v>42</v>
      </c>
      <c r="D31" s="54">
        <f>'Cash Flow Statement'!B13/'Cash Flow Statement'!$A$2</f>
        <v>45.469000000000001</v>
      </c>
      <c r="E31" s="54">
        <f>'Cash Flow Statement'!C13/'Cash Flow Statement'!$A$2</f>
        <v>48.374000000000002</v>
      </c>
      <c r="F31" s="54">
        <f>'Cash Flow Statement'!D13/'Cash Flow Statement'!$A$2</f>
        <v>54.027999999999999</v>
      </c>
      <c r="G31" s="54">
        <f>'Cash Flow Statement'!E13/'Cash Flow Statement'!$A$2</f>
        <v>62.283000000000001</v>
      </c>
      <c r="H31" s="54">
        <f>'Cash Flow Statement'!F13/'Cash Flow Statement'!$A$2</f>
        <v>57.527999999999999</v>
      </c>
      <c r="I31" s="54">
        <f>'Cash Flow Statement'!G13/'Cash Flow Statement'!$A$2</f>
        <v>71.911000000000001</v>
      </c>
      <c r="J31" s="54">
        <f>'Cash Flow Statement'!H13/'Cash Flow Statement'!$A$2</f>
        <v>83.156999999999996</v>
      </c>
      <c r="K31" s="54">
        <f>'Cash Flow Statement'!I13/'Cash Flow Statement'!$A$2</f>
        <v>103.57899999999999</v>
      </c>
      <c r="L31" s="54">
        <f>'Cash Flow Statement'!J13/'Cash Flow Statement'!$A$2</f>
        <v>115.71</v>
      </c>
      <c r="M31" s="54">
        <f>'Cash Flow Statement'!K13/'Cash Flow Statement'!$A$2</f>
        <v>208.41200000000001</v>
      </c>
      <c r="N31" s="51">
        <v>334</v>
      </c>
      <c r="O31" s="42">
        <v>366</v>
      </c>
      <c r="P31" s="42">
        <v>408</v>
      </c>
      <c r="Q31" s="42">
        <v>385</v>
      </c>
      <c r="R31" s="42">
        <v>436</v>
      </c>
      <c r="S31" s="42">
        <v>498</v>
      </c>
    </row>
    <row r="32" spans="1:19" outlineLevel="1" x14ac:dyDescent="0.25">
      <c r="B32" s="31" t="s">
        <v>89</v>
      </c>
      <c r="D32" s="52">
        <f>D31/D$21</f>
        <v>1.2597796459240369E-2</v>
      </c>
      <c r="E32" s="52">
        <f>E31/E$21</f>
        <v>1.1058021351623317E-2</v>
      </c>
      <c r="F32" s="52">
        <f t="shared" ref="F32:S32" si="18">F31/F$21</f>
        <v>9.8149639141846459E-3</v>
      </c>
      <c r="G32" s="52">
        <f t="shared" si="18"/>
        <v>9.1869457841428376E-3</v>
      </c>
      <c r="H32" s="52">
        <f t="shared" si="18"/>
        <v>6.5145687150090217E-3</v>
      </c>
      <c r="I32" s="52">
        <f t="shared" si="18"/>
        <v>6.1500697058073693E-3</v>
      </c>
      <c r="J32" s="52">
        <f t="shared" si="18"/>
        <v>5.264986997558176E-3</v>
      </c>
      <c r="K32" s="52">
        <f t="shared" si="18"/>
        <v>5.1387528764370027E-3</v>
      </c>
      <c r="L32" s="52">
        <f t="shared" si="18"/>
        <v>4.6291302915948017E-3</v>
      </c>
      <c r="M32" s="52">
        <f t="shared" si="18"/>
        <v>7.0177484937963847E-3</v>
      </c>
      <c r="N32" s="53">
        <f t="shared" si="18"/>
        <v>1.0356589147286821E-2</v>
      </c>
      <c r="O32" s="52">
        <f t="shared" si="18"/>
        <v>1.0464916795333677E-2</v>
      </c>
      <c r="P32" s="52">
        <f t="shared" si="18"/>
        <v>1.059272529013163E-2</v>
      </c>
      <c r="Q32" s="52">
        <f t="shared" si="18"/>
        <v>9.0896213051279637E-3</v>
      </c>
      <c r="R32" s="52">
        <f t="shared" si="18"/>
        <v>9.4425434227054187E-3</v>
      </c>
      <c r="S32" s="52">
        <f t="shared" si="18"/>
        <v>1.0098552135296264E-2</v>
      </c>
    </row>
    <row r="33" spans="2:21" outlineLevel="1" x14ac:dyDescent="0.25">
      <c r="B33" s="31" t="s">
        <v>98</v>
      </c>
      <c r="D33" s="52">
        <f t="shared" ref="D33:S33" si="19">D31/D43</f>
        <v>1.1288792889418542</v>
      </c>
      <c r="E33" s="52">
        <f t="shared" si="19"/>
        <v>0.89344882995031683</v>
      </c>
      <c r="F33" s="52">
        <f t="shared" si="19"/>
        <v>0.77486160112440117</v>
      </c>
      <c r="G33" s="52">
        <f t="shared" si="19"/>
        <v>0.68256838506049444</v>
      </c>
      <c r="H33" s="52">
        <f t="shared" si="19"/>
        <v>0.53438362145040075</v>
      </c>
      <c r="I33" s="52">
        <f t="shared" si="19"/>
        <v>0.41494616334491236</v>
      </c>
      <c r="J33" s="52">
        <f t="shared" si="19"/>
        <v>0.47806215722120654</v>
      </c>
      <c r="K33" s="52">
        <f t="shared" si="19"/>
        <v>0.40934653308830793</v>
      </c>
      <c r="L33" s="52">
        <f t="shared" si="19"/>
        <v>0.23238532865523384</v>
      </c>
      <c r="M33" s="52">
        <f t="shared" si="19"/>
        <v>0.39728928581640727</v>
      </c>
      <c r="N33" s="53">
        <f t="shared" si="19"/>
        <v>0.65877712031558189</v>
      </c>
      <c r="O33" s="52">
        <f t="shared" si="19"/>
        <v>0.67903525046382185</v>
      </c>
      <c r="P33" s="52">
        <f t="shared" si="19"/>
        <v>0.70833333333333337</v>
      </c>
      <c r="Q33" s="52">
        <f t="shared" si="19"/>
        <v>0.58689024390243905</v>
      </c>
      <c r="R33" s="52">
        <f t="shared" si="19"/>
        <v>0.72425249169435213</v>
      </c>
      <c r="S33" s="52">
        <f t="shared" si="19"/>
        <v>0.91042047531992687</v>
      </c>
    </row>
    <row r="34" spans="2:21" outlineLevel="1" x14ac:dyDescent="0.25">
      <c r="N34" s="51"/>
    </row>
    <row r="35" spans="2:21" outlineLevel="1" x14ac:dyDescent="0.25">
      <c r="B35" s="27" t="s">
        <v>97</v>
      </c>
      <c r="D35" s="48">
        <f>('Cash Flow Statement'!B11+'Cash Flow Statement'!B12)/'Cash Flow Statement'!$A$2</f>
        <v>1656.614</v>
      </c>
      <c r="E35" s="48">
        <f>('Cash Flow Statement'!C11+'Cash Flow Statement'!C12)/'Cash Flow Statement'!$A$2</f>
        <v>2193.306</v>
      </c>
      <c r="F35" s="48">
        <f>('Cash Flow Statement'!D11+'Cash Flow Statement'!D12)/'Cash Flow Statement'!$A$2</f>
        <v>2727.77</v>
      </c>
      <c r="G35" s="48">
        <f>('Cash Flow Statement'!E11+'Cash Flow Statement'!E12)/'Cash Flow Statement'!$A$2</f>
        <v>3484.7620000000002</v>
      </c>
      <c r="H35" s="48">
        <f>('Cash Flow Statement'!F11+'Cash Flow Statement'!F12)/'Cash Flow Statement'!$A$2</f>
        <v>4867.45</v>
      </c>
      <c r="I35" s="48">
        <f>('Cash Flow Statement'!G11+'Cash Flow Statement'!G12)/'Cash Flow Statement'!$A$2</f>
        <v>6258.4740000000002</v>
      </c>
      <c r="J35" s="48">
        <f>('Cash Flow Statement'!H11+'Cash Flow Statement'!H12)/'Cash Flow Statement'!$A$2</f>
        <v>7573.3</v>
      </c>
      <c r="K35" s="48">
        <f>('Cash Flow Statement'!I11+'Cash Flow Statement'!I12)/'Cash Flow Statement'!$A$2</f>
        <v>9216.2469999999994</v>
      </c>
      <c r="L35" s="48">
        <f>('Cash Flow Statement'!J11+'Cash Flow Statement'!J12)/'Cash Flow Statement'!$A$2</f>
        <v>10806.912</v>
      </c>
      <c r="M35" s="48">
        <f>('Cash Flow Statement'!K11+'Cash Flow Statement'!K12)/'Cash Flow Statement'!$A$2</f>
        <v>12230.367</v>
      </c>
      <c r="N35" s="47">
        <f>13968</f>
        <v>13968</v>
      </c>
      <c r="O35" s="48">
        <v>15244</v>
      </c>
      <c r="P35" s="48">
        <v>16570</v>
      </c>
      <c r="Q35" s="48">
        <v>18505</v>
      </c>
      <c r="R35" s="48">
        <v>20405</v>
      </c>
      <c r="S35" s="48">
        <v>20984</v>
      </c>
    </row>
    <row r="36" spans="2:21" outlineLevel="1" x14ac:dyDescent="0.25">
      <c r="B36" s="31" t="s">
        <v>89</v>
      </c>
      <c r="D36" s="52">
        <f>D35/D$21</f>
        <v>0.45898713372909072</v>
      </c>
      <c r="E36" s="52">
        <f>E35/E$21</f>
        <v>0.50137728074262067</v>
      </c>
      <c r="F36" s="52">
        <f t="shared" ref="F36:S36" si="20">F35/F$21</f>
        <v>0.49553868579616966</v>
      </c>
      <c r="G36" s="52">
        <f t="shared" si="20"/>
        <v>0.51401376883966998</v>
      </c>
      <c r="H36" s="52">
        <f t="shared" si="20"/>
        <v>0.55119832936779756</v>
      </c>
      <c r="I36" s="52">
        <f t="shared" si="20"/>
        <v>0.53524566967477949</v>
      </c>
      <c r="J36" s="52">
        <f t="shared" si="20"/>
        <v>0.47949452275343429</v>
      </c>
      <c r="K36" s="52">
        <f t="shared" si="20"/>
        <v>0.45723569238169798</v>
      </c>
      <c r="L36" s="52">
        <f t="shared" si="20"/>
        <v>0.43234468669777343</v>
      </c>
      <c r="M36" s="52">
        <f t="shared" si="20"/>
        <v>0.4118267642593853</v>
      </c>
      <c r="N36" s="53">
        <f t="shared" si="20"/>
        <v>0.43311627906976746</v>
      </c>
      <c r="O36" s="52">
        <f t="shared" si="20"/>
        <v>0.43586664379253159</v>
      </c>
      <c r="P36" s="52">
        <f t="shared" si="20"/>
        <v>0.43019965210166938</v>
      </c>
      <c r="Q36" s="52">
        <f t="shared" si="20"/>
        <v>0.43689205779582585</v>
      </c>
      <c r="R36" s="52">
        <f t="shared" si="20"/>
        <v>0.44191536362455064</v>
      </c>
      <c r="S36" s="52">
        <f t="shared" si="20"/>
        <v>0.42551810844790527</v>
      </c>
    </row>
    <row r="37" spans="2:21" outlineLevel="1" x14ac:dyDescent="0.25">
      <c r="B37" s="31" t="s">
        <v>99</v>
      </c>
      <c r="D37" s="52">
        <f t="shared" ref="D37:S37" si="21">D35/D46</f>
        <v>0.64616049498767647</v>
      </c>
      <c r="E37" s="52">
        <f t="shared" si="21"/>
        <v>0.70395627285813556</v>
      </c>
      <c r="F37" s="52">
        <f t="shared" si="21"/>
        <v>0.70883406972885599</v>
      </c>
      <c r="G37" s="52">
        <f t="shared" si="21"/>
        <v>0.59572552700094539</v>
      </c>
      <c r="H37" s="52">
        <f t="shared" si="21"/>
        <v>0.55752484146602532</v>
      </c>
      <c r="I37" s="52">
        <f t="shared" si="21"/>
        <v>0.63476695481903056</v>
      </c>
      <c r="J37" s="52">
        <f t="shared" si="21"/>
        <v>0.54268391386794479</v>
      </c>
      <c r="K37" s="52">
        <f t="shared" si="21"/>
        <v>0.66224451616811264</v>
      </c>
      <c r="L37" s="52">
        <f t="shared" si="21"/>
        <v>0.91745067017655746</v>
      </c>
      <c r="M37" s="52">
        <f t="shared" si="21"/>
        <v>0.69089523438948441</v>
      </c>
      <c r="N37" s="53">
        <f t="shared" si="21"/>
        <v>0.79662370252081671</v>
      </c>
      <c r="O37" s="52">
        <f t="shared" si="21"/>
        <v>0.79682191207987041</v>
      </c>
      <c r="P37" s="52">
        <f t="shared" si="21"/>
        <v>0.8188377149634315</v>
      </c>
      <c r="Q37" s="52">
        <f t="shared" si="21"/>
        <v>0.84795857581450762</v>
      </c>
      <c r="R37" s="52">
        <f t="shared" si="21"/>
        <v>0.89350615229671149</v>
      </c>
      <c r="S37" s="52">
        <f t="shared" si="21"/>
        <v>0.88409521803244151</v>
      </c>
    </row>
    <row r="38" spans="2:21" ht="15.75" outlineLevel="1" thickBot="1" x14ac:dyDescent="0.3">
      <c r="N38" s="51"/>
    </row>
    <row r="39" spans="2:21" outlineLevel="1" x14ac:dyDescent="0.25">
      <c r="B39" s="34" t="s">
        <v>103</v>
      </c>
      <c r="C39" s="35"/>
      <c r="D39" s="55">
        <f t="shared" ref="D39:S39" si="22">D35+D31</f>
        <v>1702.0830000000001</v>
      </c>
      <c r="E39" s="55">
        <f t="shared" si="22"/>
        <v>2241.6799999999998</v>
      </c>
      <c r="F39" s="55">
        <f t="shared" si="22"/>
        <v>2781.7979999999998</v>
      </c>
      <c r="G39" s="55">
        <f t="shared" si="22"/>
        <v>3547.0450000000001</v>
      </c>
      <c r="H39" s="55">
        <f t="shared" si="22"/>
        <v>4924.9780000000001</v>
      </c>
      <c r="I39" s="55">
        <f t="shared" si="22"/>
        <v>6330.3850000000002</v>
      </c>
      <c r="J39" s="55">
        <f t="shared" si="22"/>
        <v>7656.4570000000003</v>
      </c>
      <c r="K39" s="55">
        <f t="shared" si="22"/>
        <v>9319.8259999999991</v>
      </c>
      <c r="L39" s="55">
        <f t="shared" si="22"/>
        <v>10922.621999999999</v>
      </c>
      <c r="M39" s="55">
        <f t="shared" si="22"/>
        <v>12438.779</v>
      </c>
      <c r="N39" s="56">
        <f t="shared" si="22"/>
        <v>14302</v>
      </c>
      <c r="O39" s="55">
        <f t="shared" si="22"/>
        <v>15610</v>
      </c>
      <c r="P39" s="55">
        <f t="shared" si="22"/>
        <v>16978</v>
      </c>
      <c r="Q39" s="55">
        <f t="shared" si="22"/>
        <v>18890</v>
      </c>
      <c r="R39" s="55">
        <f t="shared" si="22"/>
        <v>20841</v>
      </c>
      <c r="S39" s="57">
        <f t="shared" si="22"/>
        <v>21482</v>
      </c>
    </row>
    <row r="40" spans="2:21" outlineLevel="1" x14ac:dyDescent="0.25">
      <c r="B40" s="36" t="s">
        <v>89</v>
      </c>
      <c r="C40" s="2"/>
      <c r="D40" s="58">
        <f t="shared" ref="D40:S40" si="23">D39/D$21</f>
        <v>0.47158493018833109</v>
      </c>
      <c r="E40" s="58">
        <f t="shared" si="23"/>
        <v>0.51243530209424393</v>
      </c>
      <c r="F40" s="58">
        <f t="shared" si="23"/>
        <v>0.50535364971035424</v>
      </c>
      <c r="G40" s="58">
        <f t="shared" si="23"/>
        <v>0.52320071462381279</v>
      </c>
      <c r="H40" s="58">
        <f t="shared" si="23"/>
        <v>0.55771289808280666</v>
      </c>
      <c r="I40" s="58">
        <f t="shared" si="23"/>
        <v>0.54139573938058694</v>
      </c>
      <c r="J40" s="58">
        <f t="shared" si="23"/>
        <v>0.48475950975099247</v>
      </c>
      <c r="K40" s="58">
        <f t="shared" si="23"/>
        <v>0.46237444525813498</v>
      </c>
      <c r="L40" s="58">
        <f t="shared" si="23"/>
        <v>0.43697381698936821</v>
      </c>
      <c r="M40" s="58">
        <f t="shared" si="23"/>
        <v>0.41884451275318169</v>
      </c>
      <c r="N40" s="59">
        <f t="shared" si="23"/>
        <v>0.44347286821705428</v>
      </c>
      <c r="O40" s="58">
        <f t="shared" si="23"/>
        <v>0.44633156058786527</v>
      </c>
      <c r="P40" s="58">
        <f t="shared" si="23"/>
        <v>0.44079237739180105</v>
      </c>
      <c r="Q40" s="58">
        <f t="shared" si="23"/>
        <v>0.44598167910095382</v>
      </c>
      <c r="R40" s="58">
        <f t="shared" si="23"/>
        <v>0.45135790704725604</v>
      </c>
      <c r="S40" s="60">
        <f t="shared" si="23"/>
        <v>0.43561666058320153</v>
      </c>
      <c r="U40" s="80"/>
    </row>
    <row r="41" spans="2:21" ht="15.75" outlineLevel="1" thickBot="1" x14ac:dyDescent="0.3">
      <c r="B41" s="37" t="s">
        <v>98</v>
      </c>
      <c r="C41" s="38"/>
      <c r="D41" s="61">
        <f>D39/D49</f>
        <v>0.65362689555036968</v>
      </c>
      <c r="E41" s="61">
        <f t="shared" ref="E41:S41" si="24">E39/E49</f>
        <v>0.70719294548473921</v>
      </c>
      <c r="F41" s="61">
        <f t="shared" si="24"/>
        <v>0.71000912461156584</v>
      </c>
      <c r="G41" s="61">
        <f t="shared" si="24"/>
        <v>0.5970593809850363</v>
      </c>
      <c r="H41" s="61">
        <f t="shared" si="24"/>
        <v>0.55724296897664616</v>
      </c>
      <c r="I41" s="61">
        <f t="shared" si="24"/>
        <v>0.63096986529662502</v>
      </c>
      <c r="J41" s="61">
        <f t="shared" si="24"/>
        <v>0.54188834977739386</v>
      </c>
      <c r="K41" s="61">
        <f t="shared" si="24"/>
        <v>0.65772840362807494</v>
      </c>
      <c r="L41" s="61">
        <f t="shared" si="24"/>
        <v>0.88966668070351829</v>
      </c>
      <c r="M41" s="61">
        <f t="shared" si="24"/>
        <v>0.68244496410694877</v>
      </c>
      <c r="N41" s="62">
        <f t="shared" si="24"/>
        <v>0.79274984756942524</v>
      </c>
      <c r="O41" s="61">
        <f t="shared" si="24"/>
        <v>0.79359430604982206</v>
      </c>
      <c r="P41" s="61">
        <f t="shared" si="24"/>
        <v>0.81577935806265611</v>
      </c>
      <c r="Q41" s="61">
        <f t="shared" si="24"/>
        <v>0.84033987277014099</v>
      </c>
      <c r="R41" s="61">
        <f t="shared" si="24"/>
        <v>0.88915909381799563</v>
      </c>
      <c r="S41" s="63">
        <f t="shared" si="24"/>
        <v>0.88468824643769051</v>
      </c>
    </row>
    <row r="42" spans="2:21" outlineLevel="1" x14ac:dyDescent="0.25">
      <c r="N42" s="51"/>
    </row>
    <row r="43" spans="2:21" outlineLevel="1" x14ac:dyDescent="0.25">
      <c r="B43" t="s">
        <v>94</v>
      </c>
      <c r="D43" s="48">
        <f>-'Cash Flow Statement'!B31/'Cash Flow Statement'!$A$2</f>
        <v>40.277999999999999</v>
      </c>
      <c r="E43" s="48">
        <f>-'Cash Flow Statement'!C31/'Cash Flow Statement'!$A$2</f>
        <v>54.143000000000001</v>
      </c>
      <c r="F43" s="48">
        <f>-'Cash Flow Statement'!D31/'Cash Flow Statement'!$A$2</f>
        <v>69.725999999999999</v>
      </c>
      <c r="G43" s="48">
        <f>-'Cash Flow Statement'!E31/'Cash Flow Statement'!$A$2</f>
        <v>91.248000000000005</v>
      </c>
      <c r="H43" s="48">
        <f>-'Cash Flow Statement'!F31/'Cash Flow Statement'!$A$2</f>
        <v>107.65300000000001</v>
      </c>
      <c r="I43" s="48">
        <f>-'Cash Flow Statement'!G31/'Cash Flow Statement'!$A$2</f>
        <v>173.30199999999999</v>
      </c>
      <c r="J43" s="48">
        <f>-'Cash Flow Statement'!H31/'Cash Flow Statement'!$A$2</f>
        <v>173.946</v>
      </c>
      <c r="K43" s="48">
        <f>-'Cash Flow Statement'!I31/'Cash Flow Statement'!$A$2</f>
        <v>253.035</v>
      </c>
      <c r="L43" s="48">
        <f>-'Cash Flow Statement'!J31/'Cash Flow Statement'!$A$2</f>
        <v>497.923</v>
      </c>
      <c r="M43" s="48">
        <f>-'Cash Flow Statement'!K31/'Cash Flow Statement'!$A$2</f>
        <v>524.58500000000004</v>
      </c>
      <c r="N43" s="47">
        <v>507</v>
      </c>
      <c r="O43" s="48">
        <v>539</v>
      </c>
      <c r="P43" s="48">
        <v>576</v>
      </c>
      <c r="Q43" s="48">
        <v>656</v>
      </c>
      <c r="R43" s="48">
        <v>602</v>
      </c>
      <c r="S43" s="48">
        <v>547</v>
      </c>
    </row>
    <row r="44" spans="2:21" outlineLevel="1" x14ac:dyDescent="0.25">
      <c r="B44" s="31" t="s">
        <v>89</v>
      </c>
      <c r="D44" s="52">
        <f t="shared" ref="D44:S44" si="25">D43/D$21</f>
        <v>1.1159560267111297E-2</v>
      </c>
      <c r="E44" s="52">
        <f t="shared" si="25"/>
        <v>1.2376781949827206E-2</v>
      </c>
      <c r="F44" s="52">
        <f t="shared" si="25"/>
        <v>1.2666731581410354E-2</v>
      </c>
      <c r="G44" s="52">
        <f t="shared" si="25"/>
        <v>1.3459377822382764E-2</v>
      </c>
      <c r="H44" s="52">
        <f t="shared" si="25"/>
        <v>1.2190809099514432E-2</v>
      </c>
      <c r="I44" s="52">
        <f t="shared" si="25"/>
        <v>1.4821367804033161E-2</v>
      </c>
      <c r="J44" s="52">
        <f t="shared" si="25"/>
        <v>1.10131850388693E-2</v>
      </c>
      <c r="K44" s="52">
        <f t="shared" si="25"/>
        <v>1.2553551724666554E-2</v>
      </c>
      <c r="L44" s="52">
        <f t="shared" si="25"/>
        <v>1.9920062589074052E-2</v>
      </c>
      <c r="M44" s="52">
        <f t="shared" si="25"/>
        <v>1.7664076893932099E-2</v>
      </c>
      <c r="N44" s="53">
        <f t="shared" si="25"/>
        <v>1.572093023255814E-2</v>
      </c>
      <c r="O44" s="52">
        <f t="shared" si="25"/>
        <v>1.5411448504603419E-2</v>
      </c>
      <c r="P44" s="52">
        <f t="shared" si="25"/>
        <v>1.4954435703715243E-2</v>
      </c>
      <c r="Q44" s="52">
        <f t="shared" si="25"/>
        <v>1.5487770327698555E-2</v>
      </c>
      <c r="R44" s="52">
        <f t="shared" si="25"/>
        <v>1.3037640230432711E-2</v>
      </c>
      <c r="S44" s="52">
        <f t="shared" si="25"/>
        <v>1.1092184775114571E-2</v>
      </c>
    </row>
    <row r="45" spans="2:21" outlineLevel="1" x14ac:dyDescent="0.25">
      <c r="N45" s="51"/>
    </row>
    <row r="46" spans="2:21" outlineLevel="1" x14ac:dyDescent="0.25">
      <c r="B46" t="s">
        <v>100</v>
      </c>
      <c r="D46" s="48">
        <f>-('Cash Flow Statement'!B9+'Cash Flow Statement'!B30)/'Cash Flow Statement'!$A$2</f>
        <v>2563.7809999999999</v>
      </c>
      <c r="E46" s="48">
        <f>-('Cash Flow Statement'!C9+'Cash Flow Statement'!C30)/'Cash Flow Statement'!$A$2</f>
        <v>3115.6849999999999</v>
      </c>
      <c r="F46" s="48">
        <f>-('Cash Flow Statement'!D9+'Cash Flow Statement'!D30)/'Cash Flow Statement'!$A$2</f>
        <v>3848.2489999999998</v>
      </c>
      <c r="G46" s="48">
        <f>-('Cash Flow Statement'!E9+'Cash Flow Statement'!E30)/'Cash Flow Statement'!$A$2</f>
        <v>5849.61</v>
      </c>
      <c r="H46" s="48">
        <f>-('Cash Flow Statement'!F9+'Cash Flow Statement'!F30)/'Cash Flow Statement'!$A$2</f>
        <v>8730.4629999999997</v>
      </c>
      <c r="I46" s="48">
        <f>-('Cash Flow Statement'!G9+'Cash Flow Statement'!G30)/'Cash Flow Statement'!$A$2</f>
        <v>9859.4830000000002</v>
      </c>
      <c r="J46" s="48">
        <f>-('Cash Flow Statement'!H9+'Cash Flow Statement'!H30)/'Cash Flow Statement'!$A$2</f>
        <v>13955.269</v>
      </c>
      <c r="K46" s="48">
        <f>-('Cash Flow Statement'!I9+'Cash Flow Statement'!I30)/'Cash Flow Statement'!$A$2</f>
        <v>13916.683000000001</v>
      </c>
      <c r="L46" s="48">
        <f>-('Cash Flow Statement'!J9+'Cash Flow Statement'!J30)/'Cash Flow Statement'!$A$2</f>
        <v>11779.284</v>
      </c>
      <c r="M46" s="48">
        <f>-('Cash Flow Statement'!K9+'Cash Flow Statement'!K30)/'Cash Flow Statement'!$A$2</f>
        <v>17702.202000000001</v>
      </c>
      <c r="N46" s="47">
        <v>17534</v>
      </c>
      <c r="O46" s="48">
        <v>19131</v>
      </c>
      <c r="P46" s="48">
        <v>20236</v>
      </c>
      <c r="Q46" s="48">
        <v>21823</v>
      </c>
      <c r="R46" s="48">
        <v>22837</v>
      </c>
      <c r="S46" s="48">
        <v>23735</v>
      </c>
    </row>
    <row r="47" spans="2:21" outlineLevel="1" x14ac:dyDescent="0.25">
      <c r="B47" s="31" t="s">
        <v>89</v>
      </c>
      <c r="D47" s="52">
        <f t="shared" ref="D47:S47" si="26">D46/D$21</f>
        <v>0.71032992157442942</v>
      </c>
      <c r="E47" s="52">
        <f t="shared" si="26"/>
        <v>0.71222787561360434</v>
      </c>
      <c r="F47" s="52">
        <f t="shared" si="26"/>
        <v>0.69908982504992134</v>
      </c>
      <c r="G47" s="52">
        <f t="shared" si="26"/>
        <v>0.86283656741614545</v>
      </c>
      <c r="H47" s="52">
        <f t="shared" si="26"/>
        <v>0.98865250186594011</v>
      </c>
      <c r="I47" s="52">
        <f t="shared" si="26"/>
        <v>0.84321602693917141</v>
      </c>
      <c r="J47" s="52">
        <f t="shared" si="26"/>
        <v>0.88356133377138046</v>
      </c>
      <c r="K47" s="52">
        <f t="shared" si="26"/>
        <v>0.69043333877245339</v>
      </c>
      <c r="L47" s="52">
        <f t="shared" si="26"/>
        <v>0.47124570372221919</v>
      </c>
      <c r="M47" s="52">
        <f t="shared" si="26"/>
        <v>0.59607700814914377</v>
      </c>
      <c r="N47" s="53">
        <f t="shared" si="26"/>
        <v>0.5436899224806202</v>
      </c>
      <c r="O47" s="52">
        <f t="shared" si="26"/>
        <v>0.54700634757248245</v>
      </c>
      <c r="P47" s="52">
        <f t="shared" si="26"/>
        <v>0.52537840434094041</v>
      </c>
      <c r="Q47" s="52">
        <f t="shared" si="26"/>
        <v>0.51522806686183775</v>
      </c>
      <c r="R47" s="52">
        <f t="shared" si="26"/>
        <v>0.49458569757872395</v>
      </c>
      <c r="S47" s="52">
        <f t="shared" si="26"/>
        <v>0.48130348379770449</v>
      </c>
    </row>
    <row r="48" spans="2:21" ht="15.75" outlineLevel="1" thickBot="1" x14ac:dyDescent="0.3">
      <c r="N48" s="51"/>
    </row>
    <row r="49" spans="2:25" outlineLevel="1" x14ac:dyDescent="0.25">
      <c r="B49" s="34" t="s">
        <v>104</v>
      </c>
      <c r="C49" s="35"/>
      <c r="D49" s="55">
        <f>D46+D43</f>
        <v>2604.0589999999997</v>
      </c>
      <c r="E49" s="55">
        <f t="shared" ref="E49:S49" si="27">E46+E43</f>
        <v>3169.828</v>
      </c>
      <c r="F49" s="55">
        <f t="shared" si="27"/>
        <v>3917.9749999999999</v>
      </c>
      <c r="G49" s="55">
        <f t="shared" si="27"/>
        <v>5940.8579999999993</v>
      </c>
      <c r="H49" s="55">
        <f t="shared" si="27"/>
        <v>8838.116</v>
      </c>
      <c r="I49" s="55">
        <f t="shared" si="27"/>
        <v>10032.785</v>
      </c>
      <c r="J49" s="55">
        <f t="shared" si="27"/>
        <v>14129.215</v>
      </c>
      <c r="K49" s="55">
        <f t="shared" si="27"/>
        <v>14169.718000000001</v>
      </c>
      <c r="L49" s="55">
        <f t="shared" si="27"/>
        <v>12277.207</v>
      </c>
      <c r="M49" s="55">
        <f t="shared" si="27"/>
        <v>18226.787</v>
      </c>
      <c r="N49" s="56">
        <f t="shared" si="27"/>
        <v>18041</v>
      </c>
      <c r="O49" s="55">
        <f t="shared" si="27"/>
        <v>19670</v>
      </c>
      <c r="P49" s="55">
        <f t="shared" si="27"/>
        <v>20812</v>
      </c>
      <c r="Q49" s="55">
        <f t="shared" si="27"/>
        <v>22479</v>
      </c>
      <c r="R49" s="55">
        <f t="shared" si="27"/>
        <v>23439</v>
      </c>
      <c r="S49" s="57">
        <f t="shared" si="27"/>
        <v>24282</v>
      </c>
      <c r="T49" s="64"/>
    </row>
    <row r="50" spans="2:25" ht="15.75" outlineLevel="1" thickBot="1" x14ac:dyDescent="0.3">
      <c r="B50" s="37" t="s">
        <v>89</v>
      </c>
      <c r="C50" s="38"/>
      <c r="D50" s="61">
        <f>D49/D$21</f>
        <v>0.72148948184154071</v>
      </c>
      <c r="E50" s="61">
        <f>E49/E$21</f>
        <v>0.72460465756343151</v>
      </c>
      <c r="F50" s="61">
        <f t="shared" ref="F50:S50" si="28">F49/F$21</f>
        <v>0.71175655663133175</v>
      </c>
      <c r="G50" s="61">
        <f t="shared" si="28"/>
        <v>0.87629594523852805</v>
      </c>
      <c r="H50" s="61">
        <f t="shared" si="28"/>
        <v>1.0008433109654546</v>
      </c>
      <c r="I50" s="61">
        <f t="shared" si="28"/>
        <v>0.85803739474320462</v>
      </c>
      <c r="J50" s="61">
        <f t="shared" si="28"/>
        <v>0.89457451881024985</v>
      </c>
      <c r="K50" s="61">
        <f t="shared" si="28"/>
        <v>0.70298689049711993</v>
      </c>
      <c r="L50" s="61">
        <f t="shared" si="28"/>
        <v>0.49116576631129327</v>
      </c>
      <c r="M50" s="61">
        <f t="shared" si="28"/>
        <v>0.6137410850430759</v>
      </c>
      <c r="N50" s="62">
        <f t="shared" si="28"/>
        <v>0.55941085271317825</v>
      </c>
      <c r="O50" s="61">
        <f t="shared" si="28"/>
        <v>0.56241779607708586</v>
      </c>
      <c r="P50" s="61">
        <f t="shared" si="28"/>
        <v>0.54033284004465565</v>
      </c>
      <c r="Q50" s="61">
        <f t="shared" si="28"/>
        <v>0.5307158371895363</v>
      </c>
      <c r="R50" s="61">
        <f t="shared" si="28"/>
        <v>0.50762333780915669</v>
      </c>
      <c r="S50" s="63">
        <f t="shared" si="28"/>
        <v>0.49239566857281908</v>
      </c>
      <c r="T50" s="52"/>
    </row>
    <row r="51" spans="2:25" outlineLevel="1" x14ac:dyDescent="0.25">
      <c r="N51" s="48"/>
      <c r="O51" s="48"/>
      <c r="P51" s="48"/>
      <c r="Q51" s="48"/>
      <c r="R51" s="48"/>
      <c r="S51" s="48"/>
    </row>
    <row r="52" spans="2:25" outlineLevel="1" x14ac:dyDescent="0.25">
      <c r="B52" t="s">
        <v>95</v>
      </c>
      <c r="D52" s="54">
        <f>'Cash Flow Statement'!B21/'Cash Flow Statement'!$A$2</f>
        <v>20.106999999999999</v>
      </c>
      <c r="E52" s="54">
        <f>'Cash Flow Statement'!C21/'Cash Flow Statement'!$A$2</f>
        <v>128.84399999999999</v>
      </c>
      <c r="F52" s="54">
        <f>'Cash Flow Statement'!D21/'Cash Flow Statement'!$A$2</f>
        <v>189.50899999999999</v>
      </c>
      <c r="G52" s="54">
        <f>'Cash Flow Statement'!E21/'Cash Flow Statement'!$A$2</f>
        <v>191.25299999999999</v>
      </c>
      <c r="H52" s="54">
        <f>'Cash Flow Statement'!F21/'Cash Flow Statement'!$A$2</f>
        <v>244.67400000000001</v>
      </c>
      <c r="I52" s="54">
        <f>'Cash Flow Statement'!G21/'Cash Flow Statement'!$A$2</f>
        <v>132.78</v>
      </c>
      <c r="J52" s="54">
        <f>'Cash Flow Statement'!H21/'Cash Flow Statement'!$A$2</f>
        <v>291.70499999999998</v>
      </c>
      <c r="K52" s="54">
        <f>'Cash Flow Statement'!I21/'Cash Flow Statement'!$A$2</f>
        <v>165.57400000000001</v>
      </c>
      <c r="L52" s="54">
        <f>'Cash Flow Statement'!J21/'Cash Flow Statement'!$A$2</f>
        <v>162.202</v>
      </c>
      <c r="M52" s="54">
        <f>'Cash Flow Statement'!K21/'Cash Flow Statement'!$A$2</f>
        <v>47.122</v>
      </c>
      <c r="N52" s="48"/>
      <c r="O52" s="48"/>
      <c r="P52" s="48"/>
      <c r="Q52" s="48"/>
      <c r="R52" s="48"/>
      <c r="S52" s="48"/>
    </row>
    <row r="53" spans="2:25" outlineLevel="1" x14ac:dyDescent="0.25">
      <c r="B53" s="31" t="s">
        <v>89</v>
      </c>
      <c r="D53" s="52">
        <f t="shared" ref="D53" si="29">D52/D$21</f>
        <v>5.5709141042456639E-3</v>
      </c>
      <c r="E53" s="52">
        <f>E52/E$21</f>
        <v>2.9453005809495898E-2</v>
      </c>
      <c r="F53" s="52">
        <f t="shared" ref="F53" si="30">F52/F$21</f>
        <v>3.4427037765847671E-2</v>
      </c>
      <c r="G53" s="52">
        <f t="shared" ref="G53" si="31">G52/G$21</f>
        <v>2.8210441726549299E-2</v>
      </c>
      <c r="H53" s="52">
        <f t="shared" ref="H53" si="32">H52/H$21</f>
        <v>2.7707300545406016E-2</v>
      </c>
      <c r="I53" s="52">
        <f t="shared" ref="I53" si="33">I52/I$21</f>
        <v>1.1355790568023008E-2</v>
      </c>
      <c r="J53" s="52">
        <f t="shared" ref="J53" si="34">J52/J$21</f>
        <v>1.8468956697845131E-2</v>
      </c>
      <c r="K53" s="52">
        <f t="shared" ref="K53" si="35">K52/K$21</f>
        <v>8.2144437459637613E-3</v>
      </c>
      <c r="L53" s="52">
        <f t="shared" ref="L53" si="36">L52/L$21</f>
        <v>6.4891037210030251E-3</v>
      </c>
      <c r="M53" s="52">
        <f t="shared" ref="M53" si="37">M52/M$21</f>
        <v>1.5867145103193349E-3</v>
      </c>
      <c r="N53" s="48"/>
      <c r="O53" s="48"/>
      <c r="P53" s="48"/>
      <c r="Q53" s="48"/>
      <c r="R53" s="48"/>
      <c r="S53" s="48"/>
    </row>
    <row r="54" spans="2:25" outlineLevel="1" x14ac:dyDescent="0.25">
      <c r="B54" s="31" t="s">
        <v>96</v>
      </c>
      <c r="D54" s="52"/>
      <c r="E54" s="52">
        <f t="shared" ref="E54:M54" si="38">E52/(E21-D21)</f>
        <v>0.16836190675308388</v>
      </c>
      <c r="F54" s="52">
        <f t="shared" si="38"/>
        <v>0.16769312995202168</v>
      </c>
      <c r="G54" s="52">
        <f t="shared" si="38"/>
        <v>0.15001941397256938</v>
      </c>
      <c r="H54" s="52">
        <f t="shared" si="38"/>
        <v>0.11928578880807821</v>
      </c>
      <c r="I54" s="52">
        <f t="shared" si="38"/>
        <v>4.6393416732936323E-2</v>
      </c>
      <c r="J54" s="52">
        <f t="shared" si="38"/>
        <v>7.1119321401160701E-2</v>
      </c>
      <c r="K54" s="52">
        <f t="shared" si="38"/>
        <v>3.7957353626894903E-2</v>
      </c>
      <c r="L54" s="52">
        <f t="shared" si="38"/>
        <v>3.3515517472589205E-2</v>
      </c>
      <c r="M54" s="52">
        <f t="shared" si="38"/>
        <v>1.0022144767054575E-2</v>
      </c>
    </row>
    <row r="56" spans="2:25" x14ac:dyDescent="0.25">
      <c r="M56" s="65"/>
      <c r="N56" s="42">
        <v>1</v>
      </c>
      <c r="O56" s="42">
        <f>N56+1</f>
        <v>2</v>
      </c>
      <c r="P56" s="42">
        <f t="shared" ref="P56:W56" si="39">O56+1</f>
        <v>3</v>
      </c>
      <c r="Q56" s="42">
        <f t="shared" si="39"/>
        <v>4</v>
      </c>
      <c r="R56" s="42">
        <f t="shared" si="39"/>
        <v>5</v>
      </c>
      <c r="S56" s="42">
        <f t="shared" si="39"/>
        <v>6</v>
      </c>
      <c r="T56" s="42">
        <f t="shared" si="39"/>
        <v>7</v>
      </c>
      <c r="U56" s="42">
        <f t="shared" si="39"/>
        <v>8</v>
      </c>
      <c r="V56" s="42">
        <f t="shared" si="39"/>
        <v>9</v>
      </c>
      <c r="W56" s="42">
        <f t="shared" si="39"/>
        <v>10</v>
      </c>
    </row>
    <row r="57" spans="2:25" x14ac:dyDescent="0.25">
      <c r="B57" s="33" t="s">
        <v>6</v>
      </c>
      <c r="C57" s="33"/>
      <c r="D57" s="43">
        <f>2012</f>
        <v>2012</v>
      </c>
      <c r="E57" s="43">
        <f>D57+1</f>
        <v>2013</v>
      </c>
      <c r="F57" s="43">
        <f>E57+1</f>
        <v>2014</v>
      </c>
      <c r="G57" s="43">
        <f t="shared" ref="G57:W57" si="40">F57+1</f>
        <v>2015</v>
      </c>
      <c r="H57" s="43">
        <f t="shared" si="40"/>
        <v>2016</v>
      </c>
      <c r="I57" s="43">
        <f t="shared" si="40"/>
        <v>2017</v>
      </c>
      <c r="J57" s="43">
        <f t="shared" si="40"/>
        <v>2018</v>
      </c>
      <c r="K57" s="43">
        <f t="shared" si="40"/>
        <v>2019</v>
      </c>
      <c r="L57" s="43">
        <f t="shared" si="40"/>
        <v>2020</v>
      </c>
      <c r="M57" s="66">
        <f t="shared" si="40"/>
        <v>2021</v>
      </c>
      <c r="N57" s="45">
        <f t="shared" si="40"/>
        <v>2022</v>
      </c>
      <c r="O57" s="45">
        <f t="shared" si="40"/>
        <v>2023</v>
      </c>
      <c r="P57" s="45">
        <f t="shared" si="40"/>
        <v>2024</v>
      </c>
      <c r="Q57" s="45">
        <f t="shared" si="40"/>
        <v>2025</v>
      </c>
      <c r="R57" s="45">
        <f t="shared" si="40"/>
        <v>2026</v>
      </c>
      <c r="S57" s="45">
        <f t="shared" si="40"/>
        <v>2027</v>
      </c>
      <c r="T57" s="45">
        <f t="shared" si="40"/>
        <v>2028</v>
      </c>
      <c r="U57" s="45">
        <f t="shared" si="40"/>
        <v>2029</v>
      </c>
      <c r="V57" s="45">
        <f t="shared" si="40"/>
        <v>2030</v>
      </c>
      <c r="W57" s="45">
        <f t="shared" si="40"/>
        <v>2031</v>
      </c>
    </row>
    <row r="58" spans="2:25" x14ac:dyDescent="0.25">
      <c r="B58" t="s">
        <v>86</v>
      </c>
      <c r="D58" s="64">
        <f>D21</f>
        <v>3609.2820000000002</v>
      </c>
      <c r="E58" s="64">
        <f t="shared" ref="E58:M58" si="41">E21</f>
        <v>4374.5619999999999</v>
      </c>
      <c r="F58" s="64">
        <f t="shared" si="41"/>
        <v>5504.6559999999999</v>
      </c>
      <c r="G58" s="64">
        <f t="shared" si="41"/>
        <v>6779.5110000000004</v>
      </c>
      <c r="H58" s="64">
        <f t="shared" si="41"/>
        <v>8830.6689999999999</v>
      </c>
      <c r="I58" s="64">
        <f t="shared" si="41"/>
        <v>11692.713</v>
      </c>
      <c r="J58" s="64">
        <f t="shared" si="41"/>
        <v>15794.341</v>
      </c>
      <c r="K58" s="64">
        <f t="shared" si="41"/>
        <v>20156.447</v>
      </c>
      <c r="L58" s="64">
        <f t="shared" si="41"/>
        <v>24996.056</v>
      </c>
      <c r="M58" s="67">
        <f t="shared" si="41"/>
        <v>29697.844000000001</v>
      </c>
      <c r="N58" s="64">
        <f ca="1">M58*(1+N59)</f>
        <v>32250</v>
      </c>
      <c r="O58" s="64">
        <f t="shared" ref="O58:W58" ca="1" si="42">N58*(1+O59)</f>
        <v>35269.265036443838</v>
      </c>
      <c r="P58" s="64">
        <f t="shared" ca="1" si="42"/>
        <v>38842.176514230785</v>
      </c>
      <c r="Q58" s="64">
        <f t="shared" ca="1" si="42"/>
        <v>42381.381053038305</v>
      </c>
      <c r="R58" s="64">
        <f t="shared" ca="1" si="42"/>
        <v>45811.361489981304</v>
      </c>
      <c r="S58" s="64">
        <f t="shared" ca="1" si="42"/>
        <v>49052.288240234833</v>
      </c>
      <c r="T58" s="64">
        <f t="shared" ca="1" si="42"/>
        <v>52022.83509208043</v>
      </c>
      <c r="U58" s="64">
        <f t="shared" ca="1" si="42"/>
        <v>54643.356477922345</v>
      </c>
      <c r="V58" s="64">
        <f t="shared" ca="1" si="42"/>
        <v>56839.268653105028</v>
      </c>
      <c r="W58" s="64">
        <f t="shared" ca="1" si="42"/>
        <v>58544.446712698184</v>
      </c>
      <c r="Y58" s="42">
        <f>W57-O57</f>
        <v>8</v>
      </c>
    </row>
    <row r="59" spans="2:25" x14ac:dyDescent="0.25">
      <c r="B59" s="31" t="s">
        <v>87</v>
      </c>
      <c r="E59" s="52">
        <f>E58/D58-1</f>
        <v>0.21203109094828276</v>
      </c>
      <c r="F59" s="52">
        <f>F58/E58-1</f>
        <v>0.25833306283006174</v>
      </c>
      <c r="G59" s="52">
        <f t="shared" ref="G59:M59" si="43">G58/F58-1</f>
        <v>0.23159576184233854</v>
      </c>
      <c r="H59" s="52">
        <f t="shared" si="43"/>
        <v>0.30255249973043763</v>
      </c>
      <c r="I59" s="52">
        <f t="shared" si="43"/>
        <v>0.32410273785598798</v>
      </c>
      <c r="J59" s="52">
        <f t="shared" si="43"/>
        <v>0.35078497180252355</v>
      </c>
      <c r="K59" s="52">
        <f t="shared" si="43"/>
        <v>0.27618157667990073</v>
      </c>
      <c r="L59" s="52">
        <f t="shared" si="43"/>
        <v>0.24010228588401517</v>
      </c>
      <c r="M59" s="68">
        <f t="shared" si="43"/>
        <v>0.18810119484449861</v>
      </c>
      <c r="N59" s="71">
        <f ca="1">OFFSET(N59,$C$8,0)</f>
        <v>8.5937416871069816E-2</v>
      </c>
      <c r="O59" s="71">
        <f t="shared" ref="O59:W59" ca="1" si="44">OFFSET(O59,$C$8,0)</f>
        <v>9.3620621285080308E-2</v>
      </c>
      <c r="P59" s="71">
        <f t="shared" ca="1" si="44"/>
        <v>0.1013038256990908</v>
      </c>
      <c r="Q59" s="71">
        <f t="shared" ca="1" si="44"/>
        <v>9.1117564884934971E-2</v>
      </c>
      <c r="R59" s="71">
        <f t="shared" ca="1" si="44"/>
        <v>8.0931304070779142E-2</v>
      </c>
      <c r="S59" s="71">
        <f t="shared" ca="1" si="44"/>
        <v>7.0745043256623313E-2</v>
      </c>
      <c r="T59" s="71">
        <f t="shared" ca="1" si="44"/>
        <v>6.0558782442467485E-2</v>
      </c>
      <c r="U59" s="71">
        <f t="shared" ca="1" si="44"/>
        <v>5.0372521628311656E-2</v>
      </c>
      <c r="V59" s="71">
        <f t="shared" ca="1" si="44"/>
        <v>4.0186260814155828E-2</v>
      </c>
      <c r="W59" s="71">
        <f t="shared" ca="1" si="44"/>
        <v>0.03</v>
      </c>
    </row>
    <row r="60" spans="2:25" x14ac:dyDescent="0.25">
      <c r="B60" t="s">
        <v>111</v>
      </c>
      <c r="E60" s="52"/>
      <c r="F60" s="52"/>
      <c r="G60" s="52"/>
      <c r="H60" s="52"/>
      <c r="I60" s="52"/>
      <c r="J60" s="52"/>
      <c r="K60" s="52"/>
      <c r="L60" s="52"/>
      <c r="M60" s="68"/>
      <c r="N60" s="74">
        <f>N22</f>
        <v>8.5937416871069816E-2</v>
      </c>
      <c r="O60" s="73">
        <f>N$60*$H$8</f>
        <v>6.8749933496855861E-2</v>
      </c>
      <c r="P60" s="73">
        <f>O$60*$H$8</f>
        <v>5.499994679748469E-2</v>
      </c>
      <c r="Q60" s="73">
        <f>P60-($P$60-$W$60)/($W$57-$P$57)</f>
        <v>4.8571382969272589E-2</v>
      </c>
      <c r="R60" s="73">
        <f t="shared" ref="R60:V60" si="45">Q60-($P$60-$W$60)/($W$57-$P$57)</f>
        <v>4.2142819141060488E-2</v>
      </c>
      <c r="S60" s="73">
        <f t="shared" si="45"/>
        <v>3.5714255312848386E-2</v>
      </c>
      <c r="T60" s="73">
        <f t="shared" si="45"/>
        <v>2.9285691484636289E-2</v>
      </c>
      <c r="U60" s="73">
        <f t="shared" si="45"/>
        <v>2.2857127656424191E-2</v>
      </c>
      <c r="V60" s="73">
        <f t="shared" si="45"/>
        <v>1.6428563828212093E-2</v>
      </c>
      <c r="W60" s="73">
        <f>H9</f>
        <v>0.01</v>
      </c>
    </row>
    <row r="61" spans="2:25" x14ac:dyDescent="0.25">
      <c r="B61" t="s">
        <v>110</v>
      </c>
      <c r="E61" s="52"/>
      <c r="F61" s="52"/>
      <c r="G61" s="52"/>
      <c r="H61" s="52"/>
      <c r="I61" s="52"/>
      <c r="J61" s="52"/>
      <c r="K61" s="52"/>
      <c r="L61" s="52"/>
      <c r="M61" s="68"/>
      <c r="N61" s="74">
        <f>N22</f>
        <v>8.5937416871069816E-2</v>
      </c>
      <c r="O61" s="73">
        <f>AVERAGE(N61,P61)</f>
        <v>9.3620621285080308E-2</v>
      </c>
      <c r="P61" s="73">
        <f t="shared" ref="P61" si="46">P22</f>
        <v>0.1013038256990908</v>
      </c>
      <c r="Q61" s="73">
        <f>P61-($P$61-$W$61)/($W$57-$P$57)</f>
        <v>9.1117564884934971E-2</v>
      </c>
      <c r="R61" s="73">
        <f t="shared" ref="R61:V61" si="47">Q61-($P$61-$W$61)/($W$57-$P$57)</f>
        <v>8.0931304070779142E-2</v>
      </c>
      <c r="S61" s="73">
        <f t="shared" si="47"/>
        <v>7.0745043256623313E-2</v>
      </c>
      <c r="T61" s="73">
        <f t="shared" si="47"/>
        <v>6.0558782442467485E-2</v>
      </c>
      <c r="U61" s="73">
        <f t="shared" si="47"/>
        <v>5.0372521628311656E-2</v>
      </c>
      <c r="V61" s="73">
        <f t="shared" si="47"/>
        <v>4.0186260814155828E-2</v>
      </c>
      <c r="W61" s="73">
        <f>M9</f>
        <v>0.03</v>
      </c>
    </row>
    <row r="62" spans="2:25" x14ac:dyDescent="0.25">
      <c r="B62" t="s">
        <v>109</v>
      </c>
      <c r="E62" s="52"/>
      <c r="F62" s="52"/>
      <c r="G62" s="52"/>
      <c r="H62" s="52"/>
      <c r="I62" s="52"/>
      <c r="J62" s="52"/>
      <c r="K62" s="52"/>
      <c r="L62" s="52"/>
      <c r="M62" s="68"/>
      <c r="N62" s="74">
        <f>N22</f>
        <v>8.5937416871069816E-2</v>
      </c>
      <c r="O62" s="73">
        <f>N62*$Q$8</f>
        <v>0.10312490024528377</v>
      </c>
      <c r="P62" s="73">
        <f>O62*$Q$8</f>
        <v>0.12374988029434052</v>
      </c>
      <c r="Q62" s="73">
        <f>P62-($P$62-$W$62)/($W$57-$O$57)</f>
        <v>0.11453114525754796</v>
      </c>
      <c r="R62" s="73">
        <f t="shared" ref="R62:V62" si="48">Q62-($P$62-$W$62)/($W$57-$O$57)</f>
        <v>0.1053124102207554</v>
      </c>
      <c r="S62" s="73">
        <f t="shared" si="48"/>
        <v>9.6093675183962834E-2</v>
      </c>
      <c r="T62" s="73">
        <f t="shared" si="48"/>
        <v>8.6874940147170274E-2</v>
      </c>
      <c r="U62" s="73">
        <f t="shared" si="48"/>
        <v>7.7656205110377713E-2</v>
      </c>
      <c r="V62" s="73">
        <f t="shared" si="48"/>
        <v>6.8437470073585152E-2</v>
      </c>
      <c r="W62" s="73">
        <f>Q9</f>
        <v>0.05</v>
      </c>
    </row>
    <row r="63" spans="2:25" x14ac:dyDescent="0.25">
      <c r="B63" s="31"/>
      <c r="E63" s="52"/>
      <c r="F63" s="52"/>
      <c r="G63" s="52"/>
      <c r="H63" s="52"/>
      <c r="I63" s="52"/>
      <c r="J63" s="52"/>
      <c r="K63" s="52"/>
      <c r="L63" s="52"/>
      <c r="M63" s="68"/>
    </row>
    <row r="64" spans="2:25" x14ac:dyDescent="0.25">
      <c r="B64" t="s">
        <v>88</v>
      </c>
      <c r="D64" s="64">
        <f t="shared" ref="D64:M64" si="49">D24</f>
        <v>49.991999999999997</v>
      </c>
      <c r="E64" s="64">
        <f t="shared" si="49"/>
        <v>228.34700000000001</v>
      </c>
      <c r="F64" s="64">
        <f t="shared" si="49"/>
        <v>402.64800000000002</v>
      </c>
      <c r="G64" s="64">
        <f t="shared" si="49"/>
        <v>305.82600000000002</v>
      </c>
      <c r="H64" s="64">
        <f t="shared" si="49"/>
        <v>379.79300000000001</v>
      </c>
      <c r="I64" s="64">
        <f t="shared" si="49"/>
        <v>838.67899999999997</v>
      </c>
      <c r="J64" s="64">
        <f t="shared" si="49"/>
        <v>1605.2260000000001</v>
      </c>
      <c r="K64" s="64">
        <f t="shared" si="49"/>
        <v>2604.2539999999999</v>
      </c>
      <c r="L64" s="64">
        <f t="shared" si="49"/>
        <v>4585.2889999999998</v>
      </c>
      <c r="M64" s="67">
        <f t="shared" si="49"/>
        <v>6194.509</v>
      </c>
      <c r="N64" s="64">
        <f ca="1">N58*N65</f>
        <v>6297</v>
      </c>
      <c r="O64" s="64">
        <f t="shared" ref="O64:W64" ca="1" si="50">O58*O65</f>
        <v>7004.6410174169068</v>
      </c>
      <c r="P64" s="64">
        <f t="shared" ca="1" si="50"/>
        <v>8248.0505156137187</v>
      </c>
      <c r="Q64" s="64">
        <f t="shared" ca="1" si="50"/>
        <v>9463.9454839277623</v>
      </c>
      <c r="R64" s="64">
        <f t="shared" ca="1" si="50"/>
        <v>10731.808292653595</v>
      </c>
      <c r="S64" s="64">
        <f t="shared" ca="1" si="50"/>
        <v>12028.473190794377</v>
      </c>
      <c r="T64" s="64">
        <f t="shared" ca="1" si="50"/>
        <v>13326.892411021423</v>
      </c>
      <c r="U64" s="64">
        <f t="shared" ca="1" si="50"/>
        <v>14596.902926269513</v>
      </c>
      <c r="V64" s="64">
        <f t="shared" ca="1" si="50"/>
        <v>15806.2587815395</v>
      </c>
      <c r="W64" s="64">
        <f t="shared" ca="1" si="50"/>
        <v>17563.334013809454</v>
      </c>
    </row>
    <row r="65" spans="2:23" x14ac:dyDescent="0.25">
      <c r="B65" s="31" t="s">
        <v>105</v>
      </c>
      <c r="D65" s="52">
        <f>D64/D$58</f>
        <v>1.385095428952351E-2</v>
      </c>
      <c r="E65" s="52">
        <f t="shared" ref="E65:M65" si="51">E64/E58</f>
        <v>5.2198825848164918E-2</v>
      </c>
      <c r="F65" s="52">
        <f t="shared" si="51"/>
        <v>7.3146805177289928E-2</v>
      </c>
      <c r="G65" s="52">
        <f t="shared" si="51"/>
        <v>4.5110333178897413E-2</v>
      </c>
      <c r="H65" s="52">
        <f t="shared" si="51"/>
        <v>4.3008406271370835E-2</v>
      </c>
      <c r="I65" s="52">
        <f t="shared" si="51"/>
        <v>7.1726638633822615E-2</v>
      </c>
      <c r="J65" s="52">
        <f t="shared" si="51"/>
        <v>0.10163298361102879</v>
      </c>
      <c r="K65" s="52">
        <f t="shared" si="51"/>
        <v>0.12920203645017397</v>
      </c>
      <c r="L65" s="52">
        <f t="shared" si="51"/>
        <v>0.18344049957321265</v>
      </c>
      <c r="M65" s="68">
        <f t="shared" si="51"/>
        <v>0.20858446828665406</v>
      </c>
      <c r="N65" s="71">
        <f ca="1">OFFSET(N65,$C$9,0)</f>
        <v>0.19525581395348837</v>
      </c>
      <c r="O65" s="71">
        <f t="shared" ref="O65:W65" ca="1" si="52">OFFSET(O65,$C$9,0)</f>
        <v>0.19860467776062218</v>
      </c>
      <c r="P65" s="71">
        <f t="shared" ca="1" si="52"/>
        <v>0.21234779448035931</v>
      </c>
      <c r="Q65" s="71">
        <f t="shared" ca="1" si="52"/>
        <v>0.2233043201703144</v>
      </c>
      <c r="R65" s="71">
        <f t="shared" ca="1" si="52"/>
        <v>0.23426084586026949</v>
      </c>
      <c r="S65" s="71">
        <f t="shared" ca="1" si="52"/>
        <v>0.24521737155022458</v>
      </c>
      <c r="T65" s="71">
        <f t="shared" ca="1" si="52"/>
        <v>0.25617389724017964</v>
      </c>
      <c r="U65" s="71">
        <f t="shared" ca="1" si="52"/>
        <v>0.26713042293013473</v>
      </c>
      <c r="V65" s="71">
        <f t="shared" ca="1" si="52"/>
        <v>0.27808694862008981</v>
      </c>
      <c r="W65" s="71">
        <f t="shared" ca="1" si="52"/>
        <v>0.3</v>
      </c>
    </row>
    <row r="66" spans="2:23" x14ac:dyDescent="0.25">
      <c r="B66" t="s">
        <v>111</v>
      </c>
      <c r="M66" s="65"/>
      <c r="N66" s="75">
        <f>N25</f>
        <v>0.19525581395348837</v>
      </c>
      <c r="O66" s="72">
        <f t="shared" ref="O66:P66" si="53">O67*$H$10</f>
        <v>0.17874420998455998</v>
      </c>
      <c r="P66" s="72">
        <f t="shared" si="53"/>
        <v>0.19111301503232339</v>
      </c>
      <c r="Q66" s="72">
        <f>P66+($W$66-$P$66)/($W$57-$O$57)</f>
        <v>0.20222388815328296</v>
      </c>
      <c r="R66" s="72">
        <f t="shared" ref="R66:V66" si="54">Q66+($W$66-$P$66)/($W$57-$O$57)</f>
        <v>0.21333476127424253</v>
      </c>
      <c r="S66" s="72">
        <f t="shared" si="54"/>
        <v>0.2244456343952021</v>
      </c>
      <c r="T66" s="72">
        <f t="shared" si="54"/>
        <v>0.23555650751616167</v>
      </c>
      <c r="U66" s="72">
        <f t="shared" si="54"/>
        <v>0.24666738063712124</v>
      </c>
      <c r="V66" s="72">
        <f t="shared" si="54"/>
        <v>0.25777825375808083</v>
      </c>
      <c r="W66" s="73">
        <f>H11</f>
        <v>0.28000000000000003</v>
      </c>
    </row>
    <row r="67" spans="2:23" x14ac:dyDescent="0.25">
      <c r="B67" t="s">
        <v>110</v>
      </c>
      <c r="M67" s="65"/>
      <c r="N67" s="75">
        <f>N25</f>
        <v>0.19525581395348837</v>
      </c>
      <c r="O67" s="72">
        <f t="shared" ref="O67:P67" si="55">O25</f>
        <v>0.19860467776062218</v>
      </c>
      <c r="P67" s="72">
        <f t="shared" si="55"/>
        <v>0.21234779448035931</v>
      </c>
      <c r="Q67" s="72">
        <f>P67+($W$67-$P$67)/($W$57-$O$57)</f>
        <v>0.2233043201703144</v>
      </c>
      <c r="R67" s="72">
        <f t="shared" ref="R67:V67" si="56">Q67+($W$67-$P$67)/($W$57-$O$57)</f>
        <v>0.23426084586026949</v>
      </c>
      <c r="S67" s="72">
        <f t="shared" si="56"/>
        <v>0.24521737155022458</v>
      </c>
      <c r="T67" s="72">
        <f t="shared" si="56"/>
        <v>0.25617389724017964</v>
      </c>
      <c r="U67" s="72">
        <f t="shared" si="56"/>
        <v>0.26713042293013473</v>
      </c>
      <c r="V67" s="72">
        <f t="shared" si="56"/>
        <v>0.27808694862008981</v>
      </c>
      <c r="W67" s="73">
        <f>M10</f>
        <v>0.3</v>
      </c>
    </row>
    <row r="68" spans="2:23" x14ac:dyDescent="0.25">
      <c r="B68" t="s">
        <v>109</v>
      </c>
      <c r="M68" s="65"/>
      <c r="N68" s="75">
        <f>N25</f>
        <v>0.19525581395348837</v>
      </c>
      <c r="O68" s="72">
        <f>O67*$Q$10</f>
        <v>0.21846514553668442</v>
      </c>
      <c r="P68" s="72">
        <f>P67*$Q$10</f>
        <v>0.23358257392839527</v>
      </c>
      <c r="Q68" s="72">
        <f>P68+($W$68-$P$68)/($W$57-$O$57)</f>
        <v>0.24438475218734584</v>
      </c>
      <c r="R68" s="72">
        <f t="shared" ref="R68:V68" si="57">Q68+($W$68-$P$68)/($W$57-$O$57)</f>
        <v>0.25518693044629642</v>
      </c>
      <c r="S68" s="72">
        <f t="shared" si="57"/>
        <v>0.265989108705247</v>
      </c>
      <c r="T68" s="72">
        <f t="shared" si="57"/>
        <v>0.27679128696419758</v>
      </c>
      <c r="U68" s="72">
        <f t="shared" si="57"/>
        <v>0.28759346522314816</v>
      </c>
      <c r="V68" s="72">
        <f t="shared" si="57"/>
        <v>0.29839564348209874</v>
      </c>
      <c r="W68" s="73">
        <f>Q11</f>
        <v>0.32</v>
      </c>
    </row>
    <row r="69" spans="2:23" x14ac:dyDescent="0.25">
      <c r="M69" s="65"/>
    </row>
    <row r="70" spans="2:23" x14ac:dyDescent="0.25">
      <c r="B70" t="s">
        <v>101</v>
      </c>
      <c r="D70" s="64">
        <f t="shared" ref="D70:M70" si="58">D27</f>
        <v>13.327999999999999</v>
      </c>
      <c r="E70" s="64">
        <f t="shared" si="58"/>
        <v>58.670999999999999</v>
      </c>
      <c r="F70" s="64">
        <f t="shared" si="58"/>
        <v>82.57</v>
      </c>
      <c r="G70" s="64">
        <f t="shared" si="58"/>
        <v>19.244</v>
      </c>
      <c r="H70" s="64">
        <f t="shared" si="58"/>
        <v>73.828999999999994</v>
      </c>
      <c r="I70" s="64">
        <f t="shared" si="58"/>
        <v>-73.608000000000004</v>
      </c>
      <c r="J70" s="64">
        <f t="shared" si="58"/>
        <v>15.215999999999999</v>
      </c>
      <c r="K70" s="64">
        <f t="shared" si="58"/>
        <v>195.315</v>
      </c>
      <c r="L70" s="64">
        <f t="shared" si="58"/>
        <v>437.95400000000001</v>
      </c>
      <c r="M70" s="67">
        <f t="shared" si="58"/>
        <v>723.875</v>
      </c>
      <c r="N70" s="64">
        <f ca="1">N64*N71</f>
        <v>978</v>
      </c>
      <c r="O70" s="64">
        <f t="shared" ref="O70:W70" ca="1" si="59">O64*O71</f>
        <v>1107.119646531351</v>
      </c>
      <c r="P70" s="64">
        <f t="shared" ca="1" si="59"/>
        <v>1326.2722020141264</v>
      </c>
      <c r="Q70" s="64">
        <f t="shared" ca="1" si="59"/>
        <v>1547.7465996916771</v>
      </c>
      <c r="R70" s="64">
        <f t="shared" ca="1" si="59"/>
        <v>1784.5330979591813</v>
      </c>
      <c r="S70" s="64">
        <f t="shared" ca="1" si="59"/>
        <v>2033.1437057607081</v>
      </c>
      <c r="T70" s="64">
        <f t="shared" ca="1" si="59"/>
        <v>2289.169431071497</v>
      </c>
      <c r="U70" s="64">
        <f t="shared" ca="1" si="59"/>
        <v>2547.3608466015444</v>
      </c>
      <c r="V70" s="64">
        <f t="shared" ca="1" si="59"/>
        <v>2801.7683502997161</v>
      </c>
      <c r="W70" s="64">
        <f t="shared" ca="1" si="59"/>
        <v>3161.4001224857016</v>
      </c>
    </row>
    <row r="71" spans="2:23" x14ac:dyDescent="0.25">
      <c r="B71" s="31" t="s">
        <v>91</v>
      </c>
      <c r="D71" s="52">
        <f>D70/D$64</f>
        <v>0.26660265642502801</v>
      </c>
      <c r="E71" s="52">
        <f t="shared" ref="E71:M71" si="60">E70/E$64</f>
        <v>0.25693790590636179</v>
      </c>
      <c r="F71" s="52">
        <f t="shared" si="60"/>
        <v>0.20506745345810731</v>
      </c>
      <c r="G71" s="52">
        <f t="shared" si="60"/>
        <v>6.2924669583357851E-2</v>
      </c>
      <c r="H71" s="52">
        <f t="shared" si="60"/>
        <v>0.19439273498984971</v>
      </c>
      <c r="I71" s="52">
        <f t="shared" si="60"/>
        <v>-8.7766594847373078E-2</v>
      </c>
      <c r="J71" s="52">
        <f t="shared" si="60"/>
        <v>9.4790390885769338E-3</v>
      </c>
      <c r="K71" s="52">
        <f t="shared" si="60"/>
        <v>7.4998444852153442E-2</v>
      </c>
      <c r="L71" s="52">
        <f t="shared" si="60"/>
        <v>9.5512845537107913E-2</v>
      </c>
      <c r="M71" s="52">
        <f t="shared" si="60"/>
        <v>0.11685752656102365</v>
      </c>
      <c r="N71" s="71">
        <f ca="1">OFFSET(N71,$C$10,0)</f>
        <v>0.15531205335874226</v>
      </c>
      <c r="O71" s="71">
        <f t="shared" ref="O71:W71" ca="1" si="61">OFFSET(O71,$C$10,0)</f>
        <v>0.15805515854110425</v>
      </c>
      <c r="P71" s="71">
        <f t="shared" ca="1" si="61"/>
        <v>0.16079826372346623</v>
      </c>
      <c r="Q71" s="71">
        <f t="shared" ca="1" si="61"/>
        <v>0.16354136890582821</v>
      </c>
      <c r="R71" s="71">
        <f t="shared" ca="1" si="61"/>
        <v>0.16628447408819019</v>
      </c>
      <c r="S71" s="71">
        <f t="shared" ca="1" si="61"/>
        <v>0.16902757927055218</v>
      </c>
      <c r="T71" s="71">
        <f t="shared" ca="1" si="61"/>
        <v>0.17177068445291416</v>
      </c>
      <c r="U71" s="71">
        <f t="shared" ca="1" si="61"/>
        <v>0.17451378963527614</v>
      </c>
      <c r="V71" s="71">
        <f t="shared" ca="1" si="61"/>
        <v>0.17725689481763812</v>
      </c>
      <c r="W71" s="71">
        <f t="shared" ca="1" si="61"/>
        <v>0.18</v>
      </c>
    </row>
    <row r="72" spans="2:23" x14ac:dyDescent="0.25">
      <c r="B72" t="s">
        <v>111</v>
      </c>
      <c r="M72" s="65"/>
      <c r="N72" s="75">
        <f>M71+($W$72-M71)/($W$57-$M$57)</f>
        <v>0.1301717739049213</v>
      </c>
      <c r="O72" s="75">
        <f>N72+($W$72-$N$72)/($W$57-$N$57)</f>
        <v>0.14348602124881893</v>
      </c>
      <c r="P72" s="75">
        <f t="shared" ref="P72:V72" si="62">O72+($W$72-$N$72)/($W$57-$N$57)</f>
        <v>0.15680026859271656</v>
      </c>
      <c r="Q72" s="75">
        <f t="shared" si="62"/>
        <v>0.1701145159366142</v>
      </c>
      <c r="R72" s="75">
        <f t="shared" si="62"/>
        <v>0.18342876328051183</v>
      </c>
      <c r="S72" s="75">
        <f t="shared" si="62"/>
        <v>0.19674301062440946</v>
      </c>
      <c r="T72" s="75">
        <f t="shared" si="62"/>
        <v>0.2100572579683071</v>
      </c>
      <c r="U72" s="75">
        <f t="shared" si="62"/>
        <v>0.22337150531220473</v>
      </c>
      <c r="V72" s="75">
        <f t="shared" si="62"/>
        <v>0.23668575265610237</v>
      </c>
      <c r="W72" s="73">
        <f>H12</f>
        <v>0.25</v>
      </c>
    </row>
    <row r="73" spans="2:23" x14ac:dyDescent="0.25">
      <c r="B73" t="s">
        <v>110</v>
      </c>
      <c r="M73" s="65"/>
      <c r="N73" s="75">
        <f>N28</f>
        <v>0.15531205335874226</v>
      </c>
      <c r="O73" s="75">
        <f>N73+($W$73-$N$73)/($W$57-$N$57)</f>
        <v>0.15805515854110425</v>
      </c>
      <c r="P73" s="75">
        <f t="shared" ref="P73:V73" si="63">O73+($W$73-$N$73)/($W$57-$N$57)</f>
        <v>0.16079826372346623</v>
      </c>
      <c r="Q73" s="75">
        <f t="shared" si="63"/>
        <v>0.16354136890582821</v>
      </c>
      <c r="R73" s="75">
        <f t="shared" si="63"/>
        <v>0.16628447408819019</v>
      </c>
      <c r="S73" s="75">
        <f t="shared" si="63"/>
        <v>0.16902757927055218</v>
      </c>
      <c r="T73" s="75">
        <f t="shared" si="63"/>
        <v>0.17177068445291416</v>
      </c>
      <c r="U73" s="75">
        <f t="shared" si="63"/>
        <v>0.17451378963527614</v>
      </c>
      <c r="V73" s="75">
        <f t="shared" si="63"/>
        <v>0.17725689481763812</v>
      </c>
      <c r="W73" s="73">
        <f>M11</f>
        <v>0.18</v>
      </c>
    </row>
    <row r="74" spans="2:23" x14ac:dyDescent="0.25">
      <c r="B74" t="s">
        <v>109</v>
      </c>
      <c r="M74" s="65"/>
      <c r="N74" s="72">
        <f>M71+($W$74-M71)/($W$57-$M$57)</f>
        <v>0.12617177390492129</v>
      </c>
      <c r="O74" s="72">
        <f>N74+($W$74-$N$74)/($W$57-$M$57)</f>
        <v>0.13455459651442916</v>
      </c>
      <c r="P74" s="72">
        <f t="shared" ref="P74:V74" si="64">O74+($W$74-$N$74)/($W$57-$M$57)</f>
        <v>0.14293741912393704</v>
      </c>
      <c r="Q74" s="72">
        <f t="shared" si="64"/>
        <v>0.15132024173344491</v>
      </c>
      <c r="R74" s="72">
        <f t="shared" si="64"/>
        <v>0.15970306434295278</v>
      </c>
      <c r="S74" s="72">
        <f t="shared" si="64"/>
        <v>0.16808588695246066</v>
      </c>
      <c r="T74" s="72">
        <f t="shared" si="64"/>
        <v>0.17646870956196853</v>
      </c>
      <c r="U74" s="72">
        <f t="shared" si="64"/>
        <v>0.1848515321714764</v>
      </c>
      <c r="V74" s="72">
        <f t="shared" si="64"/>
        <v>0.19323435478098427</v>
      </c>
      <c r="W74" s="73">
        <f>Q12</f>
        <v>0.21</v>
      </c>
    </row>
    <row r="75" spans="2:23" ht="15.75" thickBot="1" x14ac:dyDescent="0.3">
      <c r="M75" s="65"/>
    </row>
    <row r="76" spans="2:23" ht="15.75" thickBot="1" x14ac:dyDescent="0.3">
      <c r="B76" s="76" t="s">
        <v>102</v>
      </c>
      <c r="C76" s="77"/>
      <c r="D76" s="78">
        <f>D70+D64</f>
        <v>63.319999999999993</v>
      </c>
      <c r="E76" s="78">
        <f t="shared" ref="E76:W76" si="65">E70+E64</f>
        <v>287.01800000000003</v>
      </c>
      <c r="F76" s="78">
        <f t="shared" si="65"/>
        <v>485.21800000000002</v>
      </c>
      <c r="G76" s="78">
        <f t="shared" si="65"/>
        <v>325.07000000000005</v>
      </c>
      <c r="H76" s="78">
        <f t="shared" si="65"/>
        <v>453.62200000000001</v>
      </c>
      <c r="I76" s="78">
        <f t="shared" si="65"/>
        <v>765.07099999999991</v>
      </c>
      <c r="J76" s="78">
        <f t="shared" si="65"/>
        <v>1620.442</v>
      </c>
      <c r="K76" s="78">
        <f t="shared" si="65"/>
        <v>2799.569</v>
      </c>
      <c r="L76" s="78">
        <f t="shared" si="65"/>
        <v>5023.2429999999995</v>
      </c>
      <c r="M76" s="78">
        <f t="shared" si="65"/>
        <v>6918.384</v>
      </c>
      <c r="N76" s="78">
        <f t="shared" ca="1" si="65"/>
        <v>7275</v>
      </c>
      <c r="O76" s="78">
        <f t="shared" ca="1" si="65"/>
        <v>8111.7606639482583</v>
      </c>
      <c r="P76" s="78">
        <f t="shared" ca="1" si="65"/>
        <v>9574.3227176278451</v>
      </c>
      <c r="Q76" s="78">
        <f t="shared" ca="1" si="65"/>
        <v>11011.69208361944</v>
      </c>
      <c r="R76" s="78">
        <f t="shared" ca="1" si="65"/>
        <v>12516.341390612777</v>
      </c>
      <c r="S76" s="78">
        <f t="shared" ca="1" si="65"/>
        <v>14061.616896555086</v>
      </c>
      <c r="T76" s="78">
        <f t="shared" ca="1" si="65"/>
        <v>15616.06184209292</v>
      </c>
      <c r="U76" s="78">
        <f t="shared" ca="1" si="65"/>
        <v>17144.263772871058</v>
      </c>
      <c r="V76" s="78">
        <f t="shared" ca="1" si="65"/>
        <v>18608.027131839215</v>
      </c>
      <c r="W76" s="78">
        <f t="shared" ca="1" si="65"/>
        <v>20724.734136295156</v>
      </c>
    </row>
    <row r="77" spans="2:23" x14ac:dyDescent="0.25">
      <c r="B77" s="31" t="s">
        <v>89</v>
      </c>
      <c r="M77" s="65"/>
    </row>
    <row r="78" spans="2:23" x14ac:dyDescent="0.25">
      <c r="M78" s="65"/>
    </row>
    <row r="79" spans="2:23" x14ac:dyDescent="0.25">
      <c r="B79" t="s">
        <v>93</v>
      </c>
      <c r="D79" s="64">
        <f t="shared" ref="D79:M79" si="66">D39</f>
        <v>1702.0830000000001</v>
      </c>
      <c r="E79" s="64">
        <f t="shared" si="66"/>
        <v>2241.6799999999998</v>
      </c>
      <c r="F79" s="64">
        <f t="shared" si="66"/>
        <v>2781.7979999999998</v>
      </c>
      <c r="G79" s="64">
        <f t="shared" si="66"/>
        <v>3547.0450000000001</v>
      </c>
      <c r="H79" s="64">
        <f t="shared" si="66"/>
        <v>4924.9780000000001</v>
      </c>
      <c r="I79" s="64">
        <f t="shared" si="66"/>
        <v>6330.3850000000002</v>
      </c>
      <c r="J79" s="64">
        <f t="shared" si="66"/>
        <v>7656.4570000000003</v>
      </c>
      <c r="K79" s="64">
        <f t="shared" si="66"/>
        <v>9319.8259999999991</v>
      </c>
      <c r="L79" s="64">
        <f t="shared" si="66"/>
        <v>10922.621999999999</v>
      </c>
      <c r="M79" s="67">
        <f t="shared" si="66"/>
        <v>12438.779</v>
      </c>
      <c r="N79" s="64">
        <f ca="1">N80*N58</f>
        <v>14302</v>
      </c>
      <c r="O79" s="64">
        <f t="shared" ref="O79:W79" ca="1" si="67">O80*O58</f>
        <v>15666.540696817054</v>
      </c>
      <c r="P79" s="64">
        <f t="shared" ca="1" si="67"/>
        <v>17281.790983191215</v>
      </c>
      <c r="Q79" s="64">
        <f t="shared" ca="1" si="67"/>
        <v>18887.202234349628</v>
      </c>
      <c r="R79" s="64">
        <f t="shared" ca="1" si="67"/>
        <v>20448.992229601994</v>
      </c>
      <c r="S79" s="64">
        <f t="shared" ca="1" si="67"/>
        <v>21931.231597172769</v>
      </c>
      <c r="T79" s="64">
        <f t="shared" ca="1" si="67"/>
        <v>23297.089157980048</v>
      </c>
      <c r="U79" s="64">
        <f t="shared" ca="1" si="67"/>
        <v>24510.251661999759</v>
      </c>
      <c r="V79" s="64">
        <f t="shared" ca="1" si="67"/>
        <v>25536.448960903377</v>
      </c>
      <c r="W79" s="64">
        <f t="shared" ca="1" si="67"/>
        <v>26345.001020714182</v>
      </c>
    </row>
    <row r="80" spans="2:23" x14ac:dyDescent="0.25">
      <c r="B80" s="31" t="s">
        <v>89</v>
      </c>
      <c r="D80" s="52">
        <f t="shared" ref="D80:M80" si="68">D79/D$58</f>
        <v>0.47158493018833109</v>
      </c>
      <c r="E80" s="52">
        <f t="shared" si="68"/>
        <v>0.51243530209424393</v>
      </c>
      <c r="F80" s="52">
        <f t="shared" si="68"/>
        <v>0.50535364971035424</v>
      </c>
      <c r="G80" s="52">
        <f t="shared" si="68"/>
        <v>0.52320071462381279</v>
      </c>
      <c r="H80" s="52">
        <f t="shared" si="68"/>
        <v>0.55771289808280666</v>
      </c>
      <c r="I80" s="52">
        <f t="shared" si="68"/>
        <v>0.54139573938058694</v>
      </c>
      <c r="J80" s="52">
        <f t="shared" si="68"/>
        <v>0.48475950975099247</v>
      </c>
      <c r="K80" s="52">
        <f t="shared" si="68"/>
        <v>0.46237444525813498</v>
      </c>
      <c r="L80" s="52">
        <f t="shared" si="68"/>
        <v>0.43697381698936821</v>
      </c>
      <c r="M80" s="68">
        <f t="shared" si="68"/>
        <v>0.41884451275318169</v>
      </c>
      <c r="N80" s="71">
        <f ca="1">OFFSET(N80,$C$11,0)</f>
        <v>0.44347286821705428</v>
      </c>
      <c r="O80" s="71">
        <f t="shared" ref="O80:W80" ca="1" si="69">OFFSET(O80,$C$11,0)</f>
        <v>0.44419810508182606</v>
      </c>
      <c r="P80" s="71">
        <f t="shared" ca="1" si="69"/>
        <v>0.44492334194659783</v>
      </c>
      <c r="Q80" s="71">
        <f t="shared" ca="1" si="69"/>
        <v>0.4456485788113696</v>
      </c>
      <c r="R80" s="71">
        <f t="shared" ca="1" si="69"/>
        <v>0.44637381567614137</v>
      </c>
      <c r="S80" s="71">
        <f t="shared" ca="1" si="69"/>
        <v>0.44709905254091314</v>
      </c>
      <c r="T80" s="71">
        <f t="shared" ca="1" si="69"/>
        <v>0.44782428940568492</v>
      </c>
      <c r="U80" s="71">
        <f t="shared" ca="1" si="69"/>
        <v>0.44854952627045669</v>
      </c>
      <c r="V80" s="71">
        <f t="shared" ca="1" si="69"/>
        <v>0.44927476313522846</v>
      </c>
      <c r="W80" s="71">
        <f t="shared" ca="1" si="69"/>
        <v>0.45</v>
      </c>
    </row>
    <row r="81" spans="2:23" x14ac:dyDescent="0.25">
      <c r="B81" t="s">
        <v>111</v>
      </c>
      <c r="M81" s="65"/>
      <c r="N81" s="75">
        <f>N40</f>
        <v>0.44347286821705428</v>
      </c>
      <c r="O81" s="75">
        <f t="shared" ref="O81:V81" si="70">N81+($W$81-$N$81)/($W$57-$N$57)</f>
        <v>0.45530921619293713</v>
      </c>
      <c r="P81" s="75">
        <f t="shared" si="70"/>
        <v>0.46714556416881997</v>
      </c>
      <c r="Q81" s="75">
        <f t="shared" si="70"/>
        <v>0.47898191214470281</v>
      </c>
      <c r="R81" s="75">
        <f t="shared" si="70"/>
        <v>0.49081826012058566</v>
      </c>
      <c r="S81" s="75">
        <f t="shared" si="70"/>
        <v>0.50265460809646856</v>
      </c>
      <c r="T81" s="75">
        <f t="shared" si="70"/>
        <v>0.5144909560723514</v>
      </c>
      <c r="U81" s="75">
        <f t="shared" si="70"/>
        <v>0.52632730404823425</v>
      </c>
      <c r="V81" s="75">
        <f t="shared" si="70"/>
        <v>0.53816365202411709</v>
      </c>
      <c r="W81" s="73">
        <f>H13</f>
        <v>0.55000000000000004</v>
      </c>
    </row>
    <row r="82" spans="2:23" x14ac:dyDescent="0.25">
      <c r="B82" t="s">
        <v>110</v>
      </c>
      <c r="M82" s="65"/>
      <c r="N82" s="75">
        <f>N40</f>
        <v>0.44347286821705428</v>
      </c>
      <c r="O82" s="75">
        <f t="shared" ref="O82:V82" si="71">N82+($W$82-$N$82)/($W$57-$N$57)</f>
        <v>0.44419810508182606</v>
      </c>
      <c r="P82" s="75">
        <f t="shared" si="71"/>
        <v>0.44492334194659783</v>
      </c>
      <c r="Q82" s="75">
        <f t="shared" si="71"/>
        <v>0.4456485788113696</v>
      </c>
      <c r="R82" s="75">
        <f t="shared" si="71"/>
        <v>0.44637381567614137</v>
      </c>
      <c r="S82" s="75">
        <f t="shared" si="71"/>
        <v>0.44709905254091314</v>
      </c>
      <c r="T82" s="75">
        <f t="shared" si="71"/>
        <v>0.44782428940568492</v>
      </c>
      <c r="U82" s="75">
        <f t="shared" si="71"/>
        <v>0.44854952627045669</v>
      </c>
      <c r="V82" s="75">
        <f t="shared" si="71"/>
        <v>0.44927476313522846</v>
      </c>
      <c r="W82" s="73">
        <f>M12</f>
        <v>0.45</v>
      </c>
    </row>
    <row r="83" spans="2:23" x14ac:dyDescent="0.25">
      <c r="B83" t="s">
        <v>109</v>
      </c>
      <c r="M83" s="65"/>
      <c r="N83" s="75">
        <f>N40</f>
        <v>0.44347286821705428</v>
      </c>
      <c r="O83" s="75">
        <f t="shared" ref="O83:V83" si="72">N83+($W$83-$N$83)/($W$57-$N$57)</f>
        <v>0.4408647717484927</v>
      </c>
      <c r="P83" s="75">
        <f t="shared" si="72"/>
        <v>0.43825667527993112</v>
      </c>
      <c r="Q83" s="75">
        <f t="shared" si="72"/>
        <v>0.43564857881136954</v>
      </c>
      <c r="R83" s="75">
        <f t="shared" si="72"/>
        <v>0.43304048234280795</v>
      </c>
      <c r="S83" s="75">
        <f t="shared" si="72"/>
        <v>0.43043238587424637</v>
      </c>
      <c r="T83" s="75">
        <f t="shared" si="72"/>
        <v>0.42782428940568479</v>
      </c>
      <c r="U83" s="75">
        <f t="shared" si="72"/>
        <v>0.42521619293712321</v>
      </c>
      <c r="V83" s="75">
        <f t="shared" si="72"/>
        <v>0.42260809646856162</v>
      </c>
      <c r="W83" s="73">
        <f>Q13</f>
        <v>0.42</v>
      </c>
    </row>
    <row r="84" spans="2:23" x14ac:dyDescent="0.25">
      <c r="M84" s="65"/>
    </row>
    <row r="85" spans="2:23" x14ac:dyDescent="0.25">
      <c r="M85" s="65"/>
    </row>
    <row r="86" spans="2:23" x14ac:dyDescent="0.25">
      <c r="B86" t="s">
        <v>106</v>
      </c>
      <c r="D86" s="64">
        <f t="shared" ref="D86:M86" si="73">D49</f>
        <v>2604.0589999999997</v>
      </c>
      <c r="E86" s="64">
        <f t="shared" si="73"/>
        <v>3169.828</v>
      </c>
      <c r="F86" s="64">
        <f t="shared" si="73"/>
        <v>3917.9749999999999</v>
      </c>
      <c r="G86" s="64">
        <f t="shared" si="73"/>
        <v>5940.8579999999993</v>
      </c>
      <c r="H86" s="64">
        <f t="shared" si="73"/>
        <v>8838.116</v>
      </c>
      <c r="I86" s="64">
        <f t="shared" si="73"/>
        <v>10032.785</v>
      </c>
      <c r="J86" s="64">
        <f t="shared" si="73"/>
        <v>14129.215</v>
      </c>
      <c r="K86" s="64">
        <f t="shared" si="73"/>
        <v>14169.718000000001</v>
      </c>
      <c r="L86" s="64">
        <f t="shared" si="73"/>
        <v>12277.207</v>
      </c>
      <c r="M86" s="67">
        <f t="shared" si="73"/>
        <v>18226.787</v>
      </c>
      <c r="N86" s="64">
        <f ca="1">N58*N87</f>
        <v>19426.334993375276</v>
      </c>
      <c r="O86" s="64">
        <f t="shared" ref="O86:W86" ca="1" si="74">O58*O87</f>
        <v>20773.345567282584</v>
      </c>
      <c r="P86" s="64">
        <f t="shared" ca="1" si="74"/>
        <v>22358.285462572774</v>
      </c>
      <c r="Q86" s="64">
        <f t="shared" ca="1" si="74"/>
        <v>23828.70480015891</v>
      </c>
      <c r="R86" s="64">
        <f t="shared" ca="1" si="74"/>
        <v>25144.506834656335</v>
      </c>
      <c r="S86" s="64">
        <f t="shared" ca="1" si="74"/>
        <v>26267.325433031088</v>
      </c>
      <c r="T86" s="64">
        <f t="shared" ca="1" si="74"/>
        <v>27162.283638052333</v>
      </c>
      <c r="U86" s="64">
        <f t="shared" ca="1" si="74"/>
        <v>27799.710179509173</v>
      </c>
      <c r="V86" s="64">
        <f t="shared" ca="1" si="74"/>
        <v>28156.702037068757</v>
      </c>
      <c r="W86" s="64">
        <f t="shared" ca="1" si="74"/>
        <v>28101.334422095126</v>
      </c>
    </row>
    <row r="87" spans="2:23" x14ac:dyDescent="0.25">
      <c r="B87" s="31" t="s">
        <v>89</v>
      </c>
      <c r="D87" s="52">
        <f t="shared" ref="D87:M87" si="75">D86/D$58</f>
        <v>0.72148948184154071</v>
      </c>
      <c r="E87" s="52">
        <f t="shared" si="75"/>
        <v>0.72460465756343151</v>
      </c>
      <c r="F87" s="52">
        <f t="shared" si="75"/>
        <v>0.71175655663133175</v>
      </c>
      <c r="G87" s="52">
        <f t="shared" si="75"/>
        <v>0.87629594523852805</v>
      </c>
      <c r="H87" s="52">
        <f t="shared" si="75"/>
        <v>1.0008433109654546</v>
      </c>
      <c r="I87" s="52">
        <f t="shared" si="75"/>
        <v>0.85803739474320462</v>
      </c>
      <c r="J87" s="52">
        <f t="shared" si="75"/>
        <v>0.89457451881024985</v>
      </c>
      <c r="K87" s="52">
        <f t="shared" si="75"/>
        <v>0.70298689049711993</v>
      </c>
      <c r="L87" s="52">
        <f t="shared" si="75"/>
        <v>0.49116576631129327</v>
      </c>
      <c r="M87" s="68">
        <f t="shared" si="75"/>
        <v>0.6137410850430759</v>
      </c>
      <c r="N87" s="71">
        <f ca="1">OFFSET(N87,$C$12,0)</f>
        <v>0.60236697653876825</v>
      </c>
      <c r="O87" s="71">
        <f t="shared" ref="O87:W87" ca="1" si="76">OFFSET(O87,$C$12,0)</f>
        <v>0.58899286803446071</v>
      </c>
      <c r="P87" s="71">
        <f t="shared" ca="1" si="76"/>
        <v>0.57561875953015318</v>
      </c>
      <c r="Q87" s="71">
        <f t="shared" ca="1" si="76"/>
        <v>0.56224465102584564</v>
      </c>
      <c r="R87" s="71">
        <f t="shared" ca="1" si="76"/>
        <v>0.54887054252153811</v>
      </c>
      <c r="S87" s="71">
        <f t="shared" ca="1" si="76"/>
        <v>0.53549643401723057</v>
      </c>
      <c r="T87" s="71">
        <f t="shared" ca="1" si="76"/>
        <v>0.52212232551292304</v>
      </c>
      <c r="U87" s="71">
        <f t="shared" ca="1" si="76"/>
        <v>0.5087482170086155</v>
      </c>
      <c r="V87" s="71">
        <f t="shared" ca="1" si="76"/>
        <v>0.49537410850430791</v>
      </c>
      <c r="W87" s="71">
        <f t="shared" ca="1" si="76"/>
        <v>0.48</v>
      </c>
    </row>
    <row r="88" spans="2:23" x14ac:dyDescent="0.25">
      <c r="B88" t="s">
        <v>111</v>
      </c>
      <c r="D88" s="52"/>
      <c r="E88" s="52"/>
      <c r="F88" s="52"/>
      <c r="G88" s="52"/>
      <c r="H88" s="52"/>
      <c r="I88" s="52"/>
      <c r="J88" s="52"/>
      <c r="K88" s="52"/>
      <c r="L88" s="52"/>
      <c r="M88" s="68"/>
      <c r="N88" s="75">
        <f>M87+($W$88-$M$87)/($W$57-$M$57)</f>
        <v>0.60236697653876825</v>
      </c>
      <c r="O88" s="75">
        <f>N88+($W$88-$N$88)/($W$57-$M$57)</f>
        <v>0.59213027888489145</v>
      </c>
      <c r="P88" s="75">
        <f t="shared" ref="P88:V88" si="77">O88+($W$88-$N$88)/($W$57-$M$57)</f>
        <v>0.58189358123101464</v>
      </c>
      <c r="Q88" s="75">
        <f t="shared" si="77"/>
        <v>0.57165688357713784</v>
      </c>
      <c r="R88" s="75">
        <f t="shared" si="77"/>
        <v>0.56142018592326104</v>
      </c>
      <c r="S88" s="75">
        <f t="shared" si="77"/>
        <v>0.55118348826938424</v>
      </c>
      <c r="T88" s="75">
        <f t="shared" si="77"/>
        <v>0.54094679061550743</v>
      </c>
      <c r="U88" s="75">
        <f t="shared" si="77"/>
        <v>0.53071009296163063</v>
      </c>
      <c r="V88" s="75">
        <f t="shared" si="77"/>
        <v>0.52047339530775383</v>
      </c>
      <c r="W88" s="73">
        <f>H14</f>
        <v>0.5</v>
      </c>
    </row>
    <row r="89" spans="2:23" x14ac:dyDescent="0.25">
      <c r="B89" t="s">
        <v>110</v>
      </c>
      <c r="D89" s="52"/>
      <c r="E89" s="52"/>
      <c r="F89" s="52"/>
      <c r="G89" s="52"/>
      <c r="H89" s="52"/>
      <c r="I89" s="52"/>
      <c r="J89" s="52"/>
      <c r="K89" s="52"/>
      <c r="L89" s="52"/>
      <c r="M89" s="68"/>
      <c r="N89" s="75">
        <f>M87+($W$88-$M$87)/($W$57-$M$57)</f>
        <v>0.60236697653876825</v>
      </c>
      <c r="O89" s="75">
        <f>N89+($W$89-$M$87)/($W$57-$M$57)</f>
        <v>0.58899286803446071</v>
      </c>
      <c r="P89" s="75">
        <f t="shared" ref="P89:V89" si="78">O89+($W$89-$M$87)/($W$57-$M$57)</f>
        <v>0.57561875953015318</v>
      </c>
      <c r="Q89" s="75">
        <f t="shared" si="78"/>
        <v>0.56224465102584564</v>
      </c>
      <c r="R89" s="75">
        <f t="shared" si="78"/>
        <v>0.54887054252153811</v>
      </c>
      <c r="S89" s="75">
        <f t="shared" si="78"/>
        <v>0.53549643401723057</v>
      </c>
      <c r="T89" s="75">
        <f t="shared" si="78"/>
        <v>0.52212232551292304</v>
      </c>
      <c r="U89" s="75">
        <f t="shared" si="78"/>
        <v>0.5087482170086155</v>
      </c>
      <c r="V89" s="75">
        <f t="shared" si="78"/>
        <v>0.49537410850430791</v>
      </c>
      <c r="W89" s="73">
        <f>M13</f>
        <v>0.48</v>
      </c>
    </row>
    <row r="90" spans="2:23" x14ac:dyDescent="0.25">
      <c r="B90" t="s">
        <v>109</v>
      </c>
      <c r="D90" s="52"/>
      <c r="E90" s="52"/>
      <c r="F90" s="52"/>
      <c r="G90" s="52"/>
      <c r="H90" s="52"/>
      <c r="I90" s="52"/>
      <c r="J90" s="52"/>
      <c r="K90" s="52"/>
      <c r="L90" s="52"/>
      <c r="M90" s="68"/>
      <c r="N90" s="75">
        <f>M87-($M$87-$W$90)/($W$57-$M$57)</f>
        <v>0.59836697653876836</v>
      </c>
      <c r="O90" s="75">
        <f>N90-($N$90-$W$90)/($W$57-$M$57)</f>
        <v>0.58453027888489151</v>
      </c>
      <c r="P90" s="75">
        <f t="shared" ref="P90:V90" si="79">O90-($N$90-$W$90)/($W$57-$M$57)</f>
        <v>0.57069358123101466</v>
      </c>
      <c r="Q90" s="75">
        <f t="shared" si="79"/>
        <v>0.55685688357713781</v>
      </c>
      <c r="R90" s="75">
        <f t="shared" si="79"/>
        <v>0.54302018592326096</v>
      </c>
      <c r="S90" s="75">
        <f t="shared" si="79"/>
        <v>0.52918348826938411</v>
      </c>
      <c r="T90" s="75">
        <f t="shared" si="79"/>
        <v>0.51534679061550726</v>
      </c>
      <c r="U90" s="75">
        <f t="shared" si="79"/>
        <v>0.5015100929616304</v>
      </c>
      <c r="V90" s="75">
        <f t="shared" si="79"/>
        <v>0.48767339530775355</v>
      </c>
      <c r="W90" s="73">
        <f>Q14</f>
        <v>0.46</v>
      </c>
    </row>
    <row r="91" spans="2:23" x14ac:dyDescent="0.25">
      <c r="M91" s="65"/>
    </row>
    <row r="92" spans="2:23" x14ac:dyDescent="0.25">
      <c r="B92" t="s">
        <v>107</v>
      </c>
      <c r="D92" s="54">
        <f t="shared" ref="D92:M92" si="80">D52</f>
        <v>20.106999999999999</v>
      </c>
      <c r="E92" s="54">
        <f t="shared" si="80"/>
        <v>128.84399999999999</v>
      </c>
      <c r="F92" s="54">
        <f t="shared" si="80"/>
        <v>189.50899999999999</v>
      </c>
      <c r="G92" s="54">
        <f t="shared" si="80"/>
        <v>191.25299999999999</v>
      </c>
      <c r="H92" s="54">
        <f t="shared" si="80"/>
        <v>244.67400000000001</v>
      </c>
      <c r="I92" s="54">
        <f t="shared" si="80"/>
        <v>132.78</v>
      </c>
      <c r="J92" s="54">
        <f t="shared" si="80"/>
        <v>291.70499999999998</v>
      </c>
      <c r="K92" s="54">
        <f t="shared" si="80"/>
        <v>165.57400000000001</v>
      </c>
      <c r="L92" s="54">
        <f t="shared" si="80"/>
        <v>162.202</v>
      </c>
      <c r="M92" s="69">
        <f t="shared" si="80"/>
        <v>47.122</v>
      </c>
      <c r="N92" s="64">
        <f ca="1">N58*N93</f>
        <v>175.1203162558258</v>
      </c>
      <c r="O92" s="64">
        <f t="shared" ref="O92:W92" ca="1" si="81">O58*O93</f>
        <v>158.78112088332975</v>
      </c>
      <c r="P92" s="64">
        <f t="shared" ca="1" si="81"/>
        <v>149.13803712001743</v>
      </c>
      <c r="Q92" s="64">
        <f t="shared" ca="1" si="81"/>
        <v>194.55379176407365</v>
      </c>
      <c r="R92" s="64">
        <f t="shared" ca="1" si="81"/>
        <v>197.47914732372303</v>
      </c>
      <c r="S92" s="64">
        <f t="shared" ca="1" si="81"/>
        <v>208.3224717099508</v>
      </c>
      <c r="T92" s="64">
        <f t="shared" ca="1" si="81"/>
        <v>228.0021814197693</v>
      </c>
      <c r="U92" s="64">
        <f t="shared" ca="1" si="81"/>
        <v>235.70197279588601</v>
      </c>
      <c r="V92" s="64">
        <f t="shared" ca="1" si="81"/>
        <v>245.22621382003837</v>
      </c>
      <c r="W92" s="64">
        <f t="shared" ca="1" si="81"/>
        <v>253.89894487901336</v>
      </c>
    </row>
    <row r="93" spans="2:23" x14ac:dyDescent="0.25">
      <c r="B93" s="31" t="s">
        <v>89</v>
      </c>
      <c r="D93" s="52">
        <f t="shared" ref="D93:M93" si="82">D92/D$58</f>
        <v>5.5709141042456639E-3</v>
      </c>
      <c r="E93" s="52">
        <f t="shared" si="82"/>
        <v>2.9453005809495898E-2</v>
      </c>
      <c r="F93" s="52">
        <f t="shared" si="82"/>
        <v>3.4427037765847671E-2</v>
      </c>
      <c r="G93" s="52">
        <f t="shared" si="82"/>
        <v>2.8210441726549299E-2</v>
      </c>
      <c r="H93" s="52">
        <f t="shared" si="82"/>
        <v>2.7707300545406016E-2</v>
      </c>
      <c r="I93" s="52">
        <f t="shared" si="82"/>
        <v>1.1355790568023008E-2</v>
      </c>
      <c r="J93" s="52">
        <f t="shared" si="82"/>
        <v>1.8468956697845131E-2</v>
      </c>
      <c r="K93" s="52">
        <f t="shared" si="82"/>
        <v>8.2144437459637613E-3</v>
      </c>
      <c r="L93" s="52">
        <f t="shared" si="82"/>
        <v>6.4891037210030251E-3</v>
      </c>
      <c r="M93" s="68">
        <f t="shared" si="82"/>
        <v>1.5867145103193349E-3</v>
      </c>
      <c r="N93" s="81">
        <f>AVERAGE(K93:M93)</f>
        <v>5.4300873257620398E-3</v>
      </c>
      <c r="O93" s="81">
        <f t="shared" ref="O93:W93" si="83">AVERAGE(L93:N93)</f>
        <v>4.5019685190281324E-3</v>
      </c>
      <c r="P93" s="81">
        <f t="shared" si="83"/>
        <v>3.8395901183698356E-3</v>
      </c>
      <c r="Q93" s="81">
        <f t="shared" si="83"/>
        <v>4.5905486543866688E-3</v>
      </c>
      <c r="R93" s="81">
        <f t="shared" si="83"/>
        <v>4.3107024305948788E-3</v>
      </c>
      <c r="S93" s="81">
        <f t="shared" si="83"/>
        <v>4.2469470677837943E-3</v>
      </c>
      <c r="T93" s="81">
        <f t="shared" si="83"/>
        <v>4.3827327175884473E-3</v>
      </c>
      <c r="U93" s="81">
        <f t="shared" si="83"/>
        <v>4.3134607386557068E-3</v>
      </c>
      <c r="V93" s="81">
        <f t="shared" si="83"/>
        <v>4.3143801746759825E-3</v>
      </c>
      <c r="W93" s="81">
        <f t="shared" si="83"/>
        <v>4.3368578769733789E-3</v>
      </c>
    </row>
    <row r="94" spans="2:23" ht="15.75" thickBot="1" x14ac:dyDescent="0.3">
      <c r="B94" s="31"/>
      <c r="D94" s="52"/>
      <c r="E94" s="52"/>
      <c r="F94" s="52"/>
      <c r="G94" s="52"/>
      <c r="H94" s="52"/>
      <c r="I94" s="52"/>
      <c r="J94" s="52"/>
      <c r="K94" s="52"/>
      <c r="L94" s="52"/>
      <c r="M94" s="71"/>
    </row>
    <row r="95" spans="2:23" ht="15.75" thickBot="1" x14ac:dyDescent="0.3">
      <c r="B95" s="76" t="s">
        <v>108</v>
      </c>
      <c r="C95" s="77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78">
        <f ca="1">N76+N79-N86-N92</f>
        <v>1975.544690368898</v>
      </c>
      <c r="O95" s="78">
        <f t="shared" ref="O95:W95" ca="1" si="84">O76+O79-O86-O92</f>
        <v>2846.1746725993985</v>
      </c>
      <c r="P95" s="78">
        <f t="shared" ca="1" si="84"/>
        <v>4348.6902011262682</v>
      </c>
      <c r="Q95" s="78">
        <f t="shared" ca="1" si="84"/>
        <v>5875.6357260460845</v>
      </c>
      <c r="R95" s="78">
        <f t="shared" ca="1" si="84"/>
        <v>7623.3476382347117</v>
      </c>
      <c r="S95" s="78">
        <f t="shared" ca="1" si="84"/>
        <v>9517.200588986816</v>
      </c>
      <c r="T95" s="78">
        <f t="shared" ca="1" si="84"/>
        <v>11522.865180600866</v>
      </c>
      <c r="U95" s="78">
        <f t="shared" ca="1" si="84"/>
        <v>13619.103282565757</v>
      </c>
      <c r="V95" s="78">
        <f t="shared" ca="1" si="84"/>
        <v>15742.5478418538</v>
      </c>
      <c r="W95" s="84">
        <f t="shared" ca="1" si="84"/>
        <v>18714.5017900352</v>
      </c>
    </row>
    <row r="96" spans="2:23" x14ac:dyDescent="0.25">
      <c r="B96" t="s">
        <v>135</v>
      </c>
      <c r="D96" s="52"/>
      <c r="E96" s="52"/>
      <c r="F96" s="52"/>
      <c r="G96" s="52"/>
      <c r="H96" s="52"/>
      <c r="I96" s="52"/>
      <c r="J96" s="52"/>
      <c r="K96" s="52"/>
      <c r="L96" s="52"/>
      <c r="M96" s="71"/>
      <c r="N96" s="64">
        <f t="shared" ref="N96:W96" ca="1" si="85">N95/(1+wacc)^N56</f>
        <v>1787.8232492026227</v>
      </c>
      <c r="O96" s="64">
        <f t="shared" ca="1" si="85"/>
        <v>2330.9716611858057</v>
      </c>
      <c r="P96" s="64">
        <f t="shared" ca="1" si="85"/>
        <v>3223.0840853898476</v>
      </c>
      <c r="Q96" s="64">
        <f t="shared" ca="1" si="85"/>
        <v>3940.9937920354746</v>
      </c>
      <c r="R96" s="64">
        <f t="shared" ca="1" si="85"/>
        <v>4627.3711514326778</v>
      </c>
      <c r="S96" s="64">
        <f t="shared" ca="1" si="85"/>
        <v>5227.9997082850723</v>
      </c>
      <c r="T96" s="64">
        <f t="shared" ca="1" si="85"/>
        <v>5728.2839067127479</v>
      </c>
      <c r="U96" s="64">
        <f t="shared" ca="1" si="85"/>
        <v>6127.0339851432118</v>
      </c>
      <c r="V96" s="64">
        <f t="shared" ca="1" si="85"/>
        <v>6409.3578446594738</v>
      </c>
      <c r="W96" s="64">
        <f t="shared" ca="1" si="85"/>
        <v>6895.3368922015097</v>
      </c>
    </row>
    <row r="97" spans="2:23" x14ac:dyDescent="0.25">
      <c r="B97" s="70" t="s">
        <v>127</v>
      </c>
      <c r="W97" s="85">
        <f ca="1">W95*(1+tgr)/(wacc-tgr)</f>
        <v>239779.554184826</v>
      </c>
    </row>
    <row r="98" spans="2:23" x14ac:dyDescent="0.25">
      <c r="B98" s="70" t="s">
        <v>128</v>
      </c>
      <c r="W98" s="85">
        <f ca="1">W97/(1+wacc)^W56</f>
        <v>88346.503931331841</v>
      </c>
    </row>
    <row r="99" spans="2:23" x14ac:dyDescent="0.25">
      <c r="B99" s="70" t="s">
        <v>129</v>
      </c>
      <c r="W99" s="85">
        <f ca="1">SUM(N96:W96)+W98</f>
        <v>134644.76020758029</v>
      </c>
    </row>
    <row r="100" spans="2:23" x14ac:dyDescent="0.25">
      <c r="B100" s="70" t="s">
        <v>130</v>
      </c>
      <c r="W100" s="42">
        <v>6</v>
      </c>
    </row>
    <row r="101" spans="2:23" x14ac:dyDescent="0.25">
      <c r="B101" s="70" t="s">
        <v>131</v>
      </c>
      <c r="W101" s="42">
        <v>14.5</v>
      </c>
    </row>
    <row r="102" spans="2:23" x14ac:dyDescent="0.25">
      <c r="B102" s="70" t="s">
        <v>132</v>
      </c>
      <c r="W102" s="85">
        <f ca="1">W99+W100-W101</f>
        <v>134636.26020758029</v>
      </c>
    </row>
    <row r="103" spans="2:23" x14ac:dyDescent="0.25">
      <c r="B103" s="70" t="s">
        <v>133</v>
      </c>
      <c r="W103" s="42">
        <v>444.3</v>
      </c>
    </row>
    <row r="104" spans="2:23" x14ac:dyDescent="0.25">
      <c r="B104" s="70" t="s">
        <v>134</v>
      </c>
      <c r="W104" s="85">
        <f ca="1">W102/W103</f>
        <v>303.03007023988357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DB0D-58ED-4A2F-824A-6662C2905579}">
  <dimension ref="B2:L27"/>
  <sheetViews>
    <sheetView workbookViewId="0">
      <selection activeCell="C18" sqref="C18"/>
    </sheetView>
  </sheetViews>
  <sheetFormatPr defaultRowHeight="15" x14ac:dyDescent="0.25"/>
  <cols>
    <col min="2" max="2" width="44.5703125" bestFit="1" customWidth="1"/>
    <col min="3" max="7" width="12.28515625" bestFit="1" customWidth="1"/>
    <col min="8" max="12" width="13.140625" bestFit="1" customWidth="1"/>
    <col min="19" max="22" width="10.140625" bestFit="1" customWidth="1"/>
  </cols>
  <sheetData>
    <row r="2" spans="2:12" x14ac:dyDescent="0.25">
      <c r="B2" t="s">
        <v>38</v>
      </c>
    </row>
    <row r="3" spans="2:12" x14ac:dyDescent="0.25">
      <c r="B3">
        <v>1000</v>
      </c>
      <c r="C3" t="s">
        <v>39</v>
      </c>
    </row>
    <row r="5" spans="2:12" x14ac:dyDescent="0.25">
      <c r="B5" s="5" t="s">
        <v>22</v>
      </c>
      <c r="C5" s="17" t="s">
        <v>30</v>
      </c>
      <c r="D5" s="17" t="s">
        <v>31</v>
      </c>
      <c r="E5" s="17" t="s">
        <v>29</v>
      </c>
      <c r="F5" s="17" t="s">
        <v>28</v>
      </c>
      <c r="G5" s="17" t="s">
        <v>27</v>
      </c>
      <c r="H5" s="18" t="s">
        <v>32</v>
      </c>
      <c r="I5" s="17" t="s">
        <v>33</v>
      </c>
      <c r="J5" s="18" t="s">
        <v>34</v>
      </c>
      <c r="K5" s="17" t="s">
        <v>35</v>
      </c>
      <c r="L5" s="17" t="s">
        <v>36</v>
      </c>
    </row>
    <row r="6" spans="2:12" x14ac:dyDescent="0.25">
      <c r="B6" s="6" t="s">
        <v>7</v>
      </c>
      <c r="C6" s="7">
        <v>3609282</v>
      </c>
      <c r="D6" s="7">
        <v>4374562</v>
      </c>
      <c r="E6" s="14">
        <v>5504656</v>
      </c>
      <c r="F6" s="14">
        <v>6779511</v>
      </c>
      <c r="G6" s="14">
        <v>8830669</v>
      </c>
      <c r="H6" s="11">
        <v>11692713</v>
      </c>
      <c r="I6" s="11">
        <v>15794341</v>
      </c>
      <c r="J6" s="11">
        <v>20156447</v>
      </c>
      <c r="K6" s="11">
        <v>24996056</v>
      </c>
      <c r="L6" s="11">
        <v>29697844</v>
      </c>
    </row>
    <row r="7" spans="2:12" x14ac:dyDescent="0.25">
      <c r="B7" s="6" t="s">
        <v>8</v>
      </c>
      <c r="C7" s="8">
        <v>2625866</v>
      </c>
      <c r="D7" s="8">
        <v>3117203</v>
      </c>
      <c r="E7" s="15">
        <v>3752760</v>
      </c>
      <c r="F7" s="15">
        <v>4591476</v>
      </c>
      <c r="G7" s="15">
        <v>6029901</v>
      </c>
      <c r="H7" s="12">
        <v>7659666</v>
      </c>
      <c r="I7" s="12">
        <v>9967538</v>
      </c>
      <c r="J7" s="12">
        <v>12440213</v>
      </c>
      <c r="K7" s="12">
        <v>15276319</v>
      </c>
      <c r="L7" s="12">
        <v>17332683</v>
      </c>
    </row>
    <row r="8" spans="2:12" x14ac:dyDescent="0.25">
      <c r="B8" s="6" t="s">
        <v>9</v>
      </c>
      <c r="C8" s="8">
        <v>484729</v>
      </c>
      <c r="D8" s="8">
        <v>469942</v>
      </c>
      <c r="E8" s="15">
        <v>607186</v>
      </c>
      <c r="F8" s="15">
        <v>824092</v>
      </c>
      <c r="G8" s="15">
        <v>991078</v>
      </c>
      <c r="H8" s="12">
        <v>1278022</v>
      </c>
      <c r="I8" s="12">
        <v>2369469</v>
      </c>
      <c r="J8" s="12">
        <v>2652462</v>
      </c>
      <c r="K8" s="12">
        <v>2228362</v>
      </c>
      <c r="L8" s="12">
        <v>2545146</v>
      </c>
    </row>
    <row r="9" spans="2:12" x14ac:dyDescent="0.25">
      <c r="B9" s="6" t="s">
        <v>10</v>
      </c>
      <c r="C9" s="8">
        <v>329008</v>
      </c>
      <c r="D9" s="8">
        <v>378769</v>
      </c>
      <c r="E9" s="15">
        <v>472321</v>
      </c>
      <c r="F9" s="15">
        <v>650788</v>
      </c>
      <c r="G9" s="15">
        <v>852098</v>
      </c>
      <c r="H9" s="12">
        <v>1052778</v>
      </c>
      <c r="I9" s="12">
        <v>1221814</v>
      </c>
      <c r="J9" s="12">
        <v>1545149</v>
      </c>
      <c r="K9" s="12">
        <v>1829600</v>
      </c>
      <c r="L9" s="12">
        <v>2273885</v>
      </c>
    </row>
    <row r="10" spans="2:12" x14ac:dyDescent="0.25">
      <c r="B10" s="6" t="s">
        <v>11</v>
      </c>
      <c r="C10" s="8">
        <v>119687</v>
      </c>
      <c r="D10" s="8">
        <v>180301</v>
      </c>
      <c r="E10" s="15">
        <v>269741</v>
      </c>
      <c r="F10" s="15">
        <v>407329</v>
      </c>
      <c r="G10" s="15">
        <v>577799</v>
      </c>
      <c r="H10" s="12">
        <v>863568</v>
      </c>
      <c r="I10" s="12">
        <v>630294</v>
      </c>
      <c r="J10" s="12">
        <v>914369</v>
      </c>
      <c r="K10" s="12">
        <v>1076486</v>
      </c>
      <c r="L10" s="12">
        <v>1351621</v>
      </c>
    </row>
    <row r="11" spans="2:12" x14ac:dyDescent="0.25">
      <c r="B11" s="6" t="s">
        <v>13</v>
      </c>
      <c r="C11" s="8">
        <v>49992</v>
      </c>
      <c r="D11" s="8">
        <v>228347</v>
      </c>
      <c r="E11" s="15">
        <v>402648</v>
      </c>
      <c r="F11" s="15">
        <v>305826</v>
      </c>
      <c r="G11" s="15">
        <v>379793</v>
      </c>
      <c r="H11" s="12">
        <v>838679</v>
      </c>
      <c r="I11" s="12">
        <v>1605226</v>
      </c>
      <c r="J11" s="12">
        <v>2604254</v>
      </c>
      <c r="K11" s="12">
        <v>4585289</v>
      </c>
      <c r="L11" s="12">
        <v>6194509</v>
      </c>
    </row>
    <row r="13" spans="2:12" x14ac:dyDescent="0.25">
      <c r="B13" s="5" t="s">
        <v>14</v>
      </c>
      <c r="C13" s="1"/>
      <c r="D13" s="1"/>
      <c r="E13" s="1"/>
      <c r="F13" s="1"/>
      <c r="G13" s="1"/>
      <c r="L13" s="19" t="s">
        <v>37</v>
      </c>
    </row>
    <row r="14" spans="2:12" x14ac:dyDescent="0.25">
      <c r="B14" s="6" t="s">
        <v>15</v>
      </c>
      <c r="C14" s="8">
        <v>-19986</v>
      </c>
      <c r="D14" s="8">
        <v>-29142</v>
      </c>
      <c r="E14" s="15">
        <v>-50219</v>
      </c>
      <c r="F14" s="15">
        <v>-132716</v>
      </c>
      <c r="G14" s="15">
        <v>-150114</v>
      </c>
      <c r="H14" s="12">
        <v>-238204</v>
      </c>
      <c r="I14" s="12">
        <v>-420493</v>
      </c>
      <c r="J14" s="12">
        <v>-626023</v>
      </c>
      <c r="K14" s="12">
        <v>-767499</v>
      </c>
      <c r="L14" s="12">
        <v>-765620</v>
      </c>
    </row>
    <row r="15" spans="2:12" x14ac:dyDescent="0.25">
      <c r="B15" s="6" t="s">
        <v>16</v>
      </c>
      <c r="C15" s="1">
        <v>474</v>
      </c>
      <c r="D15" s="8">
        <v>-3002</v>
      </c>
      <c r="E15" s="15">
        <v>-3060</v>
      </c>
      <c r="F15" s="15">
        <v>-31225</v>
      </c>
      <c r="G15" s="15">
        <v>30828</v>
      </c>
      <c r="H15" s="12">
        <v>-115154</v>
      </c>
      <c r="I15" s="12">
        <v>41725</v>
      </c>
      <c r="J15" s="12">
        <v>84000</v>
      </c>
      <c r="K15" s="12">
        <v>-618441</v>
      </c>
      <c r="L15" s="12">
        <v>411214</v>
      </c>
    </row>
    <row r="16" spans="2:12" x14ac:dyDescent="0.25">
      <c r="B16" s="10" t="s">
        <v>12</v>
      </c>
      <c r="C16" s="8">
        <v>0</v>
      </c>
      <c r="D16" s="8">
        <v>-25129</v>
      </c>
      <c r="E16" s="15">
        <v>0</v>
      </c>
      <c r="F16" s="15">
        <v>0</v>
      </c>
      <c r="G16" s="15">
        <v>0</v>
      </c>
    </row>
    <row r="17" spans="2:12" x14ac:dyDescent="0.25">
      <c r="B17" s="6" t="s">
        <v>17</v>
      </c>
      <c r="C17" s="8">
        <v>30480</v>
      </c>
      <c r="D17" s="8">
        <v>171074</v>
      </c>
      <c r="E17" s="15">
        <v>349369</v>
      </c>
      <c r="F17" s="15">
        <v>141885</v>
      </c>
      <c r="G17" s="15">
        <v>260507</v>
      </c>
      <c r="H17" s="12">
        <v>485321</v>
      </c>
      <c r="I17" s="12">
        <v>1226458</v>
      </c>
      <c r="J17" s="12">
        <v>2062231</v>
      </c>
      <c r="K17" s="12">
        <v>3199349</v>
      </c>
      <c r="L17" s="12">
        <v>5840103</v>
      </c>
    </row>
    <row r="18" spans="2:12" x14ac:dyDescent="0.25">
      <c r="B18" s="6" t="s">
        <v>18</v>
      </c>
      <c r="C18" s="8">
        <v>13328</v>
      </c>
      <c r="D18" s="8">
        <v>58671</v>
      </c>
      <c r="E18" s="15">
        <v>82570</v>
      </c>
      <c r="F18" s="15">
        <v>19244</v>
      </c>
      <c r="G18" s="15">
        <v>73829</v>
      </c>
      <c r="H18" s="12">
        <v>-73608</v>
      </c>
      <c r="I18" s="12">
        <v>15216</v>
      </c>
      <c r="J18" s="12">
        <v>195315</v>
      </c>
      <c r="K18" s="12">
        <v>437954</v>
      </c>
      <c r="L18" s="12">
        <v>723875</v>
      </c>
    </row>
    <row r="19" spans="2:12" x14ac:dyDescent="0.25">
      <c r="B19" s="6" t="s">
        <v>19</v>
      </c>
      <c r="C19" s="7">
        <v>17152</v>
      </c>
      <c r="D19" s="7">
        <v>112403</v>
      </c>
      <c r="E19" s="14">
        <v>266799</v>
      </c>
      <c r="F19" s="14">
        <v>122641</v>
      </c>
      <c r="G19" s="14">
        <v>186678</v>
      </c>
      <c r="H19" s="11">
        <v>558929</v>
      </c>
      <c r="I19" s="11">
        <v>1211242</v>
      </c>
      <c r="J19" s="11">
        <v>1866916</v>
      </c>
      <c r="K19" s="11">
        <v>2761395</v>
      </c>
      <c r="L19" s="11">
        <v>5116228</v>
      </c>
    </row>
    <row r="20" spans="2:12" x14ac:dyDescent="0.25">
      <c r="L20" s="19" t="s">
        <v>37</v>
      </c>
    </row>
    <row r="21" spans="2:12" x14ac:dyDescent="0.25">
      <c r="B21" s="5" t="s">
        <v>20</v>
      </c>
      <c r="C21" s="1"/>
      <c r="E21" s="1"/>
      <c r="F21" s="1"/>
      <c r="G21" s="1"/>
    </row>
    <row r="22" spans="2:12" x14ac:dyDescent="0.25">
      <c r="B22" s="6" t="s">
        <v>23</v>
      </c>
      <c r="C22" s="9">
        <v>0.31</v>
      </c>
      <c r="D22" s="9">
        <v>1.93</v>
      </c>
      <c r="E22" s="16">
        <v>0.63</v>
      </c>
      <c r="F22" s="16">
        <v>0.28999999999999998</v>
      </c>
      <c r="G22" s="16">
        <v>0.44</v>
      </c>
      <c r="H22" s="13">
        <v>1.29</v>
      </c>
      <c r="I22" s="13">
        <v>2.78</v>
      </c>
      <c r="J22" s="13">
        <v>4.26</v>
      </c>
      <c r="K22" s="13">
        <v>6.26</v>
      </c>
      <c r="L22" s="13">
        <v>11.55</v>
      </c>
    </row>
    <row r="23" spans="2:12" x14ac:dyDescent="0.25">
      <c r="B23" s="6" t="s">
        <v>24</v>
      </c>
      <c r="C23" s="9">
        <v>0.28999999999999998</v>
      </c>
      <c r="D23" s="9">
        <v>1.85</v>
      </c>
      <c r="E23" s="16">
        <v>0.62</v>
      </c>
      <c r="F23" s="16">
        <v>0.28000000000000003</v>
      </c>
      <c r="G23" s="16">
        <v>0.43</v>
      </c>
      <c r="H23" s="13">
        <v>1.25</v>
      </c>
      <c r="I23" s="13">
        <v>2.68</v>
      </c>
      <c r="J23" s="13">
        <v>4.13</v>
      </c>
      <c r="K23" s="13">
        <v>6.08</v>
      </c>
      <c r="L23" s="13">
        <v>11.24</v>
      </c>
    </row>
    <row r="25" spans="2:12" ht="30" x14ac:dyDescent="0.25">
      <c r="B25" s="5" t="s">
        <v>21</v>
      </c>
      <c r="C25" s="1"/>
      <c r="D25" s="1"/>
      <c r="E25" s="1"/>
      <c r="F25" s="1"/>
      <c r="G25" s="1"/>
      <c r="L25" s="19" t="s">
        <v>37</v>
      </c>
    </row>
    <row r="26" spans="2:12" x14ac:dyDescent="0.25">
      <c r="B26" s="6" t="s">
        <v>25</v>
      </c>
      <c r="C26" s="8">
        <v>55521</v>
      </c>
      <c r="D26" s="8">
        <v>58198</v>
      </c>
      <c r="E26" s="15">
        <v>420544</v>
      </c>
      <c r="F26" s="15">
        <v>425889</v>
      </c>
      <c r="G26" s="15">
        <v>428822</v>
      </c>
      <c r="H26" s="12">
        <v>431885</v>
      </c>
      <c r="I26" s="12">
        <v>435374</v>
      </c>
      <c r="J26" s="12">
        <v>437799</v>
      </c>
      <c r="K26" s="12">
        <v>440922</v>
      </c>
      <c r="L26" s="12">
        <v>443155</v>
      </c>
    </row>
    <row r="27" spans="2:12" x14ac:dyDescent="0.25">
      <c r="B27" s="6" t="s">
        <v>26</v>
      </c>
      <c r="C27" s="8">
        <v>58904</v>
      </c>
      <c r="D27" s="8">
        <v>60761</v>
      </c>
      <c r="E27" s="15">
        <v>431894</v>
      </c>
      <c r="F27" s="15">
        <v>436456</v>
      </c>
      <c r="G27" s="15">
        <v>438652</v>
      </c>
      <c r="H27" s="12">
        <v>446814</v>
      </c>
      <c r="I27" s="12">
        <v>451244</v>
      </c>
      <c r="J27" s="12">
        <v>451765</v>
      </c>
      <c r="K27" s="12">
        <v>454208</v>
      </c>
      <c r="L27" s="12">
        <v>455372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6D23-BCE6-4AC8-96EB-D4734EF6D990}">
  <dimension ref="A2:L61"/>
  <sheetViews>
    <sheetView showGridLines="0" workbookViewId="0">
      <pane xSplit="1" topLeftCell="B1" activePane="topRight" state="frozen"/>
      <selection pane="topRight" activeCell="A4" sqref="A4"/>
    </sheetView>
  </sheetViews>
  <sheetFormatPr defaultRowHeight="15" x14ac:dyDescent="0.25"/>
  <cols>
    <col min="1" max="1" width="74.7109375" style="10" bestFit="1" customWidth="1"/>
    <col min="2" max="7" width="16" style="10" bestFit="1" customWidth="1"/>
    <col min="8" max="11" width="17" style="10" bestFit="1" customWidth="1"/>
    <col min="12" max="16384" width="9.140625" style="10"/>
  </cols>
  <sheetData>
    <row r="2" spans="1:11" x14ac:dyDescent="0.25">
      <c r="A2" s="10">
        <v>1000</v>
      </c>
    </row>
    <row r="4" spans="1:11" x14ac:dyDescent="0.25">
      <c r="A4" s="21"/>
      <c r="B4" s="22" t="s">
        <v>30</v>
      </c>
      <c r="C4" s="22" t="s">
        <v>31</v>
      </c>
      <c r="D4" s="23" t="s">
        <v>29</v>
      </c>
      <c r="E4" s="23" t="s">
        <v>28</v>
      </c>
      <c r="F4" s="23" t="s">
        <v>27</v>
      </c>
      <c r="G4" s="23" t="s">
        <v>32</v>
      </c>
      <c r="H4" s="23" t="s">
        <v>33</v>
      </c>
      <c r="I4" s="18" t="s">
        <v>34</v>
      </c>
      <c r="J4" s="23" t="s">
        <v>35</v>
      </c>
      <c r="K4" s="23" t="s">
        <v>36</v>
      </c>
    </row>
    <row r="5" spans="1:11" x14ac:dyDescent="0.25">
      <c r="A5" s="22" t="s">
        <v>40</v>
      </c>
      <c r="B5" s="21"/>
      <c r="C5" s="21"/>
      <c r="D5" s="21"/>
      <c r="E5" s="21"/>
      <c r="F5" s="21"/>
      <c r="G5" s="21"/>
      <c r="H5" s="21"/>
      <c r="I5"/>
      <c r="J5" s="21"/>
      <c r="K5" s="21"/>
    </row>
    <row r="6" spans="1:11" x14ac:dyDescent="0.25">
      <c r="A6" s="21" t="s">
        <v>19</v>
      </c>
      <c r="B6" s="21">
        <v>17152</v>
      </c>
      <c r="C6" s="21">
        <v>112403</v>
      </c>
      <c r="D6" s="21">
        <v>266799</v>
      </c>
      <c r="E6" s="24">
        <v>122641</v>
      </c>
      <c r="F6" s="24">
        <v>186678</v>
      </c>
      <c r="G6" s="24">
        <v>558929</v>
      </c>
      <c r="H6" s="24">
        <v>1211242</v>
      </c>
      <c r="I6" s="11">
        <v>1866916</v>
      </c>
      <c r="J6" s="24">
        <v>2761395</v>
      </c>
      <c r="K6" s="24">
        <v>5116228</v>
      </c>
    </row>
    <row r="7" spans="1:11" x14ac:dyDescent="0.25">
      <c r="A7" s="21"/>
      <c r="B7" s="21"/>
      <c r="C7" s="21"/>
      <c r="D7" s="21"/>
      <c r="E7" s="24"/>
      <c r="F7" s="24"/>
      <c r="G7" s="24"/>
      <c r="H7" s="24"/>
      <c r="I7" s="11"/>
      <c r="J7" s="24"/>
      <c r="K7" s="24"/>
    </row>
    <row r="8" spans="1:11" x14ac:dyDescent="0.25">
      <c r="A8" s="26" t="s">
        <v>68</v>
      </c>
      <c r="B8" s="27"/>
      <c r="C8" s="27"/>
      <c r="D8" s="27"/>
      <c r="E8" s="27"/>
      <c r="F8" s="27"/>
      <c r="G8" s="27"/>
      <c r="H8" s="27"/>
      <c r="I8"/>
      <c r="J8" s="27"/>
      <c r="K8" s="27"/>
    </row>
    <row r="9" spans="1:11" x14ac:dyDescent="0.25">
      <c r="A9" s="27" t="s">
        <v>69</v>
      </c>
      <c r="B9" s="27">
        <v>-2515506</v>
      </c>
      <c r="C9" s="27">
        <v>-3049758</v>
      </c>
      <c r="D9" s="27">
        <v>-3773459</v>
      </c>
      <c r="E9" s="28">
        <v>-5771652</v>
      </c>
      <c r="F9" s="28">
        <v>-8653286</v>
      </c>
      <c r="G9" s="28">
        <v>-9805763</v>
      </c>
      <c r="H9" s="20">
        <v>-13916683</v>
      </c>
      <c r="I9" s="20">
        <v>-13916683</v>
      </c>
      <c r="J9" s="28">
        <v>-11779284</v>
      </c>
      <c r="K9" s="28">
        <v>-17702202</v>
      </c>
    </row>
    <row r="10" spans="1:11" x14ac:dyDescent="0.25">
      <c r="A10" s="27" t="s">
        <v>41</v>
      </c>
      <c r="B10" s="27">
        <v>762089</v>
      </c>
      <c r="C10" s="27">
        <v>673785</v>
      </c>
      <c r="D10" s="27">
        <v>593125</v>
      </c>
      <c r="E10" s="28">
        <v>1162413</v>
      </c>
      <c r="F10" s="28">
        <v>1772650</v>
      </c>
      <c r="G10" s="28">
        <v>900006</v>
      </c>
      <c r="H10" s="28">
        <v>999880</v>
      </c>
      <c r="I10" s="20">
        <v>-694011</v>
      </c>
      <c r="J10" s="28">
        <v>-757433</v>
      </c>
      <c r="K10" s="28">
        <v>232898</v>
      </c>
    </row>
    <row r="11" spans="1:11" ht="25.5" customHeight="1" x14ac:dyDescent="0.25">
      <c r="A11" s="27" t="s">
        <v>70</v>
      </c>
      <c r="B11" s="27">
        <v>1591218</v>
      </c>
      <c r="C11" s="27">
        <v>2121981</v>
      </c>
      <c r="D11" s="27">
        <v>2656279</v>
      </c>
      <c r="E11" s="28">
        <v>3405382</v>
      </c>
      <c r="F11" s="28">
        <v>4788498</v>
      </c>
      <c r="G11" s="28">
        <v>6197817</v>
      </c>
      <c r="H11" s="28">
        <v>7532088</v>
      </c>
      <c r="I11" s="20">
        <v>9216247</v>
      </c>
      <c r="J11" s="28">
        <v>10806912</v>
      </c>
      <c r="K11" s="28">
        <v>12230367</v>
      </c>
    </row>
    <row r="12" spans="1:11" x14ac:dyDescent="0.25">
      <c r="A12" s="27" t="s">
        <v>71</v>
      </c>
      <c r="B12" s="27">
        <v>65396</v>
      </c>
      <c r="C12" s="27">
        <v>71325</v>
      </c>
      <c r="D12" s="27">
        <v>71491</v>
      </c>
      <c r="E12" s="28">
        <v>79380</v>
      </c>
      <c r="F12" s="28">
        <v>78952</v>
      </c>
      <c r="G12" s="28">
        <v>60657</v>
      </c>
      <c r="H12" s="28">
        <v>41212</v>
      </c>
      <c r="I12" s="28">
        <v>0</v>
      </c>
      <c r="J12" s="28">
        <v>0</v>
      </c>
    </row>
    <row r="13" spans="1:11" x14ac:dyDescent="0.25">
      <c r="A13" s="27" t="s">
        <v>42</v>
      </c>
      <c r="B13" s="27">
        <v>45469</v>
      </c>
      <c r="C13" s="27">
        <v>48374</v>
      </c>
      <c r="D13" s="27">
        <v>54028</v>
      </c>
      <c r="E13" s="28">
        <v>62283</v>
      </c>
      <c r="F13" s="28">
        <v>57528</v>
      </c>
      <c r="G13" s="28">
        <v>71911</v>
      </c>
      <c r="H13" s="28">
        <v>83157</v>
      </c>
      <c r="I13" s="20">
        <v>103579</v>
      </c>
      <c r="J13" s="28">
        <v>115710</v>
      </c>
      <c r="K13" s="28">
        <v>208412</v>
      </c>
    </row>
    <row r="14" spans="1:11" x14ac:dyDescent="0.25">
      <c r="A14" s="27" t="s">
        <v>43</v>
      </c>
      <c r="B14" s="27">
        <v>73948</v>
      </c>
      <c r="C14" s="27">
        <v>73100</v>
      </c>
      <c r="D14" s="27">
        <v>115239</v>
      </c>
      <c r="E14" s="28">
        <v>124725</v>
      </c>
      <c r="F14" s="28">
        <v>173675</v>
      </c>
      <c r="G14" s="28">
        <v>182209</v>
      </c>
      <c r="H14" s="28">
        <v>320657</v>
      </c>
      <c r="I14" s="20">
        <v>405376</v>
      </c>
      <c r="J14" s="28">
        <v>415180</v>
      </c>
      <c r="K14" s="28">
        <v>403220</v>
      </c>
    </row>
    <row r="15" spans="1:11" x14ac:dyDescent="0.25">
      <c r="A15" s="27" t="s">
        <v>44</v>
      </c>
      <c r="B15" s="27">
        <v>-4543</v>
      </c>
      <c r="C15" s="27">
        <v>-81663</v>
      </c>
      <c r="D15" s="27">
        <v>-89341</v>
      </c>
      <c r="E15" s="28">
        <v>-80471</v>
      </c>
      <c r="F15" s="28">
        <v>-65121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</row>
    <row r="16" spans="1:11" ht="25.5" customHeight="1" x14ac:dyDescent="0.25">
      <c r="A16" s="27" t="s">
        <v>45</v>
      </c>
      <c r="B16" s="27">
        <v>-8392</v>
      </c>
      <c r="C16" s="27">
        <v>5332</v>
      </c>
      <c r="D16" s="27">
        <v>15282</v>
      </c>
      <c r="E16" s="28">
        <v>31628</v>
      </c>
      <c r="F16" s="28">
        <v>40909</v>
      </c>
      <c r="G16" s="28">
        <v>57207</v>
      </c>
      <c r="H16" s="28">
        <v>40428</v>
      </c>
      <c r="I16" s="20">
        <v>228230</v>
      </c>
      <c r="J16" s="28">
        <v>293126</v>
      </c>
      <c r="K16" s="28">
        <v>376777</v>
      </c>
    </row>
    <row r="17" spans="1:12" customFormat="1" ht="25.5" customHeight="1" x14ac:dyDescent="0.25">
      <c r="A17" s="29" t="s">
        <v>82</v>
      </c>
      <c r="B17" s="27">
        <v>0</v>
      </c>
      <c r="C17" s="27">
        <v>0</v>
      </c>
      <c r="D17" s="27">
        <v>0</v>
      </c>
      <c r="E17" s="28">
        <v>0</v>
      </c>
      <c r="F17" s="27">
        <v>0</v>
      </c>
      <c r="G17" s="27"/>
      <c r="H17" s="27"/>
      <c r="I17" s="20">
        <v>-45576</v>
      </c>
      <c r="J17" s="28">
        <v>533278</v>
      </c>
      <c r="K17" s="28">
        <v>-430661</v>
      </c>
      <c r="L17" s="10"/>
    </row>
    <row r="18" spans="1:12" x14ac:dyDescent="0.25">
      <c r="A18" s="27" t="s">
        <v>12</v>
      </c>
      <c r="B18" s="27">
        <v>0</v>
      </c>
      <c r="C18" s="27">
        <v>25129</v>
      </c>
      <c r="D18" s="27">
        <v>0</v>
      </c>
      <c r="E18" s="27">
        <v>0</v>
      </c>
      <c r="F18" s="27">
        <v>0</v>
      </c>
      <c r="G18" s="28">
        <v>140790</v>
      </c>
      <c r="H18" s="28">
        <v>-73953</v>
      </c>
      <c r="I18" s="28">
        <v>0</v>
      </c>
      <c r="J18" s="28">
        <v>0</v>
      </c>
      <c r="K18" s="28">
        <v>0</v>
      </c>
    </row>
    <row r="19" spans="1:12" x14ac:dyDescent="0.25">
      <c r="A19" s="27" t="s">
        <v>46</v>
      </c>
      <c r="B19" s="27">
        <v>-30071</v>
      </c>
      <c r="C19" s="27">
        <v>-22044</v>
      </c>
      <c r="D19" s="27">
        <v>-30063</v>
      </c>
      <c r="E19" s="28">
        <v>-58655</v>
      </c>
      <c r="F19" s="28">
        <v>-46847</v>
      </c>
      <c r="G19" s="28">
        <v>-208688</v>
      </c>
      <c r="H19" s="28">
        <v>-85520</v>
      </c>
      <c r="I19" s="20">
        <v>-94443</v>
      </c>
      <c r="J19" s="28">
        <v>70066</v>
      </c>
      <c r="K19" s="28">
        <v>199548</v>
      </c>
    </row>
    <row r="20" spans="1:12" x14ac:dyDescent="0.25">
      <c r="A20" s="27"/>
      <c r="B20" s="27"/>
      <c r="C20" s="27"/>
      <c r="D20" s="27"/>
      <c r="E20" s="28"/>
      <c r="F20" s="28"/>
      <c r="G20" s="28"/>
      <c r="H20" s="28"/>
      <c r="I20" s="20"/>
    </row>
    <row r="21" spans="1:12" ht="25.5" customHeight="1" x14ac:dyDescent="0.25">
      <c r="A21" s="26" t="s">
        <v>47</v>
      </c>
      <c r="B21" s="27">
        <f>SUM(B22:B25)</f>
        <v>20107</v>
      </c>
      <c r="C21" s="27">
        <f>SUM(C22:C25)</f>
        <v>128844</v>
      </c>
      <c r="D21" s="27">
        <f>SUM(D22:D25)</f>
        <v>189509</v>
      </c>
      <c r="E21" s="27">
        <f>SUM(E22:E25)</f>
        <v>191253</v>
      </c>
      <c r="F21" s="27">
        <f t="shared" ref="F21:K21" si="0">SUM(F22:F25)</f>
        <v>244674</v>
      </c>
      <c r="G21" s="27">
        <f t="shared" si="0"/>
        <v>132780</v>
      </c>
      <c r="H21" s="27">
        <f t="shared" si="0"/>
        <v>291705</v>
      </c>
      <c r="I21" s="27">
        <f t="shared" si="0"/>
        <v>165574</v>
      </c>
      <c r="J21" s="27">
        <f t="shared" si="0"/>
        <v>162202</v>
      </c>
      <c r="K21" s="27">
        <f t="shared" si="0"/>
        <v>47122</v>
      </c>
    </row>
    <row r="22" spans="1:12" x14ac:dyDescent="0.25">
      <c r="A22" s="27" t="s">
        <v>48</v>
      </c>
      <c r="B22" s="27">
        <v>-5432</v>
      </c>
      <c r="C22" s="27">
        <v>62234</v>
      </c>
      <c r="D22" s="27">
        <v>-8758</v>
      </c>
      <c r="E22" s="28">
        <v>18693</v>
      </c>
      <c r="F22" s="28">
        <v>46970</v>
      </c>
      <c r="G22" s="28">
        <v>-234090</v>
      </c>
      <c r="H22" s="28">
        <v>-200192</v>
      </c>
      <c r="I22" s="20">
        <v>-252113</v>
      </c>
      <c r="J22" s="28">
        <v>-187623</v>
      </c>
      <c r="K22" s="28">
        <v>-369681</v>
      </c>
    </row>
    <row r="23" spans="1:12" x14ac:dyDescent="0.25">
      <c r="A23" s="27" t="s">
        <v>72</v>
      </c>
      <c r="B23" s="27">
        <v>-4943</v>
      </c>
      <c r="C23" s="27">
        <v>18374</v>
      </c>
      <c r="D23" s="27">
        <v>83812</v>
      </c>
      <c r="E23" s="28">
        <v>51615</v>
      </c>
      <c r="F23" s="28">
        <v>32247</v>
      </c>
      <c r="G23" s="28">
        <v>74559</v>
      </c>
      <c r="H23" s="28">
        <v>199198</v>
      </c>
      <c r="I23" s="20">
        <v>96063</v>
      </c>
      <c r="J23" s="28">
        <v>-41605</v>
      </c>
      <c r="K23" s="28">
        <v>145115</v>
      </c>
    </row>
    <row r="24" spans="1:12" x14ac:dyDescent="0.25">
      <c r="A24" s="27" t="s">
        <v>49</v>
      </c>
      <c r="B24" s="27">
        <v>9806</v>
      </c>
      <c r="C24" s="27">
        <v>1941</v>
      </c>
      <c r="D24" s="27">
        <v>55636</v>
      </c>
      <c r="E24" s="28">
        <v>48810</v>
      </c>
      <c r="F24" s="28">
        <v>68706</v>
      </c>
      <c r="G24" s="28">
        <v>114337</v>
      </c>
      <c r="H24" s="28">
        <v>150422</v>
      </c>
      <c r="I24" s="20">
        <v>157778</v>
      </c>
      <c r="J24" s="28">
        <v>198183</v>
      </c>
      <c r="K24" s="28">
        <v>180338</v>
      </c>
    </row>
    <row r="25" spans="1:12" x14ac:dyDescent="0.25">
      <c r="A25" s="27" t="s">
        <v>50</v>
      </c>
      <c r="B25" s="27">
        <v>20676</v>
      </c>
      <c r="C25" s="27">
        <v>46295</v>
      </c>
      <c r="D25" s="27">
        <v>58819</v>
      </c>
      <c r="E25" s="28">
        <v>72135</v>
      </c>
      <c r="F25" s="28">
        <v>96751</v>
      </c>
      <c r="G25" s="28">
        <v>177974</v>
      </c>
      <c r="H25" s="28">
        <v>142277</v>
      </c>
      <c r="I25" s="20">
        <v>163846</v>
      </c>
      <c r="J25" s="28">
        <v>193247</v>
      </c>
      <c r="K25" s="28">
        <v>91350</v>
      </c>
    </row>
    <row r="26" spans="1:12" ht="25.5" customHeight="1" x14ac:dyDescent="0.25">
      <c r="A26" s="27" t="s">
        <v>51</v>
      </c>
      <c r="B26" s="27">
        <v>4719</v>
      </c>
      <c r="C26" s="27">
        <v>-8977</v>
      </c>
      <c r="D26" s="27">
        <v>-52406</v>
      </c>
      <c r="E26" s="28">
        <v>-18366</v>
      </c>
      <c r="F26" s="28">
        <v>-52294</v>
      </c>
      <c r="G26" s="28">
        <v>-73803</v>
      </c>
      <c r="H26" s="28">
        <v>2062</v>
      </c>
      <c r="I26" s="20">
        <v>-122531</v>
      </c>
      <c r="J26" s="28">
        <v>-194075</v>
      </c>
      <c r="K26" s="28">
        <v>-289099</v>
      </c>
    </row>
    <row r="27" spans="1:12" x14ac:dyDescent="0.25">
      <c r="A27" s="27" t="s">
        <v>73</v>
      </c>
      <c r="B27" s="27">
        <v>21586</v>
      </c>
      <c r="C27" s="27">
        <v>97831</v>
      </c>
      <c r="D27" s="27">
        <v>16483</v>
      </c>
      <c r="E27" s="28">
        <v>-749439</v>
      </c>
      <c r="F27" s="28">
        <v>-1473984</v>
      </c>
      <c r="G27" s="28">
        <v>-1785948</v>
      </c>
      <c r="H27" s="28">
        <v>-2680479</v>
      </c>
      <c r="I27" s="20">
        <v>-2887322</v>
      </c>
      <c r="J27" s="28">
        <v>2427077</v>
      </c>
      <c r="K27" s="28">
        <v>392610</v>
      </c>
    </row>
    <row r="28" spans="1:12" x14ac:dyDescent="0.25">
      <c r="A28" s="21"/>
      <c r="B28" s="21"/>
      <c r="C28" s="21"/>
      <c r="D28" s="21"/>
      <c r="E28" s="24"/>
      <c r="F28" s="24"/>
      <c r="G28" s="24"/>
      <c r="H28" s="24"/>
      <c r="I28" s="12"/>
      <c r="J28" s="24"/>
      <c r="K28" s="27"/>
    </row>
    <row r="29" spans="1:12" x14ac:dyDescent="0.25">
      <c r="A29" s="22" t="s">
        <v>52</v>
      </c>
      <c r="B29" s="21"/>
      <c r="C29" s="21"/>
      <c r="D29" s="21"/>
      <c r="E29" s="21"/>
      <c r="F29" s="21"/>
      <c r="G29" s="21"/>
    </row>
    <row r="30" spans="1:12" x14ac:dyDescent="0.25">
      <c r="A30" s="21" t="s">
        <v>74</v>
      </c>
      <c r="B30" s="21">
        <v>-48275</v>
      </c>
      <c r="C30" s="21">
        <v>-65927</v>
      </c>
      <c r="D30" s="21">
        <v>-74790</v>
      </c>
      <c r="E30" s="24">
        <v>-77958</v>
      </c>
      <c r="F30" s="24">
        <v>-77177</v>
      </c>
      <c r="G30" s="24">
        <v>-53720</v>
      </c>
      <c r="H30" s="24">
        <v>-38586</v>
      </c>
      <c r="I30" s="24">
        <v>0</v>
      </c>
      <c r="J30" s="24">
        <v>0</v>
      </c>
      <c r="K30" s="24">
        <v>0</v>
      </c>
    </row>
    <row r="31" spans="1:12" x14ac:dyDescent="0.25">
      <c r="A31" s="21" t="s">
        <v>53</v>
      </c>
      <c r="B31" s="21">
        <v>-40278</v>
      </c>
      <c r="C31" s="21">
        <v>-54143</v>
      </c>
      <c r="D31" s="21">
        <v>-69726</v>
      </c>
      <c r="E31" s="24">
        <v>-91248</v>
      </c>
      <c r="F31" s="24">
        <v>-107653</v>
      </c>
      <c r="G31" s="24">
        <v>-173302</v>
      </c>
      <c r="H31" s="24">
        <v>-173946</v>
      </c>
      <c r="I31" s="12">
        <v>-253035</v>
      </c>
      <c r="J31" s="28">
        <v>-497923</v>
      </c>
      <c r="K31" s="28">
        <v>-524585</v>
      </c>
    </row>
    <row r="32" spans="1:12" x14ac:dyDescent="0.25">
      <c r="A32" s="21" t="s">
        <v>54</v>
      </c>
      <c r="B32" s="21">
        <v>8816</v>
      </c>
      <c r="C32" s="21">
        <v>5939</v>
      </c>
      <c r="D32" s="21">
        <v>1334</v>
      </c>
      <c r="E32" s="24">
        <v>-1912</v>
      </c>
      <c r="F32" s="24">
        <v>-941</v>
      </c>
      <c r="G32" s="24">
        <v>-6689</v>
      </c>
      <c r="H32" s="24">
        <v>-126588</v>
      </c>
      <c r="I32" s="12">
        <v>-134029</v>
      </c>
      <c r="J32" s="24">
        <v>-7431</v>
      </c>
      <c r="K32" s="24">
        <v>-26919</v>
      </c>
    </row>
    <row r="33" spans="1:11" x14ac:dyDescent="0.25">
      <c r="A33" s="21" t="s">
        <v>55</v>
      </c>
      <c r="B33" s="21">
        <v>-477321</v>
      </c>
      <c r="C33" s="21">
        <v>-550264</v>
      </c>
      <c r="D33" s="21">
        <v>-426934</v>
      </c>
      <c r="E33" s="24">
        <v>-371915</v>
      </c>
      <c r="F33" s="24">
        <v>-187193</v>
      </c>
      <c r="G33" s="24">
        <v>-74819</v>
      </c>
      <c r="H33" s="24">
        <v>0</v>
      </c>
    </row>
    <row r="34" spans="1:11" x14ac:dyDescent="0.25">
      <c r="A34" s="21" t="s">
        <v>83</v>
      </c>
      <c r="B34" s="21"/>
      <c r="C34" s="21"/>
      <c r="D34" s="21"/>
      <c r="E34" s="24"/>
      <c r="F34" s="24"/>
      <c r="G34" s="24"/>
      <c r="H34" s="24"/>
      <c r="K34" s="24">
        <v>-788349</v>
      </c>
    </row>
    <row r="35" spans="1:11" x14ac:dyDescent="0.25">
      <c r="A35" s="21" t="s">
        <v>56</v>
      </c>
      <c r="B35" s="21">
        <v>282953</v>
      </c>
      <c r="C35" s="21">
        <v>347502</v>
      </c>
      <c r="D35" s="21">
        <v>385300</v>
      </c>
      <c r="E35" s="24">
        <v>259079</v>
      </c>
      <c r="F35" s="24">
        <v>282484</v>
      </c>
      <c r="G35" s="24">
        <v>320154</v>
      </c>
      <c r="H35" s="24">
        <v>0</v>
      </c>
    </row>
    <row r="36" spans="1:11" x14ac:dyDescent="0.25">
      <c r="A36" s="21" t="s">
        <v>57</v>
      </c>
      <c r="B36" s="21">
        <v>29365</v>
      </c>
      <c r="C36" s="21">
        <v>60925</v>
      </c>
      <c r="D36" s="21">
        <v>141950</v>
      </c>
      <c r="E36" s="24">
        <v>104762</v>
      </c>
      <c r="F36" s="24">
        <v>140245</v>
      </c>
      <c r="G36" s="24">
        <v>22705</v>
      </c>
      <c r="H36" s="24">
        <v>0</v>
      </c>
      <c r="J36" s="24">
        <v>0</v>
      </c>
    </row>
    <row r="37" spans="1:11" x14ac:dyDescent="0.25">
      <c r="A37" s="21" t="s">
        <v>75</v>
      </c>
      <c r="B37" s="21">
        <v>-244740</v>
      </c>
      <c r="C37" s="21">
        <v>-255968</v>
      </c>
      <c r="D37" s="21">
        <v>-42866</v>
      </c>
      <c r="E37" s="24">
        <v>-179192</v>
      </c>
      <c r="F37" s="24">
        <v>49765</v>
      </c>
      <c r="G37" s="24">
        <v>34329</v>
      </c>
      <c r="H37" s="24">
        <v>-339120</v>
      </c>
      <c r="I37" s="12">
        <v>-387064</v>
      </c>
      <c r="J37" s="24">
        <v>-505354</v>
      </c>
      <c r="K37" s="24">
        <v>-1339853</v>
      </c>
    </row>
    <row r="38" spans="1:11" x14ac:dyDescent="0.25">
      <c r="A38" s="21"/>
      <c r="B38" s="21"/>
      <c r="C38" s="21"/>
      <c r="D38" s="21"/>
      <c r="E38" s="24"/>
      <c r="F38" s="24"/>
      <c r="G38" s="24"/>
      <c r="H38" s="24"/>
      <c r="I38" s="12"/>
      <c r="J38" s="24"/>
    </row>
    <row r="39" spans="1:11" x14ac:dyDescent="0.25">
      <c r="A39" s="22" t="s">
        <v>58</v>
      </c>
      <c r="B39" s="21"/>
      <c r="C39" s="21"/>
      <c r="D39" s="21"/>
      <c r="E39" s="21"/>
      <c r="F39" s="21"/>
      <c r="G39" s="21"/>
      <c r="H39" s="21"/>
      <c r="J39" s="21"/>
    </row>
    <row r="40" spans="1:11" x14ac:dyDescent="0.25">
      <c r="A40" s="21" t="s">
        <v>60</v>
      </c>
      <c r="B40" s="21">
        <v>4124</v>
      </c>
      <c r="C40" s="21">
        <v>124557</v>
      </c>
      <c r="D40" s="21">
        <v>60544</v>
      </c>
      <c r="E40" s="24">
        <v>77980</v>
      </c>
      <c r="F40" s="24">
        <v>36979</v>
      </c>
      <c r="G40" s="24">
        <v>88378</v>
      </c>
      <c r="H40" s="24">
        <v>124502</v>
      </c>
      <c r="I40" s="24">
        <v>0</v>
      </c>
      <c r="J40" s="24">
        <v>235406</v>
      </c>
      <c r="K40" s="24">
        <v>174414</v>
      </c>
    </row>
    <row r="41" spans="1:11" x14ac:dyDescent="0.25">
      <c r="A41" s="21" t="s">
        <v>84</v>
      </c>
      <c r="B41" s="21"/>
      <c r="C41" s="21"/>
      <c r="D41" s="21"/>
      <c r="E41" s="24"/>
      <c r="F41" s="24"/>
      <c r="G41" s="24"/>
      <c r="H41" s="24"/>
      <c r="I41" s="24"/>
      <c r="J41" s="24"/>
      <c r="K41" s="12">
        <v>-600022</v>
      </c>
    </row>
    <row r="42" spans="1:11" x14ac:dyDescent="0.25">
      <c r="A42" s="30" t="s">
        <v>85</v>
      </c>
      <c r="B42" s="21"/>
      <c r="C42" s="21"/>
      <c r="D42" s="21"/>
      <c r="E42" s="24"/>
      <c r="F42" s="24"/>
      <c r="G42" s="24"/>
      <c r="H42" s="24"/>
      <c r="I42" s="24"/>
      <c r="J42" s="24"/>
      <c r="K42" s="24">
        <v>-224168</v>
      </c>
    </row>
    <row r="43" spans="1:11" x14ac:dyDescent="0.25">
      <c r="A43" s="21" t="s">
        <v>76</v>
      </c>
      <c r="B43" s="21">
        <v>-464</v>
      </c>
      <c r="C43" s="21">
        <v>0</v>
      </c>
      <c r="D43" s="21">
        <v>0</v>
      </c>
      <c r="E43" s="21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</row>
    <row r="44" spans="1:11" x14ac:dyDescent="0.25">
      <c r="A44" s="21" t="s">
        <v>59</v>
      </c>
      <c r="B44" s="21">
        <v>0</v>
      </c>
      <c r="C44" s="21">
        <v>500000</v>
      </c>
      <c r="D44" s="21">
        <v>400000</v>
      </c>
      <c r="E44" s="24">
        <v>1500000</v>
      </c>
      <c r="F44" s="24">
        <v>1000000</v>
      </c>
      <c r="G44" s="24">
        <v>3020510</v>
      </c>
      <c r="H44" s="24">
        <v>3961852</v>
      </c>
      <c r="I44" s="12">
        <v>4469306</v>
      </c>
      <c r="J44" s="24">
        <v>1009464</v>
      </c>
      <c r="K44" s="24">
        <v>0</v>
      </c>
    </row>
    <row r="45" spans="1:11" x14ac:dyDescent="0.25">
      <c r="A45" s="21" t="s">
        <v>77</v>
      </c>
      <c r="B45" s="21">
        <v>-295</v>
      </c>
      <c r="C45" s="21">
        <v>-9414</v>
      </c>
      <c r="D45" s="21">
        <v>-7080</v>
      </c>
      <c r="E45" s="24">
        <v>-17629</v>
      </c>
      <c r="F45" s="24">
        <v>-10700</v>
      </c>
      <c r="G45" s="24">
        <v>-32153</v>
      </c>
      <c r="H45" s="24">
        <v>-35871</v>
      </c>
      <c r="I45" s="12">
        <v>-36134</v>
      </c>
      <c r="J45" s="24">
        <v>-7559</v>
      </c>
      <c r="K45" s="24">
        <v>0</v>
      </c>
    </row>
    <row r="46" spans="1:11" x14ac:dyDescent="0.25">
      <c r="A46" s="21" t="s">
        <v>78</v>
      </c>
      <c r="B46" s="21">
        <v>0</v>
      </c>
      <c r="C46" s="21">
        <v>-219362</v>
      </c>
      <c r="D46" s="21">
        <v>0</v>
      </c>
      <c r="E46" s="21">
        <v>0</v>
      </c>
      <c r="F46" s="21">
        <v>0</v>
      </c>
      <c r="G46" s="24">
        <v>0</v>
      </c>
      <c r="H46" s="24">
        <v>0</v>
      </c>
      <c r="I46" s="12">
        <v>72490</v>
      </c>
      <c r="J46" s="24">
        <v>0</v>
      </c>
      <c r="K46" s="24">
        <v>-500000</v>
      </c>
    </row>
    <row r="47" spans="1:11" x14ac:dyDescent="0.25">
      <c r="A47" s="21" t="s">
        <v>44</v>
      </c>
      <c r="B47" s="21">
        <v>4543</v>
      </c>
      <c r="C47" s="21">
        <v>81663</v>
      </c>
      <c r="D47" s="21">
        <v>89341</v>
      </c>
      <c r="E47" s="24">
        <v>80471</v>
      </c>
      <c r="F47" s="24">
        <v>65121</v>
      </c>
      <c r="I47" s="24">
        <v>0</v>
      </c>
    </row>
    <row r="48" spans="1:11" x14ac:dyDescent="0.25">
      <c r="A48" s="21" t="s">
        <v>79</v>
      </c>
      <c r="B48" s="21">
        <v>-2319</v>
      </c>
      <c r="C48" s="21">
        <v>-1180</v>
      </c>
      <c r="D48" s="21">
        <v>-1093</v>
      </c>
      <c r="E48" s="24">
        <v>-545</v>
      </c>
      <c r="F48" s="24">
        <v>230</v>
      </c>
      <c r="G48" s="24">
        <v>255</v>
      </c>
      <c r="H48" s="24">
        <v>-1956</v>
      </c>
      <c r="J48" s="24">
        <v>0</v>
      </c>
      <c r="K48" s="24">
        <v>0</v>
      </c>
    </row>
    <row r="49" spans="1:11" x14ac:dyDescent="0.25">
      <c r="A49" s="21" t="s">
        <v>61</v>
      </c>
      <c r="B49" s="21">
        <v>5589</v>
      </c>
      <c r="C49" s="21">
        <v>476264</v>
      </c>
      <c r="D49" s="21">
        <v>541712</v>
      </c>
      <c r="E49" s="24">
        <v>1640277</v>
      </c>
      <c r="F49" s="24">
        <v>1091630</v>
      </c>
      <c r="G49" s="24">
        <v>3076990</v>
      </c>
      <c r="H49" s="24">
        <v>4048527</v>
      </c>
      <c r="I49" s="12">
        <v>4505662</v>
      </c>
      <c r="J49" s="24">
        <v>1237311</v>
      </c>
      <c r="K49" s="24">
        <v>-1149776</v>
      </c>
    </row>
    <row r="50" spans="1:11" x14ac:dyDescent="0.25">
      <c r="A50" s="21" t="s">
        <v>62</v>
      </c>
      <c r="B50" s="21">
        <v>-197</v>
      </c>
      <c r="C50" s="21">
        <v>-3453</v>
      </c>
      <c r="D50" s="21">
        <v>-6686</v>
      </c>
      <c r="E50" s="24">
        <v>-15924</v>
      </c>
      <c r="F50" s="24">
        <v>-9165</v>
      </c>
      <c r="G50" s="24">
        <v>29848</v>
      </c>
      <c r="H50" s="24">
        <v>-39682</v>
      </c>
      <c r="I50" s="12">
        <v>469</v>
      </c>
      <c r="J50" s="24">
        <v>36050</v>
      </c>
      <c r="K50" s="24">
        <v>-86740</v>
      </c>
    </row>
    <row r="51" spans="1:11" x14ac:dyDescent="0.25">
      <c r="A51" s="21" t="s">
        <v>80</v>
      </c>
      <c r="B51" s="21">
        <v>-217762</v>
      </c>
      <c r="C51" s="21">
        <v>314674</v>
      </c>
      <c r="D51" s="21">
        <v>508643</v>
      </c>
      <c r="E51" s="24">
        <v>695722</v>
      </c>
      <c r="F51" s="24">
        <v>-341754</v>
      </c>
      <c r="G51" s="24">
        <v>1355219</v>
      </c>
      <c r="H51" s="24">
        <v>989246</v>
      </c>
      <c r="I51" s="12">
        <v>1231745</v>
      </c>
      <c r="J51" s="24">
        <v>3195084</v>
      </c>
      <c r="K51" s="24">
        <v>-2183759</v>
      </c>
    </row>
    <row r="52" spans="1:11" x14ac:dyDescent="0.25">
      <c r="A52" s="21" t="s">
        <v>63</v>
      </c>
      <c r="B52" s="21">
        <v>508053</v>
      </c>
      <c r="C52" s="21">
        <v>290291</v>
      </c>
      <c r="D52" s="21">
        <v>604965</v>
      </c>
      <c r="E52" s="24">
        <v>1113608</v>
      </c>
      <c r="F52" s="24">
        <v>1809330</v>
      </c>
      <c r="G52" s="24">
        <v>1467576</v>
      </c>
      <c r="H52" s="24">
        <v>2822795</v>
      </c>
      <c r="I52" s="12">
        <v>3812041</v>
      </c>
      <c r="J52" s="24">
        <v>5043786</v>
      </c>
      <c r="K52" s="24">
        <v>8238870</v>
      </c>
    </row>
    <row r="53" spans="1:11" x14ac:dyDescent="0.25">
      <c r="A53" s="21" t="s">
        <v>64</v>
      </c>
      <c r="B53" s="21">
        <v>290291</v>
      </c>
      <c r="C53" s="21">
        <v>604965</v>
      </c>
      <c r="D53" s="21">
        <v>1113608</v>
      </c>
      <c r="E53" s="24">
        <v>1809330</v>
      </c>
      <c r="F53" s="24">
        <v>1467576</v>
      </c>
      <c r="G53" s="24">
        <v>2822795</v>
      </c>
      <c r="H53" s="24">
        <v>3812041</v>
      </c>
      <c r="I53" s="12">
        <v>5043786</v>
      </c>
      <c r="J53" s="24">
        <v>8238870</v>
      </c>
      <c r="K53" s="24">
        <v>6055111</v>
      </c>
    </row>
    <row r="54" spans="1:11" x14ac:dyDescent="0.25">
      <c r="A54" s="21"/>
      <c r="B54" s="21"/>
      <c r="C54" s="21"/>
      <c r="D54" s="21"/>
      <c r="E54" s="24"/>
      <c r="F54" s="24"/>
      <c r="G54" s="24"/>
      <c r="H54" s="24"/>
      <c r="I54"/>
      <c r="J54" s="21"/>
    </row>
    <row r="55" spans="1:11" x14ac:dyDescent="0.25">
      <c r="A55" s="22" t="s">
        <v>65</v>
      </c>
      <c r="B55" s="21"/>
      <c r="C55" s="21"/>
      <c r="D55" s="21"/>
      <c r="E55" s="21"/>
      <c r="F55" s="21"/>
      <c r="G55" s="21"/>
      <c r="H55" s="21"/>
    </row>
    <row r="56" spans="1:11" x14ac:dyDescent="0.25">
      <c r="A56" s="21" t="s">
        <v>66</v>
      </c>
      <c r="B56" s="21">
        <v>28853</v>
      </c>
      <c r="C56" s="21">
        <v>7465</v>
      </c>
      <c r="D56" s="21">
        <v>50573</v>
      </c>
      <c r="E56" s="24">
        <v>111761</v>
      </c>
      <c r="F56" s="24">
        <v>26806</v>
      </c>
      <c r="G56" s="24">
        <v>113591</v>
      </c>
      <c r="H56" s="24">
        <v>131069</v>
      </c>
      <c r="I56" s="12">
        <v>400658</v>
      </c>
      <c r="J56" s="24">
        <v>291582</v>
      </c>
      <c r="K56" s="24">
        <v>509265</v>
      </c>
    </row>
    <row r="57" spans="1:11" x14ac:dyDescent="0.25">
      <c r="A57" s="21" t="s">
        <v>67</v>
      </c>
      <c r="B57" s="21">
        <v>19009</v>
      </c>
      <c r="C57" s="21">
        <v>19114</v>
      </c>
      <c r="D57" s="21">
        <v>41085</v>
      </c>
      <c r="E57" s="24">
        <v>-4978</v>
      </c>
      <c r="F57" s="24">
        <v>138566</v>
      </c>
      <c r="G57" s="24">
        <v>213313</v>
      </c>
      <c r="H57" s="24">
        <v>375831</v>
      </c>
      <c r="I57" s="11">
        <v>599132</v>
      </c>
      <c r="J57" s="24">
        <v>762904</v>
      </c>
      <c r="K57" s="24">
        <v>763432</v>
      </c>
    </row>
    <row r="58" spans="1:11" x14ac:dyDescent="0.25">
      <c r="A58" s="25" t="s">
        <v>81</v>
      </c>
      <c r="B58" s="21"/>
      <c r="C58" s="21"/>
      <c r="D58" s="21"/>
      <c r="E58" s="21"/>
      <c r="F58" s="24">
        <v>27504</v>
      </c>
      <c r="G58" s="24">
        <v>-32643</v>
      </c>
      <c r="H58" s="24">
        <v>2560</v>
      </c>
      <c r="I58" s="24"/>
      <c r="J58" s="21"/>
    </row>
    <row r="59" spans="1:11" x14ac:dyDescent="0.25">
      <c r="I59" s="21"/>
    </row>
    <row r="60" spans="1:11" x14ac:dyDescent="0.25">
      <c r="I60"/>
    </row>
    <row r="61" spans="1:11" x14ac:dyDescent="0.25">
      <c r="I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DCF</vt:lpstr>
      <vt:lpstr>Income Statement</vt:lpstr>
      <vt:lpstr>Cash Flow Statement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Simangunsong</dc:creator>
  <cp:lastModifiedBy>Joshua Simangunsong</cp:lastModifiedBy>
  <dcterms:created xsi:type="dcterms:W3CDTF">2024-01-25T20:01:04Z</dcterms:created>
  <dcterms:modified xsi:type="dcterms:W3CDTF">2024-02-14T01:20:34Z</dcterms:modified>
</cp:coreProperties>
</file>