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cc89c3b879ce5/Desktop/DCF/"/>
    </mc:Choice>
  </mc:AlternateContent>
  <xr:revisionPtr revIDLastSave="17" documentId="8_{1014BBB9-1978-468D-97E9-C36B8C10CB78}" xr6:coauthVersionLast="47" xr6:coauthVersionMax="47" xr10:uidLastSave="{731739FD-47D2-4A40-A726-2C690AD71B1C}"/>
  <bookViews>
    <workbookView xWindow="-28920" yWindow="1185" windowWidth="29040" windowHeight="15840" xr2:uid="{918AC480-E0C1-4A5E-A15F-3E63ED2FF646}"/>
  </bookViews>
  <sheets>
    <sheet name="DCF" sheetId="1" r:id="rId1"/>
  </sheets>
  <definedNames>
    <definedName name="mil">DCF!$C$8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M80" i="1"/>
  <c r="M78" i="1"/>
  <c r="M77" i="1"/>
  <c r="I46" i="1"/>
  <c r="I48" i="1" s="1"/>
  <c r="I42" i="1"/>
  <c r="I44" i="1" s="1"/>
  <c r="I27" i="1"/>
  <c r="I23" i="1"/>
  <c r="I25" i="1" s="1"/>
  <c r="I18" i="1"/>
  <c r="I14" i="1"/>
  <c r="I10" i="1"/>
  <c r="I12" i="1" s="1"/>
  <c r="I51" i="1"/>
  <c r="J51" i="1" s="1"/>
  <c r="K51" i="1" s="1"/>
  <c r="L51" i="1" s="1"/>
  <c r="M51" i="1" s="1"/>
  <c r="H55" i="1"/>
  <c r="G55" i="1"/>
  <c r="F55" i="1"/>
  <c r="H52" i="1"/>
  <c r="I52" i="1" s="1"/>
  <c r="G52" i="1"/>
  <c r="F52" i="1"/>
  <c r="E46" i="1"/>
  <c r="E68" i="1" s="1"/>
  <c r="D46" i="1"/>
  <c r="D68" i="1" s="1"/>
  <c r="C46" i="1"/>
  <c r="C68" i="1" s="1"/>
  <c r="E42" i="1"/>
  <c r="D42" i="1"/>
  <c r="D65" i="1" s="1"/>
  <c r="C42" i="1"/>
  <c r="C65" i="1" s="1"/>
  <c r="E27" i="1"/>
  <c r="E37" i="1" s="1"/>
  <c r="E58" i="1" s="1"/>
  <c r="D27" i="1"/>
  <c r="D37" i="1" s="1"/>
  <c r="D58" i="1" s="1"/>
  <c r="C27" i="1"/>
  <c r="E23" i="1"/>
  <c r="D23" i="1"/>
  <c r="C23" i="1"/>
  <c r="E18" i="1"/>
  <c r="D18" i="1"/>
  <c r="C18" i="1"/>
  <c r="E14" i="1"/>
  <c r="D14" i="1"/>
  <c r="C14" i="1"/>
  <c r="C10" i="1"/>
  <c r="C52" i="1" s="1"/>
  <c r="E10" i="1"/>
  <c r="F11" i="1" s="1"/>
  <c r="D10" i="1"/>
  <c r="D52" i="1" s="1"/>
  <c r="H46" i="1"/>
  <c r="H47" i="1" s="1"/>
  <c r="G46" i="1"/>
  <c r="G47" i="1" s="1"/>
  <c r="F46" i="1"/>
  <c r="F47" i="1" s="1"/>
  <c r="H27" i="1"/>
  <c r="H28" i="1" s="1"/>
  <c r="G27" i="1"/>
  <c r="G28" i="1" s="1"/>
  <c r="H42" i="1"/>
  <c r="H43" i="1" s="1"/>
  <c r="H66" i="1" s="1"/>
  <c r="G42" i="1"/>
  <c r="G43" i="1" s="1"/>
  <c r="G66" i="1" s="1"/>
  <c r="F42" i="1"/>
  <c r="F43" i="1" s="1"/>
  <c r="F66" i="1" s="1"/>
  <c r="F27" i="1"/>
  <c r="F28" i="1" s="1"/>
  <c r="H24" i="1"/>
  <c r="H56" i="1" s="1"/>
  <c r="G24" i="1"/>
  <c r="G56" i="1" s="1"/>
  <c r="F24" i="1"/>
  <c r="F56" i="1" s="1"/>
  <c r="H19" i="1"/>
  <c r="G19" i="1"/>
  <c r="F19" i="1"/>
  <c r="H15" i="1"/>
  <c r="G15" i="1"/>
  <c r="F15" i="1"/>
  <c r="H11" i="1"/>
  <c r="G11" i="1"/>
  <c r="I55" i="1" l="1"/>
  <c r="I68" i="1"/>
  <c r="J52" i="1"/>
  <c r="I15" i="1"/>
  <c r="I28" i="1"/>
  <c r="I29" i="1"/>
  <c r="I47" i="1"/>
  <c r="I31" i="1"/>
  <c r="I32" i="1" s="1"/>
  <c r="I37" i="1"/>
  <c r="I40" i="1" s="1"/>
  <c r="I43" i="1"/>
  <c r="I19" i="1"/>
  <c r="I20" i="1"/>
  <c r="I24" i="1"/>
  <c r="I16" i="1"/>
  <c r="D59" i="1"/>
  <c r="E69" i="1"/>
  <c r="G53" i="1"/>
  <c r="G68" i="1"/>
  <c r="G69" i="1" s="1"/>
  <c r="H53" i="1"/>
  <c r="D69" i="1"/>
  <c r="D43" i="1"/>
  <c r="D66" i="1" s="1"/>
  <c r="C69" i="1"/>
  <c r="D11" i="1"/>
  <c r="E59" i="1"/>
  <c r="C24" i="1"/>
  <c r="C56" i="1" s="1"/>
  <c r="G65" i="1"/>
  <c r="C31" i="1"/>
  <c r="C32" i="1" s="1"/>
  <c r="E43" i="1"/>
  <c r="E66" i="1" s="1"/>
  <c r="H65" i="1"/>
  <c r="H68" i="1"/>
  <c r="H69" i="1" s="1"/>
  <c r="F37" i="1"/>
  <c r="F58" i="1" s="1"/>
  <c r="F62" i="1" s="1"/>
  <c r="F63" i="1" s="1"/>
  <c r="D24" i="1"/>
  <c r="D56" i="1" s="1"/>
  <c r="D38" i="1"/>
  <c r="E65" i="1"/>
  <c r="E60" i="1" s="1"/>
  <c r="E31" i="1"/>
  <c r="E32" i="1" s="1"/>
  <c r="E47" i="1"/>
  <c r="D60" i="1"/>
  <c r="F65" i="1"/>
  <c r="F68" i="1"/>
  <c r="F69" i="1" s="1"/>
  <c r="E38" i="1"/>
  <c r="E39" i="1"/>
  <c r="C37" i="1"/>
  <c r="D55" i="1"/>
  <c r="D47" i="1"/>
  <c r="E55" i="1"/>
  <c r="E62" i="1" s="1"/>
  <c r="E24" i="1"/>
  <c r="E56" i="1" s="1"/>
  <c r="D39" i="1"/>
  <c r="C55" i="1"/>
  <c r="C47" i="1"/>
  <c r="D31" i="1"/>
  <c r="D32" i="1" s="1"/>
  <c r="C43" i="1"/>
  <c r="C66" i="1" s="1"/>
  <c r="E52" i="1"/>
  <c r="E53" i="1" s="1"/>
  <c r="D53" i="1"/>
  <c r="E11" i="1"/>
  <c r="G37" i="1"/>
  <c r="G58" i="1" s="1"/>
  <c r="G62" i="1" s="1"/>
  <c r="G63" i="1" s="1"/>
  <c r="H37" i="1"/>
  <c r="H58" i="1" s="1"/>
  <c r="F31" i="1"/>
  <c r="F32" i="1" s="1"/>
  <c r="G31" i="1"/>
  <c r="G32" i="1" s="1"/>
  <c r="H31" i="1"/>
  <c r="H32" i="1" s="1"/>
  <c r="E63" i="1" l="1"/>
  <c r="H59" i="1"/>
  <c r="H62" i="1"/>
  <c r="H63" i="1" s="1"/>
  <c r="D71" i="1"/>
  <c r="D62" i="1"/>
  <c r="D63" i="1" s="1"/>
  <c r="K52" i="1"/>
  <c r="J68" i="1"/>
  <c r="J55" i="1"/>
  <c r="I66" i="1"/>
  <c r="I65" i="1" s="1"/>
  <c r="I39" i="1"/>
  <c r="I38" i="1"/>
  <c r="F71" i="1"/>
  <c r="H60" i="1"/>
  <c r="E71" i="1"/>
  <c r="C38" i="1"/>
  <c r="C58" i="1"/>
  <c r="C71" i="1" s="1"/>
  <c r="F60" i="1"/>
  <c r="F59" i="1"/>
  <c r="G60" i="1"/>
  <c r="G71" i="1"/>
  <c r="G59" i="1"/>
  <c r="C39" i="1"/>
  <c r="F53" i="1"/>
  <c r="H71" i="1"/>
  <c r="H38" i="1"/>
  <c r="H39" i="1"/>
  <c r="G39" i="1"/>
  <c r="G38" i="1"/>
  <c r="F39" i="1"/>
  <c r="F38" i="1"/>
  <c r="C62" i="1" l="1"/>
  <c r="C63" i="1" s="1"/>
  <c r="L52" i="1"/>
  <c r="K68" i="1"/>
  <c r="K55" i="1"/>
  <c r="J66" i="1"/>
  <c r="J65" i="1" s="1"/>
  <c r="C60" i="1"/>
  <c r="C59" i="1"/>
  <c r="I59" i="1" s="1"/>
  <c r="J59" i="1" l="1"/>
  <c r="L55" i="1"/>
  <c r="L68" i="1"/>
  <c r="M52" i="1"/>
  <c r="I58" i="1"/>
  <c r="I62" i="1" s="1"/>
  <c r="I71" i="1" s="1"/>
  <c r="K66" i="1"/>
  <c r="I63" i="1" l="1"/>
  <c r="J58" i="1"/>
  <c r="K58" i="1"/>
  <c r="K62" i="1" s="1"/>
  <c r="I60" i="1"/>
  <c r="M55" i="1"/>
  <c r="M68" i="1"/>
  <c r="L66" i="1"/>
  <c r="K65" i="1"/>
  <c r="K71" i="1" l="1"/>
  <c r="K73" i="1" s="1"/>
  <c r="K63" i="1"/>
  <c r="L59" i="1"/>
  <c r="M59" i="1" s="1"/>
  <c r="M58" i="1" s="1"/>
  <c r="M62" i="1" s="1"/>
  <c r="M71" i="1" s="1"/>
  <c r="J62" i="1"/>
  <c r="J71" i="1" s="1"/>
  <c r="J60" i="1"/>
  <c r="I73" i="1"/>
  <c r="K60" i="1"/>
  <c r="M66" i="1"/>
  <c r="M65" i="1" s="1"/>
  <c r="L65" i="1"/>
  <c r="J73" i="1" l="1"/>
  <c r="J63" i="1"/>
  <c r="M63" i="1"/>
  <c r="L58" i="1"/>
  <c r="M60" i="1"/>
  <c r="L62" i="1" l="1"/>
  <c r="L71" i="1" s="1"/>
  <c r="L60" i="1"/>
  <c r="M73" i="1"/>
  <c r="M74" i="1" s="1"/>
  <c r="M75" i="1" s="1"/>
  <c r="L73" i="1" l="1"/>
  <c r="M76" i="1" s="1"/>
  <c r="M79" i="1" s="1"/>
  <c r="L63" i="1"/>
  <c r="M81" i="1" l="1"/>
</calcChain>
</file>

<file path=xl/sharedStrings.xml><?xml version="1.0" encoding="utf-8"?>
<sst xmlns="http://schemas.openxmlformats.org/spreadsheetml/2006/main" count="65" uniqueCount="39">
  <si>
    <t>Gap Inc.</t>
  </si>
  <si>
    <t>Revenues</t>
  </si>
  <si>
    <t>% growth</t>
  </si>
  <si>
    <t>OpEx</t>
  </si>
  <si>
    <t>EBIT</t>
  </si>
  <si>
    <t>COGS</t>
  </si>
  <si>
    <t>% of sales</t>
  </si>
  <si>
    <t>D&amp;A</t>
  </si>
  <si>
    <t>EBITDA</t>
  </si>
  <si>
    <t>Cash Flow</t>
  </si>
  <si>
    <t>CapEx</t>
  </si>
  <si>
    <t>% of CapEx</t>
  </si>
  <si>
    <t>DCF</t>
  </si>
  <si>
    <t>Income Statement</t>
  </si>
  <si>
    <t>Change in NWC (outflows)</t>
  </si>
  <si>
    <t>Unlevered Cash Flow</t>
  </si>
  <si>
    <t>% of 2023</t>
  </si>
  <si>
    <t>% of 2023 CapEx</t>
  </si>
  <si>
    <t>% of 2023 sales</t>
  </si>
  <si>
    <t>WACC</t>
  </si>
  <si>
    <t>TGR</t>
  </si>
  <si>
    <t>FCF Levered</t>
  </si>
  <si>
    <t>Terminal Value</t>
  </si>
  <si>
    <t>Present Value of Terminal Value</t>
  </si>
  <si>
    <t>Enterprise Value</t>
  </si>
  <si>
    <t>(+) Cash</t>
  </si>
  <si>
    <t>(-) LT Debt</t>
  </si>
  <si>
    <t>Equity</t>
  </si>
  <si>
    <t>Shares Outstanding</t>
  </si>
  <si>
    <t>Implied Share Price</t>
  </si>
  <si>
    <t>Industry EV/EBITDA X</t>
  </si>
  <si>
    <t>Company</t>
  </si>
  <si>
    <t>$GPS</t>
  </si>
  <si>
    <t>Denomination in Millions</t>
  </si>
  <si>
    <t>Notes: Forecast has been done using EV/EBITDA multiple because the Equity Value of GPS was negative. A major hurdle that GPS needs to overcome is 
the insurmountable debt they are experiencing. 
As a result, their LT debt outweighs the Enterprise Value, resulting
using the EV/EBITDA multiple, at a very conservative multiple. 
Cotton Prices have increased in the last quarter, and will affect retail more so esp in the first quarter of the year.</t>
  </si>
  <si>
    <t>Ticker</t>
  </si>
  <si>
    <t>Case</t>
  </si>
  <si>
    <t>Conservative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</si>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</sst>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 &quot;#,##0_);_(&quot;$ &quot;\(#,##0\)"/>
    <numFmt numFmtId="165" formatCode="0.0%"/>
    <numFmt numFmtId="166" formatCode="_([$$-409]* #,##0.00_);_([$$-409]* \(#,##0.00\);_([$$-409]* &quot;-&quot;??_);_(@_)"/>
    <numFmt numFmtId="168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i/>
      <sz val="11"/>
      <name val="Calibri"/>
      <family val="2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6" fillId="0" borderId="0" xfId="0" applyFont="1"/>
    <xf numFmtId="0" fontId="0" fillId="0" borderId="0" xfId="0" applyFont="1"/>
    <xf numFmtId="37" fontId="0" fillId="0" borderId="0" xfId="0" applyNumberFormat="1"/>
    <xf numFmtId="0" fontId="3" fillId="0" borderId="0" xfId="0" applyFont="1"/>
    <xf numFmtId="0" fontId="3" fillId="3" borderId="0" xfId="0" applyFont="1" applyFill="1"/>
    <xf numFmtId="9" fontId="0" fillId="0" borderId="0" xfId="0" applyNumberFormat="1"/>
    <xf numFmtId="9" fontId="6" fillId="0" borderId="0" xfId="0" applyNumberFormat="1" applyFont="1"/>
    <xf numFmtId="0" fontId="0" fillId="0" borderId="1" xfId="0" applyBorder="1"/>
    <xf numFmtId="9" fontId="0" fillId="0" borderId="1" xfId="0" applyNumberFormat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8" fillId="0" borderId="2" xfId="0" applyFont="1" applyBorder="1"/>
    <xf numFmtId="0" fontId="0" fillId="0" borderId="3" xfId="0" applyBorder="1"/>
    <xf numFmtId="0" fontId="6" fillId="0" borderId="5" xfId="0" applyFont="1" applyBorder="1"/>
    <xf numFmtId="0" fontId="0" fillId="0" borderId="5" xfId="0" applyBorder="1"/>
    <xf numFmtId="164" fontId="5" fillId="0" borderId="0" xfId="0" applyNumberFormat="1" applyFont="1" applyBorder="1" applyAlignment="1">
      <alignment horizontal="right" vertical="top"/>
    </xf>
    <xf numFmtId="164" fontId="5" fillId="0" borderId="6" xfId="0" applyNumberFormat="1" applyFont="1" applyBorder="1" applyAlignment="1">
      <alignment horizontal="right" vertical="top"/>
    </xf>
    <xf numFmtId="0" fontId="6" fillId="0" borderId="0" xfId="0" applyFont="1" applyBorder="1"/>
    <xf numFmtId="9" fontId="6" fillId="0" borderId="0" xfId="2" applyFont="1" applyBorder="1"/>
    <xf numFmtId="9" fontId="6" fillId="5" borderId="0" xfId="2" applyNumberFormat="1" applyFont="1" applyFill="1" applyBorder="1"/>
    <xf numFmtId="9" fontId="6" fillId="5" borderId="6" xfId="2" applyNumberFormat="1" applyFont="1" applyFill="1" applyBorder="1"/>
    <xf numFmtId="0" fontId="0" fillId="0" borderId="0" xfId="0" applyBorder="1"/>
    <xf numFmtId="0" fontId="0" fillId="0" borderId="6" xfId="0" applyBorder="1"/>
    <xf numFmtId="0" fontId="0" fillId="0" borderId="5" xfId="0" applyFont="1" applyBorder="1"/>
    <xf numFmtId="37" fontId="0" fillId="0" borderId="0" xfId="0" applyNumberFormat="1" applyBorder="1"/>
    <xf numFmtId="37" fontId="0" fillId="0" borderId="6" xfId="0" applyNumberFormat="1" applyBorder="1"/>
    <xf numFmtId="9" fontId="6" fillId="5" borderId="0" xfId="0" applyNumberFormat="1" applyFont="1" applyFill="1" applyBorder="1"/>
    <xf numFmtId="9" fontId="6" fillId="5" borderId="6" xfId="0" applyNumberFormat="1" applyFont="1" applyFill="1" applyBorder="1"/>
    <xf numFmtId="37" fontId="5" fillId="0" borderId="0" xfId="0" applyNumberFormat="1" applyFont="1" applyBorder="1" applyAlignment="1">
      <alignment horizontal="right" vertical="top"/>
    </xf>
    <xf numFmtId="37" fontId="5" fillId="0" borderId="6" xfId="0" applyNumberFormat="1" applyFont="1" applyBorder="1" applyAlignment="1">
      <alignment horizontal="right" vertical="top"/>
    </xf>
    <xf numFmtId="165" fontId="7" fillId="0" borderId="0" xfId="2" applyNumberFormat="1" applyFont="1" applyBorder="1" applyAlignment="1">
      <alignment horizontal="right" vertical="top"/>
    </xf>
    <xf numFmtId="165" fontId="6" fillId="5" borderId="0" xfId="2" applyNumberFormat="1" applyFont="1" applyFill="1" applyBorder="1"/>
    <xf numFmtId="165" fontId="6" fillId="5" borderId="6" xfId="2" applyNumberFormat="1" applyFont="1" applyFill="1" applyBorder="1"/>
    <xf numFmtId="165" fontId="7" fillId="0" borderId="6" xfId="2" applyNumberFormat="1" applyFont="1" applyBorder="1" applyAlignment="1">
      <alignment horizontal="right" vertical="top"/>
    </xf>
    <xf numFmtId="9" fontId="7" fillId="0" borderId="0" xfId="2" applyFont="1" applyBorder="1" applyAlignment="1">
      <alignment horizontal="right" vertical="top"/>
    </xf>
    <xf numFmtId="0" fontId="6" fillId="0" borderId="7" xfId="0" applyFont="1" applyBorder="1"/>
    <xf numFmtId="165" fontId="7" fillId="0" borderId="8" xfId="2" applyNumberFormat="1" applyFont="1" applyBorder="1" applyAlignment="1">
      <alignment horizontal="right" vertical="top"/>
    </xf>
    <xf numFmtId="165" fontId="6" fillId="5" borderId="8" xfId="2" applyNumberFormat="1" applyFont="1" applyFill="1" applyBorder="1"/>
    <xf numFmtId="165" fontId="6" fillId="5" borderId="9" xfId="2" applyNumberFormat="1" applyFont="1" applyFill="1" applyBorder="1"/>
    <xf numFmtId="0" fontId="3" fillId="0" borderId="2" xfId="0" applyFont="1" applyBorder="1"/>
    <xf numFmtId="165" fontId="7" fillId="0" borderId="9" xfId="2" applyNumberFormat="1" applyFont="1" applyBorder="1" applyAlignment="1">
      <alignment horizontal="right" vertical="top"/>
    </xf>
    <xf numFmtId="0" fontId="3" fillId="2" borderId="3" xfId="0" applyFont="1" applyFill="1" applyBorder="1"/>
    <xf numFmtId="17" fontId="2" fillId="4" borderId="4" xfId="0" applyNumberFormat="1" applyFont="1" applyFill="1" applyBorder="1"/>
    <xf numFmtId="9" fontId="6" fillId="0" borderId="6" xfId="2" applyFont="1" applyBorder="1"/>
    <xf numFmtId="9" fontId="1" fillId="0" borderId="6" xfId="2" applyFont="1" applyBorder="1"/>
    <xf numFmtId="9" fontId="6" fillId="0" borderId="8" xfId="2" applyFont="1" applyBorder="1"/>
    <xf numFmtId="9" fontId="6" fillId="0" borderId="9" xfId="2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0" xfId="0" applyFont="1" applyBorder="1"/>
    <xf numFmtId="37" fontId="0" fillId="0" borderId="11" xfId="0" applyNumberFormat="1" applyBorder="1"/>
    <xf numFmtId="37" fontId="0" fillId="0" borderId="12" xfId="0" applyNumberFormat="1" applyBorder="1"/>
    <xf numFmtId="0" fontId="0" fillId="0" borderId="2" xfId="0" applyBorder="1"/>
    <xf numFmtId="37" fontId="0" fillId="0" borderId="3" xfId="0" applyNumberFormat="1" applyBorder="1"/>
    <xf numFmtId="37" fontId="0" fillId="0" borderId="4" xfId="0" applyNumberFormat="1" applyBorder="1"/>
    <xf numFmtId="0" fontId="0" fillId="0" borderId="7" xfId="0" applyBorder="1"/>
    <xf numFmtId="0" fontId="0" fillId="0" borderId="8" xfId="0" applyBorder="1"/>
    <xf numFmtId="168" fontId="4" fillId="0" borderId="0" xfId="1" applyNumberFormat="1" applyFont="1"/>
    <xf numFmtId="166" fontId="0" fillId="7" borderId="9" xfId="0" applyNumberFormat="1" applyFill="1" applyBorder="1"/>
    <xf numFmtId="0" fontId="3" fillId="2" borderId="13" xfId="0" applyFont="1" applyFill="1" applyBorder="1"/>
    <xf numFmtId="164" fontId="5" fillId="0" borderId="14" xfId="0" applyNumberFormat="1" applyFont="1" applyBorder="1" applyAlignment="1">
      <alignment horizontal="right" vertical="top"/>
    </xf>
    <xf numFmtId="9" fontId="6" fillId="0" borderId="14" xfId="2" applyFont="1" applyBorder="1"/>
    <xf numFmtId="0" fontId="0" fillId="0" borderId="14" xfId="0" applyBorder="1"/>
    <xf numFmtId="37" fontId="0" fillId="0" borderId="14" xfId="0" applyNumberFormat="1" applyBorder="1"/>
    <xf numFmtId="37" fontId="5" fillId="0" borderId="14" xfId="0" applyNumberFormat="1" applyFont="1" applyBorder="1" applyAlignment="1">
      <alignment horizontal="right" vertical="top"/>
    </xf>
    <xf numFmtId="165" fontId="7" fillId="0" borderId="14" xfId="2" applyNumberFormat="1" applyFont="1" applyBorder="1" applyAlignment="1">
      <alignment horizontal="right" vertical="top"/>
    </xf>
    <xf numFmtId="9" fontId="7" fillId="0" borderId="14" xfId="2" applyFont="1" applyBorder="1" applyAlignment="1">
      <alignment horizontal="right" vertical="top"/>
    </xf>
    <xf numFmtId="165" fontId="7" fillId="0" borderId="15" xfId="2" applyNumberFormat="1" applyFont="1" applyBorder="1" applyAlignment="1">
      <alignment horizontal="right" vertical="top"/>
    </xf>
    <xf numFmtId="0" fontId="0" fillId="0" borderId="0" xfId="0" applyFont="1" applyAlignment="1">
      <alignment vertical="top" wrapText="1"/>
    </xf>
    <xf numFmtId="10" fontId="6" fillId="0" borderId="14" xfId="2" applyNumberFormat="1" applyFont="1" applyBorder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31FB-174C-4A97-843D-0AB4429A924F}">
  <dimension ref="A2:P89"/>
  <sheetViews>
    <sheetView showGridLines="0" tabSelected="1" zoomScaleNormal="100" workbookViewId="0"/>
  </sheetViews>
  <sheetFormatPr defaultRowHeight="15" x14ac:dyDescent="0.25"/>
  <cols>
    <col min="1" max="1" width="4.5703125" customWidth="1"/>
    <col min="2" max="2" width="29.42578125" bestFit="1" customWidth="1"/>
    <col min="3" max="3" width="19.42578125" bestFit="1" customWidth="1"/>
    <col min="4" max="13" width="16.7109375" bestFit="1" customWidth="1"/>
    <col min="15" max="15" width="11.85546875" bestFit="1" customWidth="1"/>
    <col min="16" max="16" width="13.5703125" bestFit="1" customWidth="1"/>
  </cols>
  <sheetData>
    <row r="2" spans="2:9" x14ac:dyDescent="0.25">
      <c r="B2" s="4" t="s">
        <v>31</v>
      </c>
      <c r="C2" s="4" t="s">
        <v>0</v>
      </c>
    </row>
    <row r="3" spans="2:9" x14ac:dyDescent="0.25">
      <c r="B3" s="4" t="s">
        <v>35</v>
      </c>
      <c r="C3" s="4" t="s">
        <v>32</v>
      </c>
    </row>
    <row r="4" spans="2:9" x14ac:dyDescent="0.25">
      <c r="B4" s="4" t="s">
        <v>38</v>
      </c>
      <c r="C4" s="71">
        <f ca="1">TODAY()</f>
        <v>45343</v>
      </c>
    </row>
    <row r="5" spans="2:9" x14ac:dyDescent="0.25">
      <c r="B5" s="4" t="s">
        <v>36</v>
      </c>
      <c r="C5" s="5" t="s">
        <v>37</v>
      </c>
    </row>
    <row r="8" spans="2:9" ht="15.75" thickBot="1" x14ac:dyDescent="0.3">
      <c r="B8" s="1" t="s">
        <v>33</v>
      </c>
      <c r="C8" s="58">
        <v>1000000</v>
      </c>
    </row>
    <row r="9" spans="2:9" x14ac:dyDescent="0.25">
      <c r="B9" s="40" t="s">
        <v>13</v>
      </c>
      <c r="C9" s="42">
        <v>2018</v>
      </c>
      <c r="D9" s="42">
        <v>2019</v>
      </c>
      <c r="E9" s="42">
        <v>2020</v>
      </c>
      <c r="F9" s="42">
        <v>2021</v>
      </c>
      <c r="G9" s="42">
        <v>2022</v>
      </c>
      <c r="H9" s="42">
        <v>2023</v>
      </c>
      <c r="I9" s="43">
        <v>45200</v>
      </c>
    </row>
    <row r="10" spans="2:9" x14ac:dyDescent="0.25">
      <c r="B10" s="15" t="s">
        <v>1</v>
      </c>
      <c r="C10" s="16">
        <f>15855*mil</f>
        <v>15855000000</v>
      </c>
      <c r="D10" s="16">
        <f>16580*C8</f>
        <v>16580000000</v>
      </c>
      <c r="E10" s="16">
        <f>16383*mil</f>
        <v>16383000000</v>
      </c>
      <c r="F10" s="16">
        <v>13800000000</v>
      </c>
      <c r="G10" s="16">
        <v>16670000000</v>
      </c>
      <c r="H10" s="16">
        <v>15616000000</v>
      </c>
      <c r="I10" s="17">
        <f>mil*3767</f>
        <v>3767000000</v>
      </c>
    </row>
    <row r="11" spans="2:9" x14ac:dyDescent="0.25">
      <c r="B11" s="14" t="s">
        <v>2</v>
      </c>
      <c r="C11" s="18"/>
      <c r="D11" s="19">
        <f>D10/C10-1</f>
        <v>4.57269000315359E-2</v>
      </c>
      <c r="E11" s="19">
        <f>E10/D10-1</f>
        <v>-1.1881785283474056E-2</v>
      </c>
      <c r="F11" s="19">
        <f t="shared" ref="F11" si="0">F10/E10-1</f>
        <v>-0.15766343160593299</v>
      </c>
      <c r="G11" s="19">
        <f>G10/F10-1</f>
        <v>0.20797101449275357</v>
      </c>
      <c r="H11" s="19">
        <f>H10/G10-1</f>
        <v>-6.3227354529094226E-2</v>
      </c>
      <c r="I11" s="44"/>
    </row>
    <row r="12" spans="2:9" x14ac:dyDescent="0.25">
      <c r="B12" s="14" t="s">
        <v>16</v>
      </c>
      <c r="C12" s="18"/>
      <c r="D12" s="19"/>
      <c r="E12" s="19"/>
      <c r="F12" s="19"/>
      <c r="G12" s="19"/>
      <c r="H12" s="19"/>
      <c r="I12" s="44">
        <f>I10/H$10</f>
        <v>0.24122694672131148</v>
      </c>
    </row>
    <row r="13" spans="2:9" x14ac:dyDescent="0.25">
      <c r="B13" s="15"/>
      <c r="C13" s="22"/>
      <c r="D13" s="22"/>
      <c r="E13" s="22"/>
      <c r="F13" s="22"/>
      <c r="G13" s="22"/>
      <c r="H13" s="22"/>
      <c r="I13" s="23"/>
    </row>
    <row r="14" spans="2:9" x14ac:dyDescent="0.25">
      <c r="B14" s="15" t="s">
        <v>5</v>
      </c>
      <c r="C14" s="29">
        <f>mil*9789</f>
        <v>9789000000</v>
      </c>
      <c r="D14" s="29">
        <f>mil*10258</f>
        <v>10258000000</v>
      </c>
      <c r="E14" s="29">
        <f>mil*10250</f>
        <v>10250000000</v>
      </c>
      <c r="F14" s="29">
        <v>9095000000</v>
      </c>
      <c r="G14" s="29">
        <v>10033000000</v>
      </c>
      <c r="H14" s="29">
        <v>10257000000</v>
      </c>
      <c r="I14" s="30">
        <f>mil*2211</f>
        <v>2211000000</v>
      </c>
    </row>
    <row r="15" spans="2:9" x14ac:dyDescent="0.25">
      <c r="B15" s="14" t="s">
        <v>6</v>
      </c>
      <c r="C15" s="18"/>
      <c r="D15" s="22"/>
      <c r="E15" s="22"/>
      <c r="F15" s="35">
        <f>F14/F$10</f>
        <v>0.65905797101449271</v>
      </c>
      <c r="G15" s="35">
        <f t="shared" ref="G15:H15" si="1">G14/G$10</f>
        <v>0.60185962807438509</v>
      </c>
      <c r="H15" s="35">
        <f t="shared" si="1"/>
        <v>0.65682633196721307</v>
      </c>
      <c r="I15" s="44">
        <f>I14/I10</f>
        <v>0.58693920891956464</v>
      </c>
    </row>
    <row r="16" spans="2:9" x14ac:dyDescent="0.25">
      <c r="B16" s="14" t="s">
        <v>16</v>
      </c>
      <c r="C16" s="18"/>
      <c r="D16" s="22"/>
      <c r="E16" s="22"/>
      <c r="F16" s="35"/>
      <c r="G16" s="35"/>
      <c r="H16" s="35"/>
      <c r="I16" s="44">
        <f>I14/$H$10</f>
        <v>0.14158555327868852</v>
      </c>
    </row>
    <row r="17" spans="2:9" x14ac:dyDescent="0.25">
      <c r="B17" s="14"/>
      <c r="C17" s="18"/>
      <c r="D17" s="22"/>
      <c r="E17" s="22"/>
      <c r="F17" s="35"/>
      <c r="G17" s="35"/>
      <c r="H17" s="35"/>
      <c r="I17" s="44"/>
    </row>
    <row r="18" spans="2:9" x14ac:dyDescent="0.25">
      <c r="B18" s="15" t="s">
        <v>3</v>
      </c>
      <c r="C18" s="29">
        <f>mil*4587</f>
        <v>4587000000</v>
      </c>
      <c r="D18" s="29">
        <f>mil*4960</f>
        <v>4960000000</v>
      </c>
      <c r="E18" s="29">
        <f>mil*5559</f>
        <v>5559000000</v>
      </c>
      <c r="F18" s="29">
        <v>5567000000</v>
      </c>
      <c r="G18" s="29">
        <v>5827000000</v>
      </c>
      <c r="H18" s="29">
        <v>5428000000</v>
      </c>
      <c r="I18" s="30">
        <f>mil*1306</f>
        <v>1306000000</v>
      </c>
    </row>
    <row r="19" spans="2:9" x14ac:dyDescent="0.25">
      <c r="B19" s="14" t="s">
        <v>6</v>
      </c>
      <c r="C19" s="18"/>
      <c r="D19" s="22"/>
      <c r="E19" s="22"/>
      <c r="F19" s="35">
        <f>F18/F$10</f>
        <v>0.40340579710144925</v>
      </c>
      <c r="G19" s="35">
        <f t="shared" ref="G19:H19" si="2">G18/G$10</f>
        <v>0.3495500899820036</v>
      </c>
      <c r="H19" s="35">
        <f t="shared" si="2"/>
        <v>0.34759221311475408</v>
      </c>
      <c r="I19" s="45">
        <f>I18/I10</f>
        <v>0.34669498274488986</v>
      </c>
    </row>
    <row r="20" spans="2:9" x14ac:dyDescent="0.25">
      <c r="B20" s="14" t="s">
        <v>16</v>
      </c>
      <c r="C20" s="18"/>
      <c r="D20" s="22"/>
      <c r="E20" s="22"/>
      <c r="F20" s="35"/>
      <c r="G20" s="35"/>
      <c r="H20" s="35"/>
      <c r="I20" s="45">
        <f>I18/$H$10</f>
        <v>8.3632172131147542E-2</v>
      </c>
    </row>
    <row r="21" spans="2:9" x14ac:dyDescent="0.25">
      <c r="B21" s="14"/>
      <c r="C21" s="18"/>
      <c r="D21" s="22"/>
      <c r="E21" s="22"/>
      <c r="F21" s="35"/>
      <c r="G21" s="35"/>
      <c r="H21" s="35"/>
      <c r="I21" s="23"/>
    </row>
    <row r="22" spans="2:9" x14ac:dyDescent="0.25">
      <c r="B22" s="14"/>
      <c r="C22" s="18"/>
      <c r="D22" s="22"/>
      <c r="E22" s="22"/>
      <c r="F22" s="22"/>
      <c r="G22" s="22"/>
      <c r="H22" s="22"/>
      <c r="I22" s="23"/>
    </row>
    <row r="23" spans="2:9" x14ac:dyDescent="0.25">
      <c r="B23" s="15" t="s">
        <v>4</v>
      </c>
      <c r="C23" s="29">
        <f>mil*1479</f>
        <v>1479000000</v>
      </c>
      <c r="D23" s="29">
        <f>mil*1362</f>
        <v>1362000000</v>
      </c>
      <c r="E23" s="29">
        <f>mil*574</f>
        <v>574000000</v>
      </c>
      <c r="F23" s="29">
        <v>-862000000</v>
      </c>
      <c r="G23" s="29">
        <v>810000000</v>
      </c>
      <c r="H23" s="29">
        <v>-69000000</v>
      </c>
      <c r="I23" s="30">
        <f>mil*250</f>
        <v>250000000</v>
      </c>
    </row>
    <row r="24" spans="2:9" x14ac:dyDescent="0.25">
      <c r="B24" s="14" t="s">
        <v>6</v>
      </c>
      <c r="C24" s="31">
        <f t="shared" ref="C24:E24" si="3">C23/C$10</f>
        <v>9.3282876064333012E-2</v>
      </c>
      <c r="D24" s="31">
        <f t="shared" si="3"/>
        <v>8.2147165259348606E-2</v>
      </c>
      <c r="E24" s="31">
        <f t="shared" si="3"/>
        <v>3.5036318134651773E-2</v>
      </c>
      <c r="F24" s="31">
        <f>F23/F$10</f>
        <v>-6.246376811594203E-2</v>
      </c>
      <c r="G24" s="31">
        <f t="shared" ref="G24" si="4">G23/G$10</f>
        <v>4.8590281943611278E-2</v>
      </c>
      <c r="H24" s="31">
        <f t="shared" ref="H24:I24" si="5">H23/H$10</f>
        <v>-4.4185450819672128E-3</v>
      </c>
      <c r="I24" s="34">
        <f t="shared" si="5"/>
        <v>6.636580833554552E-2</v>
      </c>
    </row>
    <row r="25" spans="2:9" x14ac:dyDescent="0.25">
      <c r="B25" s="14" t="s">
        <v>16</v>
      </c>
      <c r="C25" s="31"/>
      <c r="D25" s="31"/>
      <c r="E25" s="31"/>
      <c r="F25" s="31"/>
      <c r="G25" s="31"/>
      <c r="H25" s="31"/>
      <c r="I25" s="34">
        <f>I23/$H$10</f>
        <v>1.6009221311475409E-2</v>
      </c>
    </row>
    <row r="26" spans="2:9" x14ac:dyDescent="0.25">
      <c r="B26" s="15"/>
      <c r="C26" s="22"/>
      <c r="D26" s="22"/>
      <c r="E26" s="22"/>
      <c r="F26" s="22"/>
      <c r="G26" s="22"/>
      <c r="H26" s="22"/>
      <c r="I26" s="23"/>
    </row>
    <row r="27" spans="2:9" x14ac:dyDescent="0.25">
      <c r="B27" s="24" t="s">
        <v>7</v>
      </c>
      <c r="C27" s="29">
        <f>mil*559</f>
        <v>559000000</v>
      </c>
      <c r="D27" s="29">
        <f>mil*578</f>
        <v>578000000</v>
      </c>
      <c r="E27" s="29">
        <f>mil*557</f>
        <v>557000000</v>
      </c>
      <c r="F27" s="29">
        <f>507*$C$8</f>
        <v>507000000</v>
      </c>
      <c r="G27" s="29">
        <f>504*$C$8</f>
        <v>504000000</v>
      </c>
      <c r="H27" s="29">
        <f>540*$C$8</f>
        <v>540000000</v>
      </c>
      <c r="I27" s="30">
        <f>mil*394</f>
        <v>394000000</v>
      </c>
    </row>
    <row r="28" spans="2:9" x14ac:dyDescent="0.25">
      <c r="B28" s="14" t="s">
        <v>6</v>
      </c>
      <c r="C28" s="18"/>
      <c r="D28" s="22"/>
      <c r="E28" s="22"/>
      <c r="F28" s="31">
        <f>F27/F$10</f>
        <v>3.6739130434782608E-2</v>
      </c>
      <c r="G28" s="31">
        <f t="shared" ref="G28" si="6">G27/G$10</f>
        <v>3.0233953209358129E-2</v>
      </c>
      <c r="H28" s="31">
        <f t="shared" ref="H28:I28" si="7">H27/H$10</f>
        <v>3.4579918032786885E-2</v>
      </c>
      <c r="I28" s="34">
        <f t="shared" si="7"/>
        <v>0.10459251393681974</v>
      </c>
    </row>
    <row r="29" spans="2:9" x14ac:dyDescent="0.25">
      <c r="B29" s="14" t="s">
        <v>16</v>
      </c>
      <c r="C29" s="18"/>
      <c r="D29" s="22"/>
      <c r="E29" s="22"/>
      <c r="F29" s="31"/>
      <c r="G29" s="31"/>
      <c r="H29" s="31"/>
      <c r="I29" s="34">
        <f>I27/$H$10</f>
        <v>2.5230532786885244E-2</v>
      </c>
    </row>
    <row r="30" spans="2:9" x14ac:dyDescent="0.25">
      <c r="B30" s="15"/>
      <c r="C30" s="22"/>
      <c r="D30" s="22"/>
      <c r="E30" s="22"/>
      <c r="F30" s="22"/>
      <c r="G30" s="22"/>
      <c r="H30" s="22"/>
      <c r="I30" s="23"/>
    </row>
    <row r="31" spans="2:9" x14ac:dyDescent="0.25">
      <c r="B31" s="24" t="s">
        <v>8</v>
      </c>
      <c r="C31" s="25">
        <f>C23+C27</f>
        <v>2038000000</v>
      </c>
      <c r="D31" s="25">
        <f>D23+D27</f>
        <v>1940000000</v>
      </c>
      <c r="E31" s="25">
        <f>E23+E27</f>
        <v>1131000000</v>
      </c>
      <c r="F31" s="25">
        <f>F23+F27</f>
        <v>-355000000</v>
      </c>
      <c r="G31" s="25">
        <f>G23+G27</f>
        <v>1314000000</v>
      </c>
      <c r="H31" s="25">
        <f>H23+H27</f>
        <v>471000000</v>
      </c>
      <c r="I31" s="26">
        <f>I23+I27</f>
        <v>644000000</v>
      </c>
    </row>
    <row r="32" spans="2:9" ht="15.75" thickBot="1" x14ac:dyDescent="0.3">
      <c r="B32" s="36" t="s">
        <v>6</v>
      </c>
      <c r="C32" s="46">
        <f>C31/C10</f>
        <v>0.12853989277830338</v>
      </c>
      <c r="D32" s="46">
        <f t="shared" ref="D32:I32" si="8">D31/D10</f>
        <v>0.11700844390832328</v>
      </c>
      <c r="E32" s="46">
        <f t="shared" si="8"/>
        <v>6.9034975279252883E-2</v>
      </c>
      <c r="F32" s="46">
        <f t="shared" si="8"/>
        <v>-2.5724637681159419E-2</v>
      </c>
      <c r="G32" s="46">
        <f t="shared" si="8"/>
        <v>7.8824235152969407E-2</v>
      </c>
      <c r="H32" s="46">
        <f t="shared" si="8"/>
        <v>3.0161372950819672E-2</v>
      </c>
      <c r="I32" s="47">
        <f t="shared" si="8"/>
        <v>0.17095832227236527</v>
      </c>
    </row>
    <row r="33" spans="2:9" x14ac:dyDescent="0.25">
      <c r="B33" s="2"/>
      <c r="C33" s="3"/>
      <c r="D33" s="3"/>
      <c r="E33" s="3"/>
      <c r="F33" s="3"/>
      <c r="G33" s="3"/>
      <c r="H33" s="3"/>
      <c r="I33" s="3"/>
    </row>
    <row r="34" spans="2:9" ht="15.75" thickBot="1" x14ac:dyDescent="0.3"/>
    <row r="35" spans="2:9" x14ac:dyDescent="0.25">
      <c r="B35" s="40" t="s">
        <v>9</v>
      </c>
      <c r="C35" s="42">
        <v>2018</v>
      </c>
      <c r="D35" s="42">
        <v>2019</v>
      </c>
      <c r="E35" s="42">
        <v>2020</v>
      </c>
      <c r="F35" s="42">
        <v>2021</v>
      </c>
      <c r="G35" s="42">
        <v>2022</v>
      </c>
      <c r="H35" s="42">
        <v>2023</v>
      </c>
      <c r="I35" s="43">
        <v>45200</v>
      </c>
    </row>
    <row r="36" spans="2:9" x14ac:dyDescent="0.25">
      <c r="B36" s="15"/>
      <c r="C36" s="22"/>
      <c r="D36" s="22"/>
      <c r="E36" s="22"/>
      <c r="F36" s="22"/>
      <c r="G36" s="22"/>
      <c r="H36" s="22"/>
      <c r="I36" s="23"/>
    </row>
    <row r="37" spans="2:9" x14ac:dyDescent="0.25">
      <c r="B37" s="24" t="s">
        <v>7</v>
      </c>
      <c r="C37" s="29">
        <f>C27</f>
        <v>559000000</v>
      </c>
      <c r="D37" s="29">
        <f>D27</f>
        <v>578000000</v>
      </c>
      <c r="E37" s="29">
        <f>E27</f>
        <v>557000000</v>
      </c>
      <c r="F37" s="29">
        <f>F27</f>
        <v>507000000</v>
      </c>
      <c r="G37" s="29">
        <f>G27</f>
        <v>504000000</v>
      </c>
      <c r="H37" s="29">
        <f>H27</f>
        <v>540000000</v>
      </c>
      <c r="I37" s="30">
        <f>I27</f>
        <v>394000000</v>
      </c>
    </row>
    <row r="38" spans="2:9" x14ac:dyDescent="0.25">
      <c r="B38" s="14" t="s">
        <v>6</v>
      </c>
      <c r="C38" s="31">
        <f>C37/C$10</f>
        <v>3.5257016713970357E-2</v>
      </c>
      <c r="D38" s="31">
        <f t="shared" ref="D38" si="9">D37/D$10</f>
        <v>3.4861278648974668E-2</v>
      </c>
      <c r="E38" s="31">
        <f t="shared" ref="E38" si="10">E37/E$10</f>
        <v>3.399865714460111E-2</v>
      </c>
      <c r="F38" s="31">
        <f>F37/F$10</f>
        <v>3.6739130434782608E-2</v>
      </c>
      <c r="G38" s="31">
        <f t="shared" ref="G38" si="11">G37/G$10</f>
        <v>3.0233953209358129E-2</v>
      </c>
      <c r="H38" s="31">
        <f t="shared" ref="H38:I38" si="12">H37/H$10</f>
        <v>3.4579918032786885E-2</v>
      </c>
      <c r="I38" s="34">
        <f t="shared" si="12"/>
        <v>0.10459251393681974</v>
      </c>
    </row>
    <row r="39" spans="2:9" x14ac:dyDescent="0.25">
      <c r="B39" s="14" t="s">
        <v>11</v>
      </c>
      <c r="C39" s="31">
        <f>C37/C42</f>
        <v>0.76470588235294112</v>
      </c>
      <c r="D39" s="31">
        <f t="shared" ref="D39:E39" si="13">D37/D42</f>
        <v>0.81985815602836876</v>
      </c>
      <c r="E39" s="31">
        <f t="shared" si="13"/>
        <v>0.79344729344729348</v>
      </c>
      <c r="F39" s="31">
        <f>F37/F42</f>
        <v>1.2933673469387754</v>
      </c>
      <c r="G39" s="31">
        <f t="shared" ref="G39:H39" si="14">G37/G42</f>
        <v>0.72622478386167144</v>
      </c>
      <c r="H39" s="31">
        <f t="shared" si="14"/>
        <v>0.78832116788321172</v>
      </c>
      <c r="I39" s="34">
        <f t="shared" ref="I39" si="15">I37/I42</f>
        <v>1.7280701754385965</v>
      </c>
    </row>
    <row r="40" spans="2:9" x14ac:dyDescent="0.25">
      <c r="B40" s="14" t="s">
        <v>17</v>
      </c>
      <c r="C40" s="31"/>
      <c r="D40" s="31"/>
      <c r="E40" s="31"/>
      <c r="F40" s="31"/>
      <c r="G40" s="31"/>
      <c r="H40" s="31"/>
      <c r="I40" s="34">
        <f>I37/H42</f>
        <v>0.57518248175182485</v>
      </c>
    </row>
    <row r="41" spans="2:9" x14ac:dyDescent="0.25">
      <c r="B41" s="14"/>
      <c r="C41" s="18"/>
      <c r="D41" s="22"/>
      <c r="E41" s="22"/>
      <c r="F41" s="31"/>
      <c r="G41" s="31"/>
      <c r="H41" s="31"/>
      <c r="I41" s="23"/>
    </row>
    <row r="42" spans="2:9" x14ac:dyDescent="0.25">
      <c r="B42" s="15" t="s">
        <v>10</v>
      </c>
      <c r="C42" s="29">
        <f>mil*731</f>
        <v>731000000</v>
      </c>
      <c r="D42" s="29">
        <f>mil*705</f>
        <v>705000000</v>
      </c>
      <c r="E42" s="29">
        <f>mil*702</f>
        <v>702000000</v>
      </c>
      <c r="F42" s="29">
        <f>392*$C$8</f>
        <v>392000000</v>
      </c>
      <c r="G42" s="29">
        <f>694*$C$8</f>
        <v>694000000</v>
      </c>
      <c r="H42" s="29">
        <f>685*$C$8</f>
        <v>685000000</v>
      </c>
      <c r="I42" s="30">
        <f>mil*228</f>
        <v>228000000</v>
      </c>
    </row>
    <row r="43" spans="2:9" x14ac:dyDescent="0.25">
      <c r="B43" s="14" t="s">
        <v>6</v>
      </c>
      <c r="C43" s="31">
        <f t="shared" ref="C43:E43" si="16">C42/C$10</f>
        <v>4.6105329549038156E-2</v>
      </c>
      <c r="D43" s="31">
        <f t="shared" si="16"/>
        <v>4.2521109770808203E-2</v>
      </c>
      <c r="E43" s="31">
        <f t="shared" si="16"/>
        <v>4.2849295000915583E-2</v>
      </c>
      <c r="F43" s="31">
        <f>F42/F$10</f>
        <v>2.8405797101449276E-2</v>
      </c>
      <c r="G43" s="31">
        <f t="shared" ref="G43" si="17">G42/G$10</f>
        <v>4.1631673665266947E-2</v>
      </c>
      <c r="H43" s="31">
        <f t="shared" ref="H43:I43" si="18">H42/H$10</f>
        <v>4.3865266393442626E-2</v>
      </c>
      <c r="I43" s="34">
        <f t="shared" si="18"/>
        <v>6.0525617202017518E-2</v>
      </c>
    </row>
    <row r="44" spans="2:9" x14ac:dyDescent="0.25">
      <c r="B44" s="14" t="s">
        <v>18</v>
      </c>
      <c r="C44" s="31"/>
      <c r="D44" s="31"/>
      <c r="E44" s="31"/>
      <c r="F44" s="31"/>
      <c r="G44" s="31"/>
      <c r="H44" s="31"/>
      <c r="I44" s="34">
        <f>I42/H10</f>
        <v>1.4600409836065574E-2</v>
      </c>
    </row>
    <row r="45" spans="2:9" x14ac:dyDescent="0.25">
      <c r="B45" s="15"/>
      <c r="C45" s="22"/>
      <c r="D45" s="22"/>
      <c r="E45" s="22"/>
      <c r="F45" s="22"/>
      <c r="G45" s="22"/>
      <c r="H45" s="22"/>
      <c r="I45" s="23"/>
    </row>
    <row r="46" spans="2:9" x14ac:dyDescent="0.25">
      <c r="B46" s="14" t="s">
        <v>14</v>
      </c>
      <c r="C46" s="29">
        <f>mil*2</f>
        <v>2000000</v>
      </c>
      <c r="D46" s="29">
        <f>mil*-379</f>
        <v>-379000000</v>
      </c>
      <c r="E46" s="29">
        <f>mil*-39</f>
        <v>-39000000</v>
      </c>
      <c r="F46" s="29">
        <f>635*$C$8</f>
        <v>635000000</v>
      </c>
      <c r="G46" s="29">
        <f>-1114*$C$8</f>
        <v>-1114000000</v>
      </c>
      <c r="H46" s="29">
        <f>371*$C$8</f>
        <v>371000000</v>
      </c>
      <c r="I46" s="30">
        <f>mil*106</f>
        <v>106000000</v>
      </c>
    </row>
    <row r="47" spans="2:9" x14ac:dyDescent="0.25">
      <c r="B47" s="14" t="s">
        <v>6</v>
      </c>
      <c r="C47" s="31">
        <f t="shared" ref="C47:E47" si="19">C46/C$10</f>
        <v>1.2614317250078839E-4</v>
      </c>
      <c r="D47" s="31">
        <f t="shared" si="19"/>
        <v>-2.2858866103739446E-2</v>
      </c>
      <c r="E47" s="31">
        <f t="shared" si="19"/>
        <v>-2.3805163889397546E-3</v>
      </c>
      <c r="F47" s="31">
        <f>F46/F$10</f>
        <v>4.6014492753623189E-2</v>
      </c>
      <c r="G47" s="31">
        <f t="shared" ref="G47" si="20">G46/G$10</f>
        <v>-6.6826634673065391E-2</v>
      </c>
      <c r="H47" s="31">
        <f t="shared" ref="H47:I47" si="21">H46/H$10</f>
        <v>2.3757684426229508E-2</v>
      </c>
      <c r="I47" s="34">
        <f t="shared" si="21"/>
        <v>2.8139102734271303E-2</v>
      </c>
    </row>
    <row r="48" spans="2:9" ht="15.75" thickBot="1" x14ac:dyDescent="0.3">
      <c r="B48" s="36" t="s">
        <v>18</v>
      </c>
      <c r="C48" s="37"/>
      <c r="D48" s="37"/>
      <c r="E48" s="37"/>
      <c r="F48" s="37"/>
      <c r="G48" s="37"/>
      <c r="H48" s="37"/>
      <c r="I48" s="41">
        <f>I46/H10</f>
        <v>6.7879098360655735E-3</v>
      </c>
    </row>
    <row r="50" spans="2:16" ht="15.75" thickBot="1" x14ac:dyDescent="0.3"/>
    <row r="51" spans="2:16" x14ac:dyDescent="0.25">
      <c r="B51" s="12" t="s">
        <v>12</v>
      </c>
      <c r="C51" s="42">
        <v>2018</v>
      </c>
      <c r="D51" s="42">
        <v>2019</v>
      </c>
      <c r="E51" s="42">
        <v>2020</v>
      </c>
      <c r="F51" s="42">
        <v>2021</v>
      </c>
      <c r="G51" s="42">
        <v>2022</v>
      </c>
      <c r="H51" s="60">
        <v>2023</v>
      </c>
      <c r="I51" s="48">
        <f>H51+1</f>
        <v>2024</v>
      </c>
      <c r="J51" s="48">
        <f t="shared" ref="J51:M51" si="22">I51+1</f>
        <v>2025</v>
      </c>
      <c r="K51" s="48">
        <f t="shared" si="22"/>
        <v>2026</v>
      </c>
      <c r="L51" s="48">
        <f t="shared" si="22"/>
        <v>2027</v>
      </c>
      <c r="M51" s="49">
        <f t="shared" si="22"/>
        <v>2028</v>
      </c>
    </row>
    <row r="52" spans="2:16" x14ac:dyDescent="0.25">
      <c r="B52" s="15" t="s">
        <v>1</v>
      </c>
      <c r="C52" s="16">
        <f>C10</f>
        <v>15855000000</v>
      </c>
      <c r="D52" s="16">
        <f>D10</f>
        <v>16580000000</v>
      </c>
      <c r="E52" s="16">
        <f>E10</f>
        <v>16383000000</v>
      </c>
      <c r="F52" s="16">
        <f>F10</f>
        <v>13800000000</v>
      </c>
      <c r="G52" s="16">
        <f>G10</f>
        <v>16670000000</v>
      </c>
      <c r="H52" s="61">
        <f>H10</f>
        <v>15616000000</v>
      </c>
      <c r="I52" s="16">
        <f>H52*(1+I$53)</f>
        <v>14991360000</v>
      </c>
      <c r="J52" s="16">
        <f>I52*(1+J$53)</f>
        <v>15066316799.999998</v>
      </c>
      <c r="K52" s="16">
        <f t="shared" ref="K52:M52" si="23">J52*(1+K$53)</f>
        <v>14764990463.999998</v>
      </c>
      <c r="L52" s="16">
        <f t="shared" si="23"/>
        <v>15503239987.199999</v>
      </c>
      <c r="M52" s="17">
        <f t="shared" si="23"/>
        <v>15968337186.816</v>
      </c>
    </row>
    <row r="53" spans="2:16" s="1" customFormat="1" x14ac:dyDescent="0.25">
      <c r="B53" s="14" t="s">
        <v>2</v>
      </c>
      <c r="C53" s="18"/>
      <c r="D53" s="19">
        <f>D52/C52-1</f>
        <v>4.57269000315359E-2</v>
      </c>
      <c r="E53" s="19">
        <f>E52/D52-1</f>
        <v>-1.1881785283474056E-2</v>
      </c>
      <c r="F53" s="19">
        <f t="shared" ref="F53" si="24">F52/E52-1</f>
        <v>-0.15766343160593299</v>
      </c>
      <c r="G53" s="19">
        <f>G52/F52-1</f>
        <v>0.20797101449275357</v>
      </c>
      <c r="H53" s="62">
        <f>H52/G52-1</f>
        <v>-6.3227354529094226E-2</v>
      </c>
      <c r="I53" s="20">
        <v>-0.04</v>
      </c>
      <c r="J53" s="20">
        <v>5.0000000000000001E-3</v>
      </c>
      <c r="K53" s="20">
        <v>-0.02</v>
      </c>
      <c r="L53" s="20">
        <v>0.05</v>
      </c>
      <c r="M53" s="21">
        <v>0.03</v>
      </c>
    </row>
    <row r="54" spans="2:16" x14ac:dyDescent="0.25">
      <c r="B54" s="15"/>
      <c r="C54" s="22"/>
      <c r="D54" s="22"/>
      <c r="E54" s="22"/>
      <c r="F54" s="22"/>
      <c r="G54" s="22"/>
      <c r="H54" s="63"/>
      <c r="I54" s="22"/>
      <c r="J54" s="22"/>
      <c r="K54" s="22"/>
      <c r="L54" s="22"/>
      <c r="M54" s="23"/>
    </row>
    <row r="55" spans="2:16" x14ac:dyDescent="0.25">
      <c r="B55" s="24" t="s">
        <v>4</v>
      </c>
      <c r="C55" s="25">
        <f>C23</f>
        <v>1479000000</v>
      </c>
      <c r="D55" s="25">
        <f>D23</f>
        <v>1362000000</v>
      </c>
      <c r="E55" s="25">
        <f>E23</f>
        <v>574000000</v>
      </c>
      <c r="F55" s="25">
        <f>F23</f>
        <v>-862000000</v>
      </c>
      <c r="G55" s="25">
        <f>G23</f>
        <v>810000000</v>
      </c>
      <c r="H55" s="64">
        <f>H23</f>
        <v>-69000000</v>
      </c>
      <c r="I55" s="25">
        <f>I56*I52</f>
        <v>74956800</v>
      </c>
      <c r="J55" s="25">
        <f>J56*J52</f>
        <v>150663167.99999997</v>
      </c>
      <c r="K55" s="25">
        <f t="shared" ref="K55:M55" si="25">K56*K52</f>
        <v>-590599618.55999994</v>
      </c>
      <c r="L55" s="25">
        <f t="shared" si="25"/>
        <v>775161999.36000001</v>
      </c>
      <c r="M55" s="26">
        <f t="shared" si="25"/>
        <v>399208429.67040002</v>
      </c>
    </row>
    <row r="56" spans="2:16" s="1" customFormat="1" x14ac:dyDescent="0.25">
      <c r="B56" s="14" t="s">
        <v>6</v>
      </c>
      <c r="C56" s="19">
        <f>C24</f>
        <v>9.3282876064333012E-2</v>
      </c>
      <c r="D56" s="19">
        <f>D24</f>
        <v>8.2147165259348606E-2</v>
      </c>
      <c r="E56" s="19">
        <f>E24</f>
        <v>3.5036318134651773E-2</v>
      </c>
      <c r="F56" s="19">
        <f>F24</f>
        <v>-6.246376811594203E-2</v>
      </c>
      <c r="G56" s="19">
        <f>G24</f>
        <v>4.8590281943611278E-2</v>
      </c>
      <c r="H56" s="70">
        <f>H24</f>
        <v>-4.4185450819672128E-3</v>
      </c>
      <c r="I56" s="32">
        <v>5.0000000000000001E-3</v>
      </c>
      <c r="J56" s="27">
        <v>0.01</v>
      </c>
      <c r="K56" s="27">
        <v>-0.04</v>
      </c>
      <c r="L56" s="27">
        <v>0.05</v>
      </c>
      <c r="M56" s="28">
        <v>2.5000000000000001E-2</v>
      </c>
      <c r="N56" s="7"/>
    </row>
    <row r="57" spans="2:16" x14ac:dyDescent="0.25">
      <c r="B57" s="15"/>
      <c r="C57" s="22"/>
      <c r="D57" s="22"/>
      <c r="E57" s="22"/>
      <c r="F57" s="22"/>
      <c r="G57" s="22"/>
      <c r="H57" s="63"/>
      <c r="I57" s="22"/>
      <c r="J57" s="22"/>
      <c r="K57" s="22"/>
      <c r="L57" s="22"/>
      <c r="M57" s="23"/>
    </row>
    <row r="58" spans="2:16" x14ac:dyDescent="0.25">
      <c r="B58" s="24" t="s">
        <v>7</v>
      </c>
      <c r="C58" s="29">
        <f>C37</f>
        <v>559000000</v>
      </c>
      <c r="D58" s="29">
        <f t="shared" ref="D58:H58" si="26">D37</f>
        <v>578000000</v>
      </c>
      <c r="E58" s="29">
        <f t="shared" si="26"/>
        <v>557000000</v>
      </c>
      <c r="F58" s="29">
        <f t="shared" si="26"/>
        <v>507000000</v>
      </c>
      <c r="G58" s="29">
        <f t="shared" si="26"/>
        <v>504000000</v>
      </c>
      <c r="H58" s="65">
        <f t="shared" si="26"/>
        <v>540000000</v>
      </c>
      <c r="I58" s="29">
        <f>I59*I$52</f>
        <v>513878720.72715873</v>
      </c>
      <c r="J58" s="29">
        <f t="shared" ref="J58:M58" si="27">J59*J$52</f>
        <v>513990569.51333147</v>
      </c>
      <c r="K58" s="29">
        <f t="shared" si="27"/>
        <v>442949713.9199999</v>
      </c>
      <c r="L58" s="29">
        <f t="shared" si="27"/>
        <v>516636526.95158964</v>
      </c>
      <c r="M58" s="30">
        <f t="shared" si="27"/>
        <v>523047756.09798992</v>
      </c>
    </row>
    <row r="59" spans="2:16" x14ac:dyDescent="0.25">
      <c r="B59" s="14" t="s">
        <v>6</v>
      </c>
      <c r="C59" s="31">
        <f>C58/C$10</f>
        <v>3.5257016713970357E-2</v>
      </c>
      <c r="D59" s="31">
        <f t="shared" ref="D59:H59" si="28">D58/D$10</f>
        <v>3.4861278648974668E-2</v>
      </c>
      <c r="E59" s="31">
        <f t="shared" si="28"/>
        <v>3.399865714460111E-2</v>
      </c>
      <c r="F59" s="31">
        <f t="shared" si="28"/>
        <v>3.6739130434782608E-2</v>
      </c>
      <c r="G59" s="31">
        <f t="shared" si="28"/>
        <v>3.0233953209358129E-2</v>
      </c>
      <c r="H59" s="66">
        <f t="shared" si="28"/>
        <v>3.4579918032786885E-2</v>
      </c>
      <c r="I59" s="32">
        <f>AVERAGE(C59:H59)</f>
        <v>3.4278325697412293E-2</v>
      </c>
      <c r="J59" s="32">
        <f t="shared" ref="J59:M59" si="29">AVERAGE(D59:I59)</f>
        <v>3.4115210527985947E-2</v>
      </c>
      <c r="K59" s="32">
        <v>0.03</v>
      </c>
      <c r="L59" s="32">
        <f t="shared" si="29"/>
        <v>3.3324422983720972E-2</v>
      </c>
      <c r="M59" s="33">
        <f t="shared" si="29"/>
        <v>3.2755305075210704E-2</v>
      </c>
    </row>
    <row r="60" spans="2:16" x14ac:dyDescent="0.25">
      <c r="B60" s="14" t="s">
        <v>11</v>
      </c>
      <c r="C60" s="31">
        <f>C58/C65</f>
        <v>0.76470588235294112</v>
      </c>
      <c r="D60" s="31">
        <f t="shared" ref="D60:M60" si="30">D58/D65</f>
        <v>0.81985815602836876</v>
      </c>
      <c r="E60" s="31">
        <f t="shared" si="30"/>
        <v>0.79344729344729348</v>
      </c>
      <c r="F60" s="31">
        <f t="shared" si="30"/>
        <v>1.2933673469387754</v>
      </c>
      <c r="G60" s="31">
        <f t="shared" si="30"/>
        <v>0.72622478386167144</v>
      </c>
      <c r="H60" s="66">
        <f t="shared" si="30"/>
        <v>0.78832116788321172</v>
      </c>
      <c r="I60" s="31">
        <f t="shared" si="30"/>
        <v>0.83817440439335944</v>
      </c>
      <c r="J60" s="31">
        <f t="shared" si="30"/>
        <v>0.83418590853774743</v>
      </c>
      <c r="K60" s="31">
        <f t="shared" si="30"/>
        <v>0.74715556340311906</v>
      </c>
      <c r="L60" s="31">
        <f t="shared" si="30"/>
        <v>0.83700522924445009</v>
      </c>
      <c r="M60" s="34">
        <f t="shared" si="30"/>
        <v>0.83176995622229577</v>
      </c>
    </row>
    <row r="61" spans="2:16" x14ac:dyDescent="0.25">
      <c r="B61" s="14"/>
      <c r="C61" s="31"/>
      <c r="D61" s="31"/>
      <c r="E61" s="31"/>
      <c r="F61" s="31"/>
      <c r="G61" s="31"/>
      <c r="H61" s="66"/>
      <c r="I61" s="31"/>
      <c r="J61" s="31"/>
      <c r="K61" s="31"/>
      <c r="L61" s="31"/>
      <c r="M61" s="34"/>
    </row>
    <row r="62" spans="2:16" x14ac:dyDescent="0.25">
      <c r="B62" s="24" t="s">
        <v>8</v>
      </c>
      <c r="C62" s="29">
        <f>C55+C58</f>
        <v>2038000000</v>
      </c>
      <c r="D62" s="29">
        <f t="shared" ref="D62:M62" si="31">D55+D58</f>
        <v>1940000000</v>
      </c>
      <c r="E62" s="29">
        <f t="shared" si="31"/>
        <v>1131000000</v>
      </c>
      <c r="F62" s="29">
        <f t="shared" si="31"/>
        <v>-355000000</v>
      </c>
      <c r="G62" s="29">
        <f t="shared" si="31"/>
        <v>1314000000</v>
      </c>
      <c r="H62" s="65">
        <f t="shared" si="31"/>
        <v>471000000</v>
      </c>
      <c r="I62" s="29">
        <f t="shared" si="31"/>
        <v>588835520.72715878</v>
      </c>
      <c r="J62" s="29">
        <f t="shared" si="31"/>
        <v>664653737.51333141</v>
      </c>
      <c r="K62" s="29">
        <f t="shared" si="31"/>
        <v>-147649904.64000005</v>
      </c>
      <c r="L62" s="29">
        <f t="shared" si="31"/>
        <v>1291798526.3115897</v>
      </c>
      <c r="M62" s="30">
        <f t="shared" si="31"/>
        <v>922256185.76838994</v>
      </c>
      <c r="P62" s="3"/>
    </row>
    <row r="63" spans="2:16" x14ac:dyDescent="0.25">
      <c r="B63" s="14" t="s">
        <v>6</v>
      </c>
      <c r="C63" s="35">
        <f>C62/C52</f>
        <v>0.12853989277830338</v>
      </c>
      <c r="D63" s="35">
        <f t="shared" ref="D63:H63" si="32">D62/D52</f>
        <v>0.11700844390832328</v>
      </c>
      <c r="E63" s="35">
        <f t="shared" si="32"/>
        <v>6.9034975279252883E-2</v>
      </c>
      <c r="F63" s="35">
        <f t="shared" si="32"/>
        <v>-2.5724637681159419E-2</v>
      </c>
      <c r="G63" s="35">
        <f t="shared" si="32"/>
        <v>7.8824235152969407E-2</v>
      </c>
      <c r="H63" s="67">
        <f t="shared" si="32"/>
        <v>3.0161372950819672E-2</v>
      </c>
      <c r="I63" s="32">
        <f>I62/I52</f>
        <v>3.9278325697412297E-2</v>
      </c>
      <c r="J63" s="32">
        <f t="shared" ref="J63:M63" si="33">J62/J52</f>
        <v>4.4115210527985942E-2</v>
      </c>
      <c r="K63" s="32">
        <f t="shared" si="33"/>
        <v>-1.0000000000000004E-2</v>
      </c>
      <c r="L63" s="32">
        <f t="shared" si="33"/>
        <v>8.3324422983720975E-2</v>
      </c>
      <c r="M63" s="33">
        <f t="shared" si="33"/>
        <v>5.7755305075210706E-2</v>
      </c>
      <c r="P63" s="3"/>
    </row>
    <row r="64" spans="2:16" x14ac:dyDescent="0.25">
      <c r="B64" s="14"/>
      <c r="C64" s="18"/>
      <c r="D64" s="22"/>
      <c r="E64" s="22"/>
      <c r="F64" s="31"/>
      <c r="G64" s="31"/>
      <c r="H64" s="66"/>
      <c r="I64" s="22"/>
      <c r="J64" s="22"/>
      <c r="K64" s="22"/>
      <c r="L64" s="22"/>
      <c r="M64" s="23"/>
    </row>
    <row r="65" spans="1:13" x14ac:dyDescent="0.25">
      <c r="B65" s="15" t="s">
        <v>10</v>
      </c>
      <c r="C65" s="29">
        <f>C42</f>
        <v>731000000</v>
      </c>
      <c r="D65" s="29">
        <f t="shared" ref="D65:H65" si="34">D42</f>
        <v>705000000</v>
      </c>
      <c r="E65" s="29">
        <f t="shared" si="34"/>
        <v>702000000</v>
      </c>
      <c r="F65" s="29">
        <f t="shared" si="34"/>
        <v>392000000</v>
      </c>
      <c r="G65" s="29">
        <f t="shared" si="34"/>
        <v>694000000</v>
      </c>
      <c r="H65" s="65">
        <f t="shared" si="34"/>
        <v>685000000</v>
      </c>
      <c r="I65" s="29">
        <f>I66*I$52</f>
        <v>613092833.7033695</v>
      </c>
      <c r="J65" s="29">
        <f t="shared" ref="J65:M65" si="35">J66*J$52</f>
        <v>616158297.87188625</v>
      </c>
      <c r="K65" s="29">
        <f t="shared" si="35"/>
        <v>592848043.45492315</v>
      </c>
      <c r="L65" s="29">
        <f t="shared" si="35"/>
        <v>617244085.1032058</v>
      </c>
      <c r="M65" s="30">
        <f t="shared" si="35"/>
        <v>628837038.63692105</v>
      </c>
    </row>
    <row r="66" spans="1:13" x14ac:dyDescent="0.25">
      <c r="B66" s="14" t="s">
        <v>6</v>
      </c>
      <c r="C66" s="31">
        <f t="shared" ref="C66:H66" si="36">C43</f>
        <v>4.6105329549038156E-2</v>
      </c>
      <c r="D66" s="31">
        <f t="shared" si="36"/>
        <v>4.2521109770808203E-2</v>
      </c>
      <c r="E66" s="31">
        <f t="shared" si="36"/>
        <v>4.2849295000915583E-2</v>
      </c>
      <c r="F66" s="31">
        <f t="shared" si="36"/>
        <v>2.8405797101449276E-2</v>
      </c>
      <c r="G66" s="31">
        <f t="shared" si="36"/>
        <v>4.1631673665266947E-2</v>
      </c>
      <c r="H66" s="66">
        <f t="shared" si="36"/>
        <v>4.3865266393442626E-2</v>
      </c>
      <c r="I66" s="32">
        <f>AVERAGE(C66:H66)</f>
        <v>4.0896411913486801E-2</v>
      </c>
      <c r="J66" s="32">
        <f>AVERAGE(C66:I66)</f>
        <v>4.0896411913486801E-2</v>
      </c>
      <c r="K66" s="32">
        <f t="shared" ref="K66:M66" si="37">AVERAGE(D66:J66)</f>
        <v>4.0152280822693745E-2</v>
      </c>
      <c r="L66" s="32">
        <f t="shared" si="37"/>
        <v>3.9813876687248825E-2</v>
      </c>
      <c r="M66" s="33">
        <f t="shared" si="37"/>
        <v>3.9380245499582148E-2</v>
      </c>
    </row>
    <row r="67" spans="1:13" x14ac:dyDescent="0.25">
      <c r="B67" s="15"/>
      <c r="C67" s="22"/>
      <c r="D67" s="22"/>
      <c r="E67" s="22"/>
      <c r="F67" s="22"/>
      <c r="G67" s="22"/>
      <c r="H67" s="63"/>
      <c r="I67" s="22"/>
      <c r="J67" s="22"/>
      <c r="K67" s="22"/>
      <c r="L67" s="22"/>
      <c r="M67" s="23"/>
    </row>
    <row r="68" spans="1:13" x14ac:dyDescent="0.25">
      <c r="B68" s="14" t="s">
        <v>14</v>
      </c>
      <c r="C68" s="29">
        <f>C46</f>
        <v>2000000</v>
      </c>
      <c r="D68" s="29">
        <f t="shared" ref="D68:H68" si="38">D46</f>
        <v>-379000000</v>
      </c>
      <c r="E68" s="29">
        <f t="shared" si="38"/>
        <v>-39000000</v>
      </c>
      <c r="F68" s="29">
        <f t="shared" si="38"/>
        <v>635000000</v>
      </c>
      <c r="G68" s="29">
        <f t="shared" si="38"/>
        <v>-1114000000</v>
      </c>
      <c r="H68" s="65">
        <f t="shared" si="38"/>
        <v>371000000</v>
      </c>
      <c r="I68" s="29">
        <f>I69*I$52</f>
        <v>374784000</v>
      </c>
      <c r="J68" s="29">
        <f t="shared" ref="J68:M68" si="39">J69*J$52</f>
        <v>376657920</v>
      </c>
      <c r="K68" s="29">
        <f t="shared" si="39"/>
        <v>664424570.87999988</v>
      </c>
      <c r="L68" s="29">
        <f t="shared" si="39"/>
        <v>-620129599.48799992</v>
      </c>
      <c r="M68" s="30">
        <f t="shared" si="39"/>
        <v>-319366743.73632002</v>
      </c>
    </row>
    <row r="69" spans="1:13" ht="15.75" thickBot="1" x14ac:dyDescent="0.3">
      <c r="B69" s="36" t="s">
        <v>6</v>
      </c>
      <c r="C69" s="37">
        <f t="shared" ref="C69" si="40">C68/C$10</f>
        <v>1.2614317250078839E-4</v>
      </c>
      <c r="D69" s="37">
        <f t="shared" ref="D69" si="41">D68/D$10</f>
        <v>-2.2858866103739446E-2</v>
      </c>
      <c r="E69" s="37">
        <f t="shared" ref="E69" si="42">E68/E$10</f>
        <v>-2.3805163889397546E-3</v>
      </c>
      <c r="F69" s="37">
        <f>F68/F$10</f>
        <v>4.6014492753623189E-2</v>
      </c>
      <c r="G69" s="37">
        <f t="shared" ref="G69" si="43">G68/G$10</f>
        <v>-6.6826634673065391E-2</v>
      </c>
      <c r="H69" s="68">
        <f t="shared" ref="H69" si="44">H68/H$10</f>
        <v>2.3757684426229508E-2</v>
      </c>
      <c r="I69" s="38">
        <v>2.5000000000000001E-2</v>
      </c>
      <c r="J69" s="38">
        <v>2.5000000000000001E-2</v>
      </c>
      <c r="K69" s="38">
        <v>4.4999999999999998E-2</v>
      </c>
      <c r="L69" s="38">
        <v>-0.04</v>
      </c>
      <c r="M69" s="39">
        <v>-0.02</v>
      </c>
    </row>
    <row r="70" spans="1:13" ht="15.75" thickBot="1" x14ac:dyDescent="0.3"/>
    <row r="71" spans="1:13" ht="15.75" thickBot="1" x14ac:dyDescent="0.3">
      <c r="B71" s="50" t="s">
        <v>15</v>
      </c>
      <c r="C71" s="51">
        <f>C55+C58-C65+C68</f>
        <v>1309000000</v>
      </c>
      <c r="D71" s="51">
        <f t="shared" ref="D71:H71" si="45">D55+D58-D65+D68</f>
        <v>856000000</v>
      </c>
      <c r="E71" s="51">
        <f t="shared" si="45"/>
        <v>390000000</v>
      </c>
      <c r="F71" s="51">
        <f t="shared" si="45"/>
        <v>-112000000</v>
      </c>
      <c r="G71" s="51">
        <f t="shared" si="45"/>
        <v>-494000000</v>
      </c>
      <c r="H71" s="51">
        <f t="shared" si="45"/>
        <v>157000000</v>
      </c>
      <c r="I71" s="51">
        <f>I62-I65+I68</f>
        <v>350526687.02378929</v>
      </c>
      <c r="J71" s="51">
        <f t="shared" ref="J71:M71" si="46">J62-J65+J68</f>
        <v>425153359.64144516</v>
      </c>
      <c r="K71" s="51">
        <f t="shared" si="46"/>
        <v>-76073377.214923382</v>
      </c>
      <c r="L71" s="51">
        <f t="shared" si="46"/>
        <v>54424841.720384002</v>
      </c>
      <c r="M71" s="52">
        <f t="shared" si="46"/>
        <v>-25947596.604851127</v>
      </c>
    </row>
    <row r="72" spans="1:13" ht="15.75" thickBot="1" x14ac:dyDescent="0.3"/>
    <row r="73" spans="1:13" x14ac:dyDescent="0.25">
      <c r="A73" s="6"/>
      <c r="B73" s="53" t="s">
        <v>21</v>
      </c>
      <c r="C73" s="13"/>
      <c r="D73" s="13"/>
      <c r="E73" s="13"/>
      <c r="F73" s="13"/>
      <c r="G73" s="13"/>
      <c r="H73" s="13"/>
      <c r="I73" s="54">
        <f>I71/(1+$C$84)^I$50</f>
        <v>350526687.02378929</v>
      </c>
      <c r="J73" s="54">
        <f>J71/(1+$C$84)^J$50</f>
        <v>425153359.64144516</v>
      </c>
      <c r="K73" s="54">
        <f>K71/(1+$C$84)^K$50</f>
        <v>-76073377.214923382</v>
      </c>
      <c r="L73" s="54">
        <f>L71/(1+$C$84)^L$50</f>
        <v>54424841.720384002</v>
      </c>
      <c r="M73" s="55">
        <f>M71/(1+$C$84)^M$50</f>
        <v>-25947596.604851127</v>
      </c>
    </row>
    <row r="74" spans="1:13" x14ac:dyDescent="0.25">
      <c r="A74" s="6"/>
      <c r="B74" s="15" t="s">
        <v>22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6">
        <f>M73*(1+$C$85)/(C84-C85)</f>
        <v>-296955827.81107402</v>
      </c>
    </row>
    <row r="75" spans="1:13" x14ac:dyDescent="0.25">
      <c r="B75" s="15" t="s">
        <v>23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6">
        <f>M74/(1+$C$84)^M50</f>
        <v>-296955827.81107402</v>
      </c>
    </row>
    <row r="76" spans="1:13" x14ac:dyDescent="0.25">
      <c r="B76" s="15" t="s">
        <v>24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6">
        <f>SUM(I73:M73)+M75</f>
        <v>431128086.75476992</v>
      </c>
    </row>
    <row r="77" spans="1:13" x14ac:dyDescent="0.25">
      <c r="B77" s="15" t="s">
        <v>25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6">
        <f>1215*100000</f>
        <v>121500000</v>
      </c>
    </row>
    <row r="78" spans="1:13" x14ac:dyDescent="0.25">
      <c r="B78" s="15" t="s">
        <v>26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6">
        <f>mil*5897</f>
        <v>5897000000</v>
      </c>
    </row>
    <row r="79" spans="1:13" x14ac:dyDescent="0.25">
      <c r="B79" s="15" t="s">
        <v>27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6">
        <f>M76-M78+M77</f>
        <v>-5344371913.2452297</v>
      </c>
    </row>
    <row r="80" spans="1:13" x14ac:dyDescent="0.25">
      <c r="B80" s="15" t="s">
        <v>28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6">
        <f>366000*1000</f>
        <v>366000000</v>
      </c>
    </row>
    <row r="81" spans="2:13" ht="15.75" thickBot="1" x14ac:dyDescent="0.3">
      <c r="B81" s="56" t="s">
        <v>29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9">
        <f>M76*C86/M80</f>
        <v>14.72431990282684</v>
      </c>
    </row>
    <row r="84" spans="2:13" x14ac:dyDescent="0.25">
      <c r="B84" s="10" t="s">
        <v>19</v>
      </c>
      <c r="C84" s="9">
        <v>0.12</v>
      </c>
    </row>
    <row r="85" spans="2:13" x14ac:dyDescent="0.25">
      <c r="B85" s="10" t="s">
        <v>20</v>
      </c>
      <c r="C85" s="9">
        <v>0.03</v>
      </c>
    </row>
    <row r="86" spans="2:13" x14ac:dyDescent="0.25">
      <c r="B86" s="11" t="s">
        <v>30</v>
      </c>
      <c r="C86" s="8">
        <v>12.5</v>
      </c>
    </row>
    <row r="89" spans="2:13" ht="285" x14ac:dyDescent="0.25">
      <c r="B89" s="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DCF</vt:lpstr>
      <vt:lpstr>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Simangunsong</dc:creator>
  <cp:lastModifiedBy>Joshua Simangunsong</cp:lastModifiedBy>
  <dcterms:created xsi:type="dcterms:W3CDTF">2024-02-21T18:21:15Z</dcterms:created>
  <dcterms:modified xsi:type="dcterms:W3CDTF">2024-02-21T22:42:31Z</dcterms:modified>
</cp:coreProperties>
</file>