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6cc89c3b879ce5/Desktop/DCF/"/>
    </mc:Choice>
  </mc:AlternateContent>
  <xr:revisionPtr revIDLastSave="0" documentId="8_{A6DA08B1-B806-486D-93FF-A83ADA022EF0}" xr6:coauthVersionLast="47" xr6:coauthVersionMax="47" xr10:uidLastSave="{00000000-0000-0000-0000-000000000000}"/>
  <bookViews>
    <workbookView xWindow="-120" yWindow="480" windowWidth="38640" windowHeight="21240" xr2:uid="{E95DED89-BBD8-41ED-BFE8-8456319CE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1" i="1" l="1"/>
  <c r="I71" i="1"/>
  <c r="H71" i="1"/>
  <c r="G71" i="1"/>
  <c r="F71" i="1"/>
  <c r="E71" i="1"/>
  <c r="D71" i="1"/>
  <c r="J18" i="1"/>
  <c r="I18" i="1"/>
  <c r="H18" i="1"/>
  <c r="G18" i="1"/>
  <c r="F18" i="1"/>
  <c r="E18" i="1"/>
  <c r="D18" i="1"/>
  <c r="J9" i="1"/>
  <c r="I9" i="1"/>
  <c r="H9" i="1"/>
  <c r="G9" i="1"/>
  <c r="F9" i="1"/>
  <c r="E9" i="1"/>
  <c r="D9" i="1"/>
  <c r="Q53" i="1"/>
  <c r="Q81" i="1"/>
  <c r="L35" i="1"/>
  <c r="M35" i="1" s="1"/>
  <c r="N35" i="1" s="1"/>
  <c r="O35" i="1" s="1"/>
  <c r="P35" i="1" s="1"/>
  <c r="Q35" i="1" s="1"/>
  <c r="Q46" i="1"/>
  <c r="K46" i="1"/>
  <c r="Q39" i="1"/>
  <c r="J68" i="1"/>
  <c r="I68" i="1"/>
  <c r="H68" i="1"/>
  <c r="G68" i="1"/>
  <c r="F68" i="1"/>
  <c r="E68" i="1"/>
  <c r="D68" i="1"/>
  <c r="J52" i="1"/>
  <c r="I52" i="1"/>
  <c r="H52" i="1"/>
  <c r="G52" i="1"/>
  <c r="F52" i="1"/>
  <c r="E52" i="1"/>
  <c r="D52" i="1"/>
  <c r="J59" i="1"/>
  <c r="I59" i="1"/>
  <c r="H59" i="1"/>
  <c r="G59" i="1"/>
  <c r="F59" i="1"/>
  <c r="E59" i="1"/>
  <c r="D59" i="1"/>
  <c r="F65" i="1"/>
  <c r="E65" i="1"/>
  <c r="D65" i="1"/>
  <c r="J62" i="1"/>
  <c r="I62" i="1"/>
  <c r="H62" i="1"/>
  <c r="G62" i="1"/>
  <c r="F62" i="1"/>
  <c r="E62" i="1"/>
  <c r="D62" i="1"/>
  <c r="J38" i="1"/>
  <c r="J66" i="1" s="1"/>
  <c r="I38" i="1"/>
  <c r="I66" i="1" s="1"/>
  <c r="H38" i="1"/>
  <c r="H66" i="1" s="1"/>
  <c r="G38" i="1"/>
  <c r="G66" i="1" s="1"/>
  <c r="F38" i="1"/>
  <c r="E38" i="1"/>
  <c r="D38" i="1"/>
  <c r="G37" i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L49" i="1" s="1"/>
  <c r="M49" i="1" s="1"/>
  <c r="N49" i="1" s="1"/>
  <c r="O49" i="1" s="1"/>
  <c r="P49" i="1" s="1"/>
  <c r="J26" i="1"/>
  <c r="I26" i="1"/>
  <c r="H26" i="1"/>
  <c r="G26" i="1"/>
  <c r="F26" i="1"/>
  <c r="E26" i="1"/>
  <c r="D26" i="1"/>
  <c r="G24" i="1"/>
  <c r="H24" i="1" s="1"/>
  <c r="I24" i="1" s="1"/>
  <c r="J24" i="1" s="1"/>
  <c r="G11" i="1"/>
  <c r="G13" i="1" s="1"/>
  <c r="G20" i="1" s="1"/>
  <c r="G22" i="1" s="1"/>
  <c r="G45" i="1" s="1"/>
  <c r="J11" i="1"/>
  <c r="J13" i="1" s="1"/>
  <c r="J20" i="1" s="1"/>
  <c r="J22" i="1" s="1"/>
  <c r="J45" i="1" s="1"/>
  <c r="I11" i="1"/>
  <c r="I13" i="1" s="1"/>
  <c r="I20" i="1" s="1"/>
  <c r="I22" i="1" s="1"/>
  <c r="I45" i="1" s="1"/>
  <c r="H11" i="1"/>
  <c r="H13" i="1" s="1"/>
  <c r="H20" i="1" s="1"/>
  <c r="H22" i="1" s="1"/>
  <c r="H45" i="1" s="1"/>
  <c r="G6" i="1"/>
  <c r="H6" i="1" s="1"/>
  <c r="I6" i="1" s="1"/>
  <c r="J6" i="1" s="1"/>
  <c r="F11" i="1"/>
  <c r="F13" i="1" s="1"/>
  <c r="F20" i="1" s="1"/>
  <c r="F22" i="1" s="1"/>
  <c r="F45" i="1" s="1"/>
  <c r="E11" i="1"/>
  <c r="E13" i="1" s="1"/>
  <c r="E20" i="1" s="1"/>
  <c r="E22" i="1" s="1"/>
  <c r="E45" i="1" s="1"/>
  <c r="D11" i="1"/>
  <c r="D13" i="1" s="1"/>
  <c r="D20" i="1" s="1"/>
  <c r="D22" i="1" s="1"/>
  <c r="D45" i="1" s="1"/>
  <c r="L48" i="1" l="1"/>
  <c r="M48" i="1" s="1"/>
  <c r="N48" i="1" s="1"/>
  <c r="O48" i="1" s="1"/>
  <c r="P48" i="1" s="1"/>
  <c r="G69" i="1"/>
  <c r="I69" i="1"/>
  <c r="D69" i="1"/>
  <c r="J69" i="1"/>
  <c r="E69" i="1"/>
  <c r="F66" i="1"/>
  <c r="F69" i="1"/>
  <c r="H63" i="1"/>
  <c r="H69" i="1"/>
  <c r="G63" i="1"/>
  <c r="D66" i="1"/>
  <c r="F46" i="1"/>
  <c r="G60" i="1"/>
  <c r="F63" i="1"/>
  <c r="E66" i="1"/>
  <c r="H53" i="1"/>
  <c r="J63" i="1"/>
  <c r="I63" i="1"/>
  <c r="D63" i="1"/>
  <c r="E46" i="1"/>
  <c r="E63" i="1"/>
  <c r="F53" i="1"/>
  <c r="D46" i="1"/>
  <c r="J46" i="1"/>
  <c r="I60" i="1"/>
  <c r="H60" i="1"/>
  <c r="D60" i="1"/>
  <c r="J60" i="1"/>
  <c r="E60" i="1"/>
  <c r="F60" i="1"/>
  <c r="I46" i="1"/>
  <c r="H46" i="1"/>
  <c r="E53" i="1"/>
  <c r="G53" i="1"/>
  <c r="J53" i="1"/>
  <c r="D53" i="1"/>
  <c r="G46" i="1"/>
  <c r="I53" i="1"/>
  <c r="H39" i="1"/>
  <c r="H74" i="1"/>
  <c r="E39" i="1"/>
  <c r="E74" i="1"/>
  <c r="F39" i="1"/>
  <c r="F74" i="1"/>
  <c r="G39" i="1"/>
  <c r="I39" i="1"/>
  <c r="I74" i="1"/>
  <c r="J39" i="1"/>
  <c r="J74" i="1"/>
  <c r="G74" i="1"/>
  <c r="D74" i="1"/>
  <c r="K63" i="1" l="1"/>
  <c r="L63" i="1" s="1"/>
  <c r="L46" i="1"/>
  <c r="M46" i="1"/>
  <c r="K69" i="1"/>
  <c r="K66" i="1"/>
  <c r="K60" i="1"/>
  <c r="K55" i="1"/>
  <c r="K57" i="1"/>
  <c r="L57" i="1" s="1"/>
  <c r="M57" i="1" s="1"/>
  <c r="N57" i="1" s="1"/>
  <c r="O57" i="1" s="1"/>
  <c r="P57" i="1" s="1"/>
  <c r="K56" i="1"/>
  <c r="N46" i="1"/>
  <c r="L50" i="1"/>
  <c r="M50" i="1" s="1"/>
  <c r="N50" i="1" s="1"/>
  <c r="O50" i="1" s="1"/>
  <c r="P50" i="1" s="1"/>
  <c r="K43" i="1"/>
  <c r="L43" i="1" s="1"/>
  <c r="M43" i="1" s="1"/>
  <c r="N43" i="1" s="1"/>
  <c r="O43" i="1" s="1"/>
  <c r="P43" i="1" s="1"/>
  <c r="K42" i="1"/>
  <c r="K41" i="1"/>
  <c r="L41" i="1" s="1"/>
  <c r="M41" i="1" s="1"/>
  <c r="N41" i="1" s="1"/>
  <c r="O41" i="1" s="1"/>
  <c r="P41" i="1" s="1"/>
  <c r="L66" i="1" l="1"/>
  <c r="M63" i="1"/>
  <c r="N63" i="1" s="1"/>
  <c r="L55" i="1"/>
  <c r="K53" i="1"/>
  <c r="L69" i="1"/>
  <c r="L60" i="1"/>
  <c r="M60" i="1" s="1"/>
  <c r="N60" i="1" s="1"/>
  <c r="L56" i="1"/>
  <c r="P46" i="1"/>
  <c r="O46" i="1"/>
  <c r="L42" i="1"/>
  <c r="K39" i="1"/>
  <c r="K38" i="1" s="1"/>
  <c r="M66" i="1" l="1"/>
  <c r="O63" i="1"/>
  <c r="P63" i="1" s="1"/>
  <c r="K68" i="1"/>
  <c r="M55" i="1"/>
  <c r="L53" i="1"/>
  <c r="M69" i="1"/>
  <c r="K65" i="1"/>
  <c r="K59" i="1"/>
  <c r="K62" i="1"/>
  <c r="O60" i="1"/>
  <c r="P60" i="1" s="1"/>
  <c r="M56" i="1"/>
  <c r="K52" i="1"/>
  <c r="K45" i="1"/>
  <c r="M42" i="1"/>
  <c r="L39" i="1"/>
  <c r="L38" i="1" s="1"/>
  <c r="L68" i="1" s="1"/>
  <c r="N66" i="1" l="1"/>
  <c r="O66" i="1" s="1"/>
  <c r="Q63" i="1"/>
  <c r="N55" i="1"/>
  <c r="M53" i="1"/>
  <c r="N69" i="1"/>
  <c r="K74" i="1"/>
  <c r="K76" i="1" s="1"/>
  <c r="L65" i="1"/>
  <c r="L59" i="1"/>
  <c r="L62" i="1"/>
  <c r="Q60" i="1"/>
  <c r="N56" i="1"/>
  <c r="L45" i="1"/>
  <c r="L52" i="1"/>
  <c r="N42" i="1"/>
  <c r="M39" i="1"/>
  <c r="M38" i="1" s="1"/>
  <c r="P66" i="1" l="1"/>
  <c r="Q66" i="1" s="1"/>
  <c r="O55" i="1"/>
  <c r="N53" i="1"/>
  <c r="O69" i="1"/>
  <c r="P69" i="1" s="1"/>
  <c r="L74" i="1"/>
  <c r="L76" i="1" s="1"/>
  <c r="M65" i="1"/>
  <c r="M68" i="1"/>
  <c r="M59" i="1"/>
  <c r="M62" i="1"/>
  <c r="O56" i="1"/>
  <c r="M45" i="1"/>
  <c r="M52" i="1"/>
  <c r="O42" i="1"/>
  <c r="N39" i="1"/>
  <c r="N38" i="1" s="1"/>
  <c r="P55" i="1" l="1"/>
  <c r="O53" i="1"/>
  <c r="Q69" i="1"/>
  <c r="M74" i="1"/>
  <c r="M76" i="1" s="1"/>
  <c r="N65" i="1"/>
  <c r="N68" i="1"/>
  <c r="N59" i="1"/>
  <c r="N62" i="1"/>
  <c r="P56" i="1"/>
  <c r="N45" i="1"/>
  <c r="N52" i="1"/>
  <c r="P42" i="1"/>
  <c r="P39" i="1" s="1"/>
  <c r="O39" i="1"/>
  <c r="O38" i="1" s="1"/>
  <c r="P53" i="1" l="1"/>
  <c r="N74" i="1"/>
  <c r="N76" i="1" s="1"/>
  <c r="O65" i="1"/>
  <c r="O68" i="1"/>
  <c r="O59" i="1"/>
  <c r="O62" i="1"/>
  <c r="O52" i="1"/>
  <c r="P38" i="1"/>
  <c r="P68" i="1" s="1"/>
  <c r="O45" i="1"/>
  <c r="O74" i="1" l="1"/>
  <c r="O76" i="1" s="1"/>
  <c r="P62" i="1"/>
  <c r="P65" i="1"/>
  <c r="P52" i="1"/>
  <c r="P59" i="1"/>
  <c r="Q38" i="1"/>
  <c r="P45" i="1"/>
  <c r="P74" i="1" l="1"/>
  <c r="P76" i="1" s="1"/>
  <c r="Q65" i="1"/>
  <c r="Q68" i="1"/>
  <c r="Q59" i="1"/>
  <c r="Q62" i="1"/>
  <c r="Q45" i="1"/>
  <c r="Q52" i="1"/>
  <c r="Q74" i="1" l="1"/>
  <c r="Q76" i="1" s="1"/>
  <c r="Q77" i="1" s="1"/>
  <c r="Q78" i="1" s="1"/>
  <c r="Q79" i="1" s="1" a="1"/>
  <c r="Q79" i="1" s="1"/>
  <c r="Q82" i="1" s="1"/>
  <c r="Q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<sst xmlns="http://schemas.openxmlformats.org/spreadsheetml/2006/main" count="62" uniqueCount="39">
  <si>
    <t>Disney</t>
  </si>
  <si>
    <t>Revenues</t>
  </si>
  <si>
    <t xml:space="preserve">D&amp;A </t>
  </si>
  <si>
    <t>D&amp;A</t>
  </si>
  <si>
    <t>EBIT</t>
  </si>
  <si>
    <t>Taxes</t>
  </si>
  <si>
    <t>Interest</t>
  </si>
  <si>
    <t>Net Income</t>
  </si>
  <si>
    <t>Income Statement</t>
  </si>
  <si>
    <t>EBITDA</t>
  </si>
  <si>
    <t>Cash Flow</t>
  </si>
  <si>
    <t>Net Change in Film &amp; TV Costs</t>
  </si>
  <si>
    <t>Equity Based Comp</t>
  </si>
  <si>
    <t>CAPEX</t>
  </si>
  <si>
    <t>Acquisitions</t>
  </si>
  <si>
    <t>Change in NWC</t>
  </si>
  <si>
    <t>DCF</t>
  </si>
  <si>
    <t>% growth</t>
  </si>
  <si>
    <t>Equity  Based Comp</t>
  </si>
  <si>
    <t>FCF</t>
  </si>
  <si>
    <t>% of sales</t>
  </si>
  <si>
    <t>Conservative Case</t>
  </si>
  <si>
    <t>Base Case</t>
  </si>
  <si>
    <t>Optimistic Case</t>
  </si>
  <si>
    <t>Switch</t>
  </si>
  <si>
    <t>Total Costs &amp; Expenses</t>
  </si>
  <si>
    <t>Total Costs &amp; Expenses - D&amp;A</t>
  </si>
  <si>
    <t>Discounted FCF</t>
  </si>
  <si>
    <t>WACC</t>
  </si>
  <si>
    <t>TGR</t>
  </si>
  <si>
    <t>Terminal Value</t>
  </si>
  <si>
    <t>Discounted Terminal Value</t>
  </si>
  <si>
    <t>Enterprise Value</t>
  </si>
  <si>
    <t>Equity Value</t>
  </si>
  <si>
    <t>(+) Cash</t>
  </si>
  <si>
    <t>(-) LT Debt</t>
  </si>
  <si>
    <t>Shares Outstanding</t>
  </si>
  <si>
    <t>Implied Stock Price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</si>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</sst>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 &quot;#,##0_);_(&quot;$ &quot;\(#,##0\)"/>
    <numFmt numFmtId="165" formatCode="0.0%"/>
    <numFmt numFmtId="167" formatCode="_([$$-409]* #,##0.00_);_([$$-409]* \(#,##0.00\);_([$$-409]* &quot;-&quot;??_);_(@_)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libri"/>
      <family val="2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164" fontId="5" fillId="0" borderId="0" xfId="0" applyNumberFormat="1" applyFont="1" applyAlignment="1">
      <alignment horizontal="right" vertical="top"/>
    </xf>
    <xf numFmtId="37" fontId="5" fillId="0" borderId="0" xfId="0" applyNumberFormat="1" applyFont="1" applyAlignment="1">
      <alignment horizontal="right" vertical="top"/>
    </xf>
    <xf numFmtId="37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3" fillId="0" borderId="0" xfId="0" applyFont="1"/>
    <xf numFmtId="0" fontId="2" fillId="2" borderId="0" xfId="0" applyFont="1" applyFill="1"/>
    <xf numFmtId="0" fontId="3" fillId="0" borderId="2" xfId="0" applyFont="1" applyBorder="1"/>
    <xf numFmtId="164" fontId="0" fillId="0" borderId="3" xfId="0" applyNumberFormat="1" applyBorder="1"/>
    <xf numFmtId="164" fontId="0" fillId="0" borderId="4" xfId="0" applyNumberFormat="1" applyBorder="1"/>
    <xf numFmtId="0" fontId="6" fillId="0" borderId="0" xfId="0" applyFont="1"/>
    <xf numFmtId="9" fontId="6" fillId="0" borderId="0" xfId="1" applyFont="1"/>
    <xf numFmtId="0" fontId="6" fillId="0" borderId="0" xfId="0" applyFont="1" applyAlignment="1">
      <alignment horizontal="left" indent="1"/>
    </xf>
    <xf numFmtId="0" fontId="7" fillId="0" borderId="0" xfId="0" applyFont="1"/>
    <xf numFmtId="165" fontId="6" fillId="0" borderId="0" xfId="1" applyNumberFormat="1" applyFont="1"/>
    <xf numFmtId="9" fontId="0" fillId="0" borderId="0" xfId="0" applyNumberFormat="1"/>
    <xf numFmtId="9" fontId="8" fillId="0" borderId="0" xfId="1" applyFont="1" applyAlignment="1">
      <alignment horizontal="right" vertical="top"/>
    </xf>
    <xf numFmtId="0" fontId="5" fillId="0" borderId="0" xfId="0" applyNumberFormat="1" applyFont="1" applyAlignment="1">
      <alignment horizontal="right" vertical="top"/>
    </xf>
    <xf numFmtId="0" fontId="0" fillId="0" borderId="0" xfId="0" applyFont="1"/>
    <xf numFmtId="0" fontId="4" fillId="0" borderId="0" xfId="0" applyFont="1"/>
    <xf numFmtId="0" fontId="2" fillId="3" borderId="0" xfId="0" applyFont="1" applyFill="1"/>
    <xf numFmtId="0" fontId="3" fillId="4" borderId="0" xfId="0" applyFont="1" applyFill="1" applyAlignment="1">
      <alignment horizontal="center"/>
    </xf>
    <xf numFmtId="9" fontId="0" fillId="4" borderId="1" xfId="0" applyNumberFormat="1" applyFill="1" applyBorder="1"/>
    <xf numFmtId="165" fontId="0" fillId="4" borderId="1" xfId="0" applyNumberFormat="1" applyFill="1" applyBorder="1"/>
    <xf numFmtId="9" fontId="0" fillId="4" borderId="0" xfId="0" applyNumberFormat="1" applyFill="1"/>
    <xf numFmtId="167" fontId="0" fillId="0" borderId="5" xfId="0" applyNumberFormat="1" applyBorder="1"/>
    <xf numFmtId="0" fontId="3" fillId="0" borderId="5" xfId="0" applyFont="1" applyBorder="1"/>
    <xf numFmtId="0" fontId="0" fillId="0" borderId="5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AAD1-BEEA-40C3-BE59-26487D69234B}">
  <dimension ref="C4:Q87"/>
  <sheetViews>
    <sheetView showGridLines="0" tabSelected="1" zoomScaleNormal="100" workbookViewId="0">
      <selection activeCell="Q78" sqref="Q78"/>
    </sheetView>
  </sheetViews>
  <sheetFormatPr defaultRowHeight="15" x14ac:dyDescent="0.25"/>
  <cols>
    <col min="3" max="3" width="28.140625" bestFit="1" customWidth="1"/>
    <col min="4" max="10" width="9.42578125" bestFit="1" customWidth="1"/>
    <col min="11" max="13" width="10.5703125" bestFit="1" customWidth="1"/>
    <col min="14" max="17" width="11.5703125" bestFit="1" customWidth="1"/>
  </cols>
  <sheetData>
    <row r="4" spans="3:10" x14ac:dyDescent="0.25">
      <c r="C4" t="s">
        <v>0</v>
      </c>
    </row>
    <row r="6" spans="3:10" x14ac:dyDescent="0.25">
      <c r="C6" s="8" t="s">
        <v>8</v>
      </c>
      <c r="D6" s="8">
        <v>2017</v>
      </c>
      <c r="E6" s="8">
        <v>2018</v>
      </c>
      <c r="F6" s="8">
        <v>2019</v>
      </c>
      <c r="G6" s="8">
        <f>F6+1</f>
        <v>2020</v>
      </c>
      <c r="H6" s="8">
        <f t="shared" ref="H6:J6" si="0">G6+1</f>
        <v>2021</v>
      </c>
      <c r="I6" s="8">
        <f t="shared" si="0"/>
        <v>2022</v>
      </c>
      <c r="J6" s="8">
        <f t="shared" si="0"/>
        <v>2023</v>
      </c>
    </row>
    <row r="7" spans="3:10" x14ac:dyDescent="0.25">
      <c r="C7" t="s">
        <v>1</v>
      </c>
      <c r="D7" s="1">
        <v>55137</v>
      </c>
      <c r="E7" s="1">
        <v>59434</v>
      </c>
      <c r="F7" s="1">
        <v>69570</v>
      </c>
      <c r="G7" s="1">
        <v>65388</v>
      </c>
      <c r="H7" s="1">
        <v>67418</v>
      </c>
      <c r="I7" s="1">
        <v>82722</v>
      </c>
      <c r="J7" s="1">
        <v>88898</v>
      </c>
    </row>
    <row r="8" spans="3:10" x14ac:dyDescent="0.25">
      <c r="C8" s="5" t="s">
        <v>25</v>
      </c>
      <c r="D8" s="2">
        <v>41264</v>
      </c>
      <c r="E8" s="2">
        <v>44597</v>
      </c>
      <c r="F8" s="2">
        <v>57719</v>
      </c>
      <c r="G8" s="2">
        <v>61594</v>
      </c>
      <c r="H8" s="2">
        <v>63759</v>
      </c>
      <c r="I8" s="2">
        <v>75952</v>
      </c>
      <c r="J8" s="2">
        <v>79906</v>
      </c>
    </row>
    <row r="9" spans="3:10" x14ac:dyDescent="0.25">
      <c r="C9" s="14" t="s">
        <v>20</v>
      </c>
      <c r="D9" s="18">
        <f>D8/D$7</f>
        <v>0.74839037307071477</v>
      </c>
      <c r="E9" s="18">
        <f t="shared" ref="E9:J9" si="1">E8/E$7</f>
        <v>0.75036174580206616</v>
      </c>
      <c r="F9" s="18">
        <f t="shared" si="1"/>
        <v>0.82965358631594077</v>
      </c>
      <c r="G9" s="18">
        <f t="shared" si="1"/>
        <v>0.9419771211843152</v>
      </c>
      <c r="H9" s="18">
        <f t="shared" si="1"/>
        <v>0.94572666053576193</v>
      </c>
      <c r="I9" s="18">
        <f t="shared" si="1"/>
        <v>0.9181596189647252</v>
      </c>
      <c r="J9" s="18">
        <f t="shared" si="1"/>
        <v>0.89885036783729666</v>
      </c>
    </row>
    <row r="10" spans="3:10" x14ac:dyDescent="0.25">
      <c r="C10" s="5" t="s">
        <v>2</v>
      </c>
      <c r="D10" s="2">
        <v>2782</v>
      </c>
      <c r="E10" s="2">
        <v>3011</v>
      </c>
      <c r="F10" s="2">
        <v>4160</v>
      </c>
      <c r="G10" s="2">
        <v>5345</v>
      </c>
      <c r="H10" s="2">
        <v>5111</v>
      </c>
      <c r="I10" s="2">
        <v>5163</v>
      </c>
      <c r="J10" s="2">
        <v>5369</v>
      </c>
    </row>
    <row r="11" spans="3:10" x14ac:dyDescent="0.25">
      <c r="C11" s="6" t="s">
        <v>26</v>
      </c>
      <c r="D11" s="3">
        <f>D8-D10</f>
        <v>38482</v>
      </c>
      <c r="E11" s="3">
        <f>E8-E10</f>
        <v>41586</v>
      </c>
      <c r="F11" s="3">
        <f>F8-F10</f>
        <v>53559</v>
      </c>
      <c r="G11" s="3">
        <f>G8-G10</f>
        <v>56249</v>
      </c>
      <c r="H11" s="3">
        <f>H8-H10</f>
        <v>58648</v>
      </c>
      <c r="I11" s="3">
        <f>I8-I10</f>
        <v>70789</v>
      </c>
      <c r="J11" s="3">
        <f>J8-J10</f>
        <v>74537</v>
      </c>
    </row>
    <row r="13" spans="3:10" x14ac:dyDescent="0.25">
      <c r="C13" s="7" t="s">
        <v>4</v>
      </c>
      <c r="D13" s="4">
        <f>D7-D11</f>
        <v>16655</v>
      </c>
      <c r="E13" s="4">
        <f>E7-E11</f>
        <v>17848</v>
      </c>
      <c r="F13" s="4">
        <f>F7-F11</f>
        <v>16011</v>
      </c>
      <c r="G13" s="4">
        <f>G7-G11</f>
        <v>9139</v>
      </c>
      <c r="H13" s="4">
        <f>H7-H11</f>
        <v>8770</v>
      </c>
      <c r="I13" s="4">
        <f>I7-I11</f>
        <v>11933</v>
      </c>
      <c r="J13" s="4">
        <f>J7-J11</f>
        <v>14361</v>
      </c>
    </row>
    <row r="15" spans="3:10" x14ac:dyDescent="0.25">
      <c r="C15" t="s">
        <v>6</v>
      </c>
      <c r="D15" s="2">
        <v>385</v>
      </c>
      <c r="E15" s="2">
        <v>574</v>
      </c>
      <c r="F15" s="2">
        <v>978</v>
      </c>
      <c r="G15" s="2">
        <v>1491</v>
      </c>
      <c r="H15" s="2">
        <v>1406</v>
      </c>
      <c r="I15" s="2">
        <v>1397</v>
      </c>
      <c r="J15" s="2">
        <v>1209</v>
      </c>
    </row>
    <row r="17" spans="3:10" x14ac:dyDescent="0.25">
      <c r="C17" t="s">
        <v>5</v>
      </c>
      <c r="D17" s="2">
        <v>4422</v>
      </c>
      <c r="E17" s="2">
        <v>1663</v>
      </c>
      <c r="F17" s="2">
        <v>3031</v>
      </c>
      <c r="G17" s="2">
        <v>699</v>
      </c>
      <c r="H17" s="2">
        <v>25</v>
      </c>
      <c r="I17" s="2">
        <v>1732</v>
      </c>
      <c r="J17" s="2">
        <v>1379</v>
      </c>
    </row>
    <row r="18" spans="3:10" x14ac:dyDescent="0.25">
      <c r="C18" s="12" t="s">
        <v>20</v>
      </c>
      <c r="D18" s="18">
        <f>D17/D7</f>
        <v>8.0200228521682349E-2</v>
      </c>
      <c r="E18" s="18">
        <f t="shared" ref="E18:J18" si="2">E17/E7</f>
        <v>2.7980617155163711E-2</v>
      </c>
      <c r="F18" s="18">
        <f t="shared" si="2"/>
        <v>4.3567629725456372E-2</v>
      </c>
      <c r="G18" s="18">
        <f t="shared" si="2"/>
        <v>1.0690034868783263E-2</v>
      </c>
      <c r="H18" s="18">
        <f t="shared" si="2"/>
        <v>3.7082084903141592E-4</v>
      </c>
      <c r="I18" s="18">
        <f t="shared" si="2"/>
        <v>2.0937598220545924E-2</v>
      </c>
      <c r="J18" s="18">
        <f t="shared" si="2"/>
        <v>1.5512160003599632E-2</v>
      </c>
    </row>
    <row r="19" spans="3:10" ht="15.75" thickBot="1" x14ac:dyDescent="0.3"/>
    <row r="20" spans="3:10" ht="15.75" thickBot="1" x14ac:dyDescent="0.3">
      <c r="C20" s="9" t="s">
        <v>7</v>
      </c>
      <c r="D20" s="10">
        <f>D13-D15-D17</f>
        <v>11848</v>
      </c>
      <c r="E20" s="10">
        <f t="shared" ref="E20:J20" si="3">E13-E15-E17</f>
        <v>15611</v>
      </c>
      <c r="F20" s="10">
        <f t="shared" si="3"/>
        <v>12002</v>
      </c>
      <c r="G20" s="10">
        <f t="shared" si="3"/>
        <v>6949</v>
      </c>
      <c r="H20" s="10">
        <f t="shared" si="3"/>
        <v>7339</v>
      </c>
      <c r="I20" s="10">
        <f t="shared" si="3"/>
        <v>8804</v>
      </c>
      <c r="J20" s="11">
        <f t="shared" si="3"/>
        <v>11773</v>
      </c>
    </row>
    <row r="21" spans="3:10" ht="15.75" thickBot="1" x14ac:dyDescent="0.3"/>
    <row r="22" spans="3:10" ht="15.75" thickBot="1" x14ac:dyDescent="0.3">
      <c r="C22" s="9" t="s">
        <v>9</v>
      </c>
      <c r="D22" s="10">
        <f>D20+D17+D15+D10</f>
        <v>19437</v>
      </c>
      <c r="E22" s="10">
        <f t="shared" ref="E22:J22" si="4">E20+E17+E15+E10</f>
        <v>20859</v>
      </c>
      <c r="F22" s="10">
        <f t="shared" si="4"/>
        <v>20171</v>
      </c>
      <c r="G22" s="10">
        <f t="shared" si="4"/>
        <v>14484</v>
      </c>
      <c r="H22" s="10">
        <f t="shared" si="4"/>
        <v>13881</v>
      </c>
      <c r="I22" s="10">
        <f t="shared" si="4"/>
        <v>17096</v>
      </c>
      <c r="J22" s="11">
        <f t="shared" si="4"/>
        <v>19730</v>
      </c>
    </row>
    <row r="24" spans="3:10" x14ac:dyDescent="0.25">
      <c r="C24" s="8" t="s">
        <v>10</v>
      </c>
      <c r="D24" s="8">
        <v>2017</v>
      </c>
      <c r="E24" s="8">
        <v>2018</v>
      </c>
      <c r="F24" s="8">
        <v>2019</v>
      </c>
      <c r="G24" s="8">
        <f>F24+1</f>
        <v>2020</v>
      </c>
      <c r="H24" s="8">
        <f t="shared" ref="H24:J24" si="5">G24+1</f>
        <v>2021</v>
      </c>
      <c r="I24" s="8">
        <f t="shared" si="5"/>
        <v>2022</v>
      </c>
      <c r="J24" s="8">
        <f t="shared" si="5"/>
        <v>2023</v>
      </c>
    </row>
    <row r="26" spans="3:10" x14ac:dyDescent="0.25">
      <c r="C26" t="s">
        <v>3</v>
      </c>
      <c r="D26" s="3">
        <f>D10</f>
        <v>2782</v>
      </c>
      <c r="E26" s="3">
        <f t="shared" ref="E26:J26" si="6">E10</f>
        <v>3011</v>
      </c>
      <c r="F26" s="3">
        <f t="shared" si="6"/>
        <v>4160</v>
      </c>
      <c r="G26" s="3">
        <f t="shared" si="6"/>
        <v>5345</v>
      </c>
      <c r="H26" s="3">
        <f t="shared" si="6"/>
        <v>5111</v>
      </c>
      <c r="I26" s="3">
        <f t="shared" si="6"/>
        <v>5163</v>
      </c>
      <c r="J26" s="3">
        <f t="shared" si="6"/>
        <v>5369</v>
      </c>
    </row>
    <row r="27" spans="3:10" x14ac:dyDescent="0.25">
      <c r="C27" t="s">
        <v>11</v>
      </c>
      <c r="D27" s="2">
        <v>-1075</v>
      </c>
      <c r="E27" s="2">
        <v>-523</v>
      </c>
      <c r="F27" s="2">
        <v>-542</v>
      </c>
      <c r="G27" s="2">
        <v>397</v>
      </c>
      <c r="H27" s="2">
        <v>-4301</v>
      </c>
      <c r="I27" s="2">
        <v>-6271</v>
      </c>
      <c r="J27" s="2">
        <v>-1908</v>
      </c>
    </row>
    <row r="28" spans="3:10" x14ac:dyDescent="0.25">
      <c r="C28" t="s">
        <v>12</v>
      </c>
      <c r="D28" s="2">
        <v>364</v>
      </c>
      <c r="E28" s="2">
        <v>393</v>
      </c>
      <c r="F28" s="2">
        <v>711</v>
      </c>
      <c r="G28" s="2">
        <v>525</v>
      </c>
      <c r="H28" s="2">
        <v>600</v>
      </c>
      <c r="I28" s="2">
        <v>977</v>
      </c>
      <c r="J28" s="2">
        <v>1143</v>
      </c>
    </row>
    <row r="30" spans="3:10" x14ac:dyDescent="0.25">
      <c r="C30" t="s">
        <v>13</v>
      </c>
      <c r="D30" s="2">
        <v>-3623</v>
      </c>
      <c r="E30" s="2">
        <v>-4465</v>
      </c>
      <c r="F30" s="2">
        <v>-4876</v>
      </c>
      <c r="G30" s="2">
        <v>-4022</v>
      </c>
      <c r="H30" s="2">
        <v>-3578</v>
      </c>
      <c r="I30" s="2">
        <v>-4943</v>
      </c>
      <c r="J30" s="2">
        <v>-4969</v>
      </c>
    </row>
    <row r="31" spans="3:10" x14ac:dyDescent="0.25">
      <c r="C31" t="s">
        <v>14</v>
      </c>
      <c r="D31" s="2">
        <v>-417</v>
      </c>
      <c r="E31" s="2">
        <v>-1581</v>
      </c>
      <c r="F31" s="2">
        <v>-9901</v>
      </c>
    </row>
    <row r="33" spans="3:17" x14ac:dyDescent="0.25">
      <c r="C33" t="s">
        <v>15</v>
      </c>
      <c r="D33" s="2">
        <v>-696</v>
      </c>
      <c r="E33" s="2">
        <v>91</v>
      </c>
      <c r="F33" s="2">
        <v>1300</v>
      </c>
      <c r="G33" s="2">
        <v>12499</v>
      </c>
      <c r="H33" s="2">
        <v>-1951</v>
      </c>
      <c r="I33" s="2">
        <v>-4342</v>
      </c>
      <c r="J33" s="2">
        <v>2574</v>
      </c>
    </row>
    <row r="34" spans="3:17" x14ac:dyDescent="0.25">
      <c r="D34" s="2"/>
      <c r="E34" s="2"/>
      <c r="F34" s="2"/>
      <c r="G34" s="2"/>
      <c r="H34" s="2"/>
      <c r="I34" s="2"/>
      <c r="J34" s="2"/>
    </row>
    <row r="35" spans="3:17" x14ac:dyDescent="0.25">
      <c r="D35" s="2"/>
      <c r="E35" s="2"/>
      <c r="F35" s="2"/>
      <c r="G35" s="2"/>
      <c r="H35" s="2"/>
      <c r="I35" s="2"/>
      <c r="J35" s="2"/>
      <c r="K35" s="21">
        <v>1</v>
      </c>
      <c r="L35" s="21">
        <f>K35+1</f>
        <v>2</v>
      </c>
      <c r="M35" s="21">
        <f t="shared" ref="M35:Q35" si="7">L35+1</f>
        <v>3</v>
      </c>
      <c r="N35" s="21">
        <f t="shared" si="7"/>
        <v>4</v>
      </c>
      <c r="O35" s="21">
        <f t="shared" si="7"/>
        <v>5</v>
      </c>
      <c r="P35" s="21">
        <f t="shared" si="7"/>
        <v>6</v>
      </c>
      <c r="Q35" s="21">
        <f t="shared" si="7"/>
        <v>7</v>
      </c>
    </row>
    <row r="36" spans="3:17" x14ac:dyDescent="0.25">
      <c r="K36" s="23" t="s">
        <v>38</v>
      </c>
      <c r="L36" s="23"/>
      <c r="M36" s="23"/>
      <c r="N36" s="23"/>
      <c r="O36" s="23"/>
      <c r="P36" s="23"/>
      <c r="Q36" s="23"/>
    </row>
    <row r="37" spans="3:17" x14ac:dyDescent="0.25">
      <c r="C37" s="8" t="s">
        <v>16</v>
      </c>
      <c r="D37" s="8">
        <v>2017</v>
      </c>
      <c r="E37" s="8">
        <v>2018</v>
      </c>
      <c r="F37" s="8">
        <v>2019</v>
      </c>
      <c r="G37" s="8">
        <f>F37+1</f>
        <v>2020</v>
      </c>
      <c r="H37" s="8">
        <f t="shared" ref="H37:J37" si="8">G37+1</f>
        <v>2021</v>
      </c>
      <c r="I37" s="8">
        <f t="shared" si="8"/>
        <v>2022</v>
      </c>
      <c r="J37" s="8">
        <f t="shared" si="8"/>
        <v>2023</v>
      </c>
      <c r="K37" s="22">
        <f>J37+1</f>
        <v>2024</v>
      </c>
      <c r="L37" s="22">
        <f t="shared" ref="L37:Q37" si="9">K37+1</f>
        <v>2025</v>
      </c>
      <c r="M37" s="22">
        <f t="shared" si="9"/>
        <v>2026</v>
      </c>
      <c r="N37" s="22">
        <f t="shared" si="9"/>
        <v>2027</v>
      </c>
      <c r="O37" s="22">
        <f t="shared" si="9"/>
        <v>2028</v>
      </c>
      <c r="P37" s="22">
        <f t="shared" si="9"/>
        <v>2029</v>
      </c>
      <c r="Q37" s="22">
        <f t="shared" si="9"/>
        <v>2030</v>
      </c>
    </row>
    <row r="38" spans="3:17" x14ac:dyDescent="0.25">
      <c r="C38" t="s">
        <v>1</v>
      </c>
      <c r="D38" s="4">
        <f>D7</f>
        <v>55137</v>
      </c>
      <c r="E38" s="4">
        <f>E7</f>
        <v>59434</v>
      </c>
      <c r="F38" s="4">
        <f>F7</f>
        <v>69570</v>
      </c>
      <c r="G38" s="4">
        <f>G7</f>
        <v>65388</v>
      </c>
      <c r="H38" s="4">
        <f>H7</f>
        <v>67418</v>
      </c>
      <c r="I38" s="4">
        <f>I7</f>
        <v>82722</v>
      </c>
      <c r="J38" s="4">
        <f>J7</f>
        <v>88898</v>
      </c>
      <c r="K38" s="4">
        <f ca="1">J38*(1+K39)</f>
        <v>96618.346680839997</v>
      </c>
      <c r="L38" s="4">
        <f t="shared" ref="L38:Q38" ca="1" si="10">K38*(1+L39)</f>
        <v>105704.09433985874</v>
      </c>
      <c r="M38" s="4">
        <f t="shared" ca="1" si="10"/>
        <v>116404.51970749759</v>
      </c>
      <c r="N38" s="4">
        <f t="shared" ca="1" si="10"/>
        <v>129025.38866092161</v>
      </c>
      <c r="O38" s="4">
        <f t="shared" ca="1" si="10"/>
        <v>143942.65890846701</v>
      </c>
      <c r="P38" s="4">
        <f t="shared" ca="1" si="10"/>
        <v>161619.89695751283</v>
      </c>
      <c r="Q38" s="4">
        <f t="shared" ca="1" si="10"/>
        <v>182630.48356198947</v>
      </c>
    </row>
    <row r="39" spans="3:17" ht="15.75" thickBot="1" x14ac:dyDescent="0.3">
      <c r="C39" s="12" t="s">
        <v>17</v>
      </c>
      <c r="E39" s="13">
        <f>E38/D38-1</f>
        <v>7.7933148339590419E-2</v>
      </c>
      <c r="F39" s="13">
        <f t="shared" ref="F39:J39" si="11">F38/E38-1</f>
        <v>0.17054211394151486</v>
      </c>
      <c r="G39" s="13">
        <f t="shared" si="11"/>
        <v>-6.0112117291936218E-2</v>
      </c>
      <c r="H39" s="13">
        <f t="shared" si="11"/>
        <v>3.1045451764849741E-2</v>
      </c>
      <c r="I39" s="13">
        <f t="shared" si="11"/>
        <v>0.22700169094307165</v>
      </c>
      <c r="J39" s="13">
        <f t="shared" si="11"/>
        <v>7.4659703585503223E-2</v>
      </c>
      <c r="K39" s="16">
        <f ca="1">OFFSET(K40,$D$40,0)</f>
        <v>8.6844998547098942E-2</v>
      </c>
      <c r="L39" s="16">
        <f t="shared" ref="L39:Q39" ca="1" si="12">OFFSET(L40,$D$40,0)</f>
        <v>9.4037498789249122E-2</v>
      </c>
      <c r="M39" s="16">
        <f t="shared" ca="1" si="12"/>
        <v>0.1012299990313993</v>
      </c>
      <c r="N39" s="16">
        <f t="shared" ca="1" si="12"/>
        <v>0.10842249927354948</v>
      </c>
      <c r="O39" s="16">
        <f t="shared" ca="1" si="12"/>
        <v>0.11561499951569966</v>
      </c>
      <c r="P39" s="16">
        <f t="shared" ca="1" si="12"/>
        <v>0.12280749975784984</v>
      </c>
      <c r="Q39" s="16">
        <f t="shared" ca="1" si="12"/>
        <v>0.13</v>
      </c>
    </row>
    <row r="40" spans="3:17" ht="15.75" thickBot="1" x14ac:dyDescent="0.3">
      <c r="C40" s="15" t="s">
        <v>24</v>
      </c>
      <c r="D40">
        <v>1</v>
      </c>
      <c r="E40" s="13"/>
      <c r="F40" s="13"/>
      <c r="G40" s="13"/>
      <c r="H40" s="13"/>
      <c r="I40" s="13"/>
      <c r="J40" s="13"/>
    </row>
    <row r="41" spans="3:17" ht="15.75" thickBot="1" x14ac:dyDescent="0.3">
      <c r="C41" s="14" t="s">
        <v>21</v>
      </c>
      <c r="E41" s="13"/>
      <c r="F41" s="13"/>
      <c r="G41" s="13"/>
      <c r="H41" s="13"/>
      <c r="I41" s="13"/>
      <c r="J41" s="13"/>
      <c r="K41" s="24">
        <f>AVERAGE($E$39:$J$39)</f>
        <v>8.6844998547098942E-2</v>
      </c>
      <c r="L41" s="25">
        <f>K41+($Q41-$K41)/($Q$37-$K$37)</f>
        <v>9.4037498789249122E-2</v>
      </c>
      <c r="M41" s="25">
        <f t="shared" ref="M41:P41" si="13">L41+($Q41-$K41)/($Q$37-$K$37)</f>
        <v>0.1012299990313993</v>
      </c>
      <c r="N41" s="25">
        <f t="shared" si="13"/>
        <v>0.10842249927354948</v>
      </c>
      <c r="O41" s="25">
        <f t="shared" si="13"/>
        <v>0.11561499951569966</v>
      </c>
      <c r="P41" s="25">
        <f t="shared" si="13"/>
        <v>0.12280749975784984</v>
      </c>
      <c r="Q41" s="24">
        <v>0.13</v>
      </c>
    </row>
    <row r="42" spans="3:17" ht="15.75" thickBot="1" x14ac:dyDescent="0.3">
      <c r="C42" s="14" t="s">
        <v>22</v>
      </c>
      <c r="E42" s="13"/>
      <c r="F42" s="13"/>
      <c r="G42" s="13"/>
      <c r="H42" s="13"/>
      <c r="I42" s="13"/>
      <c r="J42" s="13"/>
      <c r="K42" s="24">
        <f>AVERAGE($E$39:$J$39)</f>
        <v>8.6844998547098942E-2</v>
      </c>
      <c r="L42" s="25">
        <f>K42+($Q42-$K42)/($Q$37-$K$37)</f>
        <v>9.7370832122582449E-2</v>
      </c>
      <c r="M42" s="25">
        <f t="shared" ref="M42:P42" si="14">L42+($Q42-$K42)/($Q$37-$K$37)</f>
        <v>0.10789666569806595</v>
      </c>
      <c r="N42" s="25">
        <f t="shared" si="14"/>
        <v>0.11842249927354946</v>
      </c>
      <c r="O42" s="25">
        <f t="shared" si="14"/>
        <v>0.12894833284903298</v>
      </c>
      <c r="P42" s="25">
        <f t="shared" si="14"/>
        <v>0.13947416642451649</v>
      </c>
      <c r="Q42" s="24">
        <v>0.15</v>
      </c>
    </row>
    <row r="43" spans="3:17" ht="15.75" thickBot="1" x14ac:dyDescent="0.3">
      <c r="C43" s="14" t="s">
        <v>23</v>
      </c>
      <c r="E43" s="13"/>
      <c r="F43" s="13"/>
      <c r="G43" s="13"/>
      <c r="H43" s="13"/>
      <c r="I43" s="13"/>
      <c r="J43" s="13"/>
      <c r="K43" s="24">
        <f>AVERAGE($E$39:$J$39)</f>
        <v>8.6844998547098942E-2</v>
      </c>
      <c r="L43" s="25">
        <f>K43+($Q43-$K43)/($Q$37-$K$37)</f>
        <v>0.10237083212258245</v>
      </c>
      <c r="M43" s="25">
        <f t="shared" ref="M43:P43" si="15">L43+($Q43-$K43)/($Q$37-$K$37)</f>
        <v>0.11789666569806596</v>
      </c>
      <c r="N43" s="25">
        <f t="shared" si="15"/>
        <v>0.13342249927354946</v>
      </c>
      <c r="O43" s="25">
        <f t="shared" si="15"/>
        <v>0.14894833284903297</v>
      </c>
      <c r="P43" s="25">
        <f t="shared" si="15"/>
        <v>0.16447416642451648</v>
      </c>
      <c r="Q43" s="24">
        <v>0.18</v>
      </c>
    </row>
    <row r="44" spans="3:17" x14ac:dyDescent="0.25">
      <c r="C44" s="12"/>
      <c r="E44" s="13"/>
      <c r="F44" s="13"/>
      <c r="G44" s="13"/>
      <c r="H44" s="13"/>
      <c r="I44" s="13"/>
      <c r="J44" s="13"/>
    </row>
    <row r="45" spans="3:17" x14ac:dyDescent="0.25">
      <c r="C45" t="s">
        <v>9</v>
      </c>
      <c r="D45" s="4">
        <f>D22</f>
        <v>19437</v>
      </c>
      <c r="E45" s="4">
        <f t="shared" ref="E45:J45" si="16">E22</f>
        <v>20859</v>
      </c>
      <c r="F45" s="4">
        <f t="shared" si="16"/>
        <v>20171</v>
      </c>
      <c r="G45" s="4">
        <f t="shared" si="16"/>
        <v>14484</v>
      </c>
      <c r="H45" s="4">
        <f t="shared" si="16"/>
        <v>13881</v>
      </c>
      <c r="I45" s="4">
        <f t="shared" si="16"/>
        <v>17096</v>
      </c>
      <c r="J45" s="4">
        <f t="shared" si="16"/>
        <v>19730</v>
      </c>
      <c r="K45" s="4">
        <f ca="1">K$38*K46</f>
        <v>21256.0362697848</v>
      </c>
      <c r="L45" s="4">
        <f t="shared" ref="L45:Q45" ca="1" si="17">L38*L46</f>
        <v>23431.074245335356</v>
      </c>
      <c r="M45" s="4">
        <f t="shared" ca="1" si="17"/>
        <v>25997.009401341129</v>
      </c>
      <c r="N45" s="4">
        <f t="shared" ca="1" si="17"/>
        <v>29030.712448707367</v>
      </c>
      <c r="O45" s="4">
        <f t="shared" ca="1" si="17"/>
        <v>32627.002685919197</v>
      </c>
      <c r="P45" s="4">
        <f t="shared" ca="1" si="17"/>
        <v>36903.209805298771</v>
      </c>
      <c r="Q45" s="4">
        <f t="shared" ca="1" si="17"/>
        <v>42005.011219257583</v>
      </c>
    </row>
    <row r="46" spans="3:17" x14ac:dyDescent="0.25">
      <c r="C46" s="12" t="s">
        <v>20</v>
      </c>
      <c r="D46" s="13">
        <f>D45/D$38</f>
        <v>0.35252189999455902</v>
      </c>
      <c r="E46" s="13">
        <f t="shared" ref="E46:J46" si="18">E45/E$38</f>
        <v>0.35096072954874313</v>
      </c>
      <c r="F46" s="13">
        <f t="shared" si="18"/>
        <v>0.28993819174931723</v>
      </c>
      <c r="G46" s="13">
        <f t="shared" si="18"/>
        <v>0.22150853367590384</v>
      </c>
      <c r="H46" s="13">
        <f t="shared" si="18"/>
        <v>0.20589456821620339</v>
      </c>
      <c r="I46" s="13">
        <f t="shared" si="18"/>
        <v>0.20666811730857571</v>
      </c>
      <c r="J46" s="13">
        <f t="shared" si="18"/>
        <v>0.22193975117550452</v>
      </c>
      <c r="K46" s="16">
        <f ca="1">OFFSET(K47,$D$47,0)</f>
        <v>0.22</v>
      </c>
      <c r="L46" s="16">
        <f t="shared" ref="L46:Q46" ca="1" si="19">OFFSET(L47,$D$47,0)</f>
        <v>0.22166666666666668</v>
      </c>
      <c r="M46" s="16">
        <f t="shared" ca="1" si="19"/>
        <v>0.22333333333333336</v>
      </c>
      <c r="N46" s="16">
        <f t="shared" ca="1" si="19"/>
        <v>0.22500000000000003</v>
      </c>
      <c r="O46" s="16">
        <f t="shared" ca="1" si="19"/>
        <v>0.22666666666666671</v>
      </c>
      <c r="P46" s="16">
        <f t="shared" ca="1" si="19"/>
        <v>0.22833333333333339</v>
      </c>
      <c r="Q46" s="16">
        <f t="shared" ca="1" si="19"/>
        <v>0.23</v>
      </c>
    </row>
    <row r="47" spans="3:17" ht="15.75" thickBot="1" x14ac:dyDescent="0.3">
      <c r="C47" s="15" t="s">
        <v>24</v>
      </c>
      <c r="D47">
        <v>2</v>
      </c>
      <c r="E47" s="13"/>
      <c r="F47" s="13"/>
      <c r="G47" s="13"/>
      <c r="H47" s="13"/>
      <c r="I47" s="13"/>
      <c r="J47" s="13"/>
    </row>
    <row r="48" spans="3:17" ht="15.75" thickBot="1" x14ac:dyDescent="0.3">
      <c r="C48" s="14" t="s">
        <v>21</v>
      </c>
      <c r="E48" s="13"/>
      <c r="F48" s="13"/>
      <c r="G48" s="13"/>
      <c r="H48" s="13"/>
      <c r="I48" s="13"/>
      <c r="J48" s="13"/>
      <c r="K48" s="24">
        <v>0.22</v>
      </c>
      <c r="L48" s="25">
        <f>K48-($K48-$Q48)/($Q$37-$K$37)</f>
        <v>0.21666666666666667</v>
      </c>
      <c r="M48" s="25">
        <f t="shared" ref="M48:P48" si="20">L48-($K48-$Q48)/($Q$37-$K$37)</f>
        <v>0.21333333333333335</v>
      </c>
      <c r="N48" s="25">
        <f t="shared" si="20"/>
        <v>0.21000000000000002</v>
      </c>
      <c r="O48" s="25">
        <f t="shared" si="20"/>
        <v>0.20666666666666669</v>
      </c>
      <c r="P48" s="25">
        <f t="shared" si="20"/>
        <v>0.20333333333333337</v>
      </c>
      <c r="Q48" s="24">
        <v>0.2</v>
      </c>
    </row>
    <row r="49" spans="3:17" ht="15.75" thickBot="1" x14ac:dyDescent="0.3">
      <c r="C49" s="14" t="s">
        <v>22</v>
      </c>
      <c r="E49" s="13"/>
      <c r="F49" s="13"/>
      <c r="G49" s="13"/>
      <c r="H49" s="13"/>
      <c r="I49" s="13"/>
      <c r="J49" s="13"/>
      <c r="K49" s="24">
        <v>0.22</v>
      </c>
      <c r="L49" s="25">
        <f>K49+($Q49-$K49)/($Q$37-$K$37)</f>
        <v>0.22166666666666668</v>
      </c>
      <c r="M49" s="25">
        <f t="shared" ref="M49:P49" si="21">L49+($Q49-$K49)/($Q$37-$K$37)</f>
        <v>0.22333333333333336</v>
      </c>
      <c r="N49" s="25">
        <f t="shared" si="21"/>
        <v>0.22500000000000003</v>
      </c>
      <c r="O49" s="25">
        <f t="shared" si="21"/>
        <v>0.22666666666666671</v>
      </c>
      <c r="P49" s="25">
        <f t="shared" si="21"/>
        <v>0.22833333333333339</v>
      </c>
      <c r="Q49" s="24">
        <v>0.23</v>
      </c>
    </row>
    <row r="50" spans="3:17" ht="15.75" thickBot="1" x14ac:dyDescent="0.3">
      <c r="C50" s="14" t="s">
        <v>23</v>
      </c>
      <c r="E50" s="13"/>
      <c r="F50" s="13"/>
      <c r="G50" s="13"/>
      <c r="H50" s="13"/>
      <c r="I50" s="13"/>
      <c r="J50" s="13"/>
      <c r="K50" s="24">
        <v>0.22</v>
      </c>
      <c r="L50" s="25">
        <f>K50+($Q50-$K50)/($Q$37-$K$37)</f>
        <v>0.22500000000000001</v>
      </c>
      <c r="M50" s="25">
        <f t="shared" ref="M50:P50" si="22">L50+($Q50-$K50)/($Q$37-$K$37)</f>
        <v>0.23</v>
      </c>
      <c r="N50" s="25">
        <f t="shared" si="22"/>
        <v>0.23500000000000001</v>
      </c>
      <c r="O50" s="25">
        <f t="shared" si="22"/>
        <v>0.24000000000000002</v>
      </c>
      <c r="P50" s="25">
        <f t="shared" si="22"/>
        <v>0.24500000000000002</v>
      </c>
      <c r="Q50" s="24">
        <v>0.25</v>
      </c>
    </row>
    <row r="51" spans="3:17" x14ac:dyDescent="0.25">
      <c r="C51" s="12"/>
      <c r="D51" s="13"/>
      <c r="E51" s="13"/>
      <c r="F51" s="13"/>
      <c r="G51" s="13"/>
      <c r="H51" s="13"/>
      <c r="I51" s="13"/>
      <c r="J51" s="13"/>
    </row>
    <row r="52" spans="3:17" x14ac:dyDescent="0.25">
      <c r="C52" t="s">
        <v>11</v>
      </c>
      <c r="D52" s="3">
        <f>D27</f>
        <v>-1075</v>
      </c>
      <c r="E52" s="3">
        <f t="shared" ref="E52:J52" si="23">E27</f>
        <v>-523</v>
      </c>
      <c r="F52" s="3">
        <f t="shared" si="23"/>
        <v>-542</v>
      </c>
      <c r="G52" s="3">
        <f t="shared" si="23"/>
        <v>397</v>
      </c>
      <c r="H52" s="3">
        <f t="shared" si="23"/>
        <v>-4301</v>
      </c>
      <c r="I52" s="3">
        <f t="shared" si="23"/>
        <v>-6271</v>
      </c>
      <c r="J52" s="3">
        <f t="shared" si="23"/>
        <v>-1908</v>
      </c>
      <c r="K52" s="4">
        <f ca="1">K$38*K53</f>
        <v>-5187.3407196345079</v>
      </c>
      <c r="L52" s="4">
        <f t="shared" ref="L52:Q52" ca="1" si="24">L$38*L53</f>
        <v>-5786.3286652957204</v>
      </c>
      <c r="M52" s="4">
        <f t="shared" ca="1" si="24"/>
        <v>-6494.5172048731429</v>
      </c>
      <c r="N52" s="4">
        <f t="shared" ca="1" si="24"/>
        <v>-7334.3825737642401</v>
      </c>
      <c r="O52" s="4">
        <f t="shared" ca="1" si="24"/>
        <v>-8333.7513191546386</v>
      </c>
      <c r="P52" s="4">
        <f t="shared" ca="1" si="24"/>
        <v>-9527.1961498572346</v>
      </c>
      <c r="Q52" s="4">
        <f t="shared" ca="1" si="24"/>
        <v>-10957.829013719367</v>
      </c>
    </row>
    <row r="53" spans="3:17" x14ac:dyDescent="0.25">
      <c r="C53" s="12" t="s">
        <v>20</v>
      </c>
      <c r="D53" s="13">
        <f>D52/D$38</f>
        <v>-1.9496889565990171E-2</v>
      </c>
      <c r="E53" s="13">
        <f t="shared" ref="E53" si="25">E52/E$38</f>
        <v>-8.7996769525860614E-3</v>
      </c>
      <c r="F53" s="13">
        <f t="shared" ref="F53" si="26">F52/F$38</f>
        <v>-7.7907143883857981E-3</v>
      </c>
      <c r="G53" s="13">
        <f t="shared" ref="G53" si="27">G52/G$38</f>
        <v>6.0714504190371322E-3</v>
      </c>
      <c r="H53" s="13">
        <f t="shared" ref="H53" si="28">H52/H$38</f>
        <v>-6.3796018867364801E-2</v>
      </c>
      <c r="I53" s="13">
        <f t="shared" ref="I53" si="29">I52/I$38</f>
        <v>-7.5808128430163685E-2</v>
      </c>
      <c r="J53" s="13">
        <f t="shared" ref="J53" si="30">J52/J$38</f>
        <v>-2.1462800062993542E-2</v>
      </c>
      <c r="K53" s="16">
        <f ca="1">OFFSET(K54,$D$54,0)</f>
        <v>-5.3688982453507339E-2</v>
      </c>
      <c r="L53" s="16">
        <f t="shared" ref="L53:Q53" ca="1" si="31">OFFSET(L54,$D$54,0)</f>
        <v>-5.4740818711256113E-2</v>
      </c>
      <c r="M53" s="16">
        <f t="shared" ca="1" si="31"/>
        <v>-5.5792654969004887E-2</v>
      </c>
      <c r="N53" s="16">
        <f t="shared" ca="1" si="31"/>
        <v>-5.6844491226753661E-2</v>
      </c>
      <c r="O53" s="16">
        <f t="shared" ca="1" si="31"/>
        <v>-5.7896327484502436E-2</v>
      </c>
      <c r="P53" s="16">
        <f t="shared" ca="1" si="31"/>
        <v>-5.894816374225121E-2</v>
      </c>
      <c r="Q53" s="16">
        <f t="shared" ca="1" si="31"/>
        <v>-0.06</v>
      </c>
    </row>
    <row r="54" spans="3:17" ht="15.75" thickBot="1" x14ac:dyDescent="0.3">
      <c r="C54" s="15" t="s">
        <v>24</v>
      </c>
      <c r="D54">
        <v>1</v>
      </c>
      <c r="E54" s="13"/>
      <c r="F54" s="13"/>
      <c r="G54" s="13"/>
      <c r="H54" s="13"/>
      <c r="I54" s="13"/>
      <c r="J54" s="13"/>
    </row>
    <row r="55" spans="3:17" ht="15.75" thickBot="1" x14ac:dyDescent="0.3">
      <c r="C55" s="14" t="s">
        <v>21</v>
      </c>
      <c r="E55" s="13"/>
      <c r="F55" s="13"/>
      <c r="G55" s="13"/>
      <c r="H55" s="13"/>
      <c r="I55" s="13"/>
      <c r="J55" s="13"/>
      <c r="K55" s="24">
        <f>AVERAGE(H53:J53)</f>
        <v>-5.3688982453507339E-2</v>
      </c>
      <c r="L55" s="25">
        <f>K55-($K55-$Q55)/($Q$37-$K$37)</f>
        <v>-5.4740818711256113E-2</v>
      </c>
      <c r="M55" s="25">
        <f t="shared" ref="M55:P55" si="32">L55-($K55-$Q55)/($Q$37-$K$37)</f>
        <v>-5.5792654969004887E-2</v>
      </c>
      <c r="N55" s="25">
        <f t="shared" si="32"/>
        <v>-5.6844491226753661E-2</v>
      </c>
      <c r="O55" s="25">
        <f t="shared" si="32"/>
        <v>-5.7896327484502436E-2</v>
      </c>
      <c r="P55" s="25">
        <f t="shared" si="32"/>
        <v>-5.894816374225121E-2</v>
      </c>
      <c r="Q55" s="24">
        <v>-0.06</v>
      </c>
    </row>
    <row r="56" spans="3:17" ht="15.75" thickBot="1" x14ac:dyDescent="0.3">
      <c r="C56" s="14" t="s">
        <v>22</v>
      </c>
      <c r="E56" s="13"/>
      <c r="F56" s="13"/>
      <c r="G56" s="13"/>
      <c r="H56" s="13"/>
      <c r="I56" s="13"/>
      <c r="J56" s="13"/>
      <c r="K56" s="24">
        <f>AVERAGE(H53:J53)</f>
        <v>-5.3688982453507339E-2</v>
      </c>
      <c r="L56" s="25">
        <f>K56+($Q56-$K56)/($Q$37-$K$37)</f>
        <v>-5.1407485377922779E-2</v>
      </c>
      <c r="M56" s="25">
        <f t="shared" ref="M56:P56" si="33">L56+($Q56-$K56)/($Q$37-$K$37)</f>
        <v>-4.9125988302338219E-2</v>
      </c>
      <c r="N56" s="25">
        <f t="shared" si="33"/>
        <v>-4.684449122675366E-2</v>
      </c>
      <c r="O56" s="25">
        <f t="shared" si="33"/>
        <v>-4.45629941511691E-2</v>
      </c>
      <c r="P56" s="25">
        <f t="shared" si="33"/>
        <v>-4.228149707558454E-2</v>
      </c>
      <c r="Q56" s="24">
        <v>-0.04</v>
      </c>
    </row>
    <row r="57" spans="3:17" ht="15.75" thickBot="1" x14ac:dyDescent="0.3">
      <c r="C57" s="14" t="s">
        <v>23</v>
      </c>
      <c r="E57" s="13"/>
      <c r="F57" s="13"/>
      <c r="G57" s="13"/>
      <c r="H57" s="13"/>
      <c r="I57" s="13"/>
      <c r="J57" s="13"/>
      <c r="K57" s="24">
        <f>AVERAGE(H53:J53)</f>
        <v>-5.3688982453507339E-2</v>
      </c>
      <c r="L57" s="25">
        <f>K57+($Q57-$K57)/($Q$37-$K$37)</f>
        <v>-4.8074152044589452E-2</v>
      </c>
      <c r="M57" s="25">
        <f t="shared" ref="M57:P57" si="34">L57+($Q57-$K57)/($Q$37-$K$37)</f>
        <v>-4.2459321635671565E-2</v>
      </c>
      <c r="N57" s="25">
        <f t="shared" si="34"/>
        <v>-3.6844491226753678E-2</v>
      </c>
      <c r="O57" s="25">
        <f t="shared" si="34"/>
        <v>-3.1229660817835788E-2</v>
      </c>
      <c r="P57" s="25">
        <f t="shared" si="34"/>
        <v>-2.5614830408917898E-2</v>
      </c>
      <c r="Q57" s="24">
        <v>-0.02</v>
      </c>
    </row>
    <row r="58" spans="3:17" x14ac:dyDescent="0.25">
      <c r="C58" s="12"/>
      <c r="D58" s="13"/>
      <c r="E58" s="13"/>
      <c r="F58" s="13"/>
      <c r="G58" s="13"/>
      <c r="H58" s="13"/>
      <c r="I58" s="13"/>
      <c r="J58" s="13"/>
    </row>
    <row r="59" spans="3:17" x14ac:dyDescent="0.25">
      <c r="C59" t="s">
        <v>18</v>
      </c>
      <c r="D59" s="3">
        <f>D28</f>
        <v>364</v>
      </c>
      <c r="E59" s="3">
        <f t="shared" ref="E59:J59" si="35">E28</f>
        <v>393</v>
      </c>
      <c r="F59" s="3">
        <f t="shared" si="35"/>
        <v>711</v>
      </c>
      <c r="G59" s="3">
        <f t="shared" si="35"/>
        <v>525</v>
      </c>
      <c r="H59" s="3">
        <f t="shared" si="35"/>
        <v>600</v>
      </c>
      <c r="I59" s="3">
        <f t="shared" si="35"/>
        <v>977</v>
      </c>
      <c r="J59" s="3">
        <f t="shared" si="35"/>
        <v>1143</v>
      </c>
      <c r="K59" s="4">
        <f ca="1">K$38*K60</f>
        <v>897.59559507118161</v>
      </c>
      <c r="L59" s="4">
        <f t="shared" ref="L59:Q59" ca="1" si="36">L$38*L60</f>
        <v>1022.5993193672648</v>
      </c>
      <c r="M59" s="4">
        <f t="shared" ca="1" si="36"/>
        <v>1177.0322628043969</v>
      </c>
      <c r="N59" s="4">
        <f t="shared" ca="1" si="36"/>
        <v>1302.6518403569507</v>
      </c>
      <c r="O59" s="4">
        <f t="shared" ca="1" si="36"/>
        <v>1495.7640577655291</v>
      </c>
      <c r="P59" s="4">
        <f t="shared" ca="1" si="36"/>
        <v>1713.8960225107483</v>
      </c>
      <c r="Q59" s="4">
        <f t="shared" ca="1" si="36"/>
        <v>1905.2338034071238</v>
      </c>
    </row>
    <row r="60" spans="3:17" x14ac:dyDescent="0.25">
      <c r="C60" s="12" t="s">
        <v>20</v>
      </c>
      <c r="D60" s="13">
        <f>D59/D$38</f>
        <v>6.6017374902515554E-3</v>
      </c>
      <c r="E60" s="13">
        <f t="shared" ref="E60" si="37">E59/E$38</f>
        <v>6.6123767540465055E-3</v>
      </c>
      <c r="F60" s="13">
        <f t="shared" ref="F60" si="38">F59/F$38</f>
        <v>1.0219922380336352E-2</v>
      </c>
      <c r="G60" s="13">
        <f t="shared" ref="G60" si="39">G59/G$38</f>
        <v>8.0289961460818498E-3</v>
      </c>
      <c r="H60" s="13">
        <f t="shared" ref="H60" si="40">H59/H$38</f>
        <v>8.8997003767539822E-3</v>
      </c>
      <c r="I60" s="13">
        <f t="shared" ref="I60" si="41">I59/I$38</f>
        <v>1.1810642876139359E-2</v>
      </c>
      <c r="J60" s="13">
        <f t="shared" ref="J60" si="42">J59/J$38</f>
        <v>1.2857432113208396E-2</v>
      </c>
      <c r="K60" s="17">
        <f>AVERAGE(D60:J60)</f>
        <v>9.290115448116856E-3</v>
      </c>
      <c r="L60" s="17">
        <f t="shared" ref="L60:Q60" si="43">AVERAGE(E60:K60)</f>
        <v>9.6741694420976135E-3</v>
      </c>
      <c r="M60" s="17">
        <f t="shared" si="43"/>
        <v>1.0111568397533488E-2</v>
      </c>
      <c r="N60" s="17">
        <f t="shared" si="43"/>
        <v>1.0096089257133078E-2</v>
      </c>
      <c r="O60" s="17">
        <f t="shared" si="43"/>
        <v>1.0391388272997541E-2</v>
      </c>
      <c r="P60" s="17">
        <f t="shared" si="43"/>
        <v>1.0604486543889475E-2</v>
      </c>
      <c r="Q60" s="17">
        <f t="shared" si="43"/>
        <v>1.0432178496425207E-2</v>
      </c>
    </row>
    <row r="62" spans="3:17" x14ac:dyDescent="0.25">
      <c r="C62" t="s">
        <v>13</v>
      </c>
      <c r="D62" s="2">
        <f>-D30</f>
        <v>3623</v>
      </c>
      <c r="E62" s="2">
        <f t="shared" ref="E62:J62" si="44">-E30</f>
        <v>4465</v>
      </c>
      <c r="F62" s="2">
        <f t="shared" si="44"/>
        <v>4876</v>
      </c>
      <c r="G62" s="2">
        <f t="shared" si="44"/>
        <v>4022</v>
      </c>
      <c r="H62" s="2">
        <f t="shared" si="44"/>
        <v>3578</v>
      </c>
      <c r="I62" s="2">
        <f t="shared" si="44"/>
        <v>4943</v>
      </c>
      <c r="J62" s="2">
        <f t="shared" si="44"/>
        <v>4969</v>
      </c>
      <c r="K62" s="4">
        <f ca="1">K$38*K63</f>
        <v>6089.0759004344945</v>
      </c>
      <c r="L62" s="4">
        <f t="shared" ref="L62:Q62" ca="1" si="45">L$38*L63</f>
        <v>6621.1004447201467</v>
      </c>
      <c r="M62" s="4">
        <f t="shared" ca="1" si="45"/>
        <v>7083.7007582355527</v>
      </c>
      <c r="N62" s="4">
        <f t="shared" ca="1" si="45"/>
        <v>7681.5394351629266</v>
      </c>
      <c r="O62" s="4">
        <f t="shared" ca="1" si="45"/>
        <v>8529.035273440255</v>
      </c>
      <c r="P62" s="4">
        <f t="shared" ca="1" si="45"/>
        <v>9719.1780575431894</v>
      </c>
      <c r="Q62" s="4">
        <f t="shared" ca="1" si="45"/>
        <v>10992.628907025801</v>
      </c>
    </row>
    <row r="63" spans="3:17" x14ac:dyDescent="0.25">
      <c r="C63" s="12" t="s">
        <v>20</v>
      </c>
      <c r="D63" s="13">
        <f>D62/D$38</f>
        <v>6.5709051997751053E-2</v>
      </c>
      <c r="E63" s="13">
        <f t="shared" ref="E63" si="46">E62/E$38</f>
        <v>7.5125349126762456E-2</v>
      </c>
      <c r="F63" s="13">
        <f t="shared" ref="F63" si="47">F62/F$38</f>
        <v>7.0087681471898811E-2</v>
      </c>
      <c r="G63" s="13">
        <f t="shared" ref="G63" si="48">G62/G$38</f>
        <v>6.1509757141983236E-2</v>
      </c>
      <c r="H63" s="13">
        <f t="shared" ref="H63" si="49">H62/H$38</f>
        <v>5.3071879913376252E-2</v>
      </c>
      <c r="I63" s="13">
        <f t="shared" ref="I63" si="50">I62/I$38</f>
        <v>5.9754357970068422E-2</v>
      </c>
      <c r="J63" s="13">
        <f t="shared" ref="J63" si="51">J62/J$38</f>
        <v>5.5895520709127317E-2</v>
      </c>
      <c r="K63" s="17">
        <f>AVERAGE(D63:J63)</f>
        <v>6.302194261870965E-2</v>
      </c>
      <c r="L63" s="17">
        <f t="shared" ref="L63:Q63" si="52">AVERAGE(E63:K63)</f>
        <v>6.263806985027516E-2</v>
      </c>
      <c r="M63" s="17">
        <f t="shared" si="52"/>
        <v>6.0854172810776978E-2</v>
      </c>
      <c r="N63" s="17">
        <f t="shared" si="52"/>
        <v>5.9535100144902431E-2</v>
      </c>
      <c r="O63" s="17">
        <f t="shared" si="52"/>
        <v>5.9253006288176598E-2</v>
      </c>
      <c r="P63" s="17">
        <f t="shared" si="52"/>
        <v>6.0136024341719503E-2</v>
      </c>
      <c r="Q63" s="17">
        <f t="shared" si="52"/>
        <v>6.0190548109098234E-2</v>
      </c>
    </row>
    <row r="64" spans="3:17" x14ac:dyDescent="0.25">
      <c r="C64" s="12"/>
      <c r="D64" s="13"/>
      <c r="E64" s="13"/>
      <c r="F64" s="13"/>
      <c r="G64" s="13"/>
      <c r="H64" s="13"/>
      <c r="I64" s="13"/>
      <c r="J64" s="13"/>
    </row>
    <row r="65" spans="3:17" x14ac:dyDescent="0.25">
      <c r="C65" t="s">
        <v>14</v>
      </c>
      <c r="D65" s="2">
        <f>-D31</f>
        <v>417</v>
      </c>
      <c r="E65" s="2">
        <f t="shared" ref="E65:F65" si="53">-E31</f>
        <v>1581</v>
      </c>
      <c r="F65" s="2">
        <f t="shared" si="53"/>
        <v>9901</v>
      </c>
      <c r="K65" s="4">
        <f ca="1">K$38*K66</f>
        <v>2435.9004270387645</v>
      </c>
      <c r="L65" s="4">
        <f t="shared" ref="L65:Q65" ca="1" si="54">L$38*L66</f>
        <v>2931.4704838206421</v>
      </c>
      <c r="M65" s="4">
        <f t="shared" ca="1" si="54"/>
        <v>3247.0452549732026</v>
      </c>
      <c r="N65" s="4">
        <f t="shared" ca="1" si="54"/>
        <v>3476.7553978375827</v>
      </c>
      <c r="O65" s="4">
        <f t="shared" ca="1" si="54"/>
        <v>3961.9537141441242</v>
      </c>
      <c r="P65" s="4">
        <f t="shared" ca="1" si="54"/>
        <v>4437.2910445376374</v>
      </c>
      <c r="Q65" s="4">
        <f t="shared" ca="1" si="54"/>
        <v>4987.3901567794646</v>
      </c>
    </row>
    <row r="66" spans="3:17" x14ac:dyDescent="0.25">
      <c r="C66" s="12" t="s">
        <v>20</v>
      </c>
      <c r="D66" s="13">
        <f>D65/D$38</f>
        <v>7.5629794874585128E-3</v>
      </c>
      <c r="E66" s="13">
        <f t="shared" ref="E66" si="55">E65/E$38</f>
        <v>2.6600935491469531E-2</v>
      </c>
      <c r="F66" s="13">
        <f t="shared" ref="F66" si="56">F65/F$38</f>
        <v>0.14231709070001439</v>
      </c>
      <c r="G66" s="13">
        <f t="shared" ref="G66" si="57">G65/G$38</f>
        <v>0</v>
      </c>
      <c r="H66" s="13">
        <f t="shared" ref="H66" si="58">H65/H$38</f>
        <v>0</v>
      </c>
      <c r="I66" s="13">
        <f t="shared" ref="I66" si="59">I65/I$38</f>
        <v>0</v>
      </c>
      <c r="J66" s="13">
        <f t="shared" ref="J66" si="60">J65/J$38</f>
        <v>0</v>
      </c>
      <c r="K66" s="17">
        <f>AVERAGE(D66:J66)</f>
        <v>2.5211572239848917E-2</v>
      </c>
      <c r="L66" s="17">
        <f t="shared" ref="L66:M66" si="61">AVERAGE(E66:K66)</f>
        <v>2.7732799775904687E-2</v>
      </c>
      <c r="M66" s="17">
        <f t="shared" si="61"/>
        <v>2.7894494673681137E-2</v>
      </c>
      <c r="N66" s="17">
        <f>AVERAGE(K66:M66)</f>
        <v>2.6946288896478248E-2</v>
      </c>
      <c r="O66" s="17">
        <f t="shared" ref="O66:Q66" si="62">AVERAGE(L66:N66)</f>
        <v>2.7524527782021357E-2</v>
      </c>
      <c r="P66" s="17">
        <f t="shared" si="62"/>
        <v>2.7455103784060245E-2</v>
      </c>
      <c r="Q66" s="17">
        <f t="shared" si="62"/>
        <v>2.7308640154186617E-2</v>
      </c>
    </row>
    <row r="68" spans="3:17" x14ac:dyDescent="0.25">
      <c r="C68" t="s">
        <v>15</v>
      </c>
      <c r="D68" s="2">
        <f>D33</f>
        <v>-696</v>
      </c>
      <c r="E68" s="2">
        <f t="shared" ref="E68:J68" si="63">E33</f>
        <v>91</v>
      </c>
      <c r="F68" s="2">
        <f t="shared" si="63"/>
        <v>1300</v>
      </c>
      <c r="G68" s="2">
        <f t="shared" si="63"/>
        <v>12499</v>
      </c>
      <c r="H68" s="2">
        <f t="shared" si="63"/>
        <v>-1951</v>
      </c>
      <c r="I68" s="2">
        <f t="shared" si="63"/>
        <v>-4342</v>
      </c>
      <c r="J68" s="2">
        <f t="shared" si="63"/>
        <v>2574</v>
      </c>
      <c r="K68" s="4">
        <f ca="1">K$38*K69</f>
        <v>2018.938600238198</v>
      </c>
      <c r="L68" s="4">
        <f t="shared" ref="L68:Q68" ca="1" si="64">L$38*L69</f>
        <v>2714.9528434223948</v>
      </c>
      <c r="M68" s="4">
        <f t="shared" ca="1" si="64"/>
        <v>3391.4388566731045</v>
      </c>
      <c r="N68" s="4">
        <f t="shared" ca="1" si="64"/>
        <v>3951.7401249376653</v>
      </c>
      <c r="O68" s="4">
        <f t="shared" ca="1" si="64"/>
        <v>1107.7343908654834</v>
      </c>
      <c r="P68" s="4">
        <f t="shared" ca="1" si="64"/>
        <v>2089.61075335945</v>
      </c>
      <c r="Q68" s="4">
        <f t="shared" ca="1" si="64"/>
        <v>4068.0262246877455</v>
      </c>
    </row>
    <row r="69" spans="3:17" x14ac:dyDescent="0.25">
      <c r="C69" s="12" t="s">
        <v>20</v>
      </c>
      <c r="D69" s="13">
        <f>D68/D$38</f>
        <v>-1.262310245388759E-2</v>
      </c>
      <c r="E69" s="13">
        <f t="shared" ref="E69" si="65">E68/E$38</f>
        <v>1.5311101389776896E-3</v>
      </c>
      <c r="F69" s="13">
        <f t="shared" ref="F69" si="66">F68/F$38</f>
        <v>1.8686215322696563E-2</v>
      </c>
      <c r="G69" s="13">
        <f t="shared" ref="G69" si="67">G68/G$38</f>
        <v>0.19115128158071817</v>
      </c>
      <c r="H69" s="13">
        <f t="shared" ref="H69" si="68">H68/H$38</f>
        <v>-2.89388590584117E-2</v>
      </c>
      <c r="I69" s="13">
        <f t="shared" ref="I69" si="69">I68/I$38</f>
        <v>-5.2489059742269285E-2</v>
      </c>
      <c r="J69" s="13">
        <f t="shared" ref="J69" si="70">J68/J$38</f>
        <v>2.8954532160453555E-2</v>
      </c>
      <c r="K69" s="17">
        <f>AVERAGE(D69:J69)</f>
        <v>2.0896016849753916E-2</v>
      </c>
      <c r="L69" s="17">
        <f t="shared" ref="L69:Q69" si="71">AVERAGE(E69:K69)</f>
        <v>2.5684462464559847E-2</v>
      </c>
      <c r="M69" s="17">
        <f t="shared" si="71"/>
        <v>2.9134941368214439E-2</v>
      </c>
      <c r="N69" s="17">
        <f t="shared" si="71"/>
        <v>3.0627616517574136E-2</v>
      </c>
      <c r="O69" s="17">
        <f t="shared" si="71"/>
        <v>7.6956643656964164E-3</v>
      </c>
      <c r="P69" s="17">
        <f t="shared" si="71"/>
        <v>1.2929167711997576E-2</v>
      </c>
      <c r="Q69" s="17">
        <f t="shared" si="71"/>
        <v>2.2274628776892839E-2</v>
      </c>
    </row>
    <row r="70" spans="3:17" x14ac:dyDescent="0.25">
      <c r="C70" s="12"/>
      <c r="D70" s="13"/>
      <c r="E70" s="13"/>
      <c r="F70" s="13"/>
      <c r="G70" s="13"/>
      <c r="H70" s="13"/>
      <c r="I70" s="13"/>
      <c r="J70" s="13"/>
      <c r="K70" s="17"/>
      <c r="L70" s="17"/>
      <c r="M70" s="17"/>
      <c r="N70" s="17"/>
      <c r="O70" s="17"/>
      <c r="P70" s="17"/>
      <c r="Q70" s="17"/>
    </row>
    <row r="71" spans="3:17" x14ac:dyDescent="0.25">
      <c r="C71" s="20" t="s">
        <v>5</v>
      </c>
      <c r="D71" s="2">
        <f>D17</f>
        <v>4422</v>
      </c>
      <c r="E71" s="2">
        <f t="shared" ref="E71:J71" si="72">E17</f>
        <v>1663</v>
      </c>
      <c r="F71" s="2">
        <f t="shared" si="72"/>
        <v>3031</v>
      </c>
      <c r="G71" s="2">
        <f t="shared" si="72"/>
        <v>699</v>
      </c>
      <c r="H71" s="2">
        <f t="shared" si="72"/>
        <v>25</v>
      </c>
      <c r="I71" s="2">
        <f t="shared" si="72"/>
        <v>1732</v>
      </c>
      <c r="J71" s="2">
        <f t="shared" si="72"/>
        <v>1379</v>
      </c>
      <c r="K71" s="17"/>
      <c r="L71" s="17"/>
      <c r="M71" s="17"/>
      <c r="N71" s="17"/>
      <c r="O71" s="17"/>
      <c r="P71" s="17"/>
      <c r="Q71" s="17"/>
    </row>
    <row r="72" spans="3:17" x14ac:dyDescent="0.25">
      <c r="C72" s="12" t="s">
        <v>20</v>
      </c>
      <c r="D72" s="13"/>
      <c r="E72" s="13"/>
      <c r="F72" s="13"/>
      <c r="G72" s="13"/>
      <c r="H72" s="13"/>
      <c r="I72" s="13"/>
      <c r="J72" s="13"/>
      <c r="K72" s="17"/>
      <c r="L72" s="17"/>
      <c r="M72" s="17"/>
      <c r="N72" s="17"/>
      <c r="O72" s="17"/>
      <c r="P72" s="17"/>
      <c r="Q72" s="17"/>
    </row>
    <row r="74" spans="3:17" x14ac:dyDescent="0.25">
      <c r="C74" s="7" t="s">
        <v>19</v>
      </c>
      <c r="D74" s="4">
        <f>D45+D52+D59-D62-D65-D68</f>
        <v>15382</v>
      </c>
      <c r="E74" s="4">
        <f>E45+E52+E59-E62-E65-E68</f>
        <v>14592</v>
      </c>
      <c r="F74" s="4">
        <f>F45+F52+F59-F62-F65-F68</f>
        <v>4263</v>
      </c>
      <c r="G74" s="4">
        <f>G45+G52+G59-G62-G65-G68</f>
        <v>-1115</v>
      </c>
      <c r="H74" s="4">
        <f>H45+H52+H59-H62-H65-H68</f>
        <v>8553</v>
      </c>
      <c r="I74" s="4">
        <f>I45+I52+I59-I62-I65-I68</f>
        <v>11201</v>
      </c>
      <c r="J74" s="4">
        <f>J45+J52+J59-J62-J65-J68</f>
        <v>11422</v>
      </c>
      <c r="K74" s="4">
        <f t="shared" ref="K74:Q74" ca="1" si="73">K45+K52+K59-K62-K65-K68</f>
        <v>6422.3762175100183</v>
      </c>
      <c r="L74" s="4">
        <f t="shared" ca="1" si="73"/>
        <v>6399.8211274437172</v>
      </c>
      <c r="M74" s="4">
        <f t="shared" ca="1" si="73"/>
        <v>6957.3395893905235</v>
      </c>
      <c r="N74" s="4">
        <f t="shared" ca="1" si="73"/>
        <v>7888.9467573619022</v>
      </c>
      <c r="O74" s="4">
        <f t="shared" ca="1" si="73"/>
        <v>12190.292046080223</v>
      </c>
      <c r="P74" s="4">
        <f t="shared" ca="1" si="73"/>
        <v>12843.829822512011</v>
      </c>
      <c r="Q74" s="4">
        <f t="shared" ca="1" si="73"/>
        <v>12904.370720452327</v>
      </c>
    </row>
    <row r="76" spans="3:17" x14ac:dyDescent="0.25">
      <c r="C76" s="7" t="s">
        <v>27</v>
      </c>
      <c r="K76" s="4">
        <f ca="1">K74/(1+$D$86)^K35</f>
        <v>5838.5238341000158</v>
      </c>
      <c r="L76" s="4">
        <f ca="1">L74/(1+$D$86)^L35</f>
        <v>5289.108369788195</v>
      </c>
      <c r="M76" s="4">
        <f ca="1">M74/(1+$D$86)^M35</f>
        <v>5227.1522084076041</v>
      </c>
      <c r="N76" s="4">
        <f ca="1">N74/(1+$D$86)^N35</f>
        <v>5388.2567839368212</v>
      </c>
      <c r="O76" s="4">
        <f ca="1">O74/(1+$D$86)^O35</f>
        <v>7569.2122657296259</v>
      </c>
      <c r="P76" s="4">
        <f ca="1">P74/(1+$D$86)^P35</f>
        <v>7250.0070968552618</v>
      </c>
      <c r="Q76" s="4">
        <f ca="1">Q74/(1+$D$86)^Q35</f>
        <v>6621.9825958587417</v>
      </c>
    </row>
    <row r="77" spans="3:17" x14ac:dyDescent="0.25">
      <c r="C77" t="s">
        <v>30</v>
      </c>
      <c r="Q77" s="4">
        <f ca="1">Q76*(1+D87)/($D$86-$D$87)</f>
        <v>74313.360242414754</v>
      </c>
    </row>
    <row r="78" spans="3:17" x14ac:dyDescent="0.25">
      <c r="C78" t="s">
        <v>31</v>
      </c>
      <c r="Q78" s="4">
        <f ca="1">Q77/(1+$D$86)^Q35</f>
        <v>38134.504101398146</v>
      </c>
    </row>
    <row r="79" spans="3:17" x14ac:dyDescent="0.25">
      <c r="C79" s="7" t="s">
        <v>32</v>
      </c>
      <c r="Q79" s="4" cm="1">
        <f t="array" aca="1" ref="Q79" ca="1">SUM(K76:Q76+Q78)</f>
        <v>310125.77186446334</v>
      </c>
    </row>
    <row r="80" spans="3:17" x14ac:dyDescent="0.25">
      <c r="C80" t="s">
        <v>34</v>
      </c>
      <c r="Q80" s="1">
        <v>14182</v>
      </c>
    </row>
    <row r="81" spans="3:17" x14ac:dyDescent="0.25">
      <c r="C81" t="s">
        <v>35</v>
      </c>
      <c r="Q81" s="1">
        <f>42101+12069</f>
        <v>54170</v>
      </c>
    </row>
    <row r="82" spans="3:17" x14ac:dyDescent="0.25">
      <c r="C82" t="s">
        <v>33</v>
      </c>
      <c r="Q82" s="1">
        <f ca="1">Q79-Q81+Q80</f>
        <v>270137.77186446334</v>
      </c>
    </row>
    <row r="83" spans="3:17" x14ac:dyDescent="0.25">
      <c r="C83" t="s">
        <v>36</v>
      </c>
      <c r="Q83" s="19">
        <v>1830</v>
      </c>
    </row>
    <row r="84" spans="3:17" x14ac:dyDescent="0.25">
      <c r="C84" s="28" t="s">
        <v>37</v>
      </c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7">
        <f ca="1">Q82/Q83</f>
        <v>147.61626877839527</v>
      </c>
    </row>
    <row r="86" spans="3:17" x14ac:dyDescent="0.25">
      <c r="C86" s="7" t="s">
        <v>28</v>
      </c>
      <c r="D86" s="26">
        <v>0.1</v>
      </c>
    </row>
    <row r="87" spans="3:17" x14ac:dyDescent="0.25">
      <c r="C87" s="7" t="s">
        <v>29</v>
      </c>
      <c r="D87" s="26">
        <v>0.01</v>
      </c>
    </row>
  </sheetData>
  <mergeCells count="1">
    <mergeCell ref="K36:Q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Simangunsong</dc:creator>
  <cp:lastModifiedBy>Joshua Simangunsong</cp:lastModifiedBy>
  <dcterms:created xsi:type="dcterms:W3CDTF">2024-02-13T23:35:17Z</dcterms:created>
  <dcterms:modified xsi:type="dcterms:W3CDTF">2024-02-14T01:19:42Z</dcterms:modified>
</cp:coreProperties>
</file>