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cc89c3b879ce5/Desktop/DCF/"/>
    </mc:Choice>
  </mc:AlternateContent>
  <xr:revisionPtr revIDLastSave="18" documentId="8_{C4A025A0-690E-4A1C-A02E-612BC59C080C}" xr6:coauthVersionLast="47" xr6:coauthVersionMax="47" xr10:uidLastSave="{DBDC3FB6-DFAE-4DA4-B0D4-0E4721193357}"/>
  <bookViews>
    <workbookView xWindow="-28920" yWindow="1185" windowWidth="29040" windowHeight="15840" xr2:uid="{45451B68-6F13-41B4-9818-6267D361FF49}"/>
  </bookViews>
  <sheets>
    <sheet name="DCF" sheetId="1" r:id="rId1"/>
    <sheet name="Product 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F24" i="2"/>
  <c r="E24" i="2"/>
  <c r="G9" i="2"/>
  <c r="F9" i="2"/>
  <c r="E9" i="2"/>
  <c r="G15" i="2"/>
  <c r="F15" i="2"/>
  <c r="E15" i="2"/>
  <c r="G12" i="2"/>
  <c r="F12" i="2"/>
  <c r="E12" i="2"/>
  <c r="G21" i="2"/>
  <c r="F21" i="2"/>
  <c r="E21" i="2"/>
  <c r="G20" i="2"/>
  <c r="F20" i="2"/>
  <c r="G8" i="2"/>
  <c r="F8" i="2"/>
  <c r="M65" i="1"/>
  <c r="H26" i="1"/>
  <c r="G26" i="1"/>
  <c r="F26" i="1"/>
  <c r="E26" i="1"/>
  <c r="D26" i="1"/>
  <c r="H41" i="1"/>
  <c r="I41" i="1" s="1"/>
  <c r="J41" i="1" s="1"/>
  <c r="J47" i="1" s="1"/>
  <c r="G41" i="1"/>
  <c r="F41" i="1"/>
  <c r="E41" i="1"/>
  <c r="D41" i="1"/>
  <c r="E31" i="2" l="1"/>
  <c r="F31" i="2"/>
  <c r="G31" i="2"/>
  <c r="J50" i="1"/>
  <c r="J53" i="1"/>
  <c r="I47" i="1"/>
  <c r="I50" i="1"/>
  <c r="K41" i="1"/>
  <c r="K53" i="1" s="1"/>
  <c r="J44" i="1"/>
  <c r="J56" i="1" l="1"/>
  <c r="J58" i="1" s="1"/>
  <c r="K47" i="1"/>
  <c r="K50" i="1"/>
  <c r="L41" i="1"/>
  <c r="L53" i="1" s="1"/>
  <c r="K44" i="1"/>
  <c r="K56" i="1" l="1"/>
  <c r="K58" i="1" s="1"/>
  <c r="L50" i="1"/>
  <c r="L47" i="1"/>
  <c r="M41" i="1"/>
  <c r="M53" i="1" s="1"/>
  <c r="L44" i="1"/>
  <c r="L56" i="1" l="1"/>
  <c r="L58" i="1" s="1"/>
  <c r="M47" i="1"/>
  <c r="M50" i="1"/>
  <c r="M44" i="1"/>
  <c r="M56" i="1" l="1"/>
  <c r="M58" i="1" s="1"/>
  <c r="M59" i="1" s="1"/>
  <c r="M60" i="1" s="1"/>
  <c r="H53" i="1" l="1"/>
  <c r="H54" i="1" s="1"/>
  <c r="G53" i="1"/>
  <c r="G54" i="1" s="1"/>
  <c r="F53" i="1"/>
  <c r="F54" i="1" s="1"/>
  <c r="E53" i="1"/>
  <c r="E54" i="1" s="1"/>
  <c r="H50" i="1"/>
  <c r="H51" i="1" s="1"/>
  <c r="G50" i="1"/>
  <c r="G51" i="1" s="1"/>
  <c r="F50" i="1"/>
  <c r="F51" i="1" s="1"/>
  <c r="E50" i="1"/>
  <c r="E51" i="1" s="1"/>
  <c r="D53" i="1"/>
  <c r="D54" i="1" s="1"/>
  <c r="D50" i="1"/>
  <c r="D51" i="1" s="1"/>
  <c r="G39" i="1"/>
  <c r="H39" i="1" s="1"/>
  <c r="I39" i="1" s="1"/>
  <c r="J39" i="1" s="1"/>
  <c r="K39" i="1" s="1"/>
  <c r="L39" i="1" s="1"/>
  <c r="M39" i="1" s="1"/>
  <c r="H44" i="1"/>
  <c r="H45" i="1" s="1"/>
  <c r="G44" i="1"/>
  <c r="G45" i="1" s="1"/>
  <c r="G31" i="1"/>
  <c r="H31" i="1" s="1"/>
  <c r="D25" i="1"/>
  <c r="E25" i="1"/>
  <c r="F25" i="1"/>
  <c r="G25" i="1"/>
  <c r="H25" i="1"/>
  <c r="H22" i="1"/>
  <c r="G22" i="1"/>
  <c r="H19" i="1"/>
  <c r="G19" i="1"/>
  <c r="F19" i="1"/>
  <c r="E19" i="1"/>
  <c r="D19" i="1"/>
  <c r="H13" i="1"/>
  <c r="G13" i="1"/>
  <c r="F13" i="1"/>
  <c r="E13" i="1"/>
  <c r="D13" i="1"/>
  <c r="H28" i="1"/>
  <c r="H29" i="1" s="1"/>
  <c r="G28" i="1"/>
  <c r="G29" i="1" s="1"/>
  <c r="H10" i="1"/>
  <c r="H42" i="1" s="1"/>
  <c r="G10" i="1"/>
  <c r="G42" i="1" s="1"/>
  <c r="F10" i="1"/>
  <c r="F42" i="1" s="1"/>
  <c r="E10" i="1"/>
  <c r="E42" i="1" s="1"/>
  <c r="H33" i="1"/>
  <c r="H47" i="1" s="1"/>
  <c r="H48" i="1" s="1"/>
  <c r="G33" i="1"/>
  <c r="G47" i="1" s="1"/>
  <c r="G48" i="1" s="1"/>
  <c r="F33" i="1"/>
  <c r="F47" i="1" s="1"/>
  <c r="F48" i="1" s="1"/>
  <c r="E33" i="1"/>
  <c r="E47" i="1" s="1"/>
  <c r="E48" i="1" s="1"/>
  <c r="D33" i="1"/>
  <c r="D47" i="1" s="1"/>
  <c r="D48" i="1" s="1"/>
  <c r="H15" i="1"/>
  <c r="H16" i="1" s="1"/>
  <c r="G15" i="1"/>
  <c r="G16" i="1" s="1"/>
  <c r="G7" i="1"/>
  <c r="H7" i="1" s="1"/>
  <c r="D15" i="1"/>
  <c r="D21" i="1" s="1"/>
  <c r="D22" i="1" s="1"/>
  <c r="E15" i="1"/>
  <c r="E21" i="1" s="1"/>
  <c r="E44" i="1" s="1"/>
  <c r="E45" i="1" s="1"/>
  <c r="F15" i="1"/>
  <c r="F21" i="1" s="1"/>
  <c r="F44" i="1" s="1"/>
  <c r="F45" i="1" s="1"/>
  <c r="I54" i="1" l="1"/>
  <c r="I53" i="1" s="1"/>
  <c r="F56" i="1"/>
  <c r="E56" i="1"/>
  <c r="G56" i="1"/>
  <c r="H56" i="1"/>
  <c r="E22" i="1"/>
  <c r="D16" i="1"/>
  <c r="F22" i="1"/>
  <c r="I45" i="1" s="1"/>
  <c r="I44" i="1" s="1"/>
  <c r="F16" i="1"/>
  <c r="D44" i="1"/>
  <c r="E16" i="1"/>
  <c r="E28" i="1"/>
  <c r="E29" i="1" s="1"/>
  <c r="F28" i="1"/>
  <c r="F29" i="1" s="1"/>
  <c r="D28" i="1"/>
  <c r="D29" i="1" s="1"/>
  <c r="I56" i="1" l="1"/>
  <c r="I58" i="1" s="1"/>
  <c r="M61" i="1" s="1"/>
  <c r="M64" i="1" s="1"/>
  <c r="M66" i="1" s="1"/>
  <c r="D56" i="1"/>
  <c r="D45" i="1"/>
</calcChain>
</file>

<file path=xl/sharedStrings.xml><?xml version="1.0" encoding="utf-8"?>
<sst xmlns="http://schemas.openxmlformats.org/spreadsheetml/2006/main" count="65" uniqueCount="43">
  <si>
    <t>Revenues</t>
  </si>
  <si>
    <t>COS</t>
  </si>
  <si>
    <t>OPEX</t>
  </si>
  <si>
    <t>EBIT</t>
  </si>
  <si>
    <t>Gross Margin</t>
  </si>
  <si>
    <t>Cash Flow</t>
  </si>
  <si>
    <t>D&amp;A</t>
  </si>
  <si>
    <t>CapEx</t>
  </si>
  <si>
    <t>Change in NWC</t>
  </si>
  <si>
    <t>Income Statement</t>
  </si>
  <si>
    <t>Revenue Growth</t>
  </si>
  <si>
    <t>% of sales</t>
  </si>
  <si>
    <t>% of CapEx</t>
  </si>
  <si>
    <t>EBITDA</t>
  </si>
  <si>
    <t>DCF</t>
  </si>
  <si>
    <t>CAPEX</t>
  </si>
  <si>
    <t>FCF</t>
  </si>
  <si>
    <t>WACC</t>
  </si>
  <si>
    <t>TGR</t>
  </si>
  <si>
    <t>Revenue</t>
  </si>
  <si>
    <t>% growth</t>
  </si>
  <si>
    <t>Unlevered FCF</t>
  </si>
  <si>
    <t>Terminal Value</t>
  </si>
  <si>
    <t>Present Value Terminal Value</t>
  </si>
  <si>
    <t>Enterprise Value</t>
  </si>
  <si>
    <t>(+) Cash</t>
  </si>
  <si>
    <t>(-) LT Debt</t>
  </si>
  <si>
    <t>Equity Value</t>
  </si>
  <si>
    <t>Implied Stock Price</t>
  </si>
  <si>
    <t>Common Shares</t>
  </si>
  <si>
    <t>$OC</t>
  </si>
  <si>
    <t>Ticker</t>
  </si>
  <si>
    <t>Company</t>
  </si>
  <si>
    <t>Owens Corning</t>
  </si>
  <si>
    <t>Insulation</t>
  </si>
  <si>
    <t>Roofing</t>
  </si>
  <si>
    <t>Products</t>
  </si>
  <si>
    <t>Net Sales</t>
  </si>
  <si>
    <t>% of total sales</t>
  </si>
  <si>
    <t>% of roofing sales</t>
  </si>
  <si>
    <t>% of insulation sales</t>
  </si>
  <si>
    <r>
      <rPr>
        <b/>
        <sz val="11"/>
        <color theme="1"/>
        <rFont val="Aptos Narrow"/>
        <family val="2"/>
        <scheme val="minor"/>
      </rPr>
      <t>Thesis</t>
    </r>
    <r>
      <rPr>
        <sz val="11"/>
        <color theme="1"/>
        <rFont val="Aptos Narrow"/>
        <family val="2"/>
        <scheme val="minor"/>
      </rPr>
      <t>: California rain has been picking up, to the point of floods and reaching record numbers in terms of rain fall. A large portion of OC's sales in the next quarter is due to the demand of roofing/shingle repairs.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</si>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</sst>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(&quot;$ &quot;#,##0_);_(&quot;$ &quot;\(#,##0\)"/>
    <numFmt numFmtId="167" formatCode="_([$$-409]* #,##0.00_);_([$$-409]* \(#,##0.00\);_([$$-409]* &quot;-&quot;??_);_(@_)"/>
    <numFmt numFmtId="169" formatCode="_([$$-409]* #,##0_);_([$$-409]* \(#,##0\);_([$$-409]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5" fillId="0" borderId="0" xfId="0" applyFont="1"/>
    <xf numFmtId="9" fontId="0" fillId="0" borderId="0" xfId="1" applyFont="1"/>
    <xf numFmtId="0" fontId="2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37" fontId="4" fillId="0" borderId="0" xfId="0" applyNumberFormat="1" applyFont="1" applyBorder="1" applyAlignment="1">
      <alignment horizontal="right" vertical="top"/>
    </xf>
    <xf numFmtId="37" fontId="4" fillId="0" borderId="5" xfId="0" applyNumberFormat="1" applyFont="1" applyBorder="1" applyAlignment="1">
      <alignment horizontal="right" vertical="top"/>
    </xf>
    <xf numFmtId="0" fontId="0" fillId="0" borderId="6" xfId="0" applyBorder="1"/>
    <xf numFmtId="0" fontId="0" fillId="0" borderId="7" xfId="0" applyBorder="1"/>
    <xf numFmtId="37" fontId="4" fillId="0" borderId="7" xfId="0" applyNumberFormat="1" applyFont="1" applyBorder="1" applyAlignment="1">
      <alignment horizontal="right" vertical="top"/>
    </xf>
    <xf numFmtId="37" fontId="4" fillId="0" borderId="8" xfId="0" applyNumberFormat="1" applyFont="1" applyBorder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0" fontId="5" fillId="0" borderId="4" xfId="0" applyFont="1" applyBorder="1"/>
    <xf numFmtId="9" fontId="4" fillId="0" borderId="0" xfId="1" applyFont="1" applyBorder="1" applyAlignment="1">
      <alignment horizontal="right" vertical="top"/>
    </xf>
    <xf numFmtId="9" fontId="4" fillId="0" borderId="5" xfId="1" applyFont="1" applyBorder="1" applyAlignment="1">
      <alignment horizontal="right" vertical="top"/>
    </xf>
    <xf numFmtId="0" fontId="2" fillId="0" borderId="4" xfId="0" applyFont="1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4" xfId="0" applyFont="1" applyBorder="1"/>
    <xf numFmtId="169" fontId="4" fillId="0" borderId="0" xfId="1" applyNumberFormat="1" applyFont="1" applyBorder="1" applyAlignment="1">
      <alignment horizontal="right" vertical="top"/>
    </xf>
    <xf numFmtId="169" fontId="4" fillId="0" borderId="5" xfId="1" applyNumberFormat="1" applyFont="1" applyBorder="1" applyAlignment="1">
      <alignment horizontal="right" vertical="top"/>
    </xf>
    <xf numFmtId="0" fontId="5" fillId="0" borderId="6" xfId="0" applyFont="1" applyBorder="1"/>
    <xf numFmtId="9" fontId="4" fillId="0" borderId="7" xfId="1" applyFont="1" applyBorder="1" applyAlignment="1">
      <alignment horizontal="right" vertical="top"/>
    </xf>
    <xf numFmtId="9" fontId="4" fillId="0" borderId="8" xfId="1" applyFont="1" applyBorder="1" applyAlignment="1">
      <alignment horizontal="right" vertical="top"/>
    </xf>
    <xf numFmtId="0" fontId="2" fillId="0" borderId="9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9" fontId="0" fillId="0" borderId="0" xfId="0" applyNumberFormat="1"/>
    <xf numFmtId="0" fontId="3" fillId="0" borderId="0" xfId="0" applyFont="1"/>
    <xf numFmtId="0" fontId="0" fillId="0" borderId="10" xfId="0" applyBorder="1"/>
    <xf numFmtId="166" fontId="0" fillId="0" borderId="10" xfId="0" applyNumberFormat="1" applyBorder="1"/>
    <xf numFmtId="166" fontId="0" fillId="0" borderId="11" xfId="0" applyNumberFormat="1" applyBorder="1"/>
    <xf numFmtId="9" fontId="5" fillId="0" borderId="0" xfId="1" applyFont="1" applyBorder="1"/>
    <xf numFmtId="9" fontId="5" fillId="3" borderId="0" xfId="1" applyFont="1" applyFill="1" applyBorder="1"/>
    <xf numFmtId="9" fontId="5" fillId="3" borderId="5" xfId="1" applyFont="1" applyFill="1" applyBorder="1"/>
    <xf numFmtId="37" fontId="0" fillId="0" borderId="0" xfId="0" applyNumberFormat="1" applyBorder="1"/>
    <xf numFmtId="37" fontId="0" fillId="0" borderId="5" xfId="0" applyNumberFormat="1" applyBorder="1"/>
    <xf numFmtId="169" fontId="0" fillId="0" borderId="5" xfId="0" applyNumberFormat="1" applyBorder="1"/>
    <xf numFmtId="167" fontId="0" fillId="0" borderId="8" xfId="0" applyNumberFormat="1" applyBorder="1"/>
    <xf numFmtId="0" fontId="0" fillId="4" borderId="7" xfId="0" applyFill="1" applyBorder="1"/>
    <xf numFmtId="0" fontId="2" fillId="4" borderId="6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9" fontId="6" fillId="0" borderId="0" xfId="1" applyFont="1" applyBorder="1" applyAlignment="1">
      <alignment horizontal="right" vertical="top"/>
    </xf>
    <xf numFmtId="9" fontId="6" fillId="0" borderId="5" xfId="1" applyFont="1" applyBorder="1" applyAlignment="1">
      <alignment horizontal="right" vertical="top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332E-6608-480E-A016-2C61FB5E4214}">
  <dimension ref="B2:O70"/>
  <sheetViews>
    <sheetView showGridLines="0" tabSelected="1" workbookViewId="0"/>
  </sheetViews>
  <sheetFormatPr defaultRowHeight="15" x14ac:dyDescent="0.25"/>
  <cols>
    <col min="3" max="3" width="9.42578125" bestFit="1" customWidth="1"/>
    <col min="4" max="4" width="10.5703125" bestFit="1" customWidth="1"/>
    <col min="9" max="9" width="9.42578125" bestFit="1" customWidth="1"/>
    <col min="13" max="13" width="11.5703125" bestFit="1" customWidth="1"/>
  </cols>
  <sheetData>
    <row r="2" spans="2:8" x14ac:dyDescent="0.25">
      <c r="B2" s="1" t="s">
        <v>32</v>
      </c>
      <c r="C2" t="s">
        <v>33</v>
      </c>
    </row>
    <row r="3" spans="2:8" x14ac:dyDescent="0.25">
      <c r="B3" s="1" t="s">
        <v>31</v>
      </c>
      <c r="C3" t="s">
        <v>30</v>
      </c>
    </row>
    <row r="4" spans="2:8" x14ac:dyDescent="0.25">
      <c r="B4" t="s">
        <v>41</v>
      </c>
    </row>
    <row r="5" spans="2:8" x14ac:dyDescent="0.25">
      <c r="B5" s="1" t="s">
        <v>42</v>
      </c>
      <c r="C5" s="50">
        <v>45342</v>
      </c>
    </row>
    <row r="6" spans="2:8" ht="15.75" thickBot="1" x14ac:dyDescent="0.3"/>
    <row r="7" spans="2:8" x14ac:dyDescent="0.25">
      <c r="B7" s="4" t="s">
        <v>9</v>
      </c>
      <c r="C7" s="5"/>
      <c r="D7" s="30">
        <v>2019</v>
      </c>
      <c r="E7" s="30">
        <v>2020</v>
      </c>
      <c r="F7" s="30">
        <v>2021</v>
      </c>
      <c r="G7" s="30">
        <f>F7+1</f>
        <v>2022</v>
      </c>
      <c r="H7" s="31">
        <f t="shared" ref="H7" si="0">G7+1</f>
        <v>2023</v>
      </c>
    </row>
    <row r="8" spans="2:8" x14ac:dyDescent="0.25">
      <c r="B8" s="6"/>
      <c r="C8" s="7"/>
      <c r="D8" s="7"/>
      <c r="E8" s="7"/>
      <c r="F8" s="7"/>
      <c r="G8" s="7"/>
      <c r="H8" s="8"/>
    </row>
    <row r="9" spans="2:8" x14ac:dyDescent="0.25">
      <c r="B9" s="6" t="s">
        <v>0</v>
      </c>
      <c r="C9" s="7"/>
      <c r="D9" s="15">
        <v>7160</v>
      </c>
      <c r="E9" s="15">
        <v>7055</v>
      </c>
      <c r="F9" s="15">
        <v>8498</v>
      </c>
      <c r="G9" s="15">
        <v>9761</v>
      </c>
      <c r="H9" s="16">
        <v>9677</v>
      </c>
    </row>
    <row r="10" spans="2:8" x14ac:dyDescent="0.25">
      <c r="B10" s="17" t="s">
        <v>10</v>
      </c>
      <c r="C10" s="7"/>
      <c r="D10" s="15"/>
      <c r="E10" s="18">
        <f>E9/D9-1</f>
        <v>-1.4664804469273762E-2</v>
      </c>
      <c r="F10" s="18">
        <f t="shared" ref="F10:H10" si="1">F9/E9-1</f>
        <v>0.20453579021970225</v>
      </c>
      <c r="G10" s="18">
        <f t="shared" si="1"/>
        <v>0.14862320546010821</v>
      </c>
      <c r="H10" s="19">
        <f t="shared" si="1"/>
        <v>-8.6056756479868657E-3</v>
      </c>
    </row>
    <row r="11" spans="2:8" x14ac:dyDescent="0.25">
      <c r="B11" s="17"/>
      <c r="C11" s="7"/>
      <c r="D11" s="15"/>
      <c r="E11" s="15"/>
      <c r="F11" s="15"/>
      <c r="G11" s="15"/>
      <c r="H11" s="16"/>
    </row>
    <row r="12" spans="2:8" x14ac:dyDescent="0.25">
      <c r="B12" s="6" t="s">
        <v>1</v>
      </c>
      <c r="C12" s="7"/>
      <c r="D12" s="9">
        <v>5551</v>
      </c>
      <c r="E12" s="9">
        <v>5445</v>
      </c>
      <c r="F12" s="9">
        <v>6281</v>
      </c>
      <c r="G12" s="9">
        <v>7145</v>
      </c>
      <c r="H12" s="10">
        <v>6994</v>
      </c>
    </row>
    <row r="13" spans="2:8" x14ac:dyDescent="0.25">
      <c r="B13" s="17" t="s">
        <v>11</v>
      </c>
      <c r="C13" s="7"/>
      <c r="D13" s="18">
        <f>D12/D$9</f>
        <v>0.77527932960893853</v>
      </c>
      <c r="E13" s="18">
        <f t="shared" ref="E13:H13" si="2">E12/E$9</f>
        <v>0.77179305457122604</v>
      </c>
      <c r="F13" s="18">
        <f t="shared" si="2"/>
        <v>0.73911508590256536</v>
      </c>
      <c r="G13" s="18">
        <f t="shared" si="2"/>
        <v>0.73199467267697982</v>
      </c>
      <c r="H13" s="19">
        <f t="shared" si="2"/>
        <v>0.72274465226826501</v>
      </c>
    </row>
    <row r="14" spans="2:8" x14ac:dyDescent="0.25">
      <c r="B14" s="17"/>
      <c r="C14" s="7"/>
      <c r="D14" s="9"/>
      <c r="E14" s="9"/>
      <c r="F14" s="9"/>
      <c r="G14" s="9"/>
      <c r="H14" s="10"/>
    </row>
    <row r="15" spans="2:8" x14ac:dyDescent="0.25">
      <c r="B15" s="20" t="s">
        <v>4</v>
      </c>
      <c r="C15" s="7"/>
      <c r="D15" s="21">
        <f>D9-D12</f>
        <v>1609</v>
      </c>
      <c r="E15" s="21">
        <f>E9-E12</f>
        <v>1610</v>
      </c>
      <c r="F15" s="21">
        <f>F9-F12</f>
        <v>2217</v>
      </c>
      <c r="G15" s="21">
        <f>G9-G12</f>
        <v>2616</v>
      </c>
      <c r="H15" s="22">
        <f>H9-H12</f>
        <v>2683</v>
      </c>
    </row>
    <row r="16" spans="2:8" x14ac:dyDescent="0.25">
      <c r="B16" s="17" t="s">
        <v>11</v>
      </c>
      <c r="C16" s="7"/>
      <c r="D16" s="18">
        <f>D15/D$9</f>
        <v>0.22472067039106144</v>
      </c>
      <c r="E16" s="18">
        <f t="shared" ref="E16" si="3">E15/E$9</f>
        <v>0.22820694542877393</v>
      </c>
      <c r="F16" s="18">
        <f t="shared" ref="F16" si="4">F15/F$9</f>
        <v>0.26088491409743469</v>
      </c>
      <c r="G16" s="18">
        <f t="shared" ref="G16" si="5">G15/G$9</f>
        <v>0.26800532732302018</v>
      </c>
      <c r="H16" s="19">
        <f t="shared" ref="H16" si="6">H15/H$9</f>
        <v>0.27725534773173505</v>
      </c>
    </row>
    <row r="17" spans="2:8" x14ac:dyDescent="0.25">
      <c r="B17" s="6"/>
      <c r="C17" s="7"/>
      <c r="D17" s="21"/>
      <c r="E17" s="21"/>
      <c r="F17" s="21"/>
      <c r="G17" s="7"/>
      <c r="H17" s="8"/>
    </row>
    <row r="18" spans="2:8" x14ac:dyDescent="0.25">
      <c r="B18" s="23" t="s">
        <v>2</v>
      </c>
      <c r="C18" s="7"/>
      <c r="D18" s="9">
        <v>822</v>
      </c>
      <c r="E18" s="9">
        <v>1748</v>
      </c>
      <c r="F18" s="9">
        <v>779</v>
      </c>
      <c r="G18" s="9">
        <v>902</v>
      </c>
      <c r="H18" s="10">
        <v>871</v>
      </c>
    </row>
    <row r="19" spans="2:8" x14ac:dyDescent="0.25">
      <c r="B19" s="17" t="s">
        <v>11</v>
      </c>
      <c r="C19" s="7"/>
      <c r="D19" s="18">
        <f>D18/D$9</f>
        <v>0.11480446927374302</v>
      </c>
      <c r="E19" s="18">
        <f t="shared" ref="E19" si="7">E18/E$9</f>
        <v>0.24776754075124025</v>
      </c>
      <c r="F19" s="18">
        <f t="shared" ref="F19" si="8">F18/F$9</f>
        <v>9.1668627912449993E-2</v>
      </c>
      <c r="G19" s="18">
        <f t="shared" ref="G19" si="9">G18/G$9</f>
        <v>9.2408564696240134E-2</v>
      </c>
      <c r="H19" s="19">
        <f t="shared" ref="H19" si="10">H18/H$9</f>
        <v>9.0007233646791363E-2</v>
      </c>
    </row>
    <row r="20" spans="2:8" x14ac:dyDescent="0.25">
      <c r="B20" s="6"/>
      <c r="C20" s="7"/>
      <c r="D20" s="7"/>
      <c r="E20" s="7"/>
      <c r="F20" s="7"/>
      <c r="G20" s="7"/>
      <c r="H20" s="8"/>
    </row>
    <row r="21" spans="2:8" x14ac:dyDescent="0.25">
      <c r="B21" s="20" t="s">
        <v>3</v>
      </c>
      <c r="C21" s="7"/>
      <c r="D21" s="21">
        <f>D15-D18</f>
        <v>787</v>
      </c>
      <c r="E21" s="21">
        <f t="shared" ref="E21:F21" si="11">E15-E18</f>
        <v>-138</v>
      </c>
      <c r="F21" s="21">
        <f t="shared" si="11"/>
        <v>1438</v>
      </c>
      <c r="G21" s="9">
        <v>1723</v>
      </c>
      <c r="H21" s="10">
        <v>1667</v>
      </c>
    </row>
    <row r="22" spans="2:8" x14ac:dyDescent="0.25">
      <c r="B22" s="17" t="s">
        <v>11</v>
      </c>
      <c r="C22" s="7"/>
      <c r="D22" s="18">
        <f>D21/D$9</f>
        <v>0.10991620111731844</v>
      </c>
      <c r="E22" s="18">
        <f t="shared" ref="E22" si="12">E21/E$9</f>
        <v>-1.9560595322466335E-2</v>
      </c>
      <c r="F22" s="18">
        <f t="shared" ref="F22" si="13">F21/F$9</f>
        <v>0.16921628618498472</v>
      </c>
      <c r="G22" s="18">
        <f t="shared" ref="G22" si="14">G21/G$9</f>
        <v>0.17651879930335007</v>
      </c>
      <c r="H22" s="19">
        <f t="shared" ref="H22" si="15">H21/H$9</f>
        <v>0.17226413144569597</v>
      </c>
    </row>
    <row r="23" spans="2:8" x14ac:dyDescent="0.25">
      <c r="B23" s="17"/>
      <c r="C23" s="7"/>
      <c r="D23" s="18"/>
      <c r="E23" s="18"/>
      <c r="F23" s="18"/>
      <c r="G23" s="18"/>
      <c r="H23" s="19"/>
    </row>
    <row r="24" spans="2:8" x14ac:dyDescent="0.25">
      <c r="B24" s="6" t="s">
        <v>6</v>
      </c>
      <c r="C24" s="7"/>
      <c r="D24" s="9">
        <v>457</v>
      </c>
      <c r="E24" s="9">
        <v>493</v>
      </c>
      <c r="F24" s="9">
        <v>502</v>
      </c>
      <c r="G24" s="9">
        <v>531</v>
      </c>
      <c r="H24" s="10">
        <v>609</v>
      </c>
    </row>
    <row r="25" spans="2:8" x14ac:dyDescent="0.25">
      <c r="B25" s="6" t="s">
        <v>12</v>
      </c>
      <c r="C25" s="7"/>
      <c r="D25" s="18">
        <f>D24/D35</f>
        <v>1.0223713646532437</v>
      </c>
      <c r="E25" s="18">
        <f t="shared" ref="E25:H25" si="16">E24/E35</f>
        <v>1.6058631921824105</v>
      </c>
      <c r="F25" s="18">
        <f t="shared" si="16"/>
        <v>1.2067307692307692</v>
      </c>
      <c r="G25" s="18">
        <f t="shared" si="16"/>
        <v>1.1905829596412556</v>
      </c>
      <c r="H25" s="19">
        <f t="shared" si="16"/>
        <v>1.1577946768060836</v>
      </c>
    </row>
    <row r="26" spans="2:8" x14ac:dyDescent="0.25">
      <c r="B26" s="17" t="s">
        <v>11</v>
      </c>
      <c r="C26" s="7"/>
      <c r="D26" s="18">
        <f>D24/D$9</f>
        <v>6.3826815642458096E-2</v>
      </c>
      <c r="E26" s="18">
        <f t="shared" ref="E26:H26" si="17">E24/E$9</f>
        <v>6.9879518072289162E-2</v>
      </c>
      <c r="F26" s="18">
        <f t="shared" si="17"/>
        <v>5.9072722993645563E-2</v>
      </c>
      <c r="G26" s="18">
        <f t="shared" si="17"/>
        <v>5.4400163917631389E-2</v>
      </c>
      <c r="H26" s="19">
        <f t="shared" si="17"/>
        <v>6.2932727084840337E-2</v>
      </c>
    </row>
    <row r="27" spans="2:8" x14ac:dyDescent="0.25">
      <c r="B27" s="6"/>
      <c r="C27" s="7"/>
      <c r="D27" s="18"/>
      <c r="E27" s="18"/>
      <c r="F27" s="18"/>
      <c r="G27" s="18"/>
      <c r="H27" s="19"/>
    </row>
    <row r="28" spans="2:8" x14ac:dyDescent="0.25">
      <c r="B28" s="20" t="s">
        <v>13</v>
      </c>
      <c r="C28" s="7"/>
      <c r="D28" s="24">
        <f>D21+D24</f>
        <v>1244</v>
      </c>
      <c r="E28" s="24">
        <f t="shared" ref="E28:H28" si="18">E21+E24</f>
        <v>355</v>
      </c>
      <c r="F28" s="24">
        <f t="shared" si="18"/>
        <v>1940</v>
      </c>
      <c r="G28" s="24">
        <f t="shared" si="18"/>
        <v>2254</v>
      </c>
      <c r="H28" s="25">
        <f t="shared" si="18"/>
        <v>2276</v>
      </c>
    </row>
    <row r="29" spans="2:8" ht="15.75" thickBot="1" x14ac:dyDescent="0.3">
      <c r="B29" s="26" t="s">
        <v>11</v>
      </c>
      <c r="C29" s="12"/>
      <c r="D29" s="27">
        <f>D28/D$9</f>
        <v>0.17374301675977655</v>
      </c>
      <c r="E29" s="27">
        <f t="shared" ref="E29" si="19">E28/E$9</f>
        <v>5.0318922749822824E-2</v>
      </c>
      <c r="F29" s="27">
        <f t="shared" ref="F29" si="20">F28/F$9</f>
        <v>0.22828900917863026</v>
      </c>
      <c r="G29" s="27">
        <f t="shared" ref="G29" si="21">G28/G$9</f>
        <v>0.23091896322098146</v>
      </c>
      <c r="H29" s="28">
        <f t="shared" ref="H29" si="22">H28/H$9</f>
        <v>0.23519685853053632</v>
      </c>
    </row>
    <row r="30" spans="2:8" ht="15.75" thickBot="1" x14ac:dyDescent="0.3"/>
    <row r="31" spans="2:8" x14ac:dyDescent="0.25">
      <c r="B31" s="4" t="s">
        <v>5</v>
      </c>
      <c r="C31" s="5"/>
      <c r="D31" s="30">
        <v>2019</v>
      </c>
      <c r="E31" s="30">
        <v>2020</v>
      </c>
      <c r="F31" s="30">
        <v>2021</v>
      </c>
      <c r="G31" s="30">
        <f>F31+1</f>
        <v>2022</v>
      </c>
      <c r="H31" s="31">
        <f t="shared" ref="H31" si="23">G31+1</f>
        <v>2023</v>
      </c>
    </row>
    <row r="32" spans="2:8" x14ac:dyDescent="0.25">
      <c r="B32" s="6"/>
      <c r="C32" s="7"/>
      <c r="D32" s="7"/>
      <c r="E32" s="7"/>
      <c r="F32" s="7"/>
      <c r="G32" s="7"/>
      <c r="H32" s="8"/>
    </row>
    <row r="33" spans="2:15" x14ac:dyDescent="0.25">
      <c r="B33" s="6" t="s">
        <v>6</v>
      </c>
      <c r="C33" s="7"/>
      <c r="D33" s="9">
        <f>D24</f>
        <v>457</v>
      </c>
      <c r="E33" s="9">
        <f t="shared" ref="E33:H33" si="24">E24</f>
        <v>493</v>
      </c>
      <c r="F33" s="9">
        <f t="shared" si="24"/>
        <v>502</v>
      </c>
      <c r="G33" s="9">
        <f t="shared" si="24"/>
        <v>531</v>
      </c>
      <c r="H33" s="10">
        <f t="shared" si="24"/>
        <v>609</v>
      </c>
    </row>
    <row r="34" spans="2:15" x14ac:dyDescent="0.25">
      <c r="B34" s="6"/>
      <c r="C34" s="7"/>
      <c r="D34" s="7"/>
      <c r="E34" s="7"/>
      <c r="F34" s="7"/>
      <c r="G34" s="7"/>
      <c r="H34" s="8"/>
    </row>
    <row r="35" spans="2:15" x14ac:dyDescent="0.25">
      <c r="B35" s="6" t="s">
        <v>7</v>
      </c>
      <c r="C35" s="7"/>
      <c r="D35" s="9">
        <v>447</v>
      </c>
      <c r="E35" s="9">
        <v>307</v>
      </c>
      <c r="F35" s="9">
        <v>416</v>
      </c>
      <c r="G35" s="9">
        <v>446</v>
      </c>
      <c r="H35" s="10">
        <v>526</v>
      </c>
    </row>
    <row r="36" spans="2:15" x14ac:dyDescent="0.25">
      <c r="B36" s="6"/>
      <c r="C36" s="7"/>
      <c r="D36" s="7"/>
      <c r="E36" s="7"/>
      <c r="F36" s="7"/>
      <c r="G36" s="7"/>
      <c r="H36" s="8"/>
    </row>
    <row r="37" spans="2:15" ht="15.75" thickBot="1" x14ac:dyDescent="0.3">
      <c r="B37" s="11" t="s">
        <v>8</v>
      </c>
      <c r="C37" s="12"/>
      <c r="D37" s="13">
        <v>94</v>
      </c>
      <c r="E37" s="13">
        <v>545</v>
      </c>
      <c r="F37" s="13">
        <v>242</v>
      </c>
      <c r="G37" s="13">
        <v>141</v>
      </c>
      <c r="H37" s="14">
        <v>516</v>
      </c>
    </row>
    <row r="38" spans="2:15" ht="15.75" thickBot="1" x14ac:dyDescent="0.3">
      <c r="I38" s="33">
        <v>1</v>
      </c>
      <c r="J38" s="33">
        <v>2</v>
      </c>
      <c r="K38" s="33">
        <v>3</v>
      </c>
      <c r="L38" s="33">
        <v>4</v>
      </c>
      <c r="M38" s="33">
        <v>5</v>
      </c>
    </row>
    <row r="39" spans="2:15" x14ac:dyDescent="0.25">
      <c r="B39" s="4" t="s">
        <v>14</v>
      </c>
      <c r="C39" s="5"/>
      <c r="D39" s="30">
        <v>2019</v>
      </c>
      <c r="E39" s="30">
        <v>2020</v>
      </c>
      <c r="F39" s="30">
        <v>2021</v>
      </c>
      <c r="G39" s="30">
        <f>F39+1</f>
        <v>2022</v>
      </c>
      <c r="H39" s="30">
        <f t="shared" ref="H39" si="25">G39+1</f>
        <v>2023</v>
      </c>
      <c r="I39" s="46">
        <f>H39+1</f>
        <v>2024</v>
      </c>
      <c r="J39" s="46">
        <f t="shared" ref="J39:M39" si="26">I39+1</f>
        <v>2025</v>
      </c>
      <c r="K39" s="46">
        <f t="shared" si="26"/>
        <v>2026</v>
      </c>
      <c r="L39" s="46">
        <f t="shared" si="26"/>
        <v>2027</v>
      </c>
      <c r="M39" s="47">
        <f t="shared" si="26"/>
        <v>2028</v>
      </c>
    </row>
    <row r="40" spans="2:15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2:15" x14ac:dyDescent="0.25">
      <c r="B41" s="6" t="s">
        <v>19</v>
      </c>
      <c r="C41" s="7"/>
      <c r="D41" s="21">
        <f>D9</f>
        <v>7160</v>
      </c>
      <c r="E41" s="21">
        <f t="shared" ref="E41:H41" si="27">E9</f>
        <v>7055</v>
      </c>
      <c r="F41" s="21">
        <f t="shared" si="27"/>
        <v>8498</v>
      </c>
      <c r="G41" s="21">
        <f t="shared" si="27"/>
        <v>9761</v>
      </c>
      <c r="H41" s="21">
        <f t="shared" si="27"/>
        <v>9677</v>
      </c>
      <c r="I41" s="21">
        <f>H41*(1+I42)</f>
        <v>11128.55</v>
      </c>
      <c r="J41" s="21">
        <f t="shared" ref="J41:M41" si="28">I41*(1+J42)</f>
        <v>13020.403499999999</v>
      </c>
      <c r="K41" s="21">
        <f t="shared" si="28"/>
        <v>12890.199464999998</v>
      </c>
      <c r="L41" s="21">
        <f t="shared" si="28"/>
        <v>12761.297470349999</v>
      </c>
      <c r="M41" s="22">
        <f t="shared" si="28"/>
        <v>14037.427217385</v>
      </c>
    </row>
    <row r="42" spans="2:15" x14ac:dyDescent="0.25">
      <c r="B42" s="17" t="s">
        <v>20</v>
      </c>
      <c r="C42" s="7"/>
      <c r="D42" s="21"/>
      <c r="E42" s="37">
        <f>E10</f>
        <v>-1.4664804469273762E-2</v>
      </c>
      <c r="F42" s="37">
        <f>F10</f>
        <v>0.20453579021970225</v>
      </c>
      <c r="G42" s="37">
        <f>G10</f>
        <v>0.14862320546010821</v>
      </c>
      <c r="H42" s="37">
        <f>H10</f>
        <v>-8.6056756479868657E-3</v>
      </c>
      <c r="I42" s="38">
        <v>0.15</v>
      </c>
      <c r="J42" s="38">
        <v>0.17</v>
      </c>
      <c r="K42" s="38">
        <v>-0.01</v>
      </c>
      <c r="L42" s="38">
        <v>-0.01</v>
      </c>
      <c r="M42" s="39">
        <v>0.1</v>
      </c>
      <c r="O42" s="32"/>
    </row>
    <row r="43" spans="2:15" x14ac:dyDescent="0.25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2:15" x14ac:dyDescent="0.25">
      <c r="B44" s="6" t="s">
        <v>3</v>
      </c>
      <c r="C44" s="7"/>
      <c r="D44" s="21">
        <f>D21</f>
        <v>787</v>
      </c>
      <c r="E44" s="21">
        <f t="shared" ref="E44:H44" si="29">E21</f>
        <v>-138</v>
      </c>
      <c r="F44" s="21">
        <f t="shared" si="29"/>
        <v>1438</v>
      </c>
      <c r="G44" s="21">
        <f t="shared" si="29"/>
        <v>1723</v>
      </c>
      <c r="H44" s="21">
        <f t="shared" si="29"/>
        <v>1667</v>
      </c>
      <c r="I44" s="21">
        <f>I41*I45</f>
        <v>1921.5267285370692</v>
      </c>
      <c r="J44" s="21">
        <f t="shared" ref="J44:M44" si="30">J41*J45</f>
        <v>1953.0605249999996</v>
      </c>
      <c r="K44" s="21">
        <f t="shared" si="30"/>
        <v>1546.8239357999996</v>
      </c>
      <c r="L44" s="21">
        <f t="shared" si="30"/>
        <v>1403.7427217384998</v>
      </c>
      <c r="M44" s="22">
        <f t="shared" si="30"/>
        <v>2245.9883547816003</v>
      </c>
    </row>
    <row r="45" spans="2:15" x14ac:dyDescent="0.25">
      <c r="B45" s="17" t="s">
        <v>11</v>
      </c>
      <c r="C45" s="7"/>
      <c r="D45" s="37">
        <f>D44/D41</f>
        <v>0.10991620111731844</v>
      </c>
      <c r="E45" s="37">
        <f t="shared" ref="E45:H45" si="31">E44/E41</f>
        <v>-1.9560595322466335E-2</v>
      </c>
      <c r="F45" s="37">
        <f t="shared" si="31"/>
        <v>0.16921628618498472</v>
      </c>
      <c r="G45" s="37">
        <f t="shared" si="31"/>
        <v>0.17651879930335007</v>
      </c>
      <c r="H45" s="37">
        <f t="shared" si="31"/>
        <v>0.17226413144569597</v>
      </c>
      <c r="I45" s="38">
        <f>AVERAGE(F22:H22)</f>
        <v>0.17266640564467692</v>
      </c>
      <c r="J45" s="38">
        <v>0.15</v>
      </c>
      <c r="K45" s="38">
        <v>0.12</v>
      </c>
      <c r="L45" s="38">
        <v>0.11</v>
      </c>
      <c r="M45" s="39">
        <v>0.16</v>
      </c>
    </row>
    <row r="46" spans="2:15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</row>
    <row r="47" spans="2:15" x14ac:dyDescent="0.25">
      <c r="B47" s="6" t="s">
        <v>6</v>
      </c>
      <c r="C47" s="7"/>
      <c r="D47" s="40">
        <f>D33</f>
        <v>457</v>
      </c>
      <c r="E47" s="40">
        <f t="shared" ref="E47:H47" si="32">E33</f>
        <v>493</v>
      </c>
      <c r="F47" s="40">
        <f t="shared" si="32"/>
        <v>502</v>
      </c>
      <c r="G47" s="40">
        <f t="shared" si="32"/>
        <v>531</v>
      </c>
      <c r="H47" s="40">
        <f t="shared" si="32"/>
        <v>609</v>
      </c>
      <c r="I47" s="40">
        <f>I$41*I48</f>
        <v>778.99850000000004</v>
      </c>
      <c r="J47" s="40">
        <f t="shared" ref="J47:M47" si="33">J$41*J48</f>
        <v>911.42824499999995</v>
      </c>
      <c r="K47" s="40">
        <f t="shared" si="33"/>
        <v>1031.2159571999998</v>
      </c>
      <c r="L47" s="40">
        <f t="shared" si="33"/>
        <v>893.29082292449993</v>
      </c>
      <c r="M47" s="41">
        <f t="shared" si="33"/>
        <v>842.24563304310004</v>
      </c>
    </row>
    <row r="48" spans="2:15" x14ac:dyDescent="0.25">
      <c r="B48" s="17" t="s">
        <v>11</v>
      </c>
      <c r="C48" s="7"/>
      <c r="D48" s="48">
        <f>D47/D$41</f>
        <v>6.3826815642458096E-2</v>
      </c>
      <c r="E48" s="48">
        <f t="shared" ref="E48:H48" si="34">E47/E$41</f>
        <v>6.9879518072289162E-2</v>
      </c>
      <c r="F48" s="48">
        <f t="shared" si="34"/>
        <v>5.9072722993645563E-2</v>
      </c>
      <c r="G48" s="48">
        <f t="shared" si="34"/>
        <v>5.4400163917631389E-2</v>
      </c>
      <c r="H48" s="48">
        <f t="shared" si="34"/>
        <v>6.2932727084840337E-2</v>
      </c>
      <c r="I48" s="48">
        <v>7.0000000000000007E-2</v>
      </c>
      <c r="J48" s="48">
        <v>7.0000000000000007E-2</v>
      </c>
      <c r="K48" s="48">
        <v>0.08</v>
      </c>
      <c r="L48" s="48">
        <v>7.0000000000000007E-2</v>
      </c>
      <c r="M48" s="49">
        <v>0.06</v>
      </c>
    </row>
    <row r="49" spans="2:13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</row>
    <row r="50" spans="2:13" x14ac:dyDescent="0.25">
      <c r="B50" s="6" t="s">
        <v>15</v>
      </c>
      <c r="C50" s="7"/>
      <c r="D50" s="40">
        <f>D35</f>
        <v>447</v>
      </c>
      <c r="E50" s="40">
        <f t="shared" ref="E50:H50" si="35">E35</f>
        <v>307</v>
      </c>
      <c r="F50" s="40">
        <f t="shared" si="35"/>
        <v>416</v>
      </c>
      <c r="G50" s="40">
        <f t="shared" si="35"/>
        <v>446</v>
      </c>
      <c r="H50" s="40">
        <f t="shared" si="35"/>
        <v>526</v>
      </c>
      <c r="I50" s="40">
        <f>I$41*I51</f>
        <v>778.99850000000004</v>
      </c>
      <c r="J50" s="40">
        <f t="shared" ref="J50" si="36">J$41*J51</f>
        <v>1041.6322799999998</v>
      </c>
      <c r="K50" s="40">
        <f t="shared" ref="K50" si="37">K$41*K51</f>
        <v>773.41196789999981</v>
      </c>
      <c r="L50" s="40">
        <f t="shared" ref="L50" si="38">L$41*L51</f>
        <v>510.45189881399995</v>
      </c>
      <c r="M50" s="41">
        <f t="shared" ref="M50" si="39">M$41*M51</f>
        <v>982.61990521695009</v>
      </c>
    </row>
    <row r="51" spans="2:13" x14ac:dyDescent="0.25">
      <c r="B51" s="17" t="s">
        <v>11</v>
      </c>
      <c r="C51" s="7"/>
      <c r="D51" s="48">
        <f>D50/D$41</f>
        <v>6.243016759776536E-2</v>
      </c>
      <c r="E51" s="48">
        <f t="shared" ref="E51" si="40">E50/E$41</f>
        <v>4.3515237420269311E-2</v>
      </c>
      <c r="F51" s="48">
        <f t="shared" ref="F51" si="41">F50/F$41</f>
        <v>4.8952694751706285E-2</v>
      </c>
      <c r="G51" s="48">
        <f t="shared" ref="G51" si="42">G50/G$41</f>
        <v>4.5692039750025615E-2</v>
      </c>
      <c r="H51" s="48">
        <f t="shared" ref="H51" si="43">H50/H$41</f>
        <v>5.4355688746512351E-2</v>
      </c>
      <c r="I51" s="48">
        <v>7.0000000000000007E-2</v>
      </c>
      <c r="J51" s="48">
        <v>0.08</v>
      </c>
      <c r="K51" s="48">
        <v>0.06</v>
      </c>
      <c r="L51" s="48">
        <v>0.04</v>
      </c>
      <c r="M51" s="49">
        <v>7.0000000000000007E-2</v>
      </c>
    </row>
    <row r="52" spans="2:13" x14ac:dyDescent="0.25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  <row r="53" spans="2:13" x14ac:dyDescent="0.25">
      <c r="B53" s="6" t="s">
        <v>8</v>
      </c>
      <c r="C53" s="7"/>
      <c r="D53" s="40">
        <f>D37</f>
        <v>94</v>
      </c>
      <c r="E53" s="40">
        <f t="shared" ref="E53:H53" si="44">E37</f>
        <v>545</v>
      </c>
      <c r="F53" s="40">
        <f t="shared" si="44"/>
        <v>242</v>
      </c>
      <c r="G53" s="40">
        <f t="shared" si="44"/>
        <v>141</v>
      </c>
      <c r="H53" s="40">
        <f t="shared" si="44"/>
        <v>516</v>
      </c>
      <c r="I53" s="40">
        <f>I$41*I54</f>
        <v>415.3698112690858</v>
      </c>
      <c r="J53" s="40">
        <f t="shared" ref="J53" si="45">J$41*J54</f>
        <v>651.02017499999999</v>
      </c>
      <c r="K53" s="40">
        <f t="shared" ref="K53" si="46">K$41*K54</f>
        <v>773.41196789999981</v>
      </c>
      <c r="L53" s="40">
        <f t="shared" ref="L53" si="47">L$41*L54</f>
        <v>893.29082292449993</v>
      </c>
      <c r="M53" s="41">
        <f t="shared" ref="M53" si="48">M$41*M54</f>
        <v>701.87136086925011</v>
      </c>
    </row>
    <row r="54" spans="2:13" x14ac:dyDescent="0.25">
      <c r="B54" s="17" t="s">
        <v>11</v>
      </c>
      <c r="C54" s="7"/>
      <c r="D54" s="48">
        <f>D53/D$41</f>
        <v>1.3128491620111732E-2</v>
      </c>
      <c r="E54" s="48">
        <f t="shared" ref="E54" si="49">E53/E$41</f>
        <v>7.7250177179305463E-2</v>
      </c>
      <c r="F54" s="48">
        <f t="shared" ref="F54" si="50">F53/F$41</f>
        <v>2.8477288773829136E-2</v>
      </c>
      <c r="G54" s="48">
        <f t="shared" ref="G54" si="51">G53/G$41</f>
        <v>1.4445241266263703E-2</v>
      </c>
      <c r="H54" s="48">
        <f t="shared" ref="H54" si="52">H53/H$41</f>
        <v>5.3322310633460782E-2</v>
      </c>
      <c r="I54" s="48">
        <f>AVERAGE(D54:H54)</f>
        <v>3.7324701894594157E-2</v>
      </c>
      <c r="J54" s="48">
        <v>0.05</v>
      </c>
      <c r="K54" s="48">
        <v>0.06</v>
      </c>
      <c r="L54" s="48">
        <v>7.0000000000000007E-2</v>
      </c>
      <c r="M54" s="49">
        <v>0.05</v>
      </c>
    </row>
    <row r="55" spans="2:13" ht="15.75" thickBot="1" x14ac:dyDescent="0.3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2:13" ht="15.75" thickBot="1" x14ac:dyDescent="0.3">
      <c r="B56" s="29" t="s">
        <v>21</v>
      </c>
      <c r="C56" s="34"/>
      <c r="D56" s="35">
        <f>D44+D47-D50-D53</f>
        <v>703</v>
      </c>
      <c r="E56" s="35">
        <f t="shared" ref="E56:M56" si="53">E44+E47-E50-E53</f>
        <v>-497</v>
      </c>
      <c r="F56" s="35">
        <f t="shared" si="53"/>
        <v>1282</v>
      </c>
      <c r="G56" s="35">
        <f t="shared" si="53"/>
        <v>1667</v>
      </c>
      <c r="H56" s="35">
        <f t="shared" si="53"/>
        <v>1234</v>
      </c>
      <c r="I56" s="35">
        <f t="shared" si="53"/>
        <v>1506.1569172679833</v>
      </c>
      <c r="J56" s="35">
        <f t="shared" si="53"/>
        <v>1171.8363149999996</v>
      </c>
      <c r="K56" s="35">
        <f t="shared" si="53"/>
        <v>1031.2159571999996</v>
      </c>
      <c r="L56" s="35">
        <f t="shared" si="53"/>
        <v>893.29082292449993</v>
      </c>
      <c r="M56" s="36">
        <f t="shared" si="53"/>
        <v>1403.7427217385002</v>
      </c>
    </row>
    <row r="57" spans="2:13" x14ac:dyDescent="0.25">
      <c r="B57" s="20"/>
      <c r="C57" s="7"/>
      <c r="D57" s="21"/>
      <c r="E57" s="21"/>
      <c r="F57" s="21"/>
      <c r="G57" s="21"/>
      <c r="H57" s="21"/>
      <c r="I57" s="21"/>
      <c r="J57" s="21"/>
      <c r="K57" s="21"/>
      <c r="L57" s="21"/>
      <c r="M57" s="22"/>
    </row>
    <row r="58" spans="2:13" x14ac:dyDescent="0.25">
      <c r="B58" s="6" t="s">
        <v>16</v>
      </c>
      <c r="C58" s="7"/>
      <c r="D58" s="7"/>
      <c r="E58" s="7"/>
      <c r="F58" s="7"/>
      <c r="G58" s="7"/>
      <c r="H58" s="7"/>
      <c r="I58" s="21">
        <f>I56/(1+$C$69)^I38</f>
        <v>1363.0379341791704</v>
      </c>
      <c r="J58" s="21">
        <f>J56/(1+$C$69)^J38</f>
        <v>959.71525153047605</v>
      </c>
      <c r="K58" s="21">
        <f>K56/(1+$C$69)^K38</f>
        <v>764.29811886589948</v>
      </c>
      <c r="L58" s="21">
        <f>L56/(1+$C$69)^L38</f>
        <v>599.16130811546202</v>
      </c>
      <c r="M58" s="22">
        <f>M56/(1+$C$69)^M38</f>
        <v>852.07167282095463</v>
      </c>
    </row>
    <row r="59" spans="2:13" x14ac:dyDescent="0.25">
      <c r="B59" s="6" t="s">
        <v>22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22">
        <f>M58*(1+C70)/(C69-C70)</f>
        <v>10224.860073851456</v>
      </c>
    </row>
    <row r="60" spans="2:13" x14ac:dyDescent="0.25">
      <c r="B60" s="6" t="s">
        <v>23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42">
        <f>M59/(1+C69)^M38</f>
        <v>6206.4889046739409</v>
      </c>
    </row>
    <row r="61" spans="2:13" x14ac:dyDescent="0.25">
      <c r="B61" s="6" t="s">
        <v>24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42">
        <f>SUM(I58:M58)+M60</f>
        <v>10744.773190185904</v>
      </c>
    </row>
    <row r="62" spans="2:13" x14ac:dyDescent="0.25">
      <c r="B62" s="6" t="s">
        <v>25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16">
        <v>1615</v>
      </c>
    </row>
    <row r="63" spans="2:13" x14ac:dyDescent="0.25">
      <c r="B63" s="6" t="s">
        <v>26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10">
        <v>431</v>
      </c>
    </row>
    <row r="64" spans="2:13" x14ac:dyDescent="0.25">
      <c r="B64" s="6" t="s">
        <v>27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42">
        <f>M61-M63+M62</f>
        <v>11928.773190185904</v>
      </c>
    </row>
    <row r="65" spans="2:13" x14ac:dyDescent="0.25">
      <c r="B65" s="6" t="s">
        <v>29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10">
        <f>87200000/1000000</f>
        <v>87.2</v>
      </c>
    </row>
    <row r="66" spans="2:13" ht="15.75" thickBot="1" x14ac:dyDescent="0.3">
      <c r="B66" s="45" t="s">
        <v>28</v>
      </c>
      <c r="C66" s="44"/>
      <c r="D66" s="12"/>
      <c r="E66" s="12"/>
      <c r="F66" s="12"/>
      <c r="G66" s="12"/>
      <c r="H66" s="12"/>
      <c r="I66" s="12"/>
      <c r="J66" s="12"/>
      <c r="K66" s="12"/>
      <c r="L66" s="12"/>
      <c r="M66" s="43">
        <f>M64/M65</f>
        <v>136.79785768561817</v>
      </c>
    </row>
    <row r="69" spans="2:13" x14ac:dyDescent="0.25">
      <c r="B69" s="1" t="s">
        <v>17</v>
      </c>
      <c r="C69" s="32">
        <v>0.105</v>
      </c>
    </row>
    <row r="70" spans="2:13" x14ac:dyDescent="0.25">
      <c r="B70" s="1" t="s">
        <v>18</v>
      </c>
      <c r="C70" s="3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F9E7-D43E-44D2-B925-6B17DF9EBB03}">
  <dimension ref="C3:G31"/>
  <sheetViews>
    <sheetView showGridLines="0" workbookViewId="0">
      <selection activeCell="D27" sqref="D27"/>
    </sheetView>
  </sheetViews>
  <sheetFormatPr defaultRowHeight="15" x14ac:dyDescent="0.25"/>
  <cols>
    <col min="2" max="2" width="10.7109375" bestFit="1" customWidth="1"/>
    <col min="3" max="3" width="10" bestFit="1" customWidth="1"/>
    <col min="4" max="4" width="7.7109375" bestFit="1" customWidth="1"/>
  </cols>
  <sheetData>
    <row r="3" spans="3:7" x14ac:dyDescent="0.25">
      <c r="C3" s="1" t="s">
        <v>36</v>
      </c>
    </row>
    <row r="4" spans="3:7" ht="15.75" thickBot="1" x14ac:dyDescent="0.3"/>
    <row r="5" spans="3:7" x14ac:dyDescent="0.25">
      <c r="E5" s="30">
        <v>2019</v>
      </c>
      <c r="F5" s="30">
        <v>2020</v>
      </c>
      <c r="G5" s="31">
        <v>2021</v>
      </c>
    </row>
    <row r="6" spans="3:7" x14ac:dyDescent="0.25">
      <c r="C6" s="1" t="s">
        <v>35</v>
      </c>
    </row>
    <row r="7" spans="3:7" x14ac:dyDescent="0.25">
      <c r="C7" t="s">
        <v>37</v>
      </c>
      <c r="E7">
        <v>2634</v>
      </c>
      <c r="F7">
        <v>2695</v>
      </c>
      <c r="G7">
        <v>3209</v>
      </c>
    </row>
    <row r="8" spans="3:7" x14ac:dyDescent="0.25">
      <c r="C8" s="2" t="s">
        <v>20</v>
      </c>
      <c r="E8" s="32">
        <v>0.06</v>
      </c>
      <c r="F8" s="3">
        <f>F7/E7-1</f>
        <v>2.3158694001518709E-2</v>
      </c>
      <c r="G8" s="3">
        <f>G7/F7-1</f>
        <v>0.19072356215213349</v>
      </c>
    </row>
    <row r="9" spans="3:7" x14ac:dyDescent="0.25">
      <c r="C9" s="2" t="s">
        <v>38</v>
      </c>
      <c r="E9" s="32">
        <f>E7/DCF!D9</f>
        <v>0.36787709497206705</v>
      </c>
      <c r="F9" s="32">
        <f>F7/DCF!E9</f>
        <v>0.38199858256555635</v>
      </c>
      <c r="G9" s="32">
        <f>G7/DCF!F9</f>
        <v>0.37761826312073427</v>
      </c>
    </row>
    <row r="10" spans="3:7" x14ac:dyDescent="0.25">
      <c r="C10" s="2"/>
      <c r="E10" s="32"/>
      <c r="F10" s="3"/>
      <c r="G10" s="3"/>
    </row>
    <row r="11" spans="3:7" x14ac:dyDescent="0.25">
      <c r="C11" t="s">
        <v>3</v>
      </c>
      <c r="E11">
        <v>455</v>
      </c>
      <c r="F11">
        <v>591</v>
      </c>
      <c r="G11">
        <v>753</v>
      </c>
    </row>
    <row r="12" spans="3:7" x14ac:dyDescent="0.25">
      <c r="C12" s="2" t="s">
        <v>39</v>
      </c>
      <c r="E12" s="32">
        <f>E11/E$7</f>
        <v>0.1727410782080486</v>
      </c>
      <c r="F12" s="32">
        <f t="shared" ref="F12:G12" si="0">F11/F$7</f>
        <v>0.21929499072356215</v>
      </c>
      <c r="G12" s="32">
        <f t="shared" si="0"/>
        <v>0.23465253973200373</v>
      </c>
    </row>
    <row r="13" spans="3:7" x14ac:dyDescent="0.25">
      <c r="C13" s="2"/>
      <c r="E13" s="32"/>
      <c r="F13" s="32"/>
      <c r="G13" s="32"/>
    </row>
    <row r="14" spans="3:7" x14ac:dyDescent="0.25">
      <c r="C14" t="s">
        <v>6</v>
      </c>
      <c r="E14">
        <v>54</v>
      </c>
      <c r="F14">
        <v>59</v>
      </c>
      <c r="G14">
        <v>59</v>
      </c>
    </row>
    <row r="15" spans="3:7" x14ac:dyDescent="0.25">
      <c r="C15" s="2" t="s">
        <v>39</v>
      </c>
      <c r="E15" s="32">
        <f>E14/E$7</f>
        <v>2.0501138952164009E-2</v>
      </c>
      <c r="F15" s="32">
        <f t="shared" ref="F15:G15" si="1">F14/F$7</f>
        <v>2.1892393320964751E-2</v>
      </c>
      <c r="G15" s="32">
        <f t="shared" si="1"/>
        <v>1.8385789965721409E-2</v>
      </c>
    </row>
    <row r="16" spans="3:7" x14ac:dyDescent="0.25">
      <c r="C16" s="2"/>
      <c r="E16" s="32"/>
      <c r="F16" s="32"/>
      <c r="G16" s="32"/>
    </row>
    <row r="17" spans="3:7" ht="15.75" thickBot="1" x14ac:dyDescent="0.3">
      <c r="C17" s="1" t="s">
        <v>34</v>
      </c>
    </row>
    <row r="18" spans="3:7" x14ac:dyDescent="0.25">
      <c r="E18" s="30">
        <v>2019</v>
      </c>
      <c r="F18" s="30">
        <v>2020</v>
      </c>
      <c r="G18" s="31">
        <v>2021</v>
      </c>
    </row>
    <row r="19" spans="3:7" x14ac:dyDescent="0.25">
      <c r="C19" t="s">
        <v>37</v>
      </c>
      <c r="E19">
        <v>2668</v>
      </c>
      <c r="F19">
        <v>2607</v>
      </c>
      <c r="G19">
        <v>3184</v>
      </c>
    </row>
    <row r="20" spans="3:7" x14ac:dyDescent="0.25">
      <c r="C20" s="2" t="s">
        <v>20</v>
      </c>
      <c r="E20" s="32">
        <v>0.06</v>
      </c>
      <c r="F20" s="3">
        <f>F19/E19-1</f>
        <v>-2.2863568215892083E-2</v>
      </c>
      <c r="G20" s="3">
        <f>G19/F19-1</f>
        <v>0.22132719601074036</v>
      </c>
    </row>
    <row r="21" spans="3:7" x14ac:dyDescent="0.25">
      <c r="C21" t="s">
        <v>38</v>
      </c>
      <c r="E21" s="32">
        <f>E19/DCF!D9</f>
        <v>0.37262569832402237</v>
      </c>
      <c r="F21" s="32">
        <f>F19/DCF!E9</f>
        <v>0.36952515946137493</v>
      </c>
      <c r="G21" s="32">
        <f>G19/DCF!F9</f>
        <v>0.37467639444575196</v>
      </c>
    </row>
    <row r="22" spans="3:7" x14ac:dyDescent="0.25">
      <c r="E22" s="32"/>
      <c r="F22" s="32"/>
      <c r="G22" s="32"/>
    </row>
    <row r="23" spans="3:7" x14ac:dyDescent="0.25">
      <c r="C23" t="s">
        <v>3</v>
      </c>
      <c r="E23">
        <v>230</v>
      </c>
      <c r="F23">
        <v>250</v>
      </c>
      <c r="G23">
        <v>446</v>
      </c>
    </row>
    <row r="24" spans="3:7" x14ac:dyDescent="0.25">
      <c r="C24" s="2" t="s">
        <v>40</v>
      </c>
      <c r="E24" s="32">
        <f>E23/E$19</f>
        <v>8.6206896551724144E-2</v>
      </c>
      <c r="F24" s="32">
        <f t="shared" ref="F24:G24" si="2">F23/F$19</f>
        <v>9.5895665515918674E-2</v>
      </c>
      <c r="G24" s="32">
        <f t="shared" si="2"/>
        <v>0.14007537688442212</v>
      </c>
    </row>
    <row r="26" spans="3:7" x14ac:dyDescent="0.25">
      <c r="C26" t="s">
        <v>6</v>
      </c>
      <c r="E26">
        <v>194</v>
      </c>
      <c r="F26">
        <v>201</v>
      </c>
      <c r="G26">
        <v>208</v>
      </c>
    </row>
    <row r="31" spans="3:7" x14ac:dyDescent="0.25">
      <c r="E31" s="32">
        <f>1-(E21+E9)</f>
        <v>0.25949720670391052</v>
      </c>
      <c r="F31" s="32">
        <f t="shared" ref="F31:G31" si="3">1-(F21+F9)</f>
        <v>0.24847625797306871</v>
      </c>
      <c r="G31" s="32">
        <f t="shared" si="3"/>
        <v>0.24770534243351383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</vt:lpstr>
      <vt:lpstr>Product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Simangunsong</dc:creator>
  <cp:lastModifiedBy>Joshua Simangunsong</cp:lastModifiedBy>
  <dcterms:created xsi:type="dcterms:W3CDTF">2024-02-20T22:37:26Z</dcterms:created>
  <dcterms:modified xsi:type="dcterms:W3CDTF">2024-02-21T22:39:58Z</dcterms:modified>
</cp:coreProperties>
</file>