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6cc89c3b879ce5/Desktop/DCF/"/>
    </mc:Choice>
  </mc:AlternateContent>
  <xr:revisionPtr revIDLastSave="0" documentId="8_{7BB65297-2F06-41FF-976B-AA6D0B06E182}" xr6:coauthVersionLast="47" xr6:coauthVersionMax="47" xr10:uidLastSave="{00000000-0000-0000-0000-000000000000}"/>
  <bookViews>
    <workbookView xWindow="-120" yWindow="480" windowWidth="38640" windowHeight="21240" xr2:uid="{5B6B8564-B30A-4241-B48E-B85557DE334E}"/>
  </bookViews>
  <sheets>
    <sheet name="SN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7" i="1" l="1"/>
  <c r="N77" i="1" s="1"/>
  <c r="M48" i="1"/>
  <c r="N48" i="1" s="1"/>
  <c r="O48" i="1" s="1"/>
  <c r="P48" i="1" s="1"/>
  <c r="P71" i="1"/>
  <c r="L71" i="1"/>
  <c r="P57" i="1"/>
  <c r="L57" i="1"/>
  <c r="P54" i="1"/>
  <c r="L54" i="1"/>
  <c r="P51" i="1"/>
  <c r="L51" i="1"/>
  <c r="K70" i="1"/>
  <c r="J70" i="1"/>
  <c r="I70" i="1"/>
  <c r="H70" i="1"/>
  <c r="G70" i="1"/>
  <c r="F70" i="1"/>
  <c r="E70" i="1"/>
  <c r="D70" i="1"/>
  <c r="K31" i="1"/>
  <c r="J31" i="1"/>
  <c r="I31" i="1"/>
  <c r="H31" i="1"/>
  <c r="G31" i="1"/>
  <c r="F31" i="1"/>
  <c r="E31" i="1"/>
  <c r="D31" i="1"/>
  <c r="K76" i="1"/>
  <c r="J76" i="1"/>
  <c r="I76" i="1"/>
  <c r="H76" i="1"/>
  <c r="G76" i="1"/>
  <c r="F76" i="1"/>
  <c r="E76" i="1"/>
  <c r="D76" i="1"/>
  <c r="K73" i="1"/>
  <c r="J73" i="1"/>
  <c r="I73" i="1"/>
  <c r="H73" i="1"/>
  <c r="G73" i="1"/>
  <c r="F73" i="1"/>
  <c r="E73" i="1"/>
  <c r="D73" i="1"/>
  <c r="K67" i="1"/>
  <c r="J67" i="1"/>
  <c r="I67" i="1"/>
  <c r="H67" i="1"/>
  <c r="G67" i="1"/>
  <c r="F67" i="1"/>
  <c r="E67" i="1"/>
  <c r="D67" i="1"/>
  <c r="K62" i="1"/>
  <c r="J62" i="1"/>
  <c r="I62" i="1"/>
  <c r="H62" i="1"/>
  <c r="G62" i="1"/>
  <c r="F62" i="1"/>
  <c r="E62" i="1"/>
  <c r="D62" i="1"/>
  <c r="K53" i="1"/>
  <c r="J53" i="1"/>
  <c r="I53" i="1"/>
  <c r="H53" i="1"/>
  <c r="G53" i="1"/>
  <c r="F53" i="1"/>
  <c r="E53" i="1"/>
  <c r="D53" i="1"/>
  <c r="K50" i="1"/>
  <c r="J50" i="1"/>
  <c r="I50" i="1"/>
  <c r="H50" i="1"/>
  <c r="G50" i="1"/>
  <c r="F50" i="1"/>
  <c r="E50" i="1"/>
  <c r="D50" i="1"/>
  <c r="L49" i="1"/>
  <c r="M49" i="1" s="1"/>
  <c r="N49" i="1" s="1"/>
  <c r="O49" i="1" s="1"/>
  <c r="P49" i="1" s="1"/>
  <c r="K37" i="1"/>
  <c r="J37" i="1"/>
  <c r="K34" i="1"/>
  <c r="J34" i="1"/>
  <c r="K28" i="1"/>
  <c r="J28" i="1"/>
  <c r="I28" i="1"/>
  <c r="H28" i="1"/>
  <c r="G28" i="1"/>
  <c r="K23" i="1"/>
  <c r="J23" i="1"/>
  <c r="I23" i="1"/>
  <c r="H23" i="1"/>
  <c r="K14" i="1"/>
  <c r="K56" i="1" s="1"/>
  <c r="J14" i="1"/>
  <c r="J18" i="1" s="1"/>
  <c r="J59" i="1" s="1"/>
  <c r="J65" i="1" s="1"/>
  <c r="K8" i="1"/>
  <c r="J8" i="1"/>
  <c r="K12" i="1"/>
  <c r="J12" i="1"/>
  <c r="K11" i="1"/>
  <c r="J11" i="1"/>
  <c r="I37" i="1"/>
  <c r="H37" i="1"/>
  <c r="G37" i="1"/>
  <c r="F37" i="1"/>
  <c r="E37" i="1"/>
  <c r="D37" i="1"/>
  <c r="I34" i="1"/>
  <c r="H34" i="1"/>
  <c r="G34" i="1"/>
  <c r="XFC23" i="1"/>
  <c r="G23" i="1"/>
  <c r="I12" i="1"/>
  <c r="H12" i="1"/>
  <c r="G12" i="1"/>
  <c r="F12" i="1"/>
  <c r="E12" i="1"/>
  <c r="I11" i="1"/>
  <c r="H11" i="1"/>
  <c r="G11" i="1"/>
  <c r="I8" i="1"/>
  <c r="H8" i="1"/>
  <c r="G8" i="1"/>
  <c r="I14" i="1"/>
  <c r="I18" i="1" s="1"/>
  <c r="I19" i="1" s="1"/>
  <c r="H14" i="1"/>
  <c r="H56" i="1" s="1"/>
  <c r="G14" i="1"/>
  <c r="G15" i="1" s="1"/>
  <c r="F34" i="1"/>
  <c r="E34" i="1"/>
  <c r="D34" i="1"/>
  <c r="F28" i="1"/>
  <c r="E28" i="1"/>
  <c r="D28" i="1"/>
  <c r="F23" i="1"/>
  <c r="E23" i="1"/>
  <c r="D23" i="1"/>
  <c r="F11" i="1"/>
  <c r="E11" i="1"/>
  <c r="D11" i="1"/>
  <c r="F8" i="1"/>
  <c r="E8" i="1"/>
  <c r="F51" i="1" l="1"/>
  <c r="D77" i="1"/>
  <c r="E71" i="1"/>
  <c r="K71" i="1"/>
  <c r="F77" i="1"/>
  <c r="O77" i="1"/>
  <c r="P77" i="1" s="1"/>
  <c r="J77" i="1"/>
  <c r="H74" i="1"/>
  <c r="H71" i="1"/>
  <c r="H77" i="1"/>
  <c r="I77" i="1"/>
  <c r="G74" i="1"/>
  <c r="E77" i="1"/>
  <c r="K77" i="1"/>
  <c r="G71" i="1"/>
  <c r="G77" i="1"/>
  <c r="M57" i="1"/>
  <c r="N57" i="1" s="1"/>
  <c r="O57" i="1" s="1"/>
  <c r="E68" i="1"/>
  <c r="K68" i="1"/>
  <c r="I74" i="1"/>
  <c r="I71" i="1"/>
  <c r="I68" i="1"/>
  <c r="M51" i="1"/>
  <c r="N51" i="1" s="1"/>
  <c r="O51" i="1" s="1"/>
  <c r="J68" i="1"/>
  <c r="F68" i="1"/>
  <c r="D74" i="1"/>
  <c r="J74" i="1"/>
  <c r="D71" i="1"/>
  <c r="J71" i="1"/>
  <c r="D68" i="1"/>
  <c r="M54" i="1"/>
  <c r="N54" i="1" s="1"/>
  <c r="O54" i="1" s="1"/>
  <c r="G68" i="1"/>
  <c r="E74" i="1"/>
  <c r="K74" i="1"/>
  <c r="M71" i="1"/>
  <c r="N71" i="1" s="1"/>
  <c r="H68" i="1"/>
  <c r="F74" i="1"/>
  <c r="F71" i="1"/>
  <c r="L50" i="1"/>
  <c r="L76" i="1" s="1"/>
  <c r="G54" i="1"/>
  <c r="H57" i="1"/>
  <c r="H51" i="1"/>
  <c r="G63" i="1"/>
  <c r="K51" i="1"/>
  <c r="F63" i="1"/>
  <c r="F54" i="1"/>
  <c r="E63" i="1"/>
  <c r="K63" i="1"/>
  <c r="I51" i="1"/>
  <c r="D63" i="1"/>
  <c r="I54" i="1"/>
  <c r="H63" i="1"/>
  <c r="I63" i="1"/>
  <c r="K57" i="1"/>
  <c r="G51" i="1"/>
  <c r="E54" i="1"/>
  <c r="K54" i="1"/>
  <c r="H54" i="1"/>
  <c r="D54" i="1"/>
  <c r="J63" i="1"/>
  <c r="J51" i="1"/>
  <c r="J60" i="1"/>
  <c r="E51" i="1"/>
  <c r="J54" i="1"/>
  <c r="I56" i="1"/>
  <c r="I57" i="1" s="1"/>
  <c r="J56" i="1"/>
  <c r="J57" i="1" s="1"/>
  <c r="I59" i="1"/>
  <c r="G56" i="1"/>
  <c r="G57" i="1" s="1"/>
  <c r="K16" i="1"/>
  <c r="I16" i="1"/>
  <c r="K15" i="1"/>
  <c r="J15" i="1"/>
  <c r="J20" i="1"/>
  <c r="J19" i="1"/>
  <c r="K18" i="1"/>
  <c r="K59" i="1" s="1"/>
  <c r="J16" i="1"/>
  <c r="H18" i="1"/>
  <c r="H59" i="1" s="1"/>
  <c r="H15" i="1"/>
  <c r="H16" i="1"/>
  <c r="G18" i="1"/>
  <c r="G59" i="1" s="1"/>
  <c r="I15" i="1"/>
  <c r="L74" i="1" l="1"/>
  <c r="L73" i="1" s="1"/>
  <c r="L56" i="1"/>
  <c r="L53" i="1"/>
  <c r="L62" i="1"/>
  <c r="L68" i="1"/>
  <c r="L67" i="1" s="1"/>
  <c r="M50" i="1"/>
  <c r="L70" i="1"/>
  <c r="O71" i="1"/>
  <c r="G65" i="1"/>
  <c r="G60" i="1"/>
  <c r="I65" i="1"/>
  <c r="I60" i="1"/>
  <c r="K65" i="1"/>
  <c r="K60" i="1"/>
  <c r="H65" i="1"/>
  <c r="H60" i="1"/>
  <c r="H19" i="1"/>
  <c r="H20" i="1"/>
  <c r="I20" i="1"/>
  <c r="K19" i="1"/>
  <c r="K20" i="1"/>
  <c r="G19" i="1"/>
  <c r="M74" i="1" l="1"/>
  <c r="M73" i="1" s="1"/>
  <c r="L59" i="1"/>
  <c r="L65" i="1" s="1"/>
  <c r="L79" i="1" s="1"/>
  <c r="L80" i="1" s="1"/>
  <c r="M53" i="1"/>
  <c r="M76" i="1"/>
  <c r="N74" i="1"/>
  <c r="M68" i="1"/>
  <c r="M67" i="1" s="1"/>
  <c r="N50" i="1"/>
  <c r="M62" i="1"/>
  <c r="M70" i="1"/>
  <c r="M56" i="1"/>
  <c r="M59" i="1" l="1"/>
  <c r="M65" i="1" s="1"/>
  <c r="M79" i="1" s="1"/>
  <c r="M80" i="1" s="1"/>
  <c r="N73" i="1"/>
  <c r="O74" i="1"/>
  <c r="N70" i="1"/>
  <c r="N76" i="1"/>
  <c r="N56" i="1"/>
  <c r="O50" i="1"/>
  <c r="O53" i="1" s="1"/>
  <c r="N68" i="1"/>
  <c r="N67" i="1" s="1"/>
  <c r="N53" i="1"/>
  <c r="N62" i="1"/>
  <c r="O70" i="1" l="1"/>
  <c r="O56" i="1"/>
  <c r="O62" i="1"/>
  <c r="N59" i="1"/>
  <c r="N65" i="1" s="1"/>
  <c r="N79" i="1" s="1"/>
  <c r="N80" i="1" s="1"/>
  <c r="P74" i="1"/>
  <c r="O73" i="1"/>
  <c r="P50" i="1"/>
  <c r="P76" i="1" s="1"/>
  <c r="O76" i="1"/>
  <c r="O59" i="1"/>
  <c r="O68" i="1"/>
  <c r="O67" i="1" s="1"/>
  <c r="P53" i="1" l="1"/>
  <c r="P62" i="1"/>
  <c r="P56" i="1"/>
  <c r="P70" i="1"/>
  <c r="P73" i="1"/>
  <c r="O65" i="1"/>
  <c r="O79" i="1" s="1"/>
  <c r="O80" i="1" s="1"/>
  <c r="P68" i="1"/>
  <c r="P67" i="1" s="1"/>
  <c r="P59" i="1" l="1"/>
  <c r="P65" i="1"/>
  <c r="P79" i="1" s="1"/>
  <c r="P80" i="1" s="1"/>
  <c r="P81" i="1" s="1"/>
  <c r="P82" i="1" s="1"/>
  <c r="P83" i="1" s="1" a="1"/>
  <c r="P83" i="1" s="1"/>
  <c r="P86" i="1" s="1"/>
  <c r="P88" i="1" s="1"/>
  <c r="F14" i="1" l="1"/>
  <c r="F56" i="1" s="1"/>
  <c r="F57" i="1" s="1"/>
  <c r="E14" i="1"/>
  <c r="E56" i="1" s="1"/>
  <c r="E57" i="1" s="1"/>
  <c r="D14" i="1"/>
  <c r="D56" i="1" s="1"/>
  <c r="D57" i="1" s="1"/>
  <c r="F16" i="1" l="1"/>
  <c r="G16" i="1"/>
  <c r="E16" i="1"/>
  <c r="F18" i="1"/>
  <c r="F59" i="1" s="1"/>
  <c r="F15" i="1"/>
  <c r="E18" i="1"/>
  <c r="E59" i="1" s="1"/>
  <c r="E15" i="1"/>
  <c r="D18" i="1"/>
  <c r="D15" i="1"/>
  <c r="F65" i="1" l="1"/>
  <c r="F60" i="1"/>
  <c r="E65" i="1"/>
  <c r="E60" i="1"/>
  <c r="D19" i="1"/>
  <c r="D59" i="1"/>
  <c r="E19" i="1"/>
  <c r="E20" i="1"/>
  <c r="F19" i="1"/>
  <c r="F20" i="1"/>
  <c r="G20" i="1"/>
  <c r="D65" i="1" l="1"/>
  <c r="D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<sst xmlns="http://schemas.openxmlformats.org/spreadsheetml/2006/main" count="86" uniqueCount="33">
  <si>
    <t>SNAP</t>
  </si>
  <si>
    <t>Revenue</t>
  </si>
  <si>
    <t>COR</t>
  </si>
  <si>
    <t>OPEX</t>
  </si>
  <si>
    <t>EBIT</t>
  </si>
  <si>
    <t>D&amp;A</t>
  </si>
  <si>
    <t>Taxes</t>
  </si>
  <si>
    <t>% of sales</t>
  </si>
  <si>
    <t>% growth</t>
  </si>
  <si>
    <t>CAPEX</t>
  </si>
  <si>
    <t>Change in NWC</t>
  </si>
  <si>
    <t>Cash Flow</t>
  </si>
  <si>
    <t>Income Statement</t>
  </si>
  <si>
    <t>Assumptions</t>
  </si>
  <si>
    <t>Conservatative</t>
  </si>
  <si>
    <t>Base</t>
  </si>
  <si>
    <t>Opt</t>
  </si>
  <si>
    <t>DCF</t>
  </si>
  <si>
    <t>EBITDA</t>
  </si>
  <si>
    <t>FCF</t>
  </si>
  <si>
    <t>Present Value of FCF</t>
  </si>
  <si>
    <t>Stock Based Compensation</t>
  </si>
  <si>
    <t>WACC</t>
  </si>
  <si>
    <t>Terminal Value</t>
  </si>
  <si>
    <t>TGR</t>
  </si>
  <si>
    <t>Present Value of Terminal Value</t>
  </si>
  <si>
    <t>Enterprise Value</t>
  </si>
  <si>
    <t>(+) Cash</t>
  </si>
  <si>
    <t>(-) LT Debt</t>
  </si>
  <si>
    <t>Equity Value</t>
  </si>
  <si>
    <t>Shares Outstanding</t>
  </si>
  <si>
    <t>Implied Share Price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</si>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</sst>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 &quot;#,##0_);_(&quot;$ &quot;\(#,##0\)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5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4" fillId="0" borderId="0" xfId="0" applyNumberFormat="1" applyFont="1" applyAlignment="1">
      <alignment horizontal="right" vertical="top"/>
    </xf>
    <xf numFmtId="37" fontId="4" fillId="0" borderId="0" xfId="0" applyNumberFormat="1" applyFont="1" applyAlignment="1">
      <alignment horizontal="right" vertical="top"/>
    </xf>
    <xf numFmtId="37" fontId="0" fillId="0" borderId="0" xfId="0" applyNumberFormat="1"/>
    <xf numFmtId="164" fontId="0" fillId="0" borderId="0" xfId="0" applyNumberFormat="1"/>
    <xf numFmtId="37" fontId="5" fillId="0" borderId="0" xfId="0" applyNumberFormat="1" applyFont="1" applyAlignment="1">
      <alignment horizontal="right" vertical="top"/>
    </xf>
    <xf numFmtId="164" fontId="0" fillId="0" borderId="1" xfId="0" applyNumberFormat="1" applyBorder="1"/>
    <xf numFmtId="0" fontId="6" fillId="0" borderId="0" xfId="0" applyFont="1"/>
    <xf numFmtId="9" fontId="0" fillId="0" borderId="0" xfId="1" applyFont="1"/>
    <xf numFmtId="9" fontId="4" fillId="0" borderId="0" xfId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9" fontId="6" fillId="0" borderId="0" xfId="1" applyFont="1"/>
    <xf numFmtId="0" fontId="3" fillId="0" borderId="0" xfId="0" applyFont="1"/>
    <xf numFmtId="0" fontId="2" fillId="2" borderId="0" xfId="0" applyFont="1" applyFill="1"/>
    <xf numFmtId="0" fontId="7" fillId="2" borderId="0" xfId="0" applyFont="1" applyFill="1" applyAlignment="1">
      <alignment horizontal="center" vertical="center"/>
    </xf>
    <xf numFmtId="0" fontId="3" fillId="0" borderId="1" xfId="0" applyFont="1" applyBorder="1"/>
    <xf numFmtId="9" fontId="0" fillId="0" borderId="0" xfId="0" applyNumberForma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3" borderId="0" xfId="0" applyFont="1" applyFill="1"/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3" fillId="0" borderId="2" xfId="0" applyFont="1" applyBorder="1"/>
    <xf numFmtId="164" fontId="0" fillId="0" borderId="3" xfId="0" applyNumberFormat="1" applyBorder="1"/>
    <xf numFmtId="164" fontId="0" fillId="0" borderId="4" xfId="0" applyNumberFormat="1" applyBorder="1"/>
    <xf numFmtId="0" fontId="3" fillId="0" borderId="0" xfId="0" applyFont="1" applyBorder="1"/>
    <xf numFmtId="164" fontId="0" fillId="0" borderId="0" xfId="0" applyNumberFormat="1" applyBorder="1"/>
    <xf numFmtId="0" fontId="0" fillId="0" borderId="0" xfId="0" applyFont="1"/>
    <xf numFmtId="165" fontId="0" fillId="0" borderId="0" xfId="0" applyNumberFormat="1"/>
    <xf numFmtId="164" fontId="0" fillId="0" borderId="2" xfId="0" applyNumberFormat="1" applyBorder="1"/>
    <xf numFmtId="0" fontId="7" fillId="6" borderId="0" xfId="0" applyFont="1" applyFill="1" applyAlignment="1">
      <alignment horizontal="center" vertical="center"/>
    </xf>
    <xf numFmtId="9" fontId="8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01EC-0529-4842-A06D-3022DE097C09}">
  <dimension ref="C4:XFC134"/>
  <sheetViews>
    <sheetView showGridLines="0" tabSelected="1" topLeftCell="A43" workbookViewId="0">
      <selection activeCell="G73" sqref="G73"/>
    </sheetView>
  </sheetViews>
  <sheetFormatPr defaultRowHeight="15" x14ac:dyDescent="0.25"/>
  <cols>
    <col min="3" max="3" width="25.85546875" bestFit="1" customWidth="1"/>
    <col min="4" max="4" width="11.140625" bestFit="1" customWidth="1"/>
    <col min="5" max="7" width="12.7109375" bestFit="1" customWidth="1"/>
    <col min="8" max="9" width="12" bestFit="1" customWidth="1"/>
    <col min="10" max="15" width="12.7109375" bestFit="1" customWidth="1"/>
    <col min="16" max="16" width="13.85546875" bestFit="1" customWidth="1"/>
    <col min="16383" max="16383" width="7.42578125" bestFit="1" customWidth="1"/>
    <col min="16384" max="16384" width="7.42578125" customWidth="1"/>
  </cols>
  <sheetData>
    <row r="4" spans="3:11" x14ac:dyDescent="0.25">
      <c r="C4" t="s">
        <v>0</v>
      </c>
    </row>
    <row r="6" spans="3:11" x14ac:dyDescent="0.25">
      <c r="C6" s="13" t="s">
        <v>12</v>
      </c>
      <c r="D6" s="14">
        <v>2016</v>
      </c>
      <c r="E6" s="14">
        <v>2017</v>
      </c>
      <c r="F6" s="14">
        <v>2018</v>
      </c>
      <c r="G6" s="14">
        <v>2019</v>
      </c>
      <c r="H6" s="14">
        <v>2020</v>
      </c>
      <c r="I6" s="14">
        <v>2021</v>
      </c>
      <c r="J6" s="14">
        <v>2022</v>
      </c>
      <c r="K6" s="14">
        <v>2023</v>
      </c>
    </row>
    <row r="7" spans="3:11" x14ac:dyDescent="0.25">
      <c r="C7" t="s">
        <v>1</v>
      </c>
      <c r="D7" s="1">
        <v>404482</v>
      </c>
      <c r="E7" s="1">
        <v>824949</v>
      </c>
      <c r="F7" s="1">
        <v>1180446</v>
      </c>
      <c r="G7" s="10">
        <v>1715534</v>
      </c>
      <c r="H7" s="10">
        <v>2506626</v>
      </c>
      <c r="I7" s="10">
        <v>4117048</v>
      </c>
      <c r="J7" s="10">
        <v>4601847</v>
      </c>
      <c r="K7" s="10">
        <v>4606115</v>
      </c>
    </row>
    <row r="8" spans="3:11" x14ac:dyDescent="0.25">
      <c r="C8" s="7" t="s">
        <v>8</v>
      </c>
      <c r="E8" s="11">
        <f>E7/D7-1</f>
        <v>1.0395196819635979</v>
      </c>
      <c r="F8" s="11">
        <f>F7/E7-1</f>
        <v>0.43093209398399179</v>
      </c>
      <c r="G8" s="11">
        <f t="shared" ref="G8:I8" si="0">G7/F7-1</f>
        <v>0.45329307736228519</v>
      </c>
      <c r="H8" s="11">
        <f t="shared" si="0"/>
        <v>0.4611345505247928</v>
      </c>
      <c r="I8" s="11">
        <f t="shared" si="0"/>
        <v>0.64246600809215249</v>
      </c>
      <c r="J8" s="11">
        <f t="shared" ref="J8" si="1">J7/I7-1</f>
        <v>0.11775403152938702</v>
      </c>
      <c r="K8" s="11">
        <f t="shared" ref="K8" si="2">K7/J7-1</f>
        <v>9.2745369413638201E-4</v>
      </c>
    </row>
    <row r="9" spans="3:11" x14ac:dyDescent="0.25">
      <c r="C9" s="7"/>
      <c r="E9" s="8"/>
      <c r="F9" s="8"/>
    </row>
    <row r="10" spans="3:11" x14ac:dyDescent="0.25">
      <c r="C10" t="s">
        <v>2</v>
      </c>
      <c r="D10" s="2">
        <v>451660</v>
      </c>
      <c r="E10" s="2">
        <v>717462</v>
      </c>
      <c r="F10" s="2">
        <v>798865</v>
      </c>
      <c r="G10" s="5">
        <v>895838</v>
      </c>
      <c r="H10" s="5">
        <v>1182505</v>
      </c>
      <c r="I10" s="5">
        <v>1750246</v>
      </c>
      <c r="J10" s="5">
        <v>1815342</v>
      </c>
      <c r="K10" s="5">
        <v>2114117</v>
      </c>
    </row>
    <row r="11" spans="3:11" x14ac:dyDescent="0.25">
      <c r="C11" s="7" t="s">
        <v>7</v>
      </c>
      <c r="D11" s="11">
        <f>D10/D7</f>
        <v>1.1166380704209335</v>
      </c>
      <c r="E11" s="11">
        <f>E10/E7</f>
        <v>0.8697046726524913</v>
      </c>
      <c r="F11" s="11">
        <f>F10/F7</f>
        <v>0.67674844931491995</v>
      </c>
      <c r="G11" s="11">
        <f t="shared" ref="G11:I11" si="3">G10/G7</f>
        <v>0.52219192391406988</v>
      </c>
      <c r="H11" s="11">
        <f t="shared" si="3"/>
        <v>0.47175166937548718</v>
      </c>
      <c r="I11" s="11">
        <f t="shared" si="3"/>
        <v>0.42512159197560973</v>
      </c>
      <c r="J11" s="11">
        <f t="shared" ref="J11" si="4">J10/J7</f>
        <v>0.39448117245097458</v>
      </c>
      <c r="K11" s="11">
        <f t="shared" ref="K11" si="5">K10/K7</f>
        <v>0.45898050743413921</v>
      </c>
    </row>
    <row r="12" spans="3:11" x14ac:dyDescent="0.25">
      <c r="C12" s="7" t="s">
        <v>8</v>
      </c>
      <c r="D12" s="11"/>
      <c r="E12" s="11">
        <f>E10/D10-1</f>
        <v>0.58850019926493391</v>
      </c>
      <c r="F12" s="11">
        <f t="shared" ref="F12:I12" si="6">F10/E10-1</f>
        <v>0.11345966755033721</v>
      </c>
      <c r="G12" s="11">
        <f t="shared" si="6"/>
        <v>0.12138846989165875</v>
      </c>
      <c r="H12" s="11">
        <f t="shared" si="6"/>
        <v>0.31999870512302442</v>
      </c>
      <c r="I12" s="11">
        <f t="shared" si="6"/>
        <v>0.48011720880672804</v>
      </c>
      <c r="J12" s="11">
        <f t="shared" ref="J12:K12" si="7">J10/I10-1</f>
        <v>3.7192486084813181E-2</v>
      </c>
      <c r="K12" s="11">
        <f t="shared" si="7"/>
        <v>0.16458331267606874</v>
      </c>
    </row>
    <row r="13" spans="3:11" x14ac:dyDescent="0.25">
      <c r="C13" s="7"/>
      <c r="D13" s="9"/>
      <c r="E13" s="9"/>
      <c r="F13" s="9"/>
    </row>
    <row r="14" spans="3:11" x14ac:dyDescent="0.25">
      <c r="C14" t="s">
        <v>3</v>
      </c>
      <c r="D14" s="2">
        <f>924867-D10</f>
        <v>473207</v>
      </c>
      <c r="E14" s="2">
        <f>4310525-E10</f>
        <v>3593063</v>
      </c>
      <c r="F14" s="2">
        <f>4310525-F10</f>
        <v>3511660</v>
      </c>
      <c r="G14" s="5">
        <f>2818862-G10</f>
        <v>1923024</v>
      </c>
      <c r="H14" s="5">
        <f>3368698-H10</f>
        <v>2186193</v>
      </c>
      <c r="I14" s="5">
        <f>4819117-I10</f>
        <v>3068871</v>
      </c>
      <c r="J14" s="5">
        <f>5997153-J10</f>
        <v>4181811</v>
      </c>
      <c r="K14" s="5">
        <f>6004494-K10</f>
        <v>3890377</v>
      </c>
    </row>
    <row r="15" spans="3:11" x14ac:dyDescent="0.25">
      <c r="C15" s="7" t="s">
        <v>7</v>
      </c>
      <c r="D15" s="11">
        <f>D14/D7</f>
        <v>1.1699086733154997</v>
      </c>
      <c r="E15" s="11">
        <f>E14/E7</f>
        <v>4.355497127701228</v>
      </c>
      <c r="F15" s="11">
        <f>F14/F7</f>
        <v>2.974858655118489</v>
      </c>
      <c r="G15" s="11">
        <f t="shared" ref="G15:I15" si="8">G14/G7</f>
        <v>1.1209477632037605</v>
      </c>
      <c r="H15" s="11">
        <f t="shared" si="8"/>
        <v>0.87216561226126277</v>
      </c>
      <c r="I15" s="11">
        <f t="shared" si="8"/>
        <v>0.74540568873620128</v>
      </c>
      <c r="J15" s="11">
        <f t="shared" ref="J15" si="9">J14/J7</f>
        <v>0.90872447519441646</v>
      </c>
      <c r="K15" s="11">
        <f t="shared" ref="K15" si="10">K14/K7</f>
        <v>0.84461134817519756</v>
      </c>
    </row>
    <row r="16" spans="3:11" x14ac:dyDescent="0.25">
      <c r="C16" s="7" t="s">
        <v>8</v>
      </c>
      <c r="D16" s="11"/>
      <c r="E16" s="11">
        <f>E14/D14-1</f>
        <v>6.5930047526769471</v>
      </c>
      <c r="F16" s="11">
        <f t="shared" ref="F16:I16" si="11">F14/E14-1</f>
        <v>-2.2655600528017406E-2</v>
      </c>
      <c r="G16" s="11">
        <f t="shared" si="11"/>
        <v>-0.45238889869748211</v>
      </c>
      <c r="H16" s="11">
        <f t="shared" si="11"/>
        <v>0.13685164615730216</v>
      </c>
      <c r="I16" s="11">
        <f t="shared" si="11"/>
        <v>0.40375117841837382</v>
      </c>
      <c r="J16" s="11">
        <f t="shared" ref="J16:K16" si="12">J14/I14-1</f>
        <v>0.3626545397313865</v>
      </c>
      <c r="K16" s="11">
        <f t="shared" si="12"/>
        <v>-6.9690858816909729E-2</v>
      </c>
    </row>
    <row r="17" spans="3:11 16383:16383" x14ac:dyDescent="0.25">
      <c r="C17" s="7"/>
      <c r="D17" s="8"/>
      <c r="E17" s="8"/>
      <c r="F17" s="8"/>
    </row>
    <row r="18" spans="3:11 16383:16383" x14ac:dyDescent="0.25">
      <c r="C18" s="15" t="s">
        <v>4</v>
      </c>
      <c r="D18" s="6">
        <f>D7-D10-D14</f>
        <v>-520385</v>
      </c>
      <c r="E18" s="6">
        <f t="shared" ref="E18:K18" si="13">E7-E10-E14</f>
        <v>-3485576</v>
      </c>
      <c r="F18" s="6">
        <f t="shared" si="13"/>
        <v>-3130079</v>
      </c>
      <c r="G18" s="6">
        <f t="shared" si="13"/>
        <v>-1103328</v>
      </c>
      <c r="H18" s="6">
        <f t="shared" si="13"/>
        <v>-862072</v>
      </c>
      <c r="I18" s="6">
        <f t="shared" si="13"/>
        <v>-702069</v>
      </c>
      <c r="J18" s="6">
        <f t="shared" si="13"/>
        <v>-1395306</v>
      </c>
      <c r="K18" s="6">
        <f t="shared" si="13"/>
        <v>-1398379</v>
      </c>
    </row>
    <row r="19" spans="3:11 16383:16383" x14ac:dyDescent="0.25">
      <c r="C19" s="7" t="s">
        <v>7</v>
      </c>
      <c r="D19" s="8">
        <f>D18/D7</f>
        <v>-1.2865467437364333</v>
      </c>
      <c r="E19" s="8">
        <f>E18/E7</f>
        <v>-4.2252018003537186</v>
      </c>
      <c r="F19" s="8">
        <f>F18/F7</f>
        <v>-2.6516071044334089</v>
      </c>
      <c r="G19" s="8">
        <f t="shared" ref="G19:I19" si="14">G18/G7</f>
        <v>-0.64313968711783032</v>
      </c>
      <c r="H19" s="8">
        <f t="shared" si="14"/>
        <v>-0.34391728163674995</v>
      </c>
      <c r="I19" s="8">
        <f t="shared" si="14"/>
        <v>-0.17052728071181097</v>
      </c>
      <c r="J19" s="8">
        <f t="shared" ref="J19" si="15">J18/J7</f>
        <v>-0.3032056476453911</v>
      </c>
      <c r="K19" s="8">
        <f t="shared" ref="K19" si="16">K18/K7</f>
        <v>-0.30359185560933671</v>
      </c>
    </row>
    <row r="20" spans="3:11 16383:16383" x14ac:dyDescent="0.25">
      <c r="C20" s="7" t="s">
        <v>8</v>
      </c>
      <c r="D20" s="11"/>
      <c r="E20" s="11">
        <f>(E18-D18)/D18</f>
        <v>5.6980716200505395</v>
      </c>
      <c r="F20" s="11">
        <f>-(F18-E18)/E18</f>
        <v>0.10199089045827719</v>
      </c>
      <c r="G20" s="11">
        <f>-(G18-F18)/F18</f>
        <v>0.64750793829804298</v>
      </c>
      <c r="H20" s="11">
        <f>-(H18-G18)/G18</f>
        <v>0.21866208416717423</v>
      </c>
      <c r="I20" s="11">
        <f>-(I18-H18)/H18</f>
        <v>0.18560282667805009</v>
      </c>
      <c r="J20" s="11">
        <f t="shared" ref="J20:K20" si="17">-(J18-I18)/I18</f>
        <v>-0.98742003991060712</v>
      </c>
      <c r="K20" s="11">
        <f t="shared" si="17"/>
        <v>-2.2023842798640585E-3</v>
      </c>
    </row>
    <row r="21" spans="3:11 16383:16383" x14ac:dyDescent="0.25">
      <c r="C21" s="7"/>
      <c r="D21" s="8"/>
      <c r="E21" s="8"/>
      <c r="F21" s="8"/>
    </row>
    <row r="22" spans="3:11 16383:16383" x14ac:dyDescent="0.25">
      <c r="C22" t="s">
        <v>6</v>
      </c>
      <c r="D22" s="5">
        <v>7080</v>
      </c>
      <c r="E22" s="5">
        <v>18342</v>
      </c>
      <c r="F22" s="5">
        <v>-2547</v>
      </c>
      <c r="G22" s="5">
        <v>-393</v>
      </c>
      <c r="H22" s="5">
        <v>-18654</v>
      </c>
      <c r="I22" s="5">
        <v>-13584</v>
      </c>
      <c r="J22" s="5">
        <v>-28956</v>
      </c>
      <c r="K22" s="5">
        <v>-28062</v>
      </c>
    </row>
    <row r="23" spans="3:11 16383:16383" x14ac:dyDescent="0.25">
      <c r="C23" s="7" t="s">
        <v>7</v>
      </c>
      <c r="D23" s="11">
        <f>D22/D7</f>
        <v>1.7503869146216641E-2</v>
      </c>
      <c r="E23" s="11">
        <f>E22/E7</f>
        <v>2.2234101744471477E-2</v>
      </c>
      <c r="F23" s="11">
        <f>F22/F7</f>
        <v>-2.1576590542896497E-3</v>
      </c>
      <c r="G23" s="11">
        <f>G22/G7</f>
        <v>-2.2908318925768885E-4</v>
      </c>
      <c r="H23" s="11">
        <f t="shared" ref="H23:K23" si="18">H22/H7</f>
        <v>-7.4418760517125414E-3</v>
      </c>
      <c r="I23" s="11">
        <f t="shared" si="18"/>
        <v>-3.2994514516226188E-3</v>
      </c>
      <c r="J23" s="11">
        <f t="shared" si="18"/>
        <v>-6.2922561310708508E-3</v>
      </c>
      <c r="K23" s="11">
        <f t="shared" si="18"/>
        <v>-6.0923359490590223E-3</v>
      </c>
      <c r="XFC23" s="8" t="e">
        <f>XFC22/XFC7</f>
        <v>#DIV/0!</v>
      </c>
    </row>
    <row r="26" spans="3:11 16383:16383" x14ac:dyDescent="0.25">
      <c r="C26" s="13" t="s">
        <v>11</v>
      </c>
      <c r="D26" s="14">
        <v>2016</v>
      </c>
      <c r="E26" s="14">
        <v>2017</v>
      </c>
      <c r="F26" s="14">
        <v>2018</v>
      </c>
      <c r="G26" s="14">
        <v>2019</v>
      </c>
      <c r="H26" s="14">
        <v>2020</v>
      </c>
      <c r="I26" s="14">
        <v>2021</v>
      </c>
      <c r="J26" s="14">
        <v>2022</v>
      </c>
      <c r="K26" s="14">
        <v>2023</v>
      </c>
    </row>
    <row r="27" spans="3:11 16383:16383" x14ac:dyDescent="0.25">
      <c r="C27" t="s">
        <v>5</v>
      </c>
      <c r="D27" s="5">
        <v>29115</v>
      </c>
      <c r="E27" s="5">
        <v>61288</v>
      </c>
      <c r="F27" s="5">
        <v>91648</v>
      </c>
      <c r="G27" s="5">
        <v>87245</v>
      </c>
      <c r="H27" s="5">
        <v>86744</v>
      </c>
      <c r="I27" s="5">
        <v>119141</v>
      </c>
      <c r="J27" s="5">
        <v>202173</v>
      </c>
      <c r="K27" s="5">
        <v>168441</v>
      </c>
    </row>
    <row r="28" spans="3:11 16383:16383" x14ac:dyDescent="0.25">
      <c r="C28" s="7" t="s">
        <v>7</v>
      </c>
      <c r="D28" s="11">
        <f>D27/D7</f>
        <v>7.1980953416962937E-2</v>
      </c>
      <c r="E28" s="11">
        <f>E27/E7</f>
        <v>7.4293077511458278E-2</v>
      </c>
      <c r="F28" s="11">
        <f>F27/F7</f>
        <v>7.7638451907160511E-2</v>
      </c>
      <c r="G28" s="11">
        <f>G27/G7</f>
        <v>5.0855885106328408E-2</v>
      </c>
      <c r="H28" s="11">
        <f>H27/H7</f>
        <v>3.4605880574126335E-2</v>
      </c>
      <c r="I28" s="11">
        <f>I27/I7</f>
        <v>2.8938452988646234E-2</v>
      </c>
      <c r="J28" s="11">
        <f>J27/J7</f>
        <v>4.3933012114483597E-2</v>
      </c>
      <c r="K28" s="11">
        <f>K27/K7</f>
        <v>3.6568995780609036E-2</v>
      </c>
    </row>
    <row r="29" spans="3:11 16383:16383" x14ac:dyDescent="0.25">
      <c r="C29" s="7"/>
      <c r="D29" s="11"/>
      <c r="E29" s="11"/>
      <c r="F29" s="11"/>
      <c r="G29" s="11"/>
      <c r="H29" s="11"/>
      <c r="I29" s="11"/>
      <c r="J29" s="11"/>
      <c r="K29" s="11"/>
    </row>
    <row r="30" spans="3:11 16383:16383" x14ac:dyDescent="0.25">
      <c r="C30" s="27" t="s">
        <v>21</v>
      </c>
      <c r="D30" s="5">
        <v>31842</v>
      </c>
      <c r="E30" s="5">
        <v>2639895</v>
      </c>
      <c r="F30" s="5">
        <v>538211</v>
      </c>
      <c r="G30" s="5">
        <v>686013</v>
      </c>
      <c r="H30" s="5">
        <v>770182</v>
      </c>
      <c r="I30" s="5">
        <v>1092135</v>
      </c>
      <c r="J30" s="5">
        <v>1387787</v>
      </c>
      <c r="K30" s="5">
        <v>1324004</v>
      </c>
    </row>
    <row r="31" spans="3:11 16383:16383" x14ac:dyDescent="0.25">
      <c r="C31" s="7" t="s">
        <v>7</v>
      </c>
      <c r="D31" s="11">
        <f>D30/D7</f>
        <v>7.8722909795738746E-2</v>
      </c>
      <c r="E31" s="11">
        <f t="shared" ref="E31:K31" si="19">E30/E7</f>
        <v>3.2000705498158069</v>
      </c>
      <c r="F31" s="11">
        <f t="shared" si="19"/>
        <v>0.45593868758079575</v>
      </c>
      <c r="G31" s="11">
        <f t="shared" si="19"/>
        <v>0.39988306847896921</v>
      </c>
      <c r="H31" s="11">
        <f t="shared" si="19"/>
        <v>0.30725844222472759</v>
      </c>
      <c r="I31" s="11">
        <f t="shared" si="19"/>
        <v>0.26527137891032604</v>
      </c>
      <c r="J31" s="11">
        <f t="shared" si="19"/>
        <v>0.30157173847805024</v>
      </c>
      <c r="K31" s="11">
        <f t="shared" si="19"/>
        <v>0.28744484234544732</v>
      </c>
    </row>
    <row r="33" spans="3:16" x14ac:dyDescent="0.25">
      <c r="C33" t="s">
        <v>9</v>
      </c>
      <c r="D33" s="5">
        <v>66441</v>
      </c>
      <c r="E33" s="5">
        <v>84518</v>
      </c>
      <c r="F33" s="5">
        <v>120242</v>
      </c>
      <c r="G33" s="5">
        <v>36478</v>
      </c>
      <c r="H33" s="5">
        <v>57832</v>
      </c>
      <c r="I33" s="5">
        <v>69875</v>
      </c>
      <c r="J33" s="5">
        <v>129306</v>
      </c>
      <c r="K33" s="5">
        <v>211727</v>
      </c>
    </row>
    <row r="34" spans="3:16" x14ac:dyDescent="0.25">
      <c r="C34" s="7" t="s">
        <v>7</v>
      </c>
      <c r="D34" s="11">
        <f>D33/D7</f>
        <v>0.16426194490731355</v>
      </c>
      <c r="E34" s="11">
        <f>E33/E7</f>
        <v>0.10245239402678226</v>
      </c>
      <c r="F34" s="11">
        <f>F33/F7</f>
        <v>0.10186149980600552</v>
      </c>
      <c r="G34" s="11">
        <f>G33/G7</f>
        <v>2.1263350070590267E-2</v>
      </c>
      <c r="H34" s="11">
        <f>H33/H7</f>
        <v>2.3071650896464013E-2</v>
      </c>
      <c r="I34" s="11">
        <f>I33/I7</f>
        <v>1.6972112056988405E-2</v>
      </c>
      <c r="J34" s="11">
        <f>J33/J7</f>
        <v>2.8098717753980085E-2</v>
      </c>
      <c r="K34" s="11">
        <f>K33/K7</f>
        <v>4.5966503224517841E-2</v>
      </c>
    </row>
    <row r="36" spans="3:16" x14ac:dyDescent="0.25">
      <c r="C36" t="s">
        <v>10</v>
      </c>
      <c r="D36" s="5">
        <v>-483641</v>
      </c>
      <c r="E36" s="5">
        <v>173671</v>
      </c>
      <c r="F36" s="5">
        <v>51967</v>
      </c>
      <c r="G36" s="5">
        <v>132286</v>
      </c>
      <c r="H36" s="5">
        <v>25283</v>
      </c>
      <c r="I36" s="5">
        <v>1448180</v>
      </c>
      <c r="J36" s="5">
        <v>-570947</v>
      </c>
      <c r="K36" s="5">
        <v>358686</v>
      </c>
    </row>
    <row r="37" spans="3:16" x14ac:dyDescent="0.25">
      <c r="C37" s="7" t="s">
        <v>7</v>
      </c>
      <c r="D37" s="11">
        <f>D36/D7</f>
        <v>-1.1957046296250513</v>
      </c>
      <c r="E37" s="11">
        <f>E36/E7</f>
        <v>0.21052331719900261</v>
      </c>
      <c r="F37" s="11">
        <f>F36/F7</f>
        <v>4.4023191234499499E-2</v>
      </c>
      <c r="G37" s="11">
        <f>G36/G7</f>
        <v>7.7110683903670804E-2</v>
      </c>
      <c r="H37" s="11">
        <f>H36/H7</f>
        <v>1.0086466828318225E-2</v>
      </c>
      <c r="I37" s="11">
        <f>I36/I7</f>
        <v>0.3517520320384897</v>
      </c>
      <c r="J37" s="11">
        <f>J36/J7</f>
        <v>-0.12406909660403746</v>
      </c>
      <c r="K37" s="11">
        <f>K36/K7</f>
        <v>7.7871698817767246E-2</v>
      </c>
    </row>
    <row r="41" spans="3:16" x14ac:dyDescent="0.25">
      <c r="C41" t="s">
        <v>32</v>
      </c>
    </row>
    <row r="48" spans="3:16" x14ac:dyDescent="0.25">
      <c r="L48">
        <v>1</v>
      </c>
      <c r="M48">
        <f>L48+1</f>
        <v>2</v>
      </c>
      <c r="N48">
        <f t="shared" ref="N48:P48" si="20">M48+1</f>
        <v>3</v>
      </c>
      <c r="O48">
        <f t="shared" si="20"/>
        <v>4</v>
      </c>
      <c r="P48">
        <f t="shared" si="20"/>
        <v>5</v>
      </c>
    </row>
    <row r="49" spans="3:16" x14ac:dyDescent="0.25">
      <c r="C49" s="13" t="s">
        <v>17</v>
      </c>
      <c r="D49" s="14">
        <v>2016</v>
      </c>
      <c r="E49" s="14">
        <v>2017</v>
      </c>
      <c r="F49" s="14">
        <v>2018</v>
      </c>
      <c r="G49" s="14">
        <v>2019</v>
      </c>
      <c r="H49" s="14">
        <v>2020</v>
      </c>
      <c r="I49" s="14">
        <v>2021</v>
      </c>
      <c r="J49" s="14">
        <v>2022</v>
      </c>
      <c r="K49" s="14">
        <v>2023</v>
      </c>
      <c r="L49" s="30">
        <f>K49+1</f>
        <v>2024</v>
      </c>
      <c r="M49" s="30">
        <f t="shared" ref="M49:P49" si="21">L49+1</f>
        <v>2025</v>
      </c>
      <c r="N49" s="30">
        <f t="shared" si="21"/>
        <v>2026</v>
      </c>
      <c r="O49" s="30">
        <f t="shared" si="21"/>
        <v>2027</v>
      </c>
      <c r="P49" s="30">
        <f t="shared" si="21"/>
        <v>2028</v>
      </c>
    </row>
    <row r="50" spans="3:16" x14ac:dyDescent="0.25">
      <c r="C50" t="s">
        <v>1</v>
      </c>
      <c r="D50" s="4">
        <f>D7</f>
        <v>404482</v>
      </c>
      <c r="E50" s="4">
        <f t="shared" ref="E50:K50" si="22">E7</f>
        <v>824949</v>
      </c>
      <c r="F50" s="4">
        <f t="shared" si="22"/>
        <v>1180446</v>
      </c>
      <c r="G50" s="4">
        <f t="shared" si="22"/>
        <v>1715534</v>
      </c>
      <c r="H50" s="4">
        <f t="shared" si="22"/>
        <v>2506626</v>
      </c>
      <c r="I50" s="4">
        <f t="shared" si="22"/>
        <v>4117048</v>
      </c>
      <c r="J50" s="4">
        <f t="shared" si="22"/>
        <v>4601847</v>
      </c>
      <c r="K50" s="4">
        <f t="shared" si="22"/>
        <v>4606115</v>
      </c>
      <c r="L50" s="4">
        <f>K50*(1+L51)</f>
        <v>4836420.75</v>
      </c>
      <c r="M50" s="4">
        <f>L50*(1+M51)</f>
        <v>5138697.046875</v>
      </c>
      <c r="N50" s="4">
        <f t="shared" ref="N50:P50" si="23">M50*(1+N51)</f>
        <v>5524099.3253906248</v>
      </c>
      <c r="O50" s="4">
        <f t="shared" si="23"/>
        <v>6007458.0163623039</v>
      </c>
      <c r="P50" s="4">
        <f t="shared" si="23"/>
        <v>6608203.817998535</v>
      </c>
    </row>
    <row r="51" spans="3:16" x14ac:dyDescent="0.25">
      <c r="C51" s="7" t="s">
        <v>8</v>
      </c>
      <c r="D51" s="4"/>
      <c r="E51" s="11">
        <f>E50/D50-1</f>
        <v>1.0395196819635979</v>
      </c>
      <c r="F51" s="11">
        <f t="shared" ref="F51:K51" si="24">F50/E50-1</f>
        <v>0.43093209398399179</v>
      </c>
      <c r="G51" s="11">
        <f t="shared" si="24"/>
        <v>0.45329307736228519</v>
      </c>
      <c r="H51" s="11">
        <f t="shared" si="24"/>
        <v>0.4611345505247928</v>
      </c>
      <c r="I51" s="11">
        <f t="shared" si="24"/>
        <v>0.64246600809215249</v>
      </c>
      <c r="J51" s="11">
        <f t="shared" si="24"/>
        <v>0.11775403152938702</v>
      </c>
      <c r="K51" s="11">
        <f t="shared" si="24"/>
        <v>9.2745369413638201E-4</v>
      </c>
      <c r="L51" s="16">
        <f>D$97</f>
        <v>0.05</v>
      </c>
      <c r="M51" s="16">
        <f>L51+($P$51-$L$51)/($P$49-$L$49)</f>
        <v>6.25E-2</v>
      </c>
      <c r="N51" s="16">
        <f>M51+($P$51-$L$51)/($P$49-$L$49)</f>
        <v>7.4999999999999997E-2</v>
      </c>
      <c r="O51" s="16">
        <f>N51+($P$51-$L$51)/($P$49-$L$49)</f>
        <v>8.7499999999999994E-2</v>
      </c>
      <c r="P51" s="16">
        <f>G97</f>
        <v>0.1</v>
      </c>
    </row>
    <row r="53" spans="3:16" x14ac:dyDescent="0.25">
      <c r="C53" t="s">
        <v>2</v>
      </c>
      <c r="D53" s="3">
        <f>D10</f>
        <v>451660</v>
      </c>
      <c r="E53" s="3">
        <f t="shared" ref="E53:K53" si="25">E10</f>
        <v>717462</v>
      </c>
      <c r="F53" s="3">
        <f t="shared" si="25"/>
        <v>798865</v>
      </c>
      <c r="G53" s="3">
        <f t="shared" si="25"/>
        <v>895838</v>
      </c>
      <c r="H53" s="3">
        <f t="shared" si="25"/>
        <v>1182505</v>
      </c>
      <c r="I53" s="3">
        <f t="shared" si="25"/>
        <v>1750246</v>
      </c>
      <c r="J53" s="3">
        <f t="shared" si="25"/>
        <v>1815342</v>
      </c>
      <c r="K53" s="3">
        <f t="shared" si="25"/>
        <v>2114117</v>
      </c>
      <c r="L53" s="3">
        <f>L50*L54</f>
        <v>2176389.3374999999</v>
      </c>
      <c r="M53" s="3">
        <f t="shared" ref="M53:P53" si="26">M50*M54</f>
        <v>2440881.0972656254</v>
      </c>
      <c r="N53" s="3">
        <f t="shared" si="26"/>
        <v>2762049.6626953124</v>
      </c>
      <c r="O53" s="3">
        <f t="shared" si="26"/>
        <v>3153915.4585902095</v>
      </c>
      <c r="P53" s="3">
        <f t="shared" si="26"/>
        <v>3634512.0998991947</v>
      </c>
    </row>
    <row r="54" spans="3:16" x14ac:dyDescent="0.25">
      <c r="C54" s="7" t="s">
        <v>7</v>
      </c>
      <c r="D54" s="11">
        <f>D53/D50</f>
        <v>1.1166380704209335</v>
      </c>
      <c r="E54" s="11">
        <f t="shared" ref="E54:K54" si="27">E53/E50</f>
        <v>0.8697046726524913</v>
      </c>
      <c r="F54" s="11">
        <f t="shared" si="27"/>
        <v>0.67674844931491995</v>
      </c>
      <c r="G54" s="11">
        <f t="shared" si="27"/>
        <v>0.52219192391406988</v>
      </c>
      <c r="H54" s="11">
        <f t="shared" si="27"/>
        <v>0.47175166937548718</v>
      </c>
      <c r="I54" s="11">
        <f t="shared" si="27"/>
        <v>0.42512159197560973</v>
      </c>
      <c r="J54" s="11">
        <f t="shared" si="27"/>
        <v>0.39448117245097458</v>
      </c>
      <c r="K54" s="11">
        <f t="shared" si="27"/>
        <v>0.45898050743413921</v>
      </c>
      <c r="L54" s="16">
        <f>D103</f>
        <v>0.45</v>
      </c>
      <c r="M54" s="16">
        <f>L54+($P$54-$L$54)/($P$49-$L$49)</f>
        <v>0.47500000000000003</v>
      </c>
      <c r="N54" s="16">
        <f t="shared" ref="N54:O54" si="28">M54+($P$54-$L$54)/($P$49-$L$49)</f>
        <v>0.5</v>
      </c>
      <c r="O54" s="16">
        <f t="shared" si="28"/>
        <v>0.52500000000000002</v>
      </c>
      <c r="P54" s="16">
        <f>G103</f>
        <v>0.55000000000000004</v>
      </c>
    </row>
    <row r="56" spans="3:16" x14ac:dyDescent="0.25">
      <c r="C56" t="s">
        <v>3</v>
      </c>
      <c r="D56" s="3">
        <f>D14</f>
        <v>473207</v>
      </c>
      <c r="E56" s="3">
        <f t="shared" ref="E56:K56" si="29">E14</f>
        <v>3593063</v>
      </c>
      <c r="F56" s="3">
        <f t="shared" si="29"/>
        <v>3511660</v>
      </c>
      <c r="G56" s="3">
        <f t="shared" si="29"/>
        <v>1923024</v>
      </c>
      <c r="H56" s="3">
        <f t="shared" si="29"/>
        <v>2186193</v>
      </c>
      <c r="I56" s="3">
        <f t="shared" si="29"/>
        <v>3068871</v>
      </c>
      <c r="J56" s="3">
        <f t="shared" si="29"/>
        <v>4181811</v>
      </c>
      <c r="K56" s="3">
        <f t="shared" si="29"/>
        <v>3890377</v>
      </c>
      <c r="L56" s="3">
        <f>L50*L57</f>
        <v>4110957.6374999997</v>
      </c>
      <c r="M56" s="3">
        <f t="shared" ref="M56:P56" si="30">M50*M57</f>
        <v>4432126.2029296877</v>
      </c>
      <c r="N56" s="3">
        <f t="shared" si="30"/>
        <v>4833586.9097167971</v>
      </c>
      <c r="O56" s="3">
        <f t="shared" si="30"/>
        <v>5331618.9895215444</v>
      </c>
      <c r="P56" s="3">
        <f t="shared" si="30"/>
        <v>5947383.4361986816</v>
      </c>
    </row>
    <row r="57" spans="3:16" x14ac:dyDescent="0.25">
      <c r="C57" s="7" t="s">
        <v>7</v>
      </c>
      <c r="D57" s="11">
        <f>D56/D50</f>
        <v>1.1699086733154997</v>
      </c>
      <c r="E57" s="11">
        <f t="shared" ref="E57:K57" si="31">E56/E50</f>
        <v>4.355497127701228</v>
      </c>
      <c r="F57" s="11">
        <f t="shared" si="31"/>
        <v>2.974858655118489</v>
      </c>
      <c r="G57" s="11">
        <f t="shared" si="31"/>
        <v>1.1209477632037605</v>
      </c>
      <c r="H57" s="11">
        <f t="shared" si="31"/>
        <v>0.87216561226126277</v>
      </c>
      <c r="I57" s="11">
        <f t="shared" si="31"/>
        <v>0.74540568873620128</v>
      </c>
      <c r="J57" s="11">
        <f t="shared" si="31"/>
        <v>0.90872447519441646</v>
      </c>
      <c r="K57" s="11">
        <f t="shared" si="31"/>
        <v>0.84461134817519756</v>
      </c>
      <c r="L57" s="16">
        <f>D109</f>
        <v>0.85</v>
      </c>
      <c r="M57" s="16">
        <f>L57+($P$57-$L$57)/($P$49-$L$49)</f>
        <v>0.86250000000000004</v>
      </c>
      <c r="N57" s="16">
        <f t="shared" ref="N57:O57" si="32">M57+($P$57-$L$57)/($P$49-$L$49)</f>
        <v>0.875</v>
      </c>
      <c r="O57" s="16">
        <f t="shared" si="32"/>
        <v>0.88749999999999996</v>
      </c>
      <c r="P57" s="16">
        <f>G109</f>
        <v>0.9</v>
      </c>
    </row>
    <row r="59" spans="3:16" x14ac:dyDescent="0.25">
      <c r="C59" t="s">
        <v>4</v>
      </c>
      <c r="D59" s="4">
        <f>D18</f>
        <v>-520385</v>
      </c>
      <c r="E59" s="4">
        <f t="shared" ref="E59:K59" si="33">E18</f>
        <v>-3485576</v>
      </c>
      <c r="F59" s="4">
        <f t="shared" si="33"/>
        <v>-3130079</v>
      </c>
      <c r="G59" s="4">
        <f t="shared" si="33"/>
        <v>-1103328</v>
      </c>
      <c r="H59" s="4">
        <f t="shared" si="33"/>
        <v>-862072</v>
      </c>
      <c r="I59" s="4">
        <f t="shared" si="33"/>
        <v>-702069</v>
      </c>
      <c r="J59" s="4">
        <f t="shared" si="33"/>
        <v>-1395306</v>
      </c>
      <c r="K59" s="4">
        <f t="shared" si="33"/>
        <v>-1398379</v>
      </c>
      <c r="L59" s="4">
        <f>L50-L53-L56</f>
        <v>-1450926.2249999996</v>
      </c>
      <c r="M59" s="4">
        <f t="shared" ref="M59:P59" si="34">M50-M53-M56</f>
        <v>-1734310.2533203131</v>
      </c>
      <c r="N59" s="4">
        <f t="shared" si="34"/>
        <v>-2071537.2470214847</v>
      </c>
      <c r="O59" s="4">
        <f t="shared" si="34"/>
        <v>-2478076.43174945</v>
      </c>
      <c r="P59" s="4">
        <f t="shared" si="34"/>
        <v>-2973691.7180993413</v>
      </c>
    </row>
    <row r="60" spans="3:16" x14ac:dyDescent="0.25">
      <c r="C60" s="7" t="s">
        <v>7</v>
      </c>
      <c r="D60" s="11">
        <f>D59/D50</f>
        <v>-1.2865467437364333</v>
      </c>
      <c r="E60" s="11">
        <f t="shared" ref="E60:K60" si="35">E59/E50</f>
        <v>-4.2252018003537186</v>
      </c>
      <c r="F60" s="11">
        <f t="shared" si="35"/>
        <v>-2.6516071044334089</v>
      </c>
      <c r="G60" s="11">
        <f t="shared" si="35"/>
        <v>-0.64313968711783032</v>
      </c>
      <c r="H60" s="11">
        <f t="shared" si="35"/>
        <v>-0.34391728163674995</v>
      </c>
      <c r="I60" s="11">
        <f t="shared" si="35"/>
        <v>-0.17052728071181097</v>
      </c>
      <c r="J60" s="11">
        <f t="shared" si="35"/>
        <v>-0.3032056476453911</v>
      </c>
      <c r="K60" s="11">
        <f t="shared" si="35"/>
        <v>-0.30359185560933671</v>
      </c>
    </row>
    <row r="62" spans="3:16" x14ac:dyDescent="0.25">
      <c r="C62" t="s">
        <v>6</v>
      </c>
      <c r="D62" s="3">
        <f>D22</f>
        <v>7080</v>
      </c>
      <c r="E62" s="3">
        <f t="shared" ref="E62:K62" si="36">E22</f>
        <v>18342</v>
      </c>
      <c r="F62" s="3">
        <f t="shared" si="36"/>
        <v>-2547</v>
      </c>
      <c r="G62" s="3">
        <f t="shared" si="36"/>
        <v>-393</v>
      </c>
      <c r="H62" s="3">
        <f t="shared" si="36"/>
        <v>-18654</v>
      </c>
      <c r="I62" s="3">
        <f t="shared" si="36"/>
        <v>-13584</v>
      </c>
      <c r="J62" s="3">
        <f t="shared" si="36"/>
        <v>-28956</v>
      </c>
      <c r="K62" s="3">
        <f t="shared" si="36"/>
        <v>-28062</v>
      </c>
      <c r="L62" s="3">
        <f>L50*L63</f>
        <v>-48364.207500000004</v>
      </c>
      <c r="M62" s="3">
        <f t="shared" ref="M62:P62" si="37">M50*M63</f>
        <v>51386.970468749998</v>
      </c>
      <c r="N62" s="3">
        <f t="shared" si="37"/>
        <v>55240.99325390625</v>
      </c>
      <c r="O62" s="3">
        <f t="shared" si="37"/>
        <v>60074.580163623039</v>
      </c>
      <c r="P62" s="3">
        <f t="shared" si="37"/>
        <v>66082.038179985349</v>
      </c>
    </row>
    <row r="63" spans="3:16" x14ac:dyDescent="0.25">
      <c r="C63" s="7" t="s">
        <v>7</v>
      </c>
      <c r="D63" s="11">
        <f>D62/D50</f>
        <v>1.7503869146216641E-2</v>
      </c>
      <c r="E63" s="11">
        <f t="shared" ref="E63:K63" si="38">E62/E50</f>
        <v>2.2234101744471477E-2</v>
      </c>
      <c r="F63" s="11">
        <f t="shared" si="38"/>
        <v>-2.1576590542896497E-3</v>
      </c>
      <c r="G63" s="11">
        <f t="shared" si="38"/>
        <v>-2.2908318925768885E-4</v>
      </c>
      <c r="H63" s="11">
        <f t="shared" si="38"/>
        <v>-7.4418760517125414E-3</v>
      </c>
      <c r="I63" s="11">
        <f t="shared" si="38"/>
        <v>-3.2994514516226188E-3</v>
      </c>
      <c r="J63" s="11">
        <f t="shared" si="38"/>
        <v>-6.2922561310708508E-3</v>
      </c>
      <c r="K63" s="11">
        <f t="shared" si="38"/>
        <v>-6.0923359490590223E-3</v>
      </c>
      <c r="L63" s="16">
        <v>-0.01</v>
      </c>
      <c r="M63" s="16">
        <v>0.01</v>
      </c>
      <c r="N63" s="16">
        <v>0.01</v>
      </c>
      <c r="O63" s="16">
        <v>0.01</v>
      </c>
      <c r="P63" s="16">
        <v>0.01</v>
      </c>
    </row>
    <row r="64" spans="3:16" ht="15.75" thickBot="1" x14ac:dyDescent="0.3"/>
    <row r="65" spans="3:16" ht="15.75" thickBot="1" x14ac:dyDescent="0.3">
      <c r="C65" s="22" t="s">
        <v>18</v>
      </c>
      <c r="D65" s="23">
        <f>D59+D67</f>
        <v>-491270</v>
      </c>
      <c r="E65" s="23">
        <f>E59+E67</f>
        <v>-3424288</v>
      </c>
      <c r="F65" s="23">
        <f>F59+F67</f>
        <v>-3038431</v>
      </c>
      <c r="G65" s="23">
        <f>G59+G67</f>
        <v>-1016083</v>
      </c>
      <c r="H65" s="23">
        <f>H59+H67</f>
        <v>-775328</v>
      </c>
      <c r="I65" s="23">
        <f>I59+I67</f>
        <v>-582928</v>
      </c>
      <c r="J65" s="23">
        <f>J59+J67</f>
        <v>-1193133</v>
      </c>
      <c r="K65" s="24">
        <f>K59+K67</f>
        <v>-1229938</v>
      </c>
      <c r="L65" s="29">
        <f>L59+L67</f>
        <v>-1262400.3904447462</v>
      </c>
      <c r="M65" s="23">
        <f t="shared" ref="M65:P65" si="39">M59+M67</f>
        <v>-1546206.4115847857</v>
      </c>
      <c r="N65" s="23">
        <f t="shared" si="39"/>
        <v>-1867116.5554894705</v>
      </c>
      <c r="O65" s="23">
        <f t="shared" si="39"/>
        <v>-2246076.7375777247</v>
      </c>
      <c r="P65" s="24">
        <f t="shared" si="39"/>
        <v>-2725515.781470885</v>
      </c>
    </row>
    <row r="67" spans="3:16" x14ac:dyDescent="0.25">
      <c r="C67" t="s">
        <v>5</v>
      </c>
      <c r="D67" s="3">
        <f>D27</f>
        <v>29115</v>
      </c>
      <c r="E67" s="3">
        <f>E27</f>
        <v>61288</v>
      </c>
      <c r="F67" s="3">
        <f>F27</f>
        <v>91648</v>
      </c>
      <c r="G67" s="3">
        <f>G27</f>
        <v>87245</v>
      </c>
      <c r="H67" s="3">
        <f>H27</f>
        <v>86744</v>
      </c>
      <c r="I67" s="3">
        <f>I27</f>
        <v>119141</v>
      </c>
      <c r="J67" s="3">
        <f>J27</f>
        <v>202173</v>
      </c>
      <c r="K67" s="3">
        <f>K27</f>
        <v>168441</v>
      </c>
      <c r="L67" s="3">
        <f>L$50*L68</f>
        <v>188525.83455525344</v>
      </c>
      <c r="M67" s="3">
        <f t="shared" ref="M67:P67" si="40">M$50*M68</f>
        <v>188103.84173552736</v>
      </c>
      <c r="N67" s="3">
        <f t="shared" si="40"/>
        <v>204420.69153201426</v>
      </c>
      <c r="O67" s="3">
        <f t="shared" si="40"/>
        <v>231999.69417172534</v>
      </c>
      <c r="P67" s="3">
        <f t="shared" si="40"/>
        <v>248175.93662845617</v>
      </c>
    </row>
    <row r="68" spans="3:16" x14ac:dyDescent="0.25">
      <c r="C68" s="7" t="s">
        <v>7</v>
      </c>
      <c r="D68" s="11">
        <f>D67/D$50</f>
        <v>7.1980953416962937E-2</v>
      </c>
      <c r="E68" s="11">
        <f t="shared" ref="E68" si="41">E67/E$50</f>
        <v>7.4293077511458278E-2</v>
      </c>
      <c r="F68" s="11">
        <f t="shared" ref="F68" si="42">F67/F$50</f>
        <v>7.7638451907160511E-2</v>
      </c>
      <c r="G68" s="11">
        <f t="shared" ref="G68" si="43">G67/G$50</f>
        <v>5.0855885106328408E-2</v>
      </c>
      <c r="H68" s="11">
        <f t="shared" ref="H68" si="44">H67/H$50</f>
        <v>3.4605880574126335E-2</v>
      </c>
      <c r="I68" s="11">
        <f t="shared" ref="I68" si="45">I67/I$50</f>
        <v>2.8938452988646234E-2</v>
      </c>
      <c r="J68" s="11">
        <f t="shared" ref="J68" si="46">J67/J$50</f>
        <v>4.3933012114483597E-2</v>
      </c>
      <c r="K68" s="11">
        <f t="shared" ref="K68" si="47">K67/K$50</f>
        <v>3.6568995780609036E-2</v>
      </c>
      <c r="L68" s="16">
        <f>AVERAGE(G68:K68)</f>
        <v>3.8980445312838723E-2</v>
      </c>
      <c r="M68" s="16">
        <f>AVERAGE(L68,H68:K68)</f>
        <v>3.6605357354140791E-2</v>
      </c>
      <c r="N68" s="16">
        <f>AVERAGE(L68:M68,I68:K68)</f>
        <v>3.7005252710143675E-2</v>
      </c>
      <c r="O68" s="16">
        <f>AVERAGE(L68:N68,J68:K68)</f>
        <v>3.861861265444317E-2</v>
      </c>
      <c r="P68" s="16">
        <f>AVERAGE(L68:O68,K68)</f>
        <v>3.7555732762435082E-2</v>
      </c>
    </row>
    <row r="69" spans="3:16" x14ac:dyDescent="0.25">
      <c r="D69" s="3"/>
      <c r="E69" s="3"/>
      <c r="F69" s="3"/>
      <c r="G69" s="3"/>
      <c r="H69" s="3"/>
      <c r="I69" s="3"/>
      <c r="J69" s="3"/>
      <c r="K69" s="3"/>
    </row>
    <row r="70" spans="3:16" x14ac:dyDescent="0.25">
      <c r="C70" s="27" t="s">
        <v>21</v>
      </c>
      <c r="D70" s="3">
        <f>D30</f>
        <v>31842</v>
      </c>
      <c r="E70" s="3">
        <f t="shared" ref="E70:K70" si="48">E30</f>
        <v>2639895</v>
      </c>
      <c r="F70" s="3">
        <f t="shared" si="48"/>
        <v>538211</v>
      </c>
      <c r="G70" s="3">
        <f t="shared" si="48"/>
        <v>686013</v>
      </c>
      <c r="H70" s="3">
        <f t="shared" si="48"/>
        <v>770182</v>
      </c>
      <c r="I70" s="3">
        <f t="shared" si="48"/>
        <v>1092135</v>
      </c>
      <c r="J70" s="3">
        <f t="shared" si="48"/>
        <v>1387787</v>
      </c>
      <c r="K70" s="3">
        <f t="shared" si="48"/>
        <v>1324004</v>
      </c>
      <c r="L70" s="3">
        <f>L71*L$50</f>
        <v>1450926.2249999999</v>
      </c>
      <c r="M70" s="3">
        <f t="shared" ref="M70:P70" si="49">M71*M$50</f>
        <v>1605842.8271484375</v>
      </c>
      <c r="N70" s="3">
        <f t="shared" si="49"/>
        <v>1795332.2807519531</v>
      </c>
      <c r="O70" s="3">
        <f t="shared" si="49"/>
        <v>2027517.0805222776</v>
      </c>
      <c r="P70" s="3">
        <f t="shared" si="49"/>
        <v>2312871.3362994869</v>
      </c>
    </row>
    <row r="71" spans="3:16" x14ac:dyDescent="0.25">
      <c r="C71" s="7" t="s">
        <v>7</v>
      </c>
      <c r="D71" s="11">
        <f>D70/D$50</f>
        <v>7.8722909795738746E-2</v>
      </c>
      <c r="E71" s="11">
        <f t="shared" ref="E71:K71" si="50">E70/E$50</f>
        <v>3.2000705498158069</v>
      </c>
      <c r="F71" s="11">
        <f t="shared" si="50"/>
        <v>0.45593868758079575</v>
      </c>
      <c r="G71" s="11">
        <f t="shared" si="50"/>
        <v>0.39988306847896921</v>
      </c>
      <c r="H71" s="11">
        <f t="shared" si="50"/>
        <v>0.30725844222472759</v>
      </c>
      <c r="I71" s="11">
        <f t="shared" si="50"/>
        <v>0.26527137891032604</v>
      </c>
      <c r="J71" s="11">
        <f t="shared" si="50"/>
        <v>0.30157173847805024</v>
      </c>
      <c r="K71" s="11">
        <f t="shared" si="50"/>
        <v>0.28744484234544732</v>
      </c>
      <c r="L71" s="16">
        <f>D115</f>
        <v>0.3</v>
      </c>
      <c r="M71" s="16">
        <f>L71+($P$71-$L$71)/($P$49-$L$49)</f>
        <v>0.3125</v>
      </c>
      <c r="N71" s="16">
        <f t="shared" ref="N71:O71" si="51">M71+($P$71-$L$71)/($P$49-$L$49)</f>
        <v>0.32500000000000001</v>
      </c>
      <c r="O71" s="16">
        <f t="shared" si="51"/>
        <v>0.33750000000000002</v>
      </c>
      <c r="P71" s="16">
        <f>G115</f>
        <v>0.35</v>
      </c>
    </row>
    <row r="72" spans="3:16" x14ac:dyDescent="0.25">
      <c r="C72" s="25"/>
      <c r="D72" s="26"/>
      <c r="E72" s="26"/>
      <c r="F72" s="26"/>
      <c r="G72" s="26"/>
      <c r="H72" s="26"/>
      <c r="I72" s="26"/>
      <c r="J72" s="26"/>
      <c r="K72" s="26"/>
    </row>
    <row r="73" spans="3:16" x14ac:dyDescent="0.25">
      <c r="C73" t="s">
        <v>9</v>
      </c>
      <c r="D73" s="3">
        <f>D33</f>
        <v>66441</v>
      </c>
      <c r="E73" s="3">
        <f t="shared" ref="E73:K73" si="52">E33</f>
        <v>84518</v>
      </c>
      <c r="F73" s="3">
        <f t="shared" si="52"/>
        <v>120242</v>
      </c>
      <c r="G73" s="3">
        <f t="shared" si="52"/>
        <v>36478</v>
      </c>
      <c r="H73" s="3">
        <f t="shared" si="52"/>
        <v>57832</v>
      </c>
      <c r="I73" s="3">
        <f t="shared" si="52"/>
        <v>69875</v>
      </c>
      <c r="J73" s="3">
        <f t="shared" si="52"/>
        <v>129306</v>
      </c>
      <c r="K73" s="3">
        <f t="shared" si="52"/>
        <v>211727</v>
      </c>
      <c r="L73" s="3">
        <f>L74*L$50</f>
        <v>191227.10607228402</v>
      </c>
      <c r="M73" s="3">
        <f t="shared" ref="M73:P73" si="53">M74*M$50</f>
        <v>149802.70219487222</v>
      </c>
      <c r="N73" s="3">
        <f t="shared" si="53"/>
        <v>168300.74603932019</v>
      </c>
      <c r="O73" s="3">
        <f t="shared" si="53"/>
        <v>190431.24251594159</v>
      </c>
      <c r="P73" s="3">
        <f t="shared" si="53"/>
        <v>225694.23194637676</v>
      </c>
    </row>
    <row r="74" spans="3:16" x14ac:dyDescent="0.25">
      <c r="C74" s="7" t="s">
        <v>7</v>
      </c>
      <c r="D74" s="11">
        <f>D73/D$50</f>
        <v>0.16426194490731355</v>
      </c>
      <c r="E74" s="11">
        <f t="shared" ref="E74" si="54">E73/E$50</f>
        <v>0.10245239402678226</v>
      </c>
      <c r="F74" s="11">
        <f t="shared" ref="F74" si="55">F73/F$50</f>
        <v>0.10186149980600552</v>
      </c>
      <c r="G74" s="11">
        <f t="shared" ref="G74" si="56">G73/G$50</f>
        <v>2.1263350070590267E-2</v>
      </c>
      <c r="H74" s="11">
        <f t="shared" ref="H74" si="57">H73/H$50</f>
        <v>2.3071650896464013E-2</v>
      </c>
      <c r="I74" s="11">
        <f t="shared" ref="I74" si="58">I73/I$50</f>
        <v>1.6972112056988405E-2</v>
      </c>
      <c r="J74" s="11">
        <f t="shared" ref="J74" si="59">J73/J$50</f>
        <v>2.8098717753980085E-2</v>
      </c>
      <c r="K74" s="11">
        <f t="shared" ref="K74" si="60">K73/K$50</f>
        <v>4.5966503224517841E-2</v>
      </c>
      <c r="L74" s="16">
        <f>AVERAGE(F74:K74)</f>
        <v>3.9538972301424356E-2</v>
      </c>
      <c r="M74" s="16">
        <f t="shared" ref="M74:P74" si="61">AVERAGE(G74:L74)</f>
        <v>2.9151884383994162E-2</v>
      </c>
      <c r="N74" s="16">
        <f t="shared" si="61"/>
        <v>3.046664010289481E-2</v>
      </c>
      <c r="O74" s="16">
        <f t="shared" si="61"/>
        <v>3.1699138303966611E-2</v>
      </c>
      <c r="P74" s="16">
        <f t="shared" si="61"/>
        <v>3.4153642678462978E-2</v>
      </c>
    </row>
    <row r="75" spans="3:16" x14ac:dyDescent="0.25">
      <c r="C75" s="25"/>
      <c r="D75" s="26"/>
      <c r="E75" s="26"/>
      <c r="F75" s="26"/>
      <c r="G75" s="26"/>
      <c r="H75" s="26"/>
      <c r="I75" s="26"/>
      <c r="J75" s="26"/>
      <c r="K75" s="26"/>
    </row>
    <row r="76" spans="3:16" x14ac:dyDescent="0.25">
      <c r="C76" t="s">
        <v>10</v>
      </c>
      <c r="D76" s="3">
        <f>D36</f>
        <v>-483641</v>
      </c>
      <c r="E76" s="3">
        <f t="shared" ref="E76:K76" si="62">E36</f>
        <v>173671</v>
      </c>
      <c r="F76" s="3">
        <f t="shared" si="62"/>
        <v>51967</v>
      </c>
      <c r="G76" s="3">
        <f t="shared" si="62"/>
        <v>132286</v>
      </c>
      <c r="H76" s="3">
        <f t="shared" si="62"/>
        <v>25283</v>
      </c>
      <c r="I76" s="3">
        <f t="shared" si="62"/>
        <v>1448180</v>
      </c>
      <c r="J76" s="3">
        <f t="shared" si="62"/>
        <v>-570947</v>
      </c>
      <c r="K76" s="3">
        <f t="shared" si="62"/>
        <v>358686</v>
      </c>
      <c r="L76" s="3">
        <f>L77*L$50</f>
        <v>241821.03750000001</v>
      </c>
      <c r="M76" s="3">
        <f t="shared" ref="M76:P76" si="63">M77*M$50</f>
        <v>308321.8228125</v>
      </c>
      <c r="N76" s="3">
        <f t="shared" si="63"/>
        <v>386686.9527773438</v>
      </c>
      <c r="O76" s="3">
        <f t="shared" si="63"/>
        <v>480596.64130898431</v>
      </c>
      <c r="P76" s="3">
        <f t="shared" si="63"/>
        <v>594738.34361986816</v>
      </c>
    </row>
    <row r="77" spans="3:16" x14ac:dyDescent="0.25">
      <c r="C77" s="7" t="s">
        <v>7</v>
      </c>
      <c r="D77" s="11">
        <f>D76/D$50</f>
        <v>-1.1957046296250513</v>
      </c>
      <c r="E77" s="11">
        <f t="shared" ref="E77" si="64">E76/E$50</f>
        <v>0.21052331719900261</v>
      </c>
      <c r="F77" s="11">
        <f t="shared" ref="F77" si="65">F76/F$50</f>
        <v>4.4023191234499499E-2</v>
      </c>
      <c r="G77" s="11">
        <f t="shared" ref="G77" si="66">G76/G$50</f>
        <v>7.7110683903670804E-2</v>
      </c>
      <c r="H77" s="11">
        <f t="shared" ref="H77" si="67">H76/H$50</f>
        <v>1.0086466828318225E-2</v>
      </c>
      <c r="I77" s="11">
        <f t="shared" ref="I77" si="68">I76/I$50</f>
        <v>0.3517520320384897</v>
      </c>
      <c r="J77" s="11">
        <f t="shared" ref="J77" si="69">J76/J$50</f>
        <v>-0.12406909660403746</v>
      </c>
      <c r="K77" s="11">
        <f t="shared" ref="K77" si="70">K76/K$50</f>
        <v>7.7871698817767246E-2</v>
      </c>
      <c r="L77" s="31">
        <v>0.05</v>
      </c>
      <c r="M77" s="31">
        <f>L77+1%</f>
        <v>6.0000000000000005E-2</v>
      </c>
      <c r="N77" s="31">
        <f t="shared" ref="N77:P77" si="71">M77+1%</f>
        <v>7.0000000000000007E-2</v>
      </c>
      <c r="O77" s="31">
        <f t="shared" si="71"/>
        <v>0.08</v>
      </c>
      <c r="P77" s="31">
        <f t="shared" si="71"/>
        <v>0.09</v>
      </c>
    </row>
    <row r="78" spans="3:16" x14ac:dyDescent="0.25">
      <c r="D78" s="3"/>
      <c r="E78" s="3"/>
      <c r="F78" s="3"/>
      <c r="G78" s="3"/>
      <c r="H78" s="3"/>
      <c r="I78" s="3"/>
      <c r="J78" s="3"/>
      <c r="K78" s="3"/>
    </row>
    <row r="79" spans="3:16" x14ac:dyDescent="0.25">
      <c r="C79" t="s">
        <v>19</v>
      </c>
      <c r="L79" s="4">
        <f>L65+L70-L73-L76</f>
        <v>-244522.30901703041</v>
      </c>
      <c r="M79" s="4">
        <f t="shared" ref="M79:P79" si="72">M65+M70-M73-M76</f>
        <v>-398488.10944372043</v>
      </c>
      <c r="N79" s="4">
        <f t="shared" si="72"/>
        <v>-626771.9735541814</v>
      </c>
      <c r="O79" s="4">
        <f t="shared" si="72"/>
        <v>-889587.54088037298</v>
      </c>
      <c r="P79" s="4">
        <f t="shared" si="72"/>
        <v>-1233077.0207376429</v>
      </c>
    </row>
    <row r="80" spans="3:16" x14ac:dyDescent="0.25">
      <c r="C80" t="s">
        <v>20</v>
      </c>
      <c r="D80" s="3"/>
      <c r="E80" s="3"/>
      <c r="F80" s="3"/>
      <c r="G80" s="3"/>
      <c r="H80" s="3"/>
      <c r="I80" s="3"/>
      <c r="J80" s="3"/>
      <c r="K80" s="3"/>
      <c r="L80" s="4">
        <f>L79/(1+$D$130)^L$48</f>
        <v>-225782.37213022198</v>
      </c>
      <c r="M80" s="4">
        <f t="shared" ref="M80:P80" si="73">M79/(1+$D$130)^M$48</f>
        <v>-339749.20853015117</v>
      </c>
      <c r="N80" s="4">
        <f t="shared" si="73"/>
        <v>-493428.46397760132</v>
      </c>
      <c r="O80" s="4">
        <f t="shared" si="73"/>
        <v>-646658.31348687178</v>
      </c>
      <c r="P80" s="4">
        <f t="shared" si="73"/>
        <v>-827652.29055967834</v>
      </c>
    </row>
    <row r="81" spans="3:16" x14ac:dyDescent="0.25">
      <c r="C81" t="s">
        <v>23</v>
      </c>
      <c r="D81" s="3"/>
      <c r="E81" s="3"/>
      <c r="F81" s="3"/>
      <c r="G81" s="3"/>
      <c r="H81" s="3"/>
      <c r="I81" s="3"/>
      <c r="J81" s="3"/>
      <c r="K81" s="3"/>
      <c r="L81" s="4"/>
      <c r="M81" s="4"/>
      <c r="N81" s="4"/>
      <c r="O81" s="4"/>
      <c r="P81" s="4">
        <f>P80*(1+$D$134)/($D$130-$D$134)</f>
        <v>-20017636.794931754</v>
      </c>
    </row>
    <row r="82" spans="3:16" x14ac:dyDescent="0.25">
      <c r="C82" t="s">
        <v>25</v>
      </c>
      <c r="D82" s="3"/>
      <c r="E82" s="3"/>
      <c r="F82" s="3"/>
      <c r="G82" s="3"/>
      <c r="H82" s="3"/>
      <c r="I82" s="3"/>
      <c r="J82" s="3"/>
      <c r="K82" s="3"/>
      <c r="L82" s="4"/>
      <c r="M82" s="4"/>
      <c r="N82" s="4"/>
      <c r="O82" s="4"/>
      <c r="P82" s="4">
        <f>P81/(1+$D$130)</f>
        <v>-18483505.812494695</v>
      </c>
    </row>
    <row r="83" spans="3:16" x14ac:dyDescent="0.25">
      <c r="C83" t="s">
        <v>26</v>
      </c>
      <c r="D83" s="3"/>
      <c r="E83" s="3"/>
      <c r="F83" s="3"/>
      <c r="G83" s="3"/>
      <c r="H83" s="3"/>
      <c r="I83" s="3"/>
      <c r="J83" s="3"/>
      <c r="K83" s="3"/>
      <c r="L83" s="4"/>
      <c r="M83" s="4"/>
      <c r="N83" s="4"/>
      <c r="O83" s="4"/>
      <c r="P83" s="4" cm="1">
        <f t="array" ref="P83">SUM(L80:P80+P82)</f>
        <v>-94950799.711158007</v>
      </c>
    </row>
    <row r="84" spans="3:16" x14ac:dyDescent="0.25">
      <c r="C84" t="s">
        <v>27</v>
      </c>
      <c r="D84" s="3"/>
      <c r="E84" s="3"/>
      <c r="F84" s="3"/>
      <c r="G84" s="3"/>
      <c r="H84" s="3"/>
      <c r="I84" s="3"/>
      <c r="J84" s="3"/>
      <c r="K84" s="3"/>
      <c r="L84" s="4"/>
      <c r="M84" s="4"/>
      <c r="N84" s="4"/>
      <c r="O84" s="4"/>
      <c r="P84" s="10">
        <v>1780400</v>
      </c>
    </row>
    <row r="85" spans="3:16" x14ac:dyDescent="0.25">
      <c r="C85" t="s">
        <v>28</v>
      </c>
      <c r="D85" s="3"/>
      <c r="E85" s="3"/>
      <c r="F85" s="3"/>
      <c r="G85" s="3"/>
      <c r="H85" s="3"/>
      <c r="I85" s="3"/>
      <c r="J85" s="3"/>
      <c r="K85" s="3"/>
      <c r="L85" s="4"/>
      <c r="M85" s="4"/>
      <c r="N85" s="4"/>
      <c r="O85" s="4"/>
      <c r="P85" s="5">
        <v>3749400</v>
      </c>
    </row>
    <row r="86" spans="3:16" x14ac:dyDescent="0.25">
      <c r="C86" t="s">
        <v>29</v>
      </c>
      <c r="D86" s="3"/>
      <c r="E86" s="3"/>
      <c r="F86" s="3"/>
      <c r="G86" s="3"/>
      <c r="H86" s="3"/>
      <c r="I86" s="3"/>
      <c r="J86" s="3"/>
      <c r="K86" s="3"/>
      <c r="L86" s="4"/>
      <c r="M86" s="4"/>
      <c r="N86" s="4"/>
      <c r="O86" s="4"/>
      <c r="P86" s="4">
        <f>P83+P84-P85</f>
        <v>-96919799.711158007</v>
      </c>
    </row>
    <row r="87" spans="3:16" x14ac:dyDescent="0.25">
      <c r="C87" t="s">
        <v>30</v>
      </c>
      <c r="D87" s="3"/>
      <c r="E87" s="3"/>
      <c r="F87" s="3"/>
      <c r="G87" s="3"/>
      <c r="H87" s="3"/>
      <c r="I87" s="3"/>
      <c r="J87" s="3"/>
      <c r="K87" s="3"/>
      <c r="L87" s="4"/>
      <c r="M87" s="4"/>
      <c r="N87" s="4"/>
      <c r="O87" s="4"/>
      <c r="P87" s="4">
        <v>1645749</v>
      </c>
    </row>
    <row r="88" spans="3:16" x14ac:dyDescent="0.25">
      <c r="C88" t="s">
        <v>31</v>
      </c>
      <c r="D88" s="3"/>
      <c r="E88" s="3"/>
      <c r="F88" s="3"/>
      <c r="G88" s="3"/>
      <c r="H88" s="3"/>
      <c r="I88" s="3"/>
      <c r="J88" s="3"/>
      <c r="K88" s="3"/>
      <c r="L88" s="4"/>
      <c r="M88" s="4"/>
      <c r="N88" s="4"/>
      <c r="O88" s="4"/>
      <c r="P88" s="4">
        <f>P86/P87</f>
        <v>-58.890997175850025</v>
      </c>
    </row>
    <row r="89" spans="3:16" x14ac:dyDescent="0.25">
      <c r="D89" s="3"/>
      <c r="E89" s="3"/>
      <c r="F89" s="3"/>
      <c r="G89" s="3"/>
      <c r="H89" s="3"/>
      <c r="I89" s="3"/>
      <c r="J89" s="3"/>
      <c r="K89" s="3"/>
      <c r="L89" s="4"/>
      <c r="M89" s="4"/>
      <c r="N89" s="4"/>
      <c r="O89" s="4"/>
      <c r="P89" s="4"/>
    </row>
    <row r="90" spans="3:16" x14ac:dyDescent="0.25">
      <c r="D90" s="3"/>
      <c r="E90" s="3"/>
      <c r="F90" s="3"/>
      <c r="G90" s="3"/>
      <c r="H90" s="3"/>
      <c r="I90" s="3"/>
      <c r="J90" s="3"/>
      <c r="K90" s="3"/>
      <c r="L90" s="4"/>
      <c r="M90" s="4"/>
      <c r="N90" s="4"/>
      <c r="O90" s="4"/>
      <c r="P90" s="4"/>
    </row>
    <row r="91" spans="3:16" x14ac:dyDescent="0.25">
      <c r="D91" s="3"/>
      <c r="E91" s="3"/>
      <c r="F91" s="3"/>
      <c r="G91" s="3"/>
      <c r="H91" s="3"/>
      <c r="I91" s="3"/>
      <c r="J91" s="3"/>
      <c r="K91" s="3"/>
      <c r="L91" s="4"/>
      <c r="M91" s="4"/>
      <c r="N91" s="4"/>
      <c r="O91" s="4"/>
      <c r="P91" s="4"/>
    </row>
    <row r="92" spans="3:16" x14ac:dyDescent="0.25">
      <c r="D92" s="3"/>
      <c r="E92" s="3"/>
      <c r="F92" s="3"/>
      <c r="G92" s="3"/>
      <c r="H92" s="3"/>
      <c r="I92" s="3"/>
      <c r="J92" s="3"/>
      <c r="K92" s="3"/>
    </row>
    <row r="93" spans="3:16" x14ac:dyDescent="0.25">
      <c r="C93" s="12" t="s">
        <v>13</v>
      </c>
      <c r="D93" s="14">
        <v>2024</v>
      </c>
      <c r="G93" s="14">
        <v>2028</v>
      </c>
      <c r="H93" s="3"/>
      <c r="I93" s="3"/>
      <c r="J93" s="3"/>
      <c r="K93" s="3"/>
    </row>
    <row r="94" spans="3:16" x14ac:dyDescent="0.25">
      <c r="C94" s="17" t="s">
        <v>1</v>
      </c>
      <c r="H94" s="3"/>
      <c r="I94" s="3"/>
      <c r="J94" s="3"/>
      <c r="K94" s="3"/>
    </row>
    <row r="95" spans="3:16" x14ac:dyDescent="0.25">
      <c r="C95" s="18" t="s">
        <v>8</v>
      </c>
      <c r="D95" s="16"/>
      <c r="G95" s="16"/>
      <c r="H95" s="3"/>
      <c r="I95" s="3"/>
      <c r="J95" s="3"/>
      <c r="K95" s="3"/>
    </row>
    <row r="96" spans="3:16" x14ac:dyDescent="0.25">
      <c r="C96" s="19" t="s">
        <v>14</v>
      </c>
      <c r="D96" s="16">
        <v>0.02</v>
      </c>
      <c r="G96" s="16">
        <v>0.05</v>
      </c>
    </row>
    <row r="97" spans="3:7" x14ac:dyDescent="0.25">
      <c r="C97" s="20" t="s">
        <v>15</v>
      </c>
      <c r="D97" s="16">
        <v>0.05</v>
      </c>
      <c r="G97" s="16">
        <v>0.1</v>
      </c>
    </row>
    <row r="98" spans="3:7" x14ac:dyDescent="0.25">
      <c r="C98" s="21" t="s">
        <v>16</v>
      </c>
      <c r="D98" s="16">
        <v>0.1</v>
      </c>
      <c r="G98" s="16">
        <v>0.3</v>
      </c>
    </row>
    <row r="99" spans="3:7" x14ac:dyDescent="0.25">
      <c r="C99" s="17"/>
      <c r="D99" s="16"/>
      <c r="G99" s="16"/>
    </row>
    <row r="100" spans="3:7" x14ac:dyDescent="0.25">
      <c r="C100" t="s">
        <v>2</v>
      </c>
    </row>
    <row r="101" spans="3:7" x14ac:dyDescent="0.25">
      <c r="C101" s="7" t="s">
        <v>7</v>
      </c>
    </row>
    <row r="102" spans="3:7" x14ac:dyDescent="0.25">
      <c r="C102" s="19" t="s">
        <v>14</v>
      </c>
      <c r="D102" s="16">
        <v>0.5</v>
      </c>
      <c r="G102" s="16">
        <v>0.65</v>
      </c>
    </row>
    <row r="103" spans="3:7" x14ac:dyDescent="0.25">
      <c r="C103" s="20" t="s">
        <v>15</v>
      </c>
      <c r="D103" s="16">
        <v>0.45</v>
      </c>
      <c r="G103" s="16">
        <v>0.55000000000000004</v>
      </c>
    </row>
    <row r="104" spans="3:7" x14ac:dyDescent="0.25">
      <c r="C104" s="21" t="s">
        <v>16</v>
      </c>
      <c r="D104" s="16">
        <v>0.35</v>
      </c>
      <c r="G104" s="16">
        <v>0.2</v>
      </c>
    </row>
    <row r="106" spans="3:7" x14ac:dyDescent="0.25">
      <c r="C106" t="s">
        <v>3</v>
      </c>
    </row>
    <row r="107" spans="3:7" x14ac:dyDescent="0.25">
      <c r="C107" s="7" t="s">
        <v>7</v>
      </c>
    </row>
    <row r="108" spans="3:7" x14ac:dyDescent="0.25">
      <c r="C108" s="19" t="s">
        <v>14</v>
      </c>
      <c r="D108" s="16">
        <v>0.88</v>
      </c>
      <c r="G108" s="16">
        <v>0.92</v>
      </c>
    </row>
    <row r="109" spans="3:7" x14ac:dyDescent="0.25">
      <c r="C109" s="20" t="s">
        <v>15</v>
      </c>
      <c r="D109" s="16">
        <v>0.85</v>
      </c>
      <c r="G109" s="16">
        <v>0.9</v>
      </c>
    </row>
    <row r="110" spans="3:7" x14ac:dyDescent="0.25">
      <c r="C110" s="21" t="s">
        <v>16</v>
      </c>
      <c r="D110" s="16">
        <v>0.83</v>
      </c>
      <c r="G110" s="16">
        <v>0.75</v>
      </c>
    </row>
    <row r="112" spans="3:7" x14ac:dyDescent="0.25">
      <c r="C112" t="s">
        <v>21</v>
      </c>
    </row>
    <row r="113" spans="3:7" x14ac:dyDescent="0.25">
      <c r="C113" s="7" t="s">
        <v>7</v>
      </c>
    </row>
    <row r="114" spans="3:7" x14ac:dyDescent="0.25">
      <c r="C114" s="19" t="s">
        <v>14</v>
      </c>
      <c r="D114" s="16">
        <v>0.2</v>
      </c>
      <c r="G114" s="16">
        <v>0.25</v>
      </c>
    </row>
    <row r="115" spans="3:7" x14ac:dyDescent="0.25">
      <c r="C115" s="20" t="s">
        <v>15</v>
      </c>
      <c r="D115" s="16">
        <v>0.3</v>
      </c>
      <c r="G115" s="16">
        <v>0.35</v>
      </c>
    </row>
    <row r="116" spans="3:7" x14ac:dyDescent="0.25">
      <c r="C116" s="21" t="s">
        <v>16</v>
      </c>
      <c r="D116" s="16">
        <v>0.35</v>
      </c>
      <c r="G116" s="16">
        <v>0.45</v>
      </c>
    </row>
    <row r="118" spans="3:7" x14ac:dyDescent="0.25">
      <c r="C118" t="s">
        <v>5</v>
      </c>
    </row>
    <row r="119" spans="3:7" x14ac:dyDescent="0.25">
      <c r="C119" s="7" t="s">
        <v>7</v>
      </c>
    </row>
    <row r="120" spans="3:7" x14ac:dyDescent="0.25">
      <c r="C120" s="7"/>
    </row>
    <row r="121" spans="3:7" x14ac:dyDescent="0.25">
      <c r="C121" t="s">
        <v>9</v>
      </c>
    </row>
    <row r="122" spans="3:7" x14ac:dyDescent="0.25">
      <c r="C122" s="7" t="s">
        <v>7</v>
      </c>
    </row>
    <row r="128" spans="3:7" x14ac:dyDescent="0.25">
      <c r="C128" s="7" t="s">
        <v>22</v>
      </c>
    </row>
    <row r="129" spans="3:4" x14ac:dyDescent="0.25">
      <c r="C129" s="19" t="s">
        <v>14</v>
      </c>
      <c r="D129" s="28">
        <v>8.6999999999999994E-2</v>
      </c>
    </row>
    <row r="130" spans="3:4" x14ac:dyDescent="0.25">
      <c r="C130" s="20" t="s">
        <v>15</v>
      </c>
      <c r="D130" s="28">
        <v>8.3000000000000004E-2</v>
      </c>
    </row>
    <row r="131" spans="3:4" x14ac:dyDescent="0.25">
      <c r="C131" s="21" t="s">
        <v>16</v>
      </c>
      <c r="D131" s="28">
        <v>8.1000000000000003E-2</v>
      </c>
    </row>
    <row r="133" spans="3:4" x14ac:dyDescent="0.25">
      <c r="C133" t="s">
        <v>24</v>
      </c>
    </row>
    <row r="134" spans="3:4" x14ac:dyDescent="0.25">
      <c r="C134" s="20" t="s">
        <v>15</v>
      </c>
      <c r="D134" s="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Simangunsong, Joshua</dc:creator>
  <cp:lastModifiedBy>Joshua Simangunsong</cp:lastModifiedBy>
  <dcterms:created xsi:type="dcterms:W3CDTF">2024-02-13T20:16:20Z</dcterms:created>
  <dcterms:modified xsi:type="dcterms:W3CDTF">2024-02-14T01:21:19Z</dcterms:modified>
</cp:coreProperties>
</file>