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6cc89c3b879ce5/Desktop/DCF/"/>
    </mc:Choice>
  </mc:AlternateContent>
  <xr:revisionPtr revIDLastSave="57" documentId="8_{7BB65297-2F06-41FF-976B-AA6D0B06E182}" xr6:coauthVersionLast="47" xr6:coauthVersionMax="47" xr10:uidLastSave="{47EC9C1A-FD45-4939-9290-DF200EC4DBBB}"/>
  <bookViews>
    <workbookView xWindow="-120" yWindow="480" windowWidth="38640" windowHeight="21240" xr2:uid="{5B6B8564-B30A-4241-B48E-B85557DE334E}"/>
  </bookViews>
  <sheets>
    <sheet name="SN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0" i="1" l="1"/>
  <c r="O50" i="1"/>
  <c r="N50" i="1"/>
  <c r="M50" i="1"/>
  <c r="L50" i="1"/>
  <c r="M38" i="1"/>
  <c r="N38" i="1" s="1"/>
  <c r="O38" i="1" s="1"/>
  <c r="P38" i="1" s="1"/>
  <c r="D3" i="1"/>
  <c r="M67" i="1"/>
  <c r="N67" i="1" s="1"/>
  <c r="P61" i="1"/>
  <c r="L61" i="1"/>
  <c r="P47" i="1"/>
  <c r="L47" i="1"/>
  <c r="P44" i="1"/>
  <c r="L44" i="1"/>
  <c r="P41" i="1"/>
  <c r="L41" i="1"/>
  <c r="K60" i="1"/>
  <c r="J60" i="1"/>
  <c r="I60" i="1"/>
  <c r="H60" i="1"/>
  <c r="G60" i="1"/>
  <c r="F60" i="1"/>
  <c r="E60" i="1"/>
  <c r="D60" i="1"/>
  <c r="K31" i="1"/>
  <c r="J31" i="1"/>
  <c r="I31" i="1"/>
  <c r="H31" i="1"/>
  <c r="G31" i="1"/>
  <c r="F31" i="1"/>
  <c r="E31" i="1"/>
  <c r="D31" i="1"/>
  <c r="K66" i="1"/>
  <c r="J66" i="1"/>
  <c r="I66" i="1"/>
  <c r="H66" i="1"/>
  <c r="G66" i="1"/>
  <c r="F66" i="1"/>
  <c r="E66" i="1"/>
  <c r="D66" i="1"/>
  <c r="K63" i="1"/>
  <c r="J63" i="1"/>
  <c r="I63" i="1"/>
  <c r="H63" i="1"/>
  <c r="G63" i="1"/>
  <c r="F63" i="1"/>
  <c r="E63" i="1"/>
  <c r="D63" i="1"/>
  <c r="K57" i="1"/>
  <c r="J57" i="1"/>
  <c r="I57" i="1"/>
  <c r="H57" i="1"/>
  <c r="G57" i="1"/>
  <c r="F57" i="1"/>
  <c r="E57" i="1"/>
  <c r="D57" i="1"/>
  <c r="K52" i="1"/>
  <c r="J52" i="1"/>
  <c r="I52" i="1"/>
  <c r="H52" i="1"/>
  <c r="G52" i="1"/>
  <c r="F52" i="1"/>
  <c r="E52" i="1"/>
  <c r="D52" i="1"/>
  <c r="K43" i="1"/>
  <c r="J43" i="1"/>
  <c r="I43" i="1"/>
  <c r="H43" i="1"/>
  <c r="G43" i="1"/>
  <c r="F43" i="1"/>
  <c r="E43" i="1"/>
  <c r="D43" i="1"/>
  <c r="K40" i="1"/>
  <c r="J40" i="1"/>
  <c r="I40" i="1"/>
  <c r="H40" i="1"/>
  <c r="G40" i="1"/>
  <c r="F40" i="1"/>
  <c r="E40" i="1"/>
  <c r="D40" i="1"/>
  <c r="L39" i="1"/>
  <c r="M39" i="1" s="1"/>
  <c r="N39" i="1" s="1"/>
  <c r="O39" i="1" s="1"/>
  <c r="P39" i="1" s="1"/>
  <c r="K37" i="1"/>
  <c r="J37" i="1"/>
  <c r="K34" i="1"/>
  <c r="J34" i="1"/>
  <c r="K28" i="1"/>
  <c r="J28" i="1"/>
  <c r="I28" i="1"/>
  <c r="H28" i="1"/>
  <c r="G28" i="1"/>
  <c r="K23" i="1"/>
  <c r="J23" i="1"/>
  <c r="I23" i="1"/>
  <c r="H23" i="1"/>
  <c r="K14" i="1"/>
  <c r="K46" i="1" s="1"/>
  <c r="J14" i="1"/>
  <c r="J18" i="1" s="1"/>
  <c r="J49" i="1" s="1"/>
  <c r="K8" i="1"/>
  <c r="J8" i="1"/>
  <c r="K12" i="1"/>
  <c r="J12" i="1"/>
  <c r="K11" i="1"/>
  <c r="J11" i="1"/>
  <c r="I37" i="1"/>
  <c r="H37" i="1"/>
  <c r="G37" i="1"/>
  <c r="F37" i="1"/>
  <c r="E37" i="1"/>
  <c r="D37" i="1"/>
  <c r="I34" i="1"/>
  <c r="H34" i="1"/>
  <c r="G34" i="1"/>
  <c r="XFC23" i="1"/>
  <c r="G23" i="1"/>
  <c r="I12" i="1"/>
  <c r="H12" i="1"/>
  <c r="G12" i="1"/>
  <c r="F12" i="1"/>
  <c r="E12" i="1"/>
  <c r="I11" i="1"/>
  <c r="H11" i="1"/>
  <c r="G11" i="1"/>
  <c r="I8" i="1"/>
  <c r="H8" i="1"/>
  <c r="G8" i="1"/>
  <c r="I14" i="1"/>
  <c r="I18" i="1" s="1"/>
  <c r="I19" i="1" s="1"/>
  <c r="H14" i="1"/>
  <c r="H46" i="1" s="1"/>
  <c r="G14" i="1"/>
  <c r="G15" i="1" s="1"/>
  <c r="F34" i="1"/>
  <c r="E34" i="1"/>
  <c r="D34" i="1"/>
  <c r="F28" i="1"/>
  <c r="E28" i="1"/>
  <c r="D28" i="1"/>
  <c r="F23" i="1"/>
  <c r="E23" i="1"/>
  <c r="D23" i="1"/>
  <c r="F11" i="1"/>
  <c r="E11" i="1"/>
  <c r="D11" i="1"/>
  <c r="F8" i="1"/>
  <c r="E8" i="1"/>
  <c r="J55" i="1" l="1"/>
  <c r="F41" i="1"/>
  <c r="D67" i="1"/>
  <c r="E61" i="1"/>
  <c r="K61" i="1"/>
  <c r="F67" i="1"/>
  <c r="O67" i="1"/>
  <c r="P67" i="1" s="1"/>
  <c r="J67" i="1"/>
  <c r="H64" i="1"/>
  <c r="H61" i="1"/>
  <c r="H67" i="1"/>
  <c r="I67" i="1"/>
  <c r="G64" i="1"/>
  <c r="E67" i="1"/>
  <c r="K67" i="1"/>
  <c r="G61" i="1"/>
  <c r="G67" i="1"/>
  <c r="M47" i="1"/>
  <c r="N47" i="1" s="1"/>
  <c r="O47" i="1" s="1"/>
  <c r="E58" i="1"/>
  <c r="K58" i="1"/>
  <c r="I64" i="1"/>
  <c r="I61" i="1"/>
  <c r="I58" i="1"/>
  <c r="M41" i="1"/>
  <c r="N41" i="1" s="1"/>
  <c r="O41" i="1" s="1"/>
  <c r="J58" i="1"/>
  <c r="F58" i="1"/>
  <c r="D64" i="1"/>
  <c r="J64" i="1"/>
  <c r="D61" i="1"/>
  <c r="J61" i="1"/>
  <c r="D58" i="1"/>
  <c r="M44" i="1"/>
  <c r="N44" i="1" s="1"/>
  <c r="O44" i="1" s="1"/>
  <c r="G58" i="1"/>
  <c r="E64" i="1"/>
  <c r="K64" i="1"/>
  <c r="M61" i="1"/>
  <c r="N61" i="1" s="1"/>
  <c r="H58" i="1"/>
  <c r="F64" i="1"/>
  <c r="F61" i="1"/>
  <c r="L40" i="1"/>
  <c r="L66" i="1" s="1"/>
  <c r="G44" i="1"/>
  <c r="H47" i="1"/>
  <c r="H41" i="1"/>
  <c r="G53" i="1"/>
  <c r="K41" i="1"/>
  <c r="F53" i="1"/>
  <c r="F44" i="1"/>
  <c r="E53" i="1"/>
  <c r="K53" i="1"/>
  <c r="I41" i="1"/>
  <c r="D53" i="1"/>
  <c r="I44" i="1"/>
  <c r="H53" i="1"/>
  <c r="I53" i="1"/>
  <c r="K47" i="1"/>
  <c r="G41" i="1"/>
  <c r="E44" i="1"/>
  <c r="K44" i="1"/>
  <c r="H44" i="1"/>
  <c r="D44" i="1"/>
  <c r="J53" i="1"/>
  <c r="J41" i="1"/>
  <c r="J50" i="1"/>
  <c r="E41" i="1"/>
  <c r="J44" i="1"/>
  <c r="I46" i="1"/>
  <c r="I47" i="1" s="1"/>
  <c r="J46" i="1"/>
  <c r="J47" i="1" s="1"/>
  <c r="I49" i="1"/>
  <c r="G46" i="1"/>
  <c r="G47" i="1" s="1"/>
  <c r="K16" i="1"/>
  <c r="I16" i="1"/>
  <c r="K15" i="1"/>
  <c r="J15" i="1"/>
  <c r="J20" i="1"/>
  <c r="J19" i="1"/>
  <c r="K18" i="1"/>
  <c r="K49" i="1" s="1"/>
  <c r="J16" i="1"/>
  <c r="H18" i="1"/>
  <c r="H49" i="1" s="1"/>
  <c r="H15" i="1"/>
  <c r="H16" i="1"/>
  <c r="G18" i="1"/>
  <c r="G49" i="1" s="1"/>
  <c r="I15" i="1"/>
  <c r="L64" i="1" l="1"/>
  <c r="L63" i="1" s="1"/>
  <c r="L46" i="1"/>
  <c r="L43" i="1"/>
  <c r="L52" i="1"/>
  <c r="L58" i="1"/>
  <c r="L57" i="1" s="1"/>
  <c r="M40" i="1"/>
  <c r="L60" i="1"/>
  <c r="O61" i="1"/>
  <c r="G55" i="1"/>
  <c r="G50" i="1"/>
  <c r="I55" i="1"/>
  <c r="I50" i="1"/>
  <c r="K55" i="1"/>
  <c r="K50" i="1"/>
  <c r="H55" i="1"/>
  <c r="H50" i="1"/>
  <c r="H19" i="1"/>
  <c r="H20" i="1"/>
  <c r="I20" i="1"/>
  <c r="K19" i="1"/>
  <c r="K20" i="1"/>
  <c r="G19" i="1"/>
  <c r="M64" i="1" l="1"/>
  <c r="M63" i="1" s="1"/>
  <c r="L49" i="1"/>
  <c r="L55" i="1" s="1"/>
  <c r="L69" i="1" s="1"/>
  <c r="L70" i="1" s="1"/>
  <c r="M43" i="1"/>
  <c r="M66" i="1"/>
  <c r="M58" i="1"/>
  <c r="M57" i="1" s="1"/>
  <c r="N40" i="1"/>
  <c r="M52" i="1"/>
  <c r="M60" i="1"/>
  <c r="M46" i="1"/>
  <c r="N64" i="1" l="1"/>
  <c r="N63" i="1" s="1"/>
  <c r="M49" i="1"/>
  <c r="M55" i="1" s="1"/>
  <c r="M69" i="1" s="1"/>
  <c r="M70" i="1" s="1"/>
  <c r="N60" i="1"/>
  <c r="N66" i="1"/>
  <c r="N46" i="1"/>
  <c r="O40" i="1"/>
  <c r="O43" i="1" s="1"/>
  <c r="N58" i="1"/>
  <c r="N57" i="1" s="1"/>
  <c r="N43" i="1"/>
  <c r="N52" i="1"/>
  <c r="O64" i="1" l="1"/>
  <c r="P64" i="1" s="1"/>
  <c r="O60" i="1"/>
  <c r="O46" i="1"/>
  <c r="O49" i="1" s="1"/>
  <c r="O52" i="1"/>
  <c r="N49" i="1"/>
  <c r="N55" i="1" s="1"/>
  <c r="N69" i="1" s="1"/>
  <c r="N70" i="1" s="1"/>
  <c r="P40" i="1"/>
  <c r="P66" i="1" s="1"/>
  <c r="O66" i="1"/>
  <c r="O58" i="1"/>
  <c r="O57" i="1" s="1"/>
  <c r="O63" i="1" l="1"/>
  <c r="P43" i="1"/>
  <c r="P52" i="1"/>
  <c r="P46" i="1"/>
  <c r="P60" i="1"/>
  <c r="P63" i="1"/>
  <c r="O55" i="1"/>
  <c r="O69" i="1" s="1"/>
  <c r="O70" i="1" s="1"/>
  <c r="P58" i="1"/>
  <c r="P57" i="1" s="1"/>
  <c r="P49" i="1" l="1"/>
  <c r="P55" i="1" s="1"/>
  <c r="P69" i="1" s="1"/>
  <c r="P70" i="1" l="1"/>
  <c r="P72" i="1" s="1"/>
  <c r="P73" i="1" s="1"/>
  <c r="P74" i="1" s="1" a="1"/>
  <c r="P74" i="1" s="1"/>
  <c r="P77" i="1" s="1"/>
  <c r="P79" i="1" s="1"/>
  <c r="F14" i="1"/>
  <c r="F46" i="1" s="1"/>
  <c r="F47" i="1" s="1"/>
  <c r="E14" i="1"/>
  <c r="E46" i="1" s="1"/>
  <c r="E47" i="1" s="1"/>
  <c r="D14" i="1"/>
  <c r="D46" i="1" s="1"/>
  <c r="D47" i="1" s="1"/>
  <c r="F16" i="1" l="1"/>
  <c r="G16" i="1"/>
  <c r="E16" i="1"/>
  <c r="F18" i="1"/>
  <c r="F49" i="1" s="1"/>
  <c r="F15" i="1"/>
  <c r="E18" i="1"/>
  <c r="E49" i="1" s="1"/>
  <c r="E15" i="1"/>
  <c r="D18" i="1"/>
  <c r="D15" i="1"/>
  <c r="F55" i="1" l="1"/>
  <c r="F50" i="1"/>
  <c r="E55" i="1"/>
  <c r="E50" i="1"/>
  <c r="D19" i="1"/>
  <c r="D49" i="1"/>
  <c r="E19" i="1"/>
  <c r="E20" i="1"/>
  <c r="F19" i="1"/>
  <c r="F20" i="1"/>
  <c r="G20" i="1"/>
  <c r="D55" i="1" l="1"/>
  <c r="D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<sst xmlns="http://schemas.openxmlformats.org/spreadsheetml/2006/main" count="83" uniqueCount="34">
  <si>
    <t>SNAP</t>
  </si>
  <si>
    <t>Revenue</t>
  </si>
  <si>
    <t>COR</t>
  </si>
  <si>
    <t>OPEX</t>
  </si>
  <si>
    <t>EBIT</t>
  </si>
  <si>
    <t>D&amp;A</t>
  </si>
  <si>
    <t>Taxes</t>
  </si>
  <si>
    <t>% of sales</t>
  </si>
  <si>
    <t>% growth</t>
  </si>
  <si>
    <t>CAPEX</t>
  </si>
  <si>
    <t>Change in NWC</t>
  </si>
  <si>
    <t>Cash Flow</t>
  </si>
  <si>
    <t>Income Statement</t>
  </si>
  <si>
    <t>Assumptions</t>
  </si>
  <si>
    <t>Conservatative</t>
  </si>
  <si>
    <t>Base</t>
  </si>
  <si>
    <t>Opt</t>
  </si>
  <si>
    <t>DCF</t>
  </si>
  <si>
    <t>EBITDA</t>
  </si>
  <si>
    <t>FCF</t>
  </si>
  <si>
    <t>Present Value of FCF</t>
  </si>
  <si>
    <t>Stock Based Compensation</t>
  </si>
  <si>
    <t>WACC</t>
  </si>
  <si>
    <t>Terminal Value</t>
  </si>
  <si>
    <t>TGR</t>
  </si>
  <si>
    <t>Present Value of Terminal Value</t>
  </si>
  <si>
    <t>Enterprise Value</t>
  </si>
  <si>
    <t>(+) Cash</t>
  </si>
  <si>
    <t>(-) LT Debt</t>
  </si>
  <si>
    <t>Equity Value</t>
  </si>
  <si>
    <t>Shares Outstanding</t>
  </si>
  <si>
    <t>Implied Share Price</t>
  </si>
  <si>
    <t>Ticker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</si>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</sst>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 &quot;#,##0_);_(&quot;$ &quot;\(#,##0\)"/>
    <numFmt numFmtId="165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</font>
    <font>
      <sz val="11"/>
      <name val="Calibri"/>
      <family val="2"/>
    </font>
    <font>
      <i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5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64" fontId="4" fillId="0" borderId="0" xfId="0" applyNumberFormat="1" applyFont="1" applyAlignment="1">
      <alignment horizontal="right" vertical="top"/>
    </xf>
    <xf numFmtId="37" fontId="4" fillId="0" borderId="0" xfId="0" applyNumberFormat="1" applyFont="1" applyAlignment="1">
      <alignment horizontal="right" vertical="top"/>
    </xf>
    <xf numFmtId="37" fontId="0" fillId="0" borderId="0" xfId="0" applyNumberFormat="1"/>
    <xf numFmtId="164" fontId="0" fillId="0" borderId="0" xfId="0" applyNumberFormat="1"/>
    <xf numFmtId="37" fontId="5" fillId="0" borderId="0" xfId="0" applyNumberFormat="1" applyFont="1" applyAlignment="1">
      <alignment horizontal="right" vertical="top"/>
    </xf>
    <xf numFmtId="164" fontId="0" fillId="0" borderId="1" xfId="0" applyNumberFormat="1" applyBorder="1"/>
    <xf numFmtId="0" fontId="6" fillId="0" borderId="0" xfId="0" applyFont="1"/>
    <xf numFmtId="9" fontId="0" fillId="0" borderId="0" xfId="1" applyFont="1"/>
    <xf numFmtId="9" fontId="4" fillId="0" borderId="0" xfId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9" fontId="6" fillId="0" borderId="0" xfId="1" applyFont="1"/>
    <xf numFmtId="0" fontId="3" fillId="0" borderId="0" xfId="0" applyFont="1"/>
    <xf numFmtId="0" fontId="2" fillId="2" borderId="0" xfId="0" applyFont="1" applyFill="1"/>
    <xf numFmtId="0" fontId="7" fillId="2" borderId="0" xfId="0" applyFont="1" applyFill="1" applyAlignment="1">
      <alignment horizontal="center" vertical="center"/>
    </xf>
    <xf numFmtId="0" fontId="3" fillId="0" borderId="1" xfId="0" applyFont="1" applyBorder="1"/>
    <xf numFmtId="9" fontId="0" fillId="0" borderId="0" xfId="0" applyNumberForma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3" borderId="0" xfId="0" applyFont="1" applyFill="1"/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3" fillId="0" borderId="2" xfId="0" applyFont="1" applyBorder="1"/>
    <xf numFmtId="164" fontId="0" fillId="0" borderId="3" xfId="0" applyNumberFormat="1" applyBorder="1"/>
    <xf numFmtId="164" fontId="0" fillId="0" borderId="4" xfId="0" applyNumberFormat="1" applyBorder="1"/>
    <xf numFmtId="165" fontId="0" fillId="0" borderId="0" xfId="0" applyNumberFormat="1"/>
    <xf numFmtId="164" fontId="0" fillId="0" borderId="2" xfId="0" applyNumberFormat="1" applyBorder="1"/>
    <xf numFmtId="0" fontId="7" fillId="6" borderId="0" xfId="0" applyFont="1" applyFill="1" applyAlignment="1">
      <alignment horizontal="center" vertical="center"/>
    </xf>
    <xf numFmtId="9" fontId="8" fillId="0" borderId="0" xfId="0" applyNumberFormat="1" applyFont="1"/>
    <xf numFmtId="0" fontId="2" fillId="7" borderId="1" xfId="0" applyFont="1" applyFill="1" applyBorder="1"/>
    <xf numFmtId="0" fontId="3" fillId="4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9" fillId="0" borderId="0" xfId="0" applyFont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8" xfId="0" applyBorder="1"/>
    <xf numFmtId="37" fontId="0" fillId="0" borderId="9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9" fontId="0" fillId="8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01EC-0529-4842-A06D-3022DE097C09}">
  <dimension ref="C2:XFC113"/>
  <sheetViews>
    <sheetView showGridLines="0" tabSelected="1" topLeftCell="A31" workbookViewId="0">
      <selection activeCell="N53" sqref="N53"/>
    </sheetView>
  </sheetViews>
  <sheetFormatPr defaultRowHeight="15" x14ac:dyDescent="0.25"/>
  <cols>
    <col min="1" max="1" width="9.42578125" bestFit="1" customWidth="1"/>
    <col min="3" max="3" width="25.85546875" bestFit="1" customWidth="1"/>
    <col min="4" max="4" width="11.140625" bestFit="1" customWidth="1"/>
    <col min="5" max="7" width="12.7109375" bestFit="1" customWidth="1"/>
    <col min="8" max="9" width="12" bestFit="1" customWidth="1"/>
    <col min="10" max="15" width="12.7109375" bestFit="1" customWidth="1"/>
    <col min="16" max="16" width="13.85546875" bestFit="1" customWidth="1"/>
    <col min="16383" max="16383" width="7.42578125" bestFit="1" customWidth="1"/>
    <col min="16384" max="16384" width="7.42578125" customWidth="1"/>
  </cols>
  <sheetData>
    <row r="2" spans="3:11" x14ac:dyDescent="0.25">
      <c r="C2" s="29" t="s">
        <v>32</v>
      </c>
      <c r="D2" s="30" t="s">
        <v>0</v>
      </c>
    </row>
    <row r="3" spans="3:11" x14ac:dyDescent="0.25">
      <c r="C3" s="29" t="s">
        <v>33</v>
      </c>
      <c r="D3" s="31">
        <f ca="1">TODAY()</f>
        <v>45337</v>
      </c>
    </row>
    <row r="6" spans="3:11" x14ac:dyDescent="0.25">
      <c r="C6" s="13" t="s">
        <v>12</v>
      </c>
      <c r="D6" s="14">
        <v>2016</v>
      </c>
      <c r="E6" s="14">
        <v>2017</v>
      </c>
      <c r="F6" s="14">
        <v>2018</v>
      </c>
      <c r="G6" s="14">
        <v>2019</v>
      </c>
      <c r="H6" s="14">
        <v>2020</v>
      </c>
      <c r="I6" s="14">
        <v>2021</v>
      </c>
      <c r="J6" s="14">
        <v>2022</v>
      </c>
      <c r="K6" s="14">
        <v>2023</v>
      </c>
    </row>
    <row r="7" spans="3:11" x14ac:dyDescent="0.25">
      <c r="C7" t="s">
        <v>1</v>
      </c>
      <c r="D7" s="1">
        <v>404482</v>
      </c>
      <c r="E7" s="1">
        <v>824949</v>
      </c>
      <c r="F7" s="1">
        <v>1180446</v>
      </c>
      <c r="G7" s="10">
        <v>1715534</v>
      </c>
      <c r="H7" s="10">
        <v>2506626</v>
      </c>
      <c r="I7" s="10">
        <v>4117048</v>
      </c>
      <c r="J7" s="10">
        <v>4601847</v>
      </c>
      <c r="K7" s="10">
        <v>4606115</v>
      </c>
    </row>
    <row r="8" spans="3:11" x14ac:dyDescent="0.25">
      <c r="C8" s="7" t="s">
        <v>8</v>
      </c>
      <c r="E8" s="11">
        <f>E7/D7-1</f>
        <v>1.0395196819635979</v>
      </c>
      <c r="F8" s="11">
        <f>F7/E7-1</f>
        <v>0.43093209398399179</v>
      </c>
      <c r="G8" s="11">
        <f t="shared" ref="G8:I8" si="0">G7/F7-1</f>
        <v>0.45329307736228519</v>
      </c>
      <c r="H8" s="11">
        <f t="shared" si="0"/>
        <v>0.4611345505247928</v>
      </c>
      <c r="I8" s="11">
        <f t="shared" si="0"/>
        <v>0.64246600809215249</v>
      </c>
      <c r="J8" s="11">
        <f t="shared" ref="J8" si="1">J7/I7-1</f>
        <v>0.11775403152938702</v>
      </c>
      <c r="K8" s="11">
        <f t="shared" ref="K8" si="2">K7/J7-1</f>
        <v>9.2745369413638201E-4</v>
      </c>
    </row>
    <row r="9" spans="3:11" x14ac:dyDescent="0.25">
      <c r="C9" s="7"/>
      <c r="E9" s="8"/>
      <c r="F9" s="8"/>
    </row>
    <row r="10" spans="3:11" x14ac:dyDescent="0.25">
      <c r="C10" t="s">
        <v>2</v>
      </c>
      <c r="D10" s="2">
        <v>451660</v>
      </c>
      <c r="E10" s="2">
        <v>717462</v>
      </c>
      <c r="F10" s="2">
        <v>798865</v>
      </c>
      <c r="G10" s="5">
        <v>895838</v>
      </c>
      <c r="H10" s="5">
        <v>1182505</v>
      </c>
      <c r="I10" s="5">
        <v>1750246</v>
      </c>
      <c r="J10" s="5">
        <v>1815342</v>
      </c>
      <c r="K10" s="5">
        <v>2114117</v>
      </c>
    </row>
    <row r="11" spans="3:11" x14ac:dyDescent="0.25">
      <c r="C11" s="7" t="s">
        <v>7</v>
      </c>
      <c r="D11" s="11">
        <f>D10/D7</f>
        <v>1.1166380704209335</v>
      </c>
      <c r="E11" s="11">
        <f>E10/E7</f>
        <v>0.8697046726524913</v>
      </c>
      <c r="F11" s="11">
        <f>F10/F7</f>
        <v>0.67674844931491995</v>
      </c>
      <c r="G11" s="11">
        <f t="shared" ref="G11:I11" si="3">G10/G7</f>
        <v>0.52219192391406988</v>
      </c>
      <c r="H11" s="11">
        <f t="shared" si="3"/>
        <v>0.47175166937548718</v>
      </c>
      <c r="I11" s="11">
        <f t="shared" si="3"/>
        <v>0.42512159197560973</v>
      </c>
      <c r="J11" s="11">
        <f t="shared" ref="J11" si="4">J10/J7</f>
        <v>0.39448117245097458</v>
      </c>
      <c r="K11" s="11">
        <f t="shared" ref="K11" si="5">K10/K7</f>
        <v>0.45898050743413921</v>
      </c>
    </row>
    <row r="12" spans="3:11" x14ac:dyDescent="0.25">
      <c r="C12" s="7" t="s">
        <v>8</v>
      </c>
      <c r="D12" s="11"/>
      <c r="E12" s="11">
        <f>E10/D10-1</f>
        <v>0.58850019926493391</v>
      </c>
      <c r="F12" s="11">
        <f t="shared" ref="F12:I12" si="6">F10/E10-1</f>
        <v>0.11345966755033721</v>
      </c>
      <c r="G12" s="11">
        <f t="shared" si="6"/>
        <v>0.12138846989165875</v>
      </c>
      <c r="H12" s="11">
        <f t="shared" si="6"/>
        <v>0.31999870512302442</v>
      </c>
      <c r="I12" s="11">
        <f t="shared" si="6"/>
        <v>0.48011720880672804</v>
      </c>
      <c r="J12" s="11">
        <f t="shared" ref="J12:K12" si="7">J10/I10-1</f>
        <v>3.7192486084813181E-2</v>
      </c>
      <c r="K12" s="11">
        <f t="shared" si="7"/>
        <v>0.16458331267606874</v>
      </c>
    </row>
    <row r="13" spans="3:11" x14ac:dyDescent="0.25">
      <c r="C13" s="7"/>
      <c r="D13" s="9"/>
      <c r="E13" s="9"/>
      <c r="F13" s="9"/>
    </row>
    <row r="14" spans="3:11" x14ac:dyDescent="0.25">
      <c r="C14" t="s">
        <v>3</v>
      </c>
      <c r="D14" s="2">
        <f>924867-D10</f>
        <v>473207</v>
      </c>
      <c r="E14" s="2">
        <f>4310525-E10</f>
        <v>3593063</v>
      </c>
      <c r="F14" s="2">
        <f>4310525-F10</f>
        <v>3511660</v>
      </c>
      <c r="G14" s="5">
        <f>2818862-G10</f>
        <v>1923024</v>
      </c>
      <c r="H14" s="5">
        <f>3368698-H10</f>
        <v>2186193</v>
      </c>
      <c r="I14" s="5">
        <f>4819117-I10</f>
        <v>3068871</v>
      </c>
      <c r="J14" s="5">
        <f>5997153-J10</f>
        <v>4181811</v>
      </c>
      <c r="K14" s="5">
        <f>6004494-K10</f>
        <v>3890377</v>
      </c>
    </row>
    <row r="15" spans="3:11" x14ac:dyDescent="0.25">
      <c r="C15" s="7" t="s">
        <v>7</v>
      </c>
      <c r="D15" s="11">
        <f>D14/D7</f>
        <v>1.1699086733154997</v>
      </c>
      <c r="E15" s="11">
        <f>E14/E7</f>
        <v>4.355497127701228</v>
      </c>
      <c r="F15" s="11">
        <f>F14/F7</f>
        <v>2.974858655118489</v>
      </c>
      <c r="G15" s="11">
        <f t="shared" ref="G15:I15" si="8">G14/G7</f>
        <v>1.1209477632037605</v>
      </c>
      <c r="H15" s="11">
        <f t="shared" si="8"/>
        <v>0.87216561226126277</v>
      </c>
      <c r="I15" s="11">
        <f t="shared" si="8"/>
        <v>0.74540568873620128</v>
      </c>
      <c r="J15" s="11">
        <f t="shared" ref="J15" si="9">J14/J7</f>
        <v>0.90872447519441646</v>
      </c>
      <c r="K15" s="11">
        <f t="shared" ref="K15" si="10">K14/K7</f>
        <v>0.84461134817519756</v>
      </c>
    </row>
    <row r="16" spans="3:11" x14ac:dyDescent="0.25">
      <c r="C16" s="7" t="s">
        <v>8</v>
      </c>
      <c r="D16" s="11"/>
      <c r="E16" s="11">
        <f>E14/D14-1</f>
        <v>6.5930047526769471</v>
      </c>
      <c r="F16" s="11">
        <f t="shared" ref="F16:I16" si="11">F14/E14-1</f>
        <v>-2.2655600528017406E-2</v>
      </c>
      <c r="G16" s="11">
        <f t="shared" si="11"/>
        <v>-0.45238889869748211</v>
      </c>
      <c r="H16" s="11">
        <f t="shared" si="11"/>
        <v>0.13685164615730216</v>
      </c>
      <c r="I16" s="11">
        <f t="shared" si="11"/>
        <v>0.40375117841837382</v>
      </c>
      <c r="J16" s="11">
        <f t="shared" ref="J16:K16" si="12">J14/I14-1</f>
        <v>0.3626545397313865</v>
      </c>
      <c r="K16" s="11">
        <f t="shared" si="12"/>
        <v>-6.9690858816909729E-2</v>
      </c>
    </row>
    <row r="17" spans="3:11 16383:16383" x14ac:dyDescent="0.25">
      <c r="C17" s="7"/>
      <c r="D17" s="8"/>
      <c r="E17" s="8"/>
      <c r="F17" s="8"/>
    </row>
    <row r="18" spans="3:11 16383:16383" x14ac:dyDescent="0.25">
      <c r="C18" s="15" t="s">
        <v>4</v>
      </c>
      <c r="D18" s="6">
        <f>D7-D10-D14</f>
        <v>-520385</v>
      </c>
      <c r="E18" s="6">
        <f t="shared" ref="E18:K18" si="13">E7-E10-E14</f>
        <v>-3485576</v>
      </c>
      <c r="F18" s="6">
        <f t="shared" si="13"/>
        <v>-3130079</v>
      </c>
      <c r="G18" s="6">
        <f t="shared" si="13"/>
        <v>-1103328</v>
      </c>
      <c r="H18" s="6">
        <f t="shared" si="13"/>
        <v>-862072</v>
      </c>
      <c r="I18" s="6">
        <f t="shared" si="13"/>
        <v>-702069</v>
      </c>
      <c r="J18" s="6">
        <f t="shared" si="13"/>
        <v>-1395306</v>
      </c>
      <c r="K18" s="6">
        <f t="shared" si="13"/>
        <v>-1398379</v>
      </c>
    </row>
    <row r="19" spans="3:11 16383:16383" x14ac:dyDescent="0.25">
      <c r="C19" s="7" t="s">
        <v>7</v>
      </c>
      <c r="D19" s="8">
        <f>D18/D7</f>
        <v>-1.2865467437364333</v>
      </c>
      <c r="E19" s="8">
        <f>E18/E7</f>
        <v>-4.2252018003537186</v>
      </c>
      <c r="F19" s="8">
        <f>F18/F7</f>
        <v>-2.6516071044334089</v>
      </c>
      <c r="G19" s="8">
        <f t="shared" ref="G19:I19" si="14">G18/G7</f>
        <v>-0.64313968711783032</v>
      </c>
      <c r="H19" s="8">
        <f t="shared" si="14"/>
        <v>-0.34391728163674995</v>
      </c>
      <c r="I19" s="8">
        <f t="shared" si="14"/>
        <v>-0.17052728071181097</v>
      </c>
      <c r="J19" s="8">
        <f t="shared" ref="J19" si="15">J18/J7</f>
        <v>-0.3032056476453911</v>
      </c>
      <c r="K19" s="8">
        <f t="shared" ref="K19" si="16">K18/K7</f>
        <v>-0.30359185560933671</v>
      </c>
    </row>
    <row r="20" spans="3:11 16383:16383" x14ac:dyDescent="0.25">
      <c r="C20" s="7" t="s">
        <v>8</v>
      </c>
      <c r="D20" s="11"/>
      <c r="E20" s="11">
        <f>(E18-D18)/D18</f>
        <v>5.6980716200505395</v>
      </c>
      <c r="F20" s="11">
        <f>-(F18-E18)/E18</f>
        <v>0.10199089045827719</v>
      </c>
      <c r="G20" s="11">
        <f>-(G18-F18)/F18</f>
        <v>0.64750793829804298</v>
      </c>
      <c r="H20" s="11">
        <f>-(H18-G18)/G18</f>
        <v>0.21866208416717423</v>
      </c>
      <c r="I20" s="11">
        <f>-(I18-H18)/H18</f>
        <v>0.18560282667805009</v>
      </c>
      <c r="J20" s="11">
        <f t="shared" ref="J20:K20" si="17">-(J18-I18)/I18</f>
        <v>-0.98742003991060712</v>
      </c>
      <c r="K20" s="11">
        <f t="shared" si="17"/>
        <v>-2.2023842798640585E-3</v>
      </c>
    </row>
    <row r="21" spans="3:11 16383:16383" x14ac:dyDescent="0.25">
      <c r="C21" s="7"/>
      <c r="D21" s="8"/>
      <c r="E21" s="8"/>
      <c r="F21" s="8"/>
    </row>
    <row r="22" spans="3:11 16383:16383" x14ac:dyDescent="0.25">
      <c r="C22" t="s">
        <v>6</v>
      </c>
      <c r="D22" s="5">
        <v>7080</v>
      </c>
      <c r="E22" s="5">
        <v>18342</v>
      </c>
      <c r="F22" s="5">
        <v>-2547</v>
      </c>
      <c r="G22" s="5">
        <v>-393</v>
      </c>
      <c r="H22" s="5">
        <v>-18654</v>
      </c>
      <c r="I22" s="5">
        <v>-13584</v>
      </c>
      <c r="J22" s="5">
        <v>-28956</v>
      </c>
      <c r="K22" s="5">
        <v>-28062</v>
      </c>
    </row>
    <row r="23" spans="3:11 16383:16383" x14ac:dyDescent="0.25">
      <c r="C23" s="7" t="s">
        <v>7</v>
      </c>
      <c r="D23" s="11">
        <f>D22/D7</f>
        <v>1.7503869146216641E-2</v>
      </c>
      <c r="E23" s="11">
        <f>E22/E7</f>
        <v>2.2234101744471477E-2</v>
      </c>
      <c r="F23" s="11">
        <f>F22/F7</f>
        <v>-2.1576590542896497E-3</v>
      </c>
      <c r="G23" s="11">
        <f>G22/G7</f>
        <v>-2.2908318925768885E-4</v>
      </c>
      <c r="H23" s="11">
        <f t="shared" ref="H23:K23" si="18">H22/H7</f>
        <v>-7.4418760517125414E-3</v>
      </c>
      <c r="I23" s="11">
        <f t="shared" si="18"/>
        <v>-3.2994514516226188E-3</v>
      </c>
      <c r="J23" s="11">
        <f t="shared" si="18"/>
        <v>-6.2922561310708508E-3</v>
      </c>
      <c r="K23" s="11">
        <f t="shared" si="18"/>
        <v>-6.0923359490590223E-3</v>
      </c>
      <c r="XFC23" s="8" t="e">
        <f>XFC22/XFC7</f>
        <v>#DIV/0!</v>
      </c>
    </row>
    <row r="26" spans="3:11 16383:16383" x14ac:dyDescent="0.25">
      <c r="C26" s="13" t="s">
        <v>11</v>
      </c>
      <c r="D26" s="14">
        <v>2016</v>
      </c>
      <c r="E26" s="14">
        <v>2017</v>
      </c>
      <c r="F26" s="14">
        <v>2018</v>
      </c>
      <c r="G26" s="14">
        <v>2019</v>
      </c>
      <c r="H26" s="14">
        <v>2020</v>
      </c>
      <c r="I26" s="14">
        <v>2021</v>
      </c>
      <c r="J26" s="14">
        <v>2022</v>
      </c>
      <c r="K26" s="14">
        <v>2023</v>
      </c>
    </row>
    <row r="27" spans="3:11 16383:16383" x14ac:dyDescent="0.25">
      <c r="C27" t="s">
        <v>5</v>
      </c>
      <c r="D27" s="5">
        <v>29115</v>
      </c>
      <c r="E27" s="5">
        <v>61288</v>
      </c>
      <c r="F27" s="5">
        <v>91648</v>
      </c>
      <c r="G27" s="5">
        <v>87245</v>
      </c>
      <c r="H27" s="5">
        <v>86744</v>
      </c>
      <c r="I27" s="5">
        <v>119141</v>
      </c>
      <c r="J27" s="5">
        <v>202173</v>
      </c>
      <c r="K27" s="5">
        <v>168441</v>
      </c>
    </row>
    <row r="28" spans="3:11 16383:16383" x14ac:dyDescent="0.25">
      <c r="C28" s="7" t="s">
        <v>7</v>
      </c>
      <c r="D28" s="11">
        <f>D27/D7</f>
        <v>7.1980953416962937E-2</v>
      </c>
      <c r="E28" s="11">
        <f>E27/E7</f>
        <v>7.4293077511458278E-2</v>
      </c>
      <c r="F28" s="11">
        <f>F27/F7</f>
        <v>7.7638451907160511E-2</v>
      </c>
      <c r="G28" s="11">
        <f>G27/G7</f>
        <v>5.0855885106328408E-2</v>
      </c>
      <c r="H28" s="11">
        <f>H27/H7</f>
        <v>3.4605880574126335E-2</v>
      </c>
      <c r="I28" s="11">
        <f>I27/I7</f>
        <v>2.8938452988646234E-2</v>
      </c>
      <c r="J28" s="11">
        <f>J27/J7</f>
        <v>4.3933012114483597E-2</v>
      </c>
      <c r="K28" s="11">
        <f>K27/K7</f>
        <v>3.6568995780609036E-2</v>
      </c>
    </row>
    <row r="29" spans="3:11 16383:16383" x14ac:dyDescent="0.25">
      <c r="C29" s="7"/>
      <c r="D29" s="11"/>
      <c r="E29" s="11"/>
      <c r="F29" s="11"/>
      <c r="G29" s="11"/>
      <c r="H29" s="11"/>
      <c r="I29" s="11"/>
      <c r="J29" s="11"/>
      <c r="K29" s="11"/>
    </row>
    <row r="30" spans="3:11 16383:16383" x14ac:dyDescent="0.25">
      <c r="C30" t="s">
        <v>21</v>
      </c>
      <c r="D30" s="5">
        <v>31842</v>
      </c>
      <c r="E30" s="5">
        <v>2639895</v>
      </c>
      <c r="F30" s="5">
        <v>538211</v>
      </c>
      <c r="G30" s="5">
        <v>686013</v>
      </c>
      <c r="H30" s="5">
        <v>770182</v>
      </c>
      <c r="I30" s="5">
        <v>1092135</v>
      </c>
      <c r="J30" s="5">
        <v>1387787</v>
      </c>
      <c r="K30" s="5">
        <v>1324004</v>
      </c>
    </row>
    <row r="31" spans="3:11 16383:16383" x14ac:dyDescent="0.25">
      <c r="C31" s="7" t="s">
        <v>7</v>
      </c>
      <c r="D31" s="11">
        <f>D30/D7</f>
        <v>7.8722909795738746E-2</v>
      </c>
      <c r="E31" s="11">
        <f t="shared" ref="E31:K31" si="19">E30/E7</f>
        <v>3.2000705498158069</v>
      </c>
      <c r="F31" s="11">
        <f t="shared" si="19"/>
        <v>0.45593868758079575</v>
      </c>
      <c r="G31" s="11">
        <f t="shared" si="19"/>
        <v>0.39988306847896921</v>
      </c>
      <c r="H31" s="11">
        <f t="shared" si="19"/>
        <v>0.30725844222472759</v>
      </c>
      <c r="I31" s="11">
        <f t="shared" si="19"/>
        <v>0.26527137891032604</v>
      </c>
      <c r="J31" s="11">
        <f t="shared" si="19"/>
        <v>0.30157173847805024</v>
      </c>
      <c r="K31" s="11">
        <f t="shared" si="19"/>
        <v>0.28744484234544732</v>
      </c>
    </row>
    <row r="33" spans="3:16" x14ac:dyDescent="0.25">
      <c r="C33" t="s">
        <v>9</v>
      </c>
      <c r="D33" s="5">
        <v>66441</v>
      </c>
      <c r="E33" s="5">
        <v>84518</v>
      </c>
      <c r="F33" s="5">
        <v>120242</v>
      </c>
      <c r="G33" s="5">
        <v>36478</v>
      </c>
      <c r="H33" s="5">
        <v>57832</v>
      </c>
      <c r="I33" s="5">
        <v>69875</v>
      </c>
      <c r="J33" s="5">
        <v>129306</v>
      </c>
      <c r="K33" s="5">
        <v>211727</v>
      </c>
    </row>
    <row r="34" spans="3:16" x14ac:dyDescent="0.25">
      <c r="C34" s="7" t="s">
        <v>7</v>
      </c>
      <c r="D34" s="11">
        <f t="shared" ref="D34:K34" si="20">D33/D7</f>
        <v>0.16426194490731355</v>
      </c>
      <c r="E34" s="11">
        <f t="shared" si="20"/>
        <v>0.10245239402678226</v>
      </c>
      <c r="F34" s="11">
        <f t="shared" si="20"/>
        <v>0.10186149980600552</v>
      </c>
      <c r="G34" s="11">
        <f t="shared" si="20"/>
        <v>2.1263350070590267E-2</v>
      </c>
      <c r="H34" s="11">
        <f t="shared" si="20"/>
        <v>2.3071650896464013E-2</v>
      </c>
      <c r="I34" s="11">
        <f t="shared" si="20"/>
        <v>1.6972112056988405E-2</v>
      </c>
      <c r="J34" s="11">
        <f t="shared" si="20"/>
        <v>2.8098717753980085E-2</v>
      </c>
      <c r="K34" s="11">
        <f t="shared" si="20"/>
        <v>4.5966503224517841E-2</v>
      </c>
    </row>
    <row r="36" spans="3:16" x14ac:dyDescent="0.25">
      <c r="C36" t="s">
        <v>10</v>
      </c>
      <c r="D36" s="5">
        <v>-483641</v>
      </c>
      <c r="E36" s="5">
        <v>173671</v>
      </c>
      <c r="F36" s="5">
        <v>51967</v>
      </c>
      <c r="G36" s="5">
        <v>132286</v>
      </c>
      <c r="H36" s="5">
        <v>25283</v>
      </c>
      <c r="I36" s="5">
        <v>1448180</v>
      </c>
      <c r="J36" s="5">
        <v>-570947</v>
      </c>
      <c r="K36" s="5">
        <v>358686</v>
      </c>
    </row>
    <row r="37" spans="3:16" x14ac:dyDescent="0.25">
      <c r="C37" s="7" t="s">
        <v>7</v>
      </c>
      <c r="D37" s="11">
        <f t="shared" ref="D37:K37" si="21">D36/D7</f>
        <v>-1.1957046296250513</v>
      </c>
      <c r="E37" s="11">
        <f t="shared" si="21"/>
        <v>0.21052331719900261</v>
      </c>
      <c r="F37" s="11">
        <f t="shared" si="21"/>
        <v>4.4023191234499499E-2</v>
      </c>
      <c r="G37" s="11">
        <f t="shared" si="21"/>
        <v>7.7110683903670804E-2</v>
      </c>
      <c r="H37" s="11">
        <f t="shared" si="21"/>
        <v>1.0086466828318225E-2</v>
      </c>
      <c r="I37" s="11">
        <f t="shared" si="21"/>
        <v>0.3517520320384897</v>
      </c>
      <c r="J37" s="11">
        <f t="shared" si="21"/>
        <v>-0.12406909660403746</v>
      </c>
      <c r="K37" s="11">
        <f t="shared" si="21"/>
        <v>7.7871698817767246E-2</v>
      </c>
    </row>
    <row r="38" spans="3:16" x14ac:dyDescent="0.25">
      <c r="L38" s="32">
        <v>1</v>
      </c>
      <c r="M38" s="32">
        <f>L38+1</f>
        <v>2</v>
      </c>
      <c r="N38" s="32">
        <f t="shared" ref="N38:P38" si="22">M38+1</f>
        <v>3</v>
      </c>
      <c r="O38" s="32">
        <f t="shared" si="22"/>
        <v>4</v>
      </c>
      <c r="P38" s="32">
        <f t="shared" si="22"/>
        <v>5</v>
      </c>
    </row>
    <row r="39" spans="3:16" x14ac:dyDescent="0.25">
      <c r="C39" s="13" t="s">
        <v>17</v>
      </c>
      <c r="D39" s="14">
        <v>2016</v>
      </c>
      <c r="E39" s="14">
        <v>2017</v>
      </c>
      <c r="F39" s="14">
        <v>2018</v>
      </c>
      <c r="G39" s="14">
        <v>2019</v>
      </c>
      <c r="H39" s="14">
        <v>2020</v>
      </c>
      <c r="I39" s="14">
        <v>2021</v>
      </c>
      <c r="J39" s="14">
        <v>2022</v>
      </c>
      <c r="K39" s="14">
        <v>2023</v>
      </c>
      <c r="L39" s="27">
        <f>K39+1</f>
        <v>2024</v>
      </c>
      <c r="M39" s="27">
        <f t="shared" ref="M39:P39" si="23">L39+1</f>
        <v>2025</v>
      </c>
      <c r="N39" s="27">
        <f t="shared" si="23"/>
        <v>2026</v>
      </c>
      <c r="O39" s="27">
        <f t="shared" si="23"/>
        <v>2027</v>
      </c>
      <c r="P39" s="27">
        <f t="shared" si="23"/>
        <v>2028</v>
      </c>
    </row>
    <row r="40" spans="3:16" x14ac:dyDescent="0.25">
      <c r="C40" t="s">
        <v>1</v>
      </c>
      <c r="D40" s="4">
        <f>D7</f>
        <v>404482</v>
      </c>
      <c r="E40" s="4">
        <f>E7</f>
        <v>824949</v>
      </c>
      <c r="F40" s="4">
        <f>F7</f>
        <v>1180446</v>
      </c>
      <c r="G40" s="4">
        <f>G7</f>
        <v>1715534</v>
      </c>
      <c r="H40" s="4">
        <f>H7</f>
        <v>2506626</v>
      </c>
      <c r="I40" s="4">
        <f>I7</f>
        <v>4117048</v>
      </c>
      <c r="J40" s="4">
        <f>J7</f>
        <v>4601847</v>
      </c>
      <c r="K40" s="4">
        <f>K7</f>
        <v>4606115</v>
      </c>
      <c r="L40" s="4">
        <f>K40*(1+L41)</f>
        <v>4836420.75</v>
      </c>
      <c r="M40" s="4">
        <f>L40*(1+M41)</f>
        <v>5138697.046875</v>
      </c>
      <c r="N40" s="4">
        <f t="shared" ref="N40:P40" si="24">M40*(1+N41)</f>
        <v>5524099.3253906248</v>
      </c>
      <c r="O40" s="4">
        <f t="shared" si="24"/>
        <v>6007458.0163623039</v>
      </c>
      <c r="P40" s="4">
        <f t="shared" si="24"/>
        <v>6608203.817998535</v>
      </c>
    </row>
    <row r="41" spans="3:16" x14ac:dyDescent="0.25">
      <c r="C41" s="7" t="s">
        <v>8</v>
      </c>
      <c r="D41" s="4"/>
      <c r="E41" s="11">
        <f>E40/D40-1</f>
        <v>1.0395196819635979</v>
      </c>
      <c r="F41" s="11">
        <f t="shared" ref="F41:K41" si="25">F40/E40-1</f>
        <v>0.43093209398399179</v>
      </c>
      <c r="G41" s="11">
        <f t="shared" si="25"/>
        <v>0.45329307736228519</v>
      </c>
      <c r="H41" s="11">
        <f t="shared" si="25"/>
        <v>0.4611345505247928</v>
      </c>
      <c r="I41" s="11">
        <f t="shared" si="25"/>
        <v>0.64246600809215249</v>
      </c>
      <c r="J41" s="11">
        <f t="shared" si="25"/>
        <v>0.11775403152938702</v>
      </c>
      <c r="K41" s="11">
        <f t="shared" si="25"/>
        <v>9.2745369413638201E-4</v>
      </c>
      <c r="L41" s="41">
        <f>D$86</f>
        <v>0.05</v>
      </c>
      <c r="M41" s="41">
        <f>L41+($P$41-$L$41)/($P$39-$L$39)</f>
        <v>6.25E-2</v>
      </c>
      <c r="N41" s="41">
        <f>M41+($P$41-$L$41)/($P$39-$L$39)</f>
        <v>7.4999999999999997E-2</v>
      </c>
      <c r="O41" s="41">
        <f>N41+($P$41-$L$41)/($P$39-$L$39)</f>
        <v>8.7499999999999994E-2</v>
      </c>
      <c r="P41" s="41">
        <f>G86</f>
        <v>0.1</v>
      </c>
    </row>
    <row r="43" spans="3:16" x14ac:dyDescent="0.25">
      <c r="C43" t="s">
        <v>2</v>
      </c>
      <c r="D43" s="3">
        <f>D10</f>
        <v>451660</v>
      </c>
      <c r="E43" s="3">
        <f>E10</f>
        <v>717462</v>
      </c>
      <c r="F43" s="3">
        <f>F10</f>
        <v>798865</v>
      </c>
      <c r="G43" s="3">
        <f>G10</f>
        <v>895838</v>
      </c>
      <c r="H43" s="3">
        <f>H10</f>
        <v>1182505</v>
      </c>
      <c r="I43" s="3">
        <f>I10</f>
        <v>1750246</v>
      </c>
      <c r="J43" s="3">
        <f>J10</f>
        <v>1815342</v>
      </c>
      <c r="K43" s="3">
        <f>K10</f>
        <v>2114117</v>
      </c>
      <c r="L43" s="3">
        <f>L40*L44</f>
        <v>2176389.3374999999</v>
      </c>
      <c r="M43" s="3">
        <f t="shared" ref="M43:P43" si="26">M40*M44</f>
        <v>2440881.0972656254</v>
      </c>
      <c r="N43" s="3">
        <f t="shared" si="26"/>
        <v>2762049.6626953124</v>
      </c>
      <c r="O43" s="3">
        <f t="shared" si="26"/>
        <v>3153915.4585902095</v>
      </c>
      <c r="P43" s="3">
        <f t="shared" si="26"/>
        <v>3634512.0998991947</v>
      </c>
    </row>
    <row r="44" spans="3:16" x14ac:dyDescent="0.25">
      <c r="C44" s="7" t="s">
        <v>7</v>
      </c>
      <c r="D44" s="11">
        <f>D43/D40</f>
        <v>1.1166380704209335</v>
      </c>
      <c r="E44" s="11">
        <f t="shared" ref="E44:K44" si="27">E43/E40</f>
        <v>0.8697046726524913</v>
      </c>
      <c r="F44" s="11">
        <f t="shared" si="27"/>
        <v>0.67674844931491995</v>
      </c>
      <c r="G44" s="11">
        <f t="shared" si="27"/>
        <v>0.52219192391406988</v>
      </c>
      <c r="H44" s="11">
        <f t="shared" si="27"/>
        <v>0.47175166937548718</v>
      </c>
      <c r="I44" s="11">
        <f t="shared" si="27"/>
        <v>0.42512159197560973</v>
      </c>
      <c r="J44" s="11">
        <f t="shared" si="27"/>
        <v>0.39448117245097458</v>
      </c>
      <c r="K44" s="11">
        <f t="shared" si="27"/>
        <v>0.45898050743413921</v>
      </c>
      <c r="L44" s="41">
        <f>D92</f>
        <v>0.45</v>
      </c>
      <c r="M44" s="41">
        <f>L44+($P$44-$L$44)/($P$39-$L$39)</f>
        <v>0.47500000000000003</v>
      </c>
      <c r="N44" s="41">
        <f t="shared" ref="N44:O44" si="28">M44+($P$44-$L$44)/($P$39-$L$39)</f>
        <v>0.5</v>
      </c>
      <c r="O44" s="41">
        <f t="shared" si="28"/>
        <v>0.52500000000000002</v>
      </c>
      <c r="P44" s="41">
        <f>G92</f>
        <v>0.55000000000000004</v>
      </c>
    </row>
    <row r="46" spans="3:16" x14ac:dyDescent="0.25">
      <c r="C46" t="s">
        <v>3</v>
      </c>
      <c r="D46" s="3">
        <f>D14</f>
        <v>473207</v>
      </c>
      <c r="E46" s="3">
        <f>E14</f>
        <v>3593063</v>
      </c>
      <c r="F46" s="3">
        <f>F14</f>
        <v>3511660</v>
      </c>
      <c r="G46" s="3">
        <f>G14</f>
        <v>1923024</v>
      </c>
      <c r="H46" s="3">
        <f>H14</f>
        <v>2186193</v>
      </c>
      <c r="I46" s="3">
        <f>I14</f>
        <v>3068871</v>
      </c>
      <c r="J46" s="3">
        <f>J14</f>
        <v>4181811</v>
      </c>
      <c r="K46" s="3">
        <f>K14</f>
        <v>3890377</v>
      </c>
      <c r="L46" s="3">
        <f>L40*L47</f>
        <v>4110957.6374999997</v>
      </c>
      <c r="M46" s="3">
        <f t="shared" ref="M46:P46" si="29">M40*M47</f>
        <v>4432126.2029296877</v>
      </c>
      <c r="N46" s="3">
        <f t="shared" si="29"/>
        <v>4833586.9097167971</v>
      </c>
      <c r="O46" s="3">
        <f t="shared" si="29"/>
        <v>5331618.9895215444</v>
      </c>
      <c r="P46" s="3">
        <f t="shared" si="29"/>
        <v>5947383.4361986816</v>
      </c>
    </row>
    <row r="47" spans="3:16" x14ac:dyDescent="0.25">
      <c r="C47" s="7" t="s">
        <v>7</v>
      </c>
      <c r="D47" s="11">
        <f>D46/D40</f>
        <v>1.1699086733154997</v>
      </c>
      <c r="E47" s="11">
        <f t="shared" ref="E47:K47" si="30">E46/E40</f>
        <v>4.355497127701228</v>
      </c>
      <c r="F47" s="11">
        <f t="shared" si="30"/>
        <v>2.974858655118489</v>
      </c>
      <c r="G47" s="11">
        <f t="shared" si="30"/>
        <v>1.1209477632037605</v>
      </c>
      <c r="H47" s="11">
        <f t="shared" si="30"/>
        <v>0.87216561226126277</v>
      </c>
      <c r="I47" s="11">
        <f t="shared" si="30"/>
        <v>0.74540568873620128</v>
      </c>
      <c r="J47" s="11">
        <f t="shared" si="30"/>
        <v>0.90872447519441646</v>
      </c>
      <c r="K47" s="11">
        <f t="shared" si="30"/>
        <v>0.84461134817519756</v>
      </c>
      <c r="L47" s="41">
        <f>D98</f>
        <v>0.85</v>
      </c>
      <c r="M47" s="41">
        <f>L47+($P$47-$L$47)/($P$39-$L$39)</f>
        <v>0.86250000000000004</v>
      </c>
      <c r="N47" s="41">
        <f t="shared" ref="N47:O47" si="31">M47+($P$47-$L$47)/($P$39-$L$39)</f>
        <v>0.875</v>
      </c>
      <c r="O47" s="41">
        <f t="shared" si="31"/>
        <v>0.88749999999999996</v>
      </c>
      <c r="P47" s="41">
        <f>G98</f>
        <v>0.9</v>
      </c>
    </row>
    <row r="49" spans="3:16" x14ac:dyDescent="0.25">
      <c r="C49" t="s">
        <v>4</v>
      </c>
      <c r="D49" s="4">
        <f>D18</f>
        <v>-520385</v>
      </c>
      <c r="E49" s="4">
        <f>E18</f>
        <v>-3485576</v>
      </c>
      <c r="F49" s="4">
        <f>F18</f>
        <v>-3130079</v>
      </c>
      <c r="G49" s="4">
        <f>G18</f>
        <v>-1103328</v>
      </c>
      <c r="H49" s="4">
        <f>H18</f>
        <v>-862072</v>
      </c>
      <c r="I49" s="4">
        <f>I18</f>
        <v>-702069</v>
      </c>
      <c r="J49" s="4">
        <f>J18</f>
        <v>-1395306</v>
      </c>
      <c r="K49" s="4">
        <f>K18</f>
        <v>-1398379</v>
      </c>
      <c r="L49" s="4">
        <f>L40-L43-L46</f>
        <v>-1450926.2249999996</v>
      </c>
      <c r="M49" s="4">
        <f t="shared" ref="M49:P49" si="32">M40-M43-M46</f>
        <v>-1734310.2533203131</v>
      </c>
      <c r="N49" s="4">
        <f t="shared" si="32"/>
        <v>-2071537.2470214847</v>
      </c>
      <c r="O49" s="4">
        <f t="shared" si="32"/>
        <v>-2478076.43174945</v>
      </c>
      <c r="P49" s="4">
        <f t="shared" si="32"/>
        <v>-2973691.7180993413</v>
      </c>
    </row>
    <row r="50" spans="3:16" x14ac:dyDescent="0.25">
      <c r="C50" s="7" t="s">
        <v>7</v>
      </c>
      <c r="D50" s="11">
        <f>D49/D40</f>
        <v>-1.2865467437364333</v>
      </c>
      <c r="E50" s="11">
        <f t="shared" ref="E50:P50" si="33">E49/E40</f>
        <v>-4.2252018003537186</v>
      </c>
      <c r="F50" s="11">
        <f t="shared" si="33"/>
        <v>-2.6516071044334089</v>
      </c>
      <c r="G50" s="11">
        <f t="shared" si="33"/>
        <v>-0.64313968711783032</v>
      </c>
      <c r="H50" s="11">
        <f t="shared" si="33"/>
        <v>-0.34391728163674995</v>
      </c>
      <c r="I50" s="11">
        <f t="shared" si="33"/>
        <v>-0.17052728071181097</v>
      </c>
      <c r="J50" s="11">
        <f t="shared" si="33"/>
        <v>-0.3032056476453911</v>
      </c>
      <c r="K50" s="11">
        <f t="shared" si="33"/>
        <v>-0.30359185560933671</v>
      </c>
      <c r="L50" s="11">
        <f t="shared" si="33"/>
        <v>-0.29999999999999993</v>
      </c>
      <c r="M50" s="11">
        <f t="shared" si="33"/>
        <v>-0.33750000000000013</v>
      </c>
      <c r="N50" s="11">
        <f t="shared" si="33"/>
        <v>-0.37500000000000006</v>
      </c>
      <c r="O50" s="11">
        <f t="shared" si="33"/>
        <v>-0.41249999999999992</v>
      </c>
      <c r="P50" s="11">
        <f t="shared" si="33"/>
        <v>-0.45000000000000007</v>
      </c>
    </row>
    <row r="52" spans="3:16" x14ac:dyDescent="0.25">
      <c r="C52" t="s">
        <v>6</v>
      </c>
      <c r="D52" s="3">
        <f>D22</f>
        <v>7080</v>
      </c>
      <c r="E52" s="3">
        <f>E22</f>
        <v>18342</v>
      </c>
      <c r="F52" s="3">
        <f>F22</f>
        <v>-2547</v>
      </c>
      <c r="G52" s="3">
        <f>G22</f>
        <v>-393</v>
      </c>
      <c r="H52" s="3">
        <f>H22</f>
        <v>-18654</v>
      </c>
      <c r="I52" s="3">
        <f>I22</f>
        <v>-13584</v>
      </c>
      <c r="J52" s="3">
        <f>J22</f>
        <v>-28956</v>
      </c>
      <c r="K52" s="3">
        <f>K22</f>
        <v>-28062</v>
      </c>
      <c r="L52" s="3">
        <f>L40*L53</f>
        <v>-48364.207500000004</v>
      </c>
      <c r="M52" s="3">
        <f t="shared" ref="M52:P52" si="34">M40*M53</f>
        <v>51386.970468749998</v>
      </c>
      <c r="N52" s="3">
        <f t="shared" si="34"/>
        <v>55240.99325390625</v>
      </c>
      <c r="O52" s="3">
        <f t="shared" si="34"/>
        <v>60074.580163623039</v>
      </c>
      <c r="P52" s="3">
        <f t="shared" si="34"/>
        <v>66082.038179985349</v>
      </c>
    </row>
    <row r="53" spans="3:16" x14ac:dyDescent="0.25">
      <c r="C53" s="7" t="s">
        <v>7</v>
      </c>
      <c r="D53" s="11">
        <f>D52/D40</f>
        <v>1.7503869146216641E-2</v>
      </c>
      <c r="E53" s="11">
        <f t="shared" ref="E53:K53" si="35">E52/E40</f>
        <v>2.2234101744471477E-2</v>
      </c>
      <c r="F53" s="11">
        <f t="shared" si="35"/>
        <v>-2.1576590542896497E-3</v>
      </c>
      <c r="G53" s="11">
        <f t="shared" si="35"/>
        <v>-2.2908318925768885E-4</v>
      </c>
      <c r="H53" s="11">
        <f t="shared" si="35"/>
        <v>-7.4418760517125414E-3</v>
      </c>
      <c r="I53" s="11">
        <f t="shared" si="35"/>
        <v>-3.2994514516226188E-3</v>
      </c>
      <c r="J53" s="11">
        <f t="shared" si="35"/>
        <v>-6.2922561310708508E-3</v>
      </c>
      <c r="K53" s="11">
        <f t="shared" si="35"/>
        <v>-6.0923359490590223E-3</v>
      </c>
      <c r="L53" s="41">
        <v>-0.01</v>
      </c>
      <c r="M53" s="41">
        <v>0.01</v>
      </c>
      <c r="N53" s="41">
        <v>0.01</v>
      </c>
      <c r="O53" s="41">
        <v>0.01</v>
      </c>
      <c r="P53" s="41">
        <v>0.01</v>
      </c>
    </row>
    <row r="54" spans="3:16" ht="15.75" thickBot="1" x14ac:dyDescent="0.3"/>
    <row r="55" spans="3:16" ht="15.75" thickBot="1" x14ac:dyDescent="0.3">
      <c r="C55" s="22" t="s">
        <v>18</v>
      </c>
      <c r="D55" s="23">
        <f t="shared" ref="D55:L55" si="36">D49+D57</f>
        <v>-491270</v>
      </c>
      <c r="E55" s="23">
        <f t="shared" si="36"/>
        <v>-3424288</v>
      </c>
      <c r="F55" s="23">
        <f t="shared" si="36"/>
        <v>-3038431</v>
      </c>
      <c r="G55" s="23">
        <f t="shared" si="36"/>
        <v>-1016083</v>
      </c>
      <c r="H55" s="23">
        <f t="shared" si="36"/>
        <v>-775328</v>
      </c>
      <c r="I55" s="23">
        <f t="shared" si="36"/>
        <v>-582928</v>
      </c>
      <c r="J55" s="23">
        <f t="shared" si="36"/>
        <v>-1193133</v>
      </c>
      <c r="K55" s="24">
        <f t="shared" si="36"/>
        <v>-1229938</v>
      </c>
      <c r="L55" s="26">
        <f t="shared" si="36"/>
        <v>-1262400.3904447462</v>
      </c>
      <c r="M55" s="23">
        <f t="shared" ref="M55:P55" si="37">M49+M57</f>
        <v>-1546206.4115847857</v>
      </c>
      <c r="N55" s="23">
        <f t="shared" si="37"/>
        <v>-1867116.5554894705</v>
      </c>
      <c r="O55" s="23">
        <f t="shared" si="37"/>
        <v>-2246076.7375777247</v>
      </c>
      <c r="P55" s="24">
        <f t="shared" si="37"/>
        <v>-2725515.781470885</v>
      </c>
    </row>
    <row r="57" spans="3:16" x14ac:dyDescent="0.25">
      <c r="C57" t="s">
        <v>5</v>
      </c>
      <c r="D57" s="3">
        <f t="shared" ref="D57:K57" si="38">D27</f>
        <v>29115</v>
      </c>
      <c r="E57" s="3">
        <f t="shared" si="38"/>
        <v>61288</v>
      </c>
      <c r="F57" s="3">
        <f t="shared" si="38"/>
        <v>91648</v>
      </c>
      <c r="G57" s="3">
        <f t="shared" si="38"/>
        <v>87245</v>
      </c>
      <c r="H57" s="3">
        <f t="shared" si="38"/>
        <v>86744</v>
      </c>
      <c r="I57" s="3">
        <f t="shared" si="38"/>
        <v>119141</v>
      </c>
      <c r="J57" s="3">
        <f t="shared" si="38"/>
        <v>202173</v>
      </c>
      <c r="K57" s="3">
        <f t="shared" si="38"/>
        <v>168441</v>
      </c>
      <c r="L57" s="3">
        <f>L$40*L58</f>
        <v>188525.83455525344</v>
      </c>
      <c r="M57" s="3">
        <f t="shared" ref="M57:P57" si="39">M$40*M58</f>
        <v>188103.84173552736</v>
      </c>
      <c r="N57" s="3">
        <f t="shared" si="39"/>
        <v>204420.69153201426</v>
      </c>
      <c r="O57" s="3">
        <f t="shared" si="39"/>
        <v>231999.69417172534</v>
      </c>
      <c r="P57" s="3">
        <f t="shared" si="39"/>
        <v>248175.93662845617</v>
      </c>
    </row>
    <row r="58" spans="3:16" x14ac:dyDescent="0.25">
      <c r="C58" s="7" t="s">
        <v>7</v>
      </c>
      <c r="D58" s="11">
        <f>D57/D$40</f>
        <v>7.1980953416962937E-2</v>
      </c>
      <c r="E58" s="11">
        <f t="shared" ref="E58" si="40">E57/E$40</f>
        <v>7.4293077511458278E-2</v>
      </c>
      <c r="F58" s="11">
        <f t="shared" ref="F58" si="41">F57/F$40</f>
        <v>7.7638451907160511E-2</v>
      </c>
      <c r="G58" s="11">
        <f t="shared" ref="G58" si="42">G57/G$40</f>
        <v>5.0855885106328408E-2</v>
      </c>
      <c r="H58" s="11">
        <f t="shared" ref="H58" si="43">H57/H$40</f>
        <v>3.4605880574126335E-2</v>
      </c>
      <c r="I58" s="11">
        <f t="shared" ref="I58" si="44">I57/I$40</f>
        <v>2.8938452988646234E-2</v>
      </c>
      <c r="J58" s="11">
        <f t="shared" ref="J58" si="45">J57/J$40</f>
        <v>4.3933012114483597E-2</v>
      </c>
      <c r="K58" s="11">
        <f t="shared" ref="K58" si="46">K57/K$40</f>
        <v>3.6568995780609036E-2</v>
      </c>
      <c r="L58" s="16">
        <f>AVERAGE(G58:K58)</f>
        <v>3.8980445312838723E-2</v>
      </c>
      <c r="M58" s="16">
        <f>AVERAGE(L58,H58:K58)</f>
        <v>3.6605357354140791E-2</v>
      </c>
      <c r="N58" s="16">
        <f>AVERAGE(L58:M58,I58:K58)</f>
        <v>3.7005252710143675E-2</v>
      </c>
      <c r="O58" s="16">
        <f>AVERAGE(L58:N58,J58:K58)</f>
        <v>3.861861265444317E-2</v>
      </c>
      <c r="P58" s="16">
        <f>AVERAGE(L58:O58,K58)</f>
        <v>3.7555732762435082E-2</v>
      </c>
    </row>
    <row r="59" spans="3:16" x14ac:dyDescent="0.25">
      <c r="D59" s="3"/>
      <c r="E59" s="3"/>
      <c r="F59" s="3"/>
      <c r="G59" s="3"/>
      <c r="H59" s="3"/>
      <c r="I59" s="3"/>
      <c r="J59" s="3"/>
      <c r="K59" s="3"/>
    </row>
    <row r="60" spans="3:16" x14ac:dyDescent="0.25">
      <c r="C60" t="s">
        <v>21</v>
      </c>
      <c r="D60" s="3">
        <f>D30</f>
        <v>31842</v>
      </c>
      <c r="E60" s="3">
        <f>E30</f>
        <v>2639895</v>
      </c>
      <c r="F60" s="3">
        <f>F30</f>
        <v>538211</v>
      </c>
      <c r="G60" s="3">
        <f>G30</f>
        <v>686013</v>
      </c>
      <c r="H60" s="3">
        <f>H30</f>
        <v>770182</v>
      </c>
      <c r="I60" s="3">
        <f>I30</f>
        <v>1092135</v>
      </c>
      <c r="J60" s="3">
        <f>J30</f>
        <v>1387787</v>
      </c>
      <c r="K60" s="3">
        <f>K30</f>
        <v>1324004</v>
      </c>
      <c r="L60" s="3">
        <f>L61*L$40</f>
        <v>1450926.2249999999</v>
      </c>
      <c r="M60" s="3">
        <f t="shared" ref="M60:P60" si="47">M61*M$40</f>
        <v>1605842.8271484375</v>
      </c>
      <c r="N60" s="3">
        <f t="shared" si="47"/>
        <v>1795332.2807519531</v>
      </c>
      <c r="O60" s="3">
        <f t="shared" si="47"/>
        <v>2027517.0805222776</v>
      </c>
      <c r="P60" s="3">
        <f t="shared" si="47"/>
        <v>2312871.3362994869</v>
      </c>
    </row>
    <row r="61" spans="3:16" x14ac:dyDescent="0.25">
      <c r="C61" s="7" t="s">
        <v>7</v>
      </c>
      <c r="D61" s="11">
        <f>D60/D$40</f>
        <v>7.8722909795738746E-2</v>
      </c>
      <c r="E61" s="11">
        <f t="shared" ref="E61:K61" si="48">E60/E$40</f>
        <v>3.2000705498158069</v>
      </c>
      <c r="F61" s="11">
        <f t="shared" si="48"/>
        <v>0.45593868758079575</v>
      </c>
      <c r="G61" s="11">
        <f t="shared" si="48"/>
        <v>0.39988306847896921</v>
      </c>
      <c r="H61" s="11">
        <f t="shared" si="48"/>
        <v>0.30725844222472759</v>
      </c>
      <c r="I61" s="11">
        <f t="shared" si="48"/>
        <v>0.26527137891032604</v>
      </c>
      <c r="J61" s="11">
        <f t="shared" si="48"/>
        <v>0.30157173847805024</v>
      </c>
      <c r="K61" s="11">
        <f t="shared" si="48"/>
        <v>0.28744484234544732</v>
      </c>
      <c r="L61" s="16">
        <f>D104</f>
        <v>0.3</v>
      </c>
      <c r="M61" s="16">
        <f>L61+($P$61-$L$61)/($P$39-$L$39)</f>
        <v>0.3125</v>
      </c>
      <c r="N61" s="16">
        <f t="shared" ref="N61:O61" si="49">M61+($P$61-$L$61)/($P$39-$L$39)</f>
        <v>0.32500000000000001</v>
      </c>
      <c r="O61" s="16">
        <f t="shared" si="49"/>
        <v>0.33750000000000002</v>
      </c>
      <c r="P61" s="16">
        <f>G104</f>
        <v>0.35</v>
      </c>
    </row>
    <row r="62" spans="3:16" x14ac:dyDescent="0.25">
      <c r="C62" s="12"/>
      <c r="D62" s="4"/>
      <c r="E62" s="4"/>
      <c r="F62" s="4"/>
      <c r="G62" s="4"/>
      <c r="H62" s="4"/>
      <c r="I62" s="4"/>
      <c r="J62" s="4"/>
      <c r="K62" s="4"/>
    </row>
    <row r="63" spans="3:16" x14ac:dyDescent="0.25">
      <c r="C63" t="s">
        <v>9</v>
      </c>
      <c r="D63" s="3">
        <f>D33</f>
        <v>66441</v>
      </c>
      <c r="E63" s="3">
        <f>E33</f>
        <v>84518</v>
      </c>
      <c r="F63" s="3">
        <f>F33</f>
        <v>120242</v>
      </c>
      <c r="G63" s="3">
        <f>G33</f>
        <v>36478</v>
      </c>
      <c r="H63" s="3">
        <f>H33</f>
        <v>57832</v>
      </c>
      <c r="I63" s="3">
        <f>I33</f>
        <v>69875</v>
      </c>
      <c r="J63" s="3">
        <f>J33</f>
        <v>129306</v>
      </c>
      <c r="K63" s="3">
        <f>K33</f>
        <v>211727</v>
      </c>
      <c r="L63" s="3">
        <f>L64*L$40</f>
        <v>191227.10607228402</v>
      </c>
      <c r="M63" s="3">
        <f t="shared" ref="M63:P63" si="50">M64*M$40</f>
        <v>149802.70219487222</v>
      </c>
      <c r="N63" s="3">
        <f t="shared" si="50"/>
        <v>168300.74603932019</v>
      </c>
      <c r="O63" s="3">
        <f t="shared" si="50"/>
        <v>190431.24251594159</v>
      </c>
      <c r="P63" s="3">
        <f t="shared" si="50"/>
        <v>225694.23194637676</v>
      </c>
    </row>
    <row r="64" spans="3:16" x14ac:dyDescent="0.25">
      <c r="C64" s="7" t="s">
        <v>7</v>
      </c>
      <c r="D64" s="11">
        <f>D63/D$40</f>
        <v>0.16426194490731355</v>
      </c>
      <c r="E64" s="11">
        <f t="shared" ref="E64" si="51">E63/E$40</f>
        <v>0.10245239402678226</v>
      </c>
      <c r="F64" s="11">
        <f t="shared" ref="F64" si="52">F63/F$40</f>
        <v>0.10186149980600552</v>
      </c>
      <c r="G64" s="11">
        <f t="shared" ref="G64" si="53">G63/G$40</f>
        <v>2.1263350070590267E-2</v>
      </c>
      <c r="H64" s="11">
        <f t="shared" ref="H64" si="54">H63/H$40</f>
        <v>2.3071650896464013E-2</v>
      </c>
      <c r="I64" s="11">
        <f t="shared" ref="I64" si="55">I63/I$40</f>
        <v>1.6972112056988405E-2</v>
      </c>
      <c r="J64" s="11">
        <f t="shared" ref="J64" si="56">J63/J$40</f>
        <v>2.8098717753980085E-2</v>
      </c>
      <c r="K64" s="11">
        <f t="shared" ref="K64" si="57">K63/K$40</f>
        <v>4.5966503224517841E-2</v>
      </c>
      <c r="L64" s="16">
        <f>AVERAGE(F64:K64)</f>
        <v>3.9538972301424356E-2</v>
      </c>
      <c r="M64" s="16">
        <f t="shared" ref="M64:P64" si="58">AVERAGE(G64:L64)</f>
        <v>2.9151884383994162E-2</v>
      </c>
      <c r="N64" s="16">
        <f t="shared" si="58"/>
        <v>3.046664010289481E-2</v>
      </c>
      <c r="O64" s="16">
        <f t="shared" si="58"/>
        <v>3.1699138303966611E-2</v>
      </c>
      <c r="P64" s="16">
        <f t="shared" si="58"/>
        <v>3.4153642678462978E-2</v>
      </c>
    </row>
    <row r="65" spans="3:16" x14ac:dyDescent="0.25">
      <c r="C65" s="12"/>
      <c r="D65" s="4"/>
      <c r="E65" s="4"/>
      <c r="F65" s="4"/>
      <c r="G65" s="4"/>
      <c r="H65" s="4"/>
      <c r="I65" s="4"/>
      <c r="J65" s="4"/>
      <c r="K65" s="4"/>
    </row>
    <row r="66" spans="3:16" x14ac:dyDescent="0.25">
      <c r="C66" t="s">
        <v>10</v>
      </c>
      <c r="D66" s="3">
        <f>D36</f>
        <v>-483641</v>
      </c>
      <c r="E66" s="3">
        <f>E36</f>
        <v>173671</v>
      </c>
      <c r="F66" s="3">
        <f>F36</f>
        <v>51967</v>
      </c>
      <c r="G66" s="3">
        <f>G36</f>
        <v>132286</v>
      </c>
      <c r="H66" s="3">
        <f>H36</f>
        <v>25283</v>
      </c>
      <c r="I66" s="3">
        <f>I36</f>
        <v>1448180</v>
      </c>
      <c r="J66" s="3">
        <f>J36</f>
        <v>-570947</v>
      </c>
      <c r="K66" s="3">
        <f>K36</f>
        <v>358686</v>
      </c>
      <c r="L66" s="3">
        <f>L67*L$40</f>
        <v>241821.03750000001</v>
      </c>
      <c r="M66" s="3">
        <f t="shared" ref="M66:P66" si="59">M67*M$40</f>
        <v>308321.8228125</v>
      </c>
      <c r="N66" s="3">
        <f t="shared" si="59"/>
        <v>386686.9527773438</v>
      </c>
      <c r="O66" s="3">
        <f t="shared" si="59"/>
        <v>480596.64130898431</v>
      </c>
      <c r="P66" s="3">
        <f t="shared" si="59"/>
        <v>594738.34361986816</v>
      </c>
    </row>
    <row r="67" spans="3:16" x14ac:dyDescent="0.25">
      <c r="C67" s="7" t="s">
        <v>7</v>
      </c>
      <c r="D67" s="11">
        <f>D66/D$40</f>
        <v>-1.1957046296250513</v>
      </c>
      <c r="E67" s="11">
        <f t="shared" ref="E67" si="60">E66/E$40</f>
        <v>0.21052331719900261</v>
      </c>
      <c r="F67" s="11">
        <f t="shared" ref="F67" si="61">F66/F$40</f>
        <v>4.4023191234499499E-2</v>
      </c>
      <c r="G67" s="11">
        <f t="shared" ref="G67" si="62">G66/G$40</f>
        <v>7.7110683903670804E-2</v>
      </c>
      <c r="H67" s="11">
        <f t="shared" ref="H67" si="63">H66/H$40</f>
        <v>1.0086466828318225E-2</v>
      </c>
      <c r="I67" s="11">
        <f t="shared" ref="I67" si="64">I66/I$40</f>
        <v>0.3517520320384897</v>
      </c>
      <c r="J67" s="11">
        <f t="shared" ref="J67" si="65">J66/J$40</f>
        <v>-0.12406909660403746</v>
      </c>
      <c r="K67" s="11">
        <f t="shared" ref="K67" si="66">K66/K$40</f>
        <v>7.7871698817767246E-2</v>
      </c>
      <c r="L67" s="28">
        <v>0.05</v>
      </c>
      <c r="M67" s="28">
        <f>L67+1%</f>
        <v>6.0000000000000005E-2</v>
      </c>
      <c r="N67" s="28">
        <f t="shared" ref="N67:P67" si="67">M67+1%</f>
        <v>7.0000000000000007E-2</v>
      </c>
      <c r="O67" s="28">
        <f t="shared" si="67"/>
        <v>0.08</v>
      </c>
      <c r="P67" s="28">
        <f t="shared" si="67"/>
        <v>0.09</v>
      </c>
    </row>
    <row r="68" spans="3:16" ht="15.75" thickBot="1" x14ac:dyDescent="0.3">
      <c r="D68" s="3"/>
      <c r="E68" s="3"/>
      <c r="F68" s="3"/>
      <c r="G68" s="3"/>
      <c r="H68" s="3"/>
      <c r="I68" s="3"/>
      <c r="J68" s="3"/>
      <c r="K68" s="3"/>
    </row>
    <row r="69" spans="3:16" x14ac:dyDescent="0.25">
      <c r="C69" s="33" t="s">
        <v>19</v>
      </c>
      <c r="D69" s="34"/>
      <c r="E69" s="34"/>
      <c r="F69" s="34"/>
      <c r="G69" s="34"/>
      <c r="H69" s="34"/>
      <c r="I69" s="34"/>
      <c r="J69" s="34"/>
      <c r="K69" s="34"/>
      <c r="L69" s="35">
        <f>L55+L60-L63-L66</f>
        <v>-244522.30901703041</v>
      </c>
      <c r="M69" s="35">
        <f t="shared" ref="M69:P69" si="68">M55+M60-M63-M66</f>
        <v>-398488.10944372043</v>
      </c>
      <c r="N69" s="35">
        <f t="shared" si="68"/>
        <v>-626771.9735541814</v>
      </c>
      <c r="O69" s="35">
        <f t="shared" si="68"/>
        <v>-889587.54088037298</v>
      </c>
      <c r="P69" s="36">
        <f t="shared" si="68"/>
        <v>-1233077.0207376429</v>
      </c>
    </row>
    <row r="70" spans="3:16" ht="15.75" thickBot="1" x14ac:dyDescent="0.3">
      <c r="C70" s="37" t="s">
        <v>20</v>
      </c>
      <c r="D70" s="38"/>
      <c r="E70" s="38"/>
      <c r="F70" s="38"/>
      <c r="G70" s="38"/>
      <c r="H70" s="38"/>
      <c r="I70" s="38"/>
      <c r="J70" s="38"/>
      <c r="K70" s="38"/>
      <c r="L70" s="39">
        <f>L69/(1+$D$109)^L38</f>
        <v>-225782.37213022198</v>
      </c>
      <c r="M70" s="39">
        <f t="shared" ref="M70:P70" si="69">M69/(1+$D$109)^M38</f>
        <v>-339749.20853015117</v>
      </c>
      <c r="N70" s="39">
        <f t="shared" si="69"/>
        <v>-493428.46397760132</v>
      </c>
      <c r="O70" s="39">
        <f t="shared" si="69"/>
        <v>-646658.31348687178</v>
      </c>
      <c r="P70" s="40">
        <f t="shared" si="69"/>
        <v>-827652.29055967834</v>
      </c>
    </row>
    <row r="71" spans="3:16" x14ac:dyDescent="0.25">
      <c r="D71" s="3"/>
      <c r="E71" s="3"/>
      <c r="F71" s="3"/>
      <c r="G71" s="3"/>
      <c r="H71" s="3"/>
      <c r="I71" s="3"/>
      <c r="J71" s="3"/>
      <c r="K71" s="3"/>
      <c r="L71" s="4"/>
      <c r="M71" s="4"/>
      <c r="N71" s="4"/>
      <c r="O71" s="4"/>
      <c r="P71" s="4"/>
    </row>
    <row r="72" spans="3:16" x14ac:dyDescent="0.25">
      <c r="C72" t="s">
        <v>23</v>
      </c>
      <c r="D72" s="3"/>
      <c r="E72" s="3"/>
      <c r="F72" s="3"/>
      <c r="G72" s="3"/>
      <c r="H72" s="3"/>
      <c r="I72" s="3"/>
      <c r="J72" s="3"/>
      <c r="K72" s="3"/>
      <c r="L72" s="4"/>
      <c r="M72" s="4"/>
      <c r="N72" s="4"/>
      <c r="O72" s="4"/>
      <c r="P72" s="4">
        <f>P70*(1+$D$113)/($D$109-$D$113)</f>
        <v>-20017636.794931754</v>
      </c>
    </row>
    <row r="73" spans="3:16" x14ac:dyDescent="0.25">
      <c r="C73" t="s">
        <v>25</v>
      </c>
      <c r="D73" s="3"/>
      <c r="E73" s="3"/>
      <c r="F73" s="3"/>
      <c r="G73" s="3"/>
      <c r="H73" s="3"/>
      <c r="I73" s="3"/>
      <c r="J73" s="3"/>
      <c r="K73" s="3"/>
      <c r="L73" s="4"/>
      <c r="M73" s="4"/>
      <c r="N73" s="4"/>
      <c r="O73" s="4"/>
      <c r="P73" s="4">
        <f>P72/(1+$D$109)</f>
        <v>-18483505.812494695</v>
      </c>
    </row>
    <row r="74" spans="3:16" x14ac:dyDescent="0.25">
      <c r="C74" t="s">
        <v>26</v>
      </c>
      <c r="D74" s="3"/>
      <c r="E74" s="3"/>
      <c r="F74" s="3"/>
      <c r="G74" s="3"/>
      <c r="H74" s="3"/>
      <c r="I74" s="3"/>
      <c r="J74" s="3"/>
      <c r="K74" s="3"/>
      <c r="L74" s="4"/>
      <c r="M74" s="4"/>
      <c r="N74" s="4"/>
      <c r="O74" s="4"/>
      <c r="P74" s="4" cm="1">
        <f t="array" ref="P74">SUM(L70:P70+P73)</f>
        <v>-94950799.711158007</v>
      </c>
    </row>
    <row r="75" spans="3:16" x14ac:dyDescent="0.25">
      <c r="C75" t="s">
        <v>27</v>
      </c>
      <c r="D75" s="3"/>
      <c r="E75" s="3"/>
      <c r="F75" s="3"/>
      <c r="G75" s="3"/>
      <c r="H75" s="3"/>
      <c r="I75" s="3"/>
      <c r="J75" s="3"/>
      <c r="K75" s="3"/>
      <c r="L75" s="4"/>
      <c r="M75" s="4"/>
      <c r="N75" s="4"/>
      <c r="O75" s="4"/>
      <c r="P75" s="10">
        <v>1780400</v>
      </c>
    </row>
    <row r="76" spans="3:16" x14ac:dyDescent="0.25">
      <c r="C76" t="s">
        <v>28</v>
      </c>
      <c r="D76" s="3"/>
      <c r="E76" s="3"/>
      <c r="F76" s="3"/>
      <c r="G76" s="3"/>
      <c r="H76" s="3"/>
      <c r="I76" s="3"/>
      <c r="J76" s="3"/>
      <c r="K76" s="3"/>
      <c r="L76" s="4"/>
      <c r="M76" s="4"/>
      <c r="N76" s="4"/>
      <c r="O76" s="4"/>
      <c r="P76" s="5">
        <v>3749400</v>
      </c>
    </row>
    <row r="77" spans="3:16" x14ac:dyDescent="0.25">
      <c r="C77" t="s">
        <v>29</v>
      </c>
      <c r="D77" s="3"/>
      <c r="E77" s="3"/>
      <c r="F77" s="3"/>
      <c r="G77" s="3"/>
      <c r="H77" s="3"/>
      <c r="I77" s="3"/>
      <c r="J77" s="3"/>
      <c r="K77" s="3"/>
      <c r="L77" s="4"/>
      <c r="M77" s="4"/>
      <c r="N77" s="4"/>
      <c r="O77" s="4"/>
      <c r="P77" s="4">
        <f>P74+P75-P76</f>
        <v>-96919799.711158007</v>
      </c>
    </row>
    <row r="78" spans="3:16" x14ac:dyDescent="0.25">
      <c r="C78" t="s">
        <v>30</v>
      </c>
      <c r="D78" s="3"/>
      <c r="E78" s="3"/>
      <c r="F78" s="3"/>
      <c r="G78" s="3"/>
      <c r="H78" s="3"/>
      <c r="I78" s="3"/>
      <c r="J78" s="3"/>
      <c r="K78" s="3"/>
      <c r="L78" s="4"/>
      <c r="M78" s="4"/>
      <c r="N78" s="4"/>
      <c r="O78" s="4"/>
      <c r="P78" s="4">
        <v>1645749</v>
      </c>
    </row>
    <row r="79" spans="3:16" x14ac:dyDescent="0.25">
      <c r="C79" t="s">
        <v>31</v>
      </c>
      <c r="D79" s="3"/>
      <c r="E79" s="3"/>
      <c r="F79" s="3"/>
      <c r="G79" s="3"/>
      <c r="H79" s="3"/>
      <c r="I79" s="3"/>
      <c r="J79" s="3"/>
      <c r="K79" s="3"/>
      <c r="L79" s="4"/>
      <c r="M79" s="4"/>
      <c r="N79" s="4"/>
      <c r="O79" s="4"/>
      <c r="P79" s="4">
        <f>P77/P78</f>
        <v>-58.890997175850025</v>
      </c>
    </row>
    <row r="80" spans="3:16" x14ac:dyDescent="0.25">
      <c r="D80" s="3"/>
      <c r="E80" s="3"/>
      <c r="F80" s="3"/>
      <c r="G80" s="3"/>
      <c r="H80" s="3"/>
      <c r="I80" s="3"/>
      <c r="J80" s="3"/>
      <c r="K80" s="3"/>
      <c r="L80" s="4"/>
      <c r="M80" s="4"/>
      <c r="N80" s="4"/>
      <c r="O80" s="4"/>
      <c r="P80" s="4"/>
    </row>
    <row r="81" spans="3:11" x14ac:dyDescent="0.25">
      <c r="D81" s="3"/>
      <c r="E81" s="3"/>
      <c r="F81" s="3"/>
      <c r="G81" s="3"/>
      <c r="H81" s="3"/>
      <c r="I81" s="3"/>
      <c r="J81" s="3"/>
      <c r="K81" s="3"/>
    </row>
    <row r="82" spans="3:11" x14ac:dyDescent="0.25">
      <c r="C82" s="12" t="s">
        <v>13</v>
      </c>
      <c r="D82" s="14">
        <v>2024</v>
      </c>
      <c r="G82" s="14">
        <v>2028</v>
      </c>
      <c r="H82" s="3"/>
      <c r="I82" s="3"/>
      <c r="J82" s="3"/>
      <c r="K82" s="3"/>
    </row>
    <row r="83" spans="3:11" x14ac:dyDescent="0.25">
      <c r="C83" s="17" t="s">
        <v>1</v>
      </c>
      <c r="H83" s="3"/>
      <c r="I83" s="3"/>
      <c r="J83" s="3"/>
      <c r="K83" s="3"/>
    </row>
    <row r="84" spans="3:11" x14ac:dyDescent="0.25">
      <c r="C84" s="18" t="s">
        <v>8</v>
      </c>
      <c r="D84" s="16"/>
      <c r="G84" s="16"/>
      <c r="H84" s="3"/>
      <c r="I84" s="3"/>
      <c r="J84" s="3"/>
      <c r="K84" s="3"/>
    </row>
    <row r="85" spans="3:11" x14ac:dyDescent="0.25">
      <c r="C85" s="19" t="s">
        <v>14</v>
      </c>
      <c r="D85" s="16">
        <v>0.02</v>
      </c>
      <c r="G85" s="16">
        <v>0.05</v>
      </c>
    </row>
    <row r="86" spans="3:11" x14ac:dyDescent="0.25">
      <c r="C86" s="20" t="s">
        <v>15</v>
      </c>
      <c r="D86" s="16">
        <v>0.05</v>
      </c>
      <c r="G86" s="16">
        <v>0.1</v>
      </c>
    </row>
    <row r="87" spans="3:11" x14ac:dyDescent="0.25">
      <c r="C87" s="21" t="s">
        <v>16</v>
      </c>
      <c r="D87" s="16">
        <v>0.1</v>
      </c>
      <c r="G87" s="16">
        <v>0.3</v>
      </c>
    </row>
    <row r="88" spans="3:11" x14ac:dyDescent="0.25">
      <c r="C88" s="17"/>
      <c r="D88" s="16"/>
      <c r="G88" s="16"/>
    </row>
    <row r="89" spans="3:11" x14ac:dyDescent="0.25">
      <c r="C89" t="s">
        <v>2</v>
      </c>
    </row>
    <row r="90" spans="3:11" x14ac:dyDescent="0.25">
      <c r="C90" s="7" t="s">
        <v>7</v>
      </c>
    </row>
    <row r="91" spans="3:11" x14ac:dyDescent="0.25">
      <c r="C91" s="19" t="s">
        <v>14</v>
      </c>
      <c r="D91" s="16">
        <v>0.5</v>
      </c>
      <c r="G91" s="16">
        <v>0.65</v>
      </c>
    </row>
    <row r="92" spans="3:11" x14ac:dyDescent="0.25">
      <c r="C92" s="20" t="s">
        <v>15</v>
      </c>
      <c r="D92" s="16">
        <v>0.45</v>
      </c>
      <c r="G92" s="16">
        <v>0.55000000000000004</v>
      </c>
    </row>
    <row r="93" spans="3:11" x14ac:dyDescent="0.25">
      <c r="C93" s="21" t="s">
        <v>16</v>
      </c>
      <c r="D93" s="16">
        <v>0.35</v>
      </c>
      <c r="G93" s="16">
        <v>0.2</v>
      </c>
    </row>
    <row r="95" spans="3:11" x14ac:dyDescent="0.25">
      <c r="C95" t="s">
        <v>3</v>
      </c>
    </row>
    <row r="96" spans="3:11" x14ac:dyDescent="0.25">
      <c r="C96" s="7" t="s">
        <v>7</v>
      </c>
    </row>
    <row r="97" spans="3:7" x14ac:dyDescent="0.25">
      <c r="C97" s="19" t="s">
        <v>14</v>
      </c>
      <c r="D97" s="16">
        <v>0.88</v>
      </c>
      <c r="G97" s="16">
        <v>0.92</v>
      </c>
    </row>
    <row r="98" spans="3:7" x14ac:dyDescent="0.25">
      <c r="C98" s="20" t="s">
        <v>15</v>
      </c>
      <c r="D98" s="16">
        <v>0.85</v>
      </c>
      <c r="G98" s="16">
        <v>0.9</v>
      </c>
    </row>
    <row r="99" spans="3:7" x14ac:dyDescent="0.25">
      <c r="C99" s="21" t="s">
        <v>16</v>
      </c>
      <c r="D99" s="16">
        <v>0.83</v>
      </c>
      <c r="G99" s="16">
        <v>0.75</v>
      </c>
    </row>
    <row r="101" spans="3:7" x14ac:dyDescent="0.25">
      <c r="C101" t="s">
        <v>21</v>
      </c>
    </row>
    <row r="102" spans="3:7" x14ac:dyDescent="0.25">
      <c r="C102" s="7" t="s">
        <v>7</v>
      </c>
    </row>
    <row r="103" spans="3:7" x14ac:dyDescent="0.25">
      <c r="C103" s="19" t="s">
        <v>14</v>
      </c>
      <c r="D103" s="16">
        <v>0.2</v>
      </c>
      <c r="G103" s="16">
        <v>0.25</v>
      </c>
    </row>
    <row r="104" spans="3:7" x14ac:dyDescent="0.25">
      <c r="C104" s="20" t="s">
        <v>15</v>
      </c>
      <c r="D104" s="16">
        <v>0.3</v>
      </c>
      <c r="G104" s="16">
        <v>0.35</v>
      </c>
    </row>
    <row r="105" spans="3:7" x14ac:dyDescent="0.25">
      <c r="C105" s="21" t="s">
        <v>16</v>
      </c>
      <c r="D105" s="16">
        <v>0.35</v>
      </c>
      <c r="G105" s="16">
        <v>0.45</v>
      </c>
    </row>
    <row r="107" spans="3:7" x14ac:dyDescent="0.25">
      <c r="C107" s="7" t="s">
        <v>22</v>
      </c>
    </row>
    <row r="108" spans="3:7" x14ac:dyDescent="0.25">
      <c r="C108" s="19" t="s">
        <v>14</v>
      </c>
      <c r="D108" s="25">
        <v>8.6999999999999994E-2</v>
      </c>
    </row>
    <row r="109" spans="3:7" x14ac:dyDescent="0.25">
      <c r="C109" s="20" t="s">
        <v>15</v>
      </c>
      <c r="D109" s="25">
        <v>8.3000000000000004E-2</v>
      </c>
    </row>
    <row r="110" spans="3:7" x14ac:dyDescent="0.25">
      <c r="C110" s="21" t="s">
        <v>16</v>
      </c>
      <c r="D110" s="25">
        <v>8.1000000000000003E-2</v>
      </c>
    </row>
    <row r="112" spans="3:7" x14ac:dyDescent="0.25">
      <c r="C112" t="s">
        <v>24</v>
      </c>
    </row>
    <row r="113" spans="3:4" x14ac:dyDescent="0.25">
      <c r="C113" s="20" t="s">
        <v>15</v>
      </c>
      <c r="D113" s="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Simangunsong, Joshua</dc:creator>
  <cp:lastModifiedBy>Joshua Simangunsong</cp:lastModifiedBy>
  <dcterms:created xsi:type="dcterms:W3CDTF">2024-02-13T20:16:20Z</dcterms:created>
  <dcterms:modified xsi:type="dcterms:W3CDTF">2024-02-16T01:07:17Z</dcterms:modified>
</cp:coreProperties>
</file>