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36cc89c3b879ce5/Desktop/"/>
    </mc:Choice>
  </mc:AlternateContent>
  <xr:revisionPtr revIDLastSave="19" documentId="8_{307B7E66-F9AD-4B03-8DA2-1531D8B246BC}" xr6:coauthVersionLast="47" xr6:coauthVersionMax="47" xr10:uidLastSave="{0A5548E2-0F3C-4756-8432-A124749E8928}"/>
  <bookViews>
    <workbookView xWindow="-120" yWindow="480" windowWidth="38640" windowHeight="21240" activeTab="3" xr2:uid="{00000000-000D-0000-FFFF-FFFF00000000}"/>
  </bookViews>
  <sheets>
    <sheet name="DCF" sheetId="7" r:id="rId1"/>
    <sheet name="WACC" sheetId="4" r:id="rId2"/>
    <sheet name="Valuation Graph" sheetId="8" r:id="rId3"/>
    <sheet name="Assumptions" sheetId="3" r:id="rId4"/>
    <sheet name="Projections 2016 - 2020" sheetId="6" r:id="rId5"/>
    <sheet name="P&amp;L 2013-2018" sheetId="2" r:id="rId6"/>
    <sheet name="Consolidated BS" sheetId="1" r:id="rId7"/>
    <sheet name="Debt" sheetId="5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3" i="3" l="1"/>
  <c r="N33" i="3"/>
  <c r="M33" i="3"/>
  <c r="L33" i="3"/>
  <c r="K33" i="3"/>
  <c r="O27" i="3"/>
  <c r="N27" i="3"/>
  <c r="M27" i="3"/>
  <c r="L27" i="3"/>
  <c r="K27" i="3"/>
  <c r="O22" i="3"/>
  <c r="N22" i="3"/>
  <c r="M22" i="3"/>
  <c r="L22" i="3"/>
  <c r="K22" i="3"/>
  <c r="O17" i="3"/>
  <c r="N17" i="3"/>
  <c r="M17" i="3"/>
  <c r="L17" i="3"/>
  <c r="K17" i="3"/>
  <c r="O12" i="3"/>
  <c r="N12" i="3"/>
  <c r="M12" i="3"/>
  <c r="L12" i="3"/>
  <c r="K12" i="3"/>
  <c r="O7" i="3"/>
  <c r="N7" i="3"/>
  <c r="M7" i="3"/>
  <c r="L7" i="3"/>
  <c r="K7" i="3"/>
  <c r="D145" i="6"/>
  <c r="B28" i="1"/>
  <c r="B33" i="1"/>
  <c r="B40" i="1"/>
  <c r="D8" i="4"/>
  <c r="D6" i="5"/>
  <c r="D10" i="5"/>
  <c r="D12" i="5"/>
  <c r="D14" i="5"/>
  <c r="D16" i="5"/>
  <c r="D22" i="5"/>
  <c r="B22" i="5"/>
  <c r="D13" i="4"/>
  <c r="D15" i="4"/>
  <c r="D9" i="4"/>
  <c r="J9" i="4"/>
  <c r="K9" i="4"/>
  <c r="L9" i="4"/>
  <c r="J10" i="4"/>
  <c r="L10" i="4"/>
  <c r="J11" i="4"/>
  <c r="L11" i="4"/>
  <c r="J12" i="4"/>
  <c r="L12" i="4"/>
  <c r="J13" i="4"/>
  <c r="L13" i="4"/>
  <c r="L15" i="4"/>
  <c r="I22" i="4"/>
  <c r="J22" i="4"/>
  <c r="K22" i="4"/>
  <c r="L22" i="4"/>
  <c r="D21" i="4"/>
  <c r="D23" i="4"/>
  <c r="D26" i="4"/>
  <c r="C134" i="6"/>
  <c r="D205" i="6"/>
  <c r="C100" i="6"/>
  <c r="D220" i="6"/>
  <c r="D175" i="6"/>
  <c r="D160" i="6"/>
  <c r="F39" i="6"/>
  <c r="H8" i="3"/>
  <c r="I8" i="3"/>
  <c r="G39" i="6"/>
  <c r="J8" i="3"/>
  <c r="H39" i="6"/>
  <c r="M7" i="7"/>
  <c r="H13" i="3"/>
  <c r="G13" i="3"/>
  <c r="I13" i="3"/>
  <c r="J13" i="3"/>
  <c r="H41" i="6"/>
  <c r="M9" i="7"/>
  <c r="M10" i="7"/>
  <c r="H18" i="3"/>
  <c r="G18" i="3"/>
  <c r="I18" i="3"/>
  <c r="J18" i="3"/>
  <c r="H46" i="6"/>
  <c r="M12" i="7"/>
  <c r="M16" i="7"/>
  <c r="P8" i="2"/>
  <c r="Q8" i="2"/>
  <c r="D39" i="6"/>
  <c r="I7" i="7"/>
  <c r="Q9" i="2"/>
  <c r="D41" i="6"/>
  <c r="I9" i="7"/>
  <c r="I10" i="7"/>
  <c r="M15" i="2"/>
  <c r="N15" i="2"/>
  <c r="O15" i="2"/>
  <c r="P15" i="2"/>
  <c r="Q15" i="2"/>
  <c r="D46" i="6"/>
  <c r="I12" i="7"/>
  <c r="I16" i="7"/>
  <c r="N16" i="7"/>
  <c r="H57" i="6"/>
  <c r="M18" i="7"/>
  <c r="M19" i="7"/>
  <c r="Q28" i="2"/>
  <c r="D57" i="6"/>
  <c r="I18" i="7"/>
  <c r="I19" i="7"/>
  <c r="N19" i="7"/>
  <c r="H52" i="6"/>
  <c r="M15" i="7"/>
  <c r="M13" i="7"/>
  <c r="D52" i="6"/>
  <c r="I15" i="7"/>
  <c r="I13" i="7"/>
  <c r="N13" i="7"/>
  <c r="N12" i="7"/>
  <c r="N9" i="7"/>
  <c r="D189" i="6"/>
  <c r="C65" i="6"/>
  <c r="E26" i="7"/>
  <c r="G8" i="3"/>
  <c r="G9" i="3"/>
  <c r="E74" i="6"/>
  <c r="E87" i="6"/>
  <c r="G14" i="3"/>
  <c r="E76" i="6"/>
  <c r="E79" i="6"/>
  <c r="G19" i="3"/>
  <c r="E81" i="6"/>
  <c r="E90" i="6"/>
  <c r="E84" i="6"/>
  <c r="E85" i="6"/>
  <c r="H9" i="3"/>
  <c r="F74" i="6"/>
  <c r="F87" i="6"/>
  <c r="H14" i="3"/>
  <c r="F76" i="6"/>
  <c r="F79" i="6"/>
  <c r="H19" i="3"/>
  <c r="F81" i="6"/>
  <c r="F90" i="6"/>
  <c r="F84" i="6"/>
  <c r="F85" i="6"/>
  <c r="I9" i="3"/>
  <c r="G74" i="6"/>
  <c r="G87" i="6"/>
  <c r="I14" i="3"/>
  <c r="G76" i="6"/>
  <c r="G79" i="6"/>
  <c r="I19" i="3"/>
  <c r="G81" i="6"/>
  <c r="G90" i="6"/>
  <c r="G84" i="6"/>
  <c r="G85" i="6"/>
  <c r="J9" i="3"/>
  <c r="H74" i="6"/>
  <c r="H87" i="6"/>
  <c r="J14" i="3"/>
  <c r="H76" i="6"/>
  <c r="H79" i="6"/>
  <c r="J19" i="3"/>
  <c r="H81" i="6"/>
  <c r="H90" i="6"/>
  <c r="H84" i="6"/>
  <c r="H85" i="6"/>
  <c r="D87" i="6"/>
  <c r="F13" i="3"/>
  <c r="F14" i="3"/>
  <c r="D76" i="6"/>
  <c r="D79" i="6"/>
  <c r="F18" i="3"/>
  <c r="F19" i="3"/>
  <c r="D81" i="6"/>
  <c r="D90" i="6"/>
  <c r="D84" i="6"/>
  <c r="D85" i="6"/>
  <c r="F6" i="6"/>
  <c r="D75" i="6"/>
  <c r="E75" i="6"/>
  <c r="F75" i="6"/>
  <c r="G75" i="6"/>
  <c r="H75" i="6"/>
  <c r="D80" i="6"/>
  <c r="E80" i="6"/>
  <c r="F80" i="6"/>
  <c r="G80" i="6"/>
  <c r="H80" i="6"/>
  <c r="D91" i="6"/>
  <c r="E91" i="6"/>
  <c r="F91" i="6"/>
  <c r="G91" i="6"/>
  <c r="H91" i="6"/>
  <c r="D92" i="6"/>
  <c r="E92" i="6"/>
  <c r="F92" i="6"/>
  <c r="G92" i="6"/>
  <c r="H92" i="6"/>
  <c r="D93" i="6"/>
  <c r="E93" i="6"/>
  <c r="F93" i="6"/>
  <c r="G93" i="6"/>
  <c r="H93" i="6"/>
  <c r="D95" i="6"/>
  <c r="E95" i="6"/>
  <c r="F95" i="6"/>
  <c r="G95" i="6"/>
  <c r="H95" i="6"/>
  <c r="F35" i="3"/>
  <c r="D96" i="6"/>
  <c r="G35" i="3"/>
  <c r="E96" i="6"/>
  <c r="H35" i="3"/>
  <c r="F96" i="6"/>
  <c r="I35" i="3"/>
  <c r="G96" i="6"/>
  <c r="J35" i="3"/>
  <c r="H96" i="6"/>
  <c r="D99" i="6"/>
  <c r="E99" i="6"/>
  <c r="F99" i="6"/>
  <c r="G99" i="6"/>
  <c r="H99" i="6"/>
  <c r="D102" i="6"/>
  <c r="E102" i="6"/>
  <c r="F102" i="6"/>
  <c r="G102" i="6"/>
  <c r="H102" i="6"/>
  <c r="D103" i="6"/>
  <c r="E103" i="6"/>
  <c r="F103" i="6"/>
  <c r="G103" i="6"/>
  <c r="H103" i="6"/>
  <c r="D53" i="6"/>
  <c r="F15" i="3"/>
  <c r="D110" i="6"/>
  <c r="D113" i="6"/>
  <c r="F20" i="3"/>
  <c r="D115" i="6"/>
  <c r="D124" i="6"/>
  <c r="H37" i="7"/>
  <c r="H39" i="7"/>
  <c r="H40" i="7"/>
  <c r="I8" i="8"/>
  <c r="I10" i="8"/>
  <c r="H8" i="8"/>
  <c r="H10" i="8"/>
  <c r="I9" i="8"/>
  <c r="H9" i="8"/>
  <c r="G10" i="8"/>
  <c r="G8" i="8"/>
  <c r="G9" i="8"/>
  <c r="G27" i="3"/>
  <c r="H27" i="3"/>
  <c r="I28" i="3"/>
  <c r="I27" i="3"/>
  <c r="J28" i="3"/>
  <c r="J27" i="3"/>
  <c r="G22" i="3"/>
  <c r="H22" i="3"/>
  <c r="I22" i="3"/>
  <c r="J22" i="3"/>
  <c r="G17" i="3"/>
  <c r="H17" i="3"/>
  <c r="I17" i="3"/>
  <c r="J17" i="3"/>
  <c r="G12" i="3"/>
  <c r="H12" i="3"/>
  <c r="I12" i="3"/>
  <c r="J12" i="3"/>
  <c r="G33" i="3"/>
  <c r="H33" i="3"/>
  <c r="I33" i="3"/>
  <c r="J33" i="3"/>
  <c r="F33" i="3"/>
  <c r="F27" i="3"/>
  <c r="F22" i="3"/>
  <c r="F17" i="3"/>
  <c r="F12" i="3"/>
  <c r="E39" i="6"/>
  <c r="E61" i="6"/>
  <c r="J22" i="7"/>
  <c r="F61" i="6"/>
  <c r="K22" i="7"/>
  <c r="G61" i="6"/>
  <c r="L22" i="7"/>
  <c r="H61" i="6"/>
  <c r="M22" i="7"/>
  <c r="D61" i="6"/>
  <c r="I22" i="7"/>
  <c r="E57" i="6"/>
  <c r="J18" i="7"/>
  <c r="F57" i="6"/>
  <c r="K18" i="7"/>
  <c r="G57" i="6"/>
  <c r="L18" i="7"/>
  <c r="E52" i="6"/>
  <c r="J15" i="7"/>
  <c r="F52" i="6"/>
  <c r="K15" i="7"/>
  <c r="G52" i="6"/>
  <c r="L15" i="7"/>
  <c r="E46" i="6"/>
  <c r="J12" i="7"/>
  <c r="F46" i="6"/>
  <c r="K12" i="7"/>
  <c r="G46" i="6"/>
  <c r="L12" i="7"/>
  <c r="E41" i="6"/>
  <c r="J9" i="7"/>
  <c r="F41" i="6"/>
  <c r="K9" i="7"/>
  <c r="G41" i="6"/>
  <c r="L9" i="7"/>
  <c r="J7" i="7"/>
  <c r="K7" i="7"/>
  <c r="L7" i="7"/>
  <c r="K35" i="7"/>
  <c r="C10" i="8"/>
  <c r="C8" i="8"/>
  <c r="C9" i="8"/>
  <c r="D10" i="8"/>
  <c r="D8" i="8"/>
  <c r="D9" i="8"/>
  <c r="B10" i="8"/>
  <c r="B8" i="8"/>
  <c r="B9" i="8"/>
  <c r="F145" i="6"/>
  <c r="F146" i="6"/>
  <c r="F222" i="6"/>
  <c r="F221" i="6"/>
  <c r="F220" i="6"/>
  <c r="F219" i="6"/>
  <c r="F144" i="6"/>
  <c r="F218" i="6"/>
  <c r="J217" i="6"/>
  <c r="K217" i="6"/>
  <c r="H217" i="6"/>
  <c r="G217" i="6"/>
  <c r="H136" i="6"/>
  <c r="D222" i="6"/>
  <c r="G10" i="3"/>
  <c r="E108" i="6"/>
  <c r="H10" i="3"/>
  <c r="F108" i="6"/>
  <c r="I10" i="3"/>
  <c r="G108" i="6"/>
  <c r="J10" i="3"/>
  <c r="H108" i="6"/>
  <c r="J15" i="3"/>
  <c r="H110" i="6"/>
  <c r="H113" i="6"/>
  <c r="J20" i="3"/>
  <c r="H115" i="6"/>
  <c r="H124" i="6"/>
  <c r="H121" i="6"/>
  <c r="H118" i="6"/>
  <c r="D219" i="6"/>
  <c r="D221" i="6"/>
  <c r="D223" i="6"/>
  <c r="D136" i="6"/>
  <c r="D126" i="6"/>
  <c r="D127" i="6"/>
  <c r="D121" i="6"/>
  <c r="D129" i="6"/>
  <c r="F36" i="3"/>
  <c r="D130" i="6"/>
  <c r="D133" i="6"/>
  <c r="D137" i="6"/>
  <c r="E136" i="6"/>
  <c r="G15" i="3"/>
  <c r="E110" i="6"/>
  <c r="E113" i="6"/>
  <c r="G20" i="3"/>
  <c r="E115" i="6"/>
  <c r="E124" i="6"/>
  <c r="E126" i="6"/>
  <c r="E127" i="6"/>
  <c r="E121" i="6"/>
  <c r="E129" i="6"/>
  <c r="E130" i="6"/>
  <c r="E133" i="6"/>
  <c r="E137" i="6"/>
  <c r="F136" i="6"/>
  <c r="H15" i="3"/>
  <c r="F110" i="6"/>
  <c r="F113" i="6"/>
  <c r="H20" i="3"/>
  <c r="F115" i="6"/>
  <c r="F124" i="6"/>
  <c r="F126" i="6"/>
  <c r="F127" i="6"/>
  <c r="F121" i="6"/>
  <c r="F129" i="6"/>
  <c r="F130" i="6"/>
  <c r="F133" i="6"/>
  <c r="F137" i="6"/>
  <c r="G136" i="6"/>
  <c r="I15" i="3"/>
  <c r="G110" i="6"/>
  <c r="G113" i="6"/>
  <c r="I20" i="3"/>
  <c r="G115" i="6"/>
  <c r="G124" i="6"/>
  <c r="G126" i="6"/>
  <c r="G127" i="6"/>
  <c r="G121" i="6"/>
  <c r="G129" i="6"/>
  <c r="G130" i="6"/>
  <c r="G133" i="6"/>
  <c r="G137" i="6"/>
  <c r="H126" i="6"/>
  <c r="H127" i="6"/>
  <c r="H129" i="6"/>
  <c r="H130" i="6"/>
  <c r="H133" i="6"/>
  <c r="H137" i="6"/>
  <c r="D216" i="6"/>
  <c r="D224" i="6"/>
  <c r="D226" i="6"/>
  <c r="F217" i="6"/>
  <c r="F207" i="6"/>
  <c r="F206" i="6"/>
  <c r="F205" i="6"/>
  <c r="F204" i="6"/>
  <c r="F203" i="6"/>
  <c r="J202" i="6"/>
  <c r="K202" i="6"/>
  <c r="H202" i="6"/>
  <c r="G202" i="6"/>
  <c r="D207" i="6"/>
  <c r="D204" i="6"/>
  <c r="D206" i="6"/>
  <c r="D208" i="6"/>
  <c r="D201" i="6"/>
  <c r="D209" i="6"/>
  <c r="D211" i="6"/>
  <c r="F202" i="6"/>
  <c r="J186" i="6"/>
  <c r="K186" i="6"/>
  <c r="H186" i="6"/>
  <c r="G186" i="6"/>
  <c r="H44" i="6"/>
  <c r="H55" i="6"/>
  <c r="H49" i="6"/>
  <c r="D188" i="6"/>
  <c r="D190" i="6"/>
  <c r="H67" i="6"/>
  <c r="D191" i="6"/>
  <c r="D192" i="6"/>
  <c r="D67" i="6"/>
  <c r="D44" i="6"/>
  <c r="D55" i="6"/>
  <c r="D58" i="6"/>
  <c r="D60" i="6"/>
  <c r="D64" i="6"/>
  <c r="D68" i="6"/>
  <c r="E67" i="6"/>
  <c r="E44" i="6"/>
  <c r="E55" i="6"/>
  <c r="E58" i="6"/>
  <c r="E60" i="6"/>
  <c r="E64" i="6"/>
  <c r="E68" i="6"/>
  <c r="F67" i="6"/>
  <c r="F44" i="6"/>
  <c r="F55" i="6"/>
  <c r="F58" i="6"/>
  <c r="F60" i="6"/>
  <c r="F64" i="6"/>
  <c r="F68" i="6"/>
  <c r="G67" i="6"/>
  <c r="G44" i="6"/>
  <c r="G55" i="6"/>
  <c r="G58" i="6"/>
  <c r="G60" i="6"/>
  <c r="G64" i="6"/>
  <c r="G68" i="6"/>
  <c r="H58" i="6"/>
  <c r="H60" i="6"/>
  <c r="H64" i="6"/>
  <c r="H68" i="6"/>
  <c r="D185" i="6"/>
  <c r="D193" i="6"/>
  <c r="D195" i="6"/>
  <c r="F186" i="6"/>
  <c r="F191" i="6"/>
  <c r="F190" i="6"/>
  <c r="F189" i="6"/>
  <c r="F188" i="6"/>
  <c r="F187" i="6"/>
  <c r="F177" i="6"/>
  <c r="F176" i="6"/>
  <c r="F175" i="6"/>
  <c r="F174" i="6"/>
  <c r="F173" i="6"/>
  <c r="J172" i="6"/>
  <c r="K172" i="6"/>
  <c r="H172" i="6"/>
  <c r="G172" i="6"/>
  <c r="E118" i="6"/>
  <c r="D174" i="6"/>
  <c r="D176" i="6"/>
  <c r="D177" i="6"/>
  <c r="D178" i="6"/>
  <c r="D171" i="6"/>
  <c r="D179" i="6"/>
  <c r="D181" i="6"/>
  <c r="F172" i="6"/>
  <c r="D159" i="6"/>
  <c r="D161" i="6"/>
  <c r="D162" i="6"/>
  <c r="D163" i="6"/>
  <c r="D156" i="6"/>
  <c r="D164" i="6"/>
  <c r="D166" i="6"/>
  <c r="F157" i="6"/>
  <c r="F162" i="6"/>
  <c r="F161" i="6"/>
  <c r="F160" i="6"/>
  <c r="F159" i="6"/>
  <c r="F158" i="6"/>
  <c r="J157" i="6"/>
  <c r="K157" i="6"/>
  <c r="H157" i="6"/>
  <c r="G157" i="6"/>
  <c r="F143" i="6"/>
  <c r="F147" i="6"/>
  <c r="J10" i="7"/>
  <c r="J16" i="7"/>
  <c r="J13" i="7"/>
  <c r="E37" i="7"/>
  <c r="E39" i="7"/>
  <c r="I28" i="7"/>
  <c r="E40" i="7"/>
  <c r="E41" i="7"/>
  <c r="J142" i="6"/>
  <c r="K142" i="6"/>
  <c r="H142" i="6"/>
  <c r="G142" i="6"/>
  <c r="I21" i="7"/>
  <c r="I25" i="7"/>
  <c r="I29" i="7"/>
  <c r="J28" i="7"/>
  <c r="J19" i="7"/>
  <c r="J21" i="7"/>
  <c r="J25" i="7"/>
  <c r="J29" i="7"/>
  <c r="K28" i="7"/>
  <c r="K10" i="7"/>
  <c r="K16" i="7"/>
  <c r="K19" i="7"/>
  <c r="K21" i="7"/>
  <c r="K25" i="7"/>
  <c r="K29" i="7"/>
  <c r="L28" i="7"/>
  <c r="L10" i="7"/>
  <c r="L16" i="7"/>
  <c r="L19" i="7"/>
  <c r="L21" i="7"/>
  <c r="L25" i="7"/>
  <c r="L29" i="7"/>
  <c r="M28" i="7"/>
  <c r="M21" i="7"/>
  <c r="M25" i="7"/>
  <c r="M29" i="7"/>
  <c r="E53" i="7"/>
  <c r="E49" i="6"/>
  <c r="D144" i="6"/>
  <c r="D146" i="6"/>
  <c r="D147" i="6"/>
  <c r="D148" i="6"/>
  <c r="D141" i="6"/>
  <c r="D149" i="6"/>
  <c r="D151" i="6"/>
  <c r="F142" i="6"/>
  <c r="H36" i="7"/>
  <c r="L35" i="7"/>
  <c r="M35" i="7"/>
  <c r="J35" i="7"/>
  <c r="I35" i="7"/>
  <c r="E34" i="7"/>
  <c r="E42" i="7"/>
  <c r="E44" i="7"/>
  <c r="H35" i="7"/>
  <c r="H58" i="7"/>
  <c r="H59" i="7"/>
  <c r="H56" i="7"/>
  <c r="H55" i="7"/>
  <c r="L54" i="7"/>
  <c r="M54" i="7"/>
  <c r="J54" i="7"/>
  <c r="I54" i="7"/>
  <c r="E59" i="7"/>
  <c r="E56" i="7"/>
  <c r="E58" i="7"/>
  <c r="E60" i="7"/>
  <c r="E61" i="7"/>
  <c r="E63" i="7"/>
  <c r="H54" i="7"/>
  <c r="G15" i="4"/>
  <c r="J15" i="4"/>
  <c r="G16" i="4"/>
  <c r="J16" i="4"/>
  <c r="L16" i="4"/>
  <c r="G26" i="4"/>
  <c r="I26" i="4"/>
  <c r="H26" i="4"/>
  <c r="K26" i="4"/>
  <c r="L26" i="4"/>
  <c r="G28" i="4"/>
  <c r="G27" i="4"/>
  <c r="G30" i="4"/>
  <c r="G31" i="4"/>
  <c r="G22" i="7"/>
  <c r="F22" i="7"/>
  <c r="E6" i="6"/>
  <c r="F7" i="7"/>
  <c r="F9" i="7"/>
  <c r="F10" i="7"/>
  <c r="F12" i="7"/>
  <c r="F16" i="7"/>
  <c r="E23" i="6"/>
  <c r="F18" i="7"/>
  <c r="F19" i="7"/>
  <c r="F15" i="7"/>
  <c r="F21" i="7"/>
  <c r="F25" i="7"/>
  <c r="G7" i="7"/>
  <c r="G9" i="7"/>
  <c r="G10" i="7"/>
  <c r="G12" i="7"/>
  <c r="G16" i="7"/>
  <c r="F23" i="6"/>
  <c r="G18" i="7"/>
  <c r="G19" i="7"/>
  <c r="G15" i="7"/>
  <c r="G21" i="7"/>
  <c r="G25" i="7"/>
  <c r="E9" i="7"/>
  <c r="D6" i="6"/>
  <c r="E7" i="7"/>
  <c r="E10" i="7"/>
  <c r="E12" i="7"/>
  <c r="E16" i="7"/>
  <c r="D23" i="6"/>
  <c r="E18" i="7"/>
  <c r="E19" i="7"/>
  <c r="E15" i="7"/>
  <c r="E21" i="7"/>
  <c r="E22" i="7"/>
  <c r="E25" i="7"/>
  <c r="N7" i="7"/>
  <c r="H7" i="7"/>
  <c r="L17" i="7"/>
  <c r="M17" i="7"/>
  <c r="K17" i="7"/>
  <c r="J17" i="7"/>
  <c r="I17" i="7"/>
  <c r="F17" i="7"/>
  <c r="G17" i="7"/>
  <c r="E17" i="7"/>
  <c r="M14" i="7"/>
  <c r="L13" i="7"/>
  <c r="L14" i="7"/>
  <c r="K13" i="7"/>
  <c r="K14" i="7"/>
  <c r="J14" i="7"/>
  <c r="I14" i="7"/>
  <c r="G13" i="7"/>
  <c r="G14" i="7"/>
  <c r="F13" i="7"/>
  <c r="F14" i="7"/>
  <c r="E13" i="7"/>
  <c r="E14" i="7"/>
  <c r="L11" i="7"/>
  <c r="M11" i="7"/>
  <c r="K11" i="7"/>
  <c r="J11" i="7"/>
  <c r="I11" i="7"/>
  <c r="F11" i="7"/>
  <c r="G11" i="7"/>
  <c r="E11" i="7"/>
  <c r="M8" i="7"/>
  <c r="I8" i="7"/>
  <c r="K8" i="7"/>
  <c r="L8" i="7"/>
  <c r="J8" i="7"/>
  <c r="G8" i="7"/>
  <c r="F8" i="7"/>
  <c r="E125" i="6"/>
  <c r="F125" i="6"/>
  <c r="G125" i="6"/>
  <c r="H125" i="6"/>
  <c r="D125" i="6"/>
  <c r="H119" i="6"/>
  <c r="G118" i="6"/>
  <c r="G119" i="6"/>
  <c r="F118" i="6"/>
  <c r="F119" i="6"/>
  <c r="E119" i="6"/>
  <c r="D118" i="6"/>
  <c r="D119" i="6"/>
  <c r="E114" i="6"/>
  <c r="F114" i="6"/>
  <c r="G114" i="6"/>
  <c r="H114" i="6"/>
  <c r="D114" i="6"/>
  <c r="F109" i="6"/>
  <c r="G109" i="6"/>
  <c r="H109" i="6"/>
  <c r="E109" i="6"/>
  <c r="D109" i="6"/>
  <c r="G6" i="6"/>
  <c r="D13" i="6"/>
  <c r="G40" i="6"/>
  <c r="G45" i="6"/>
  <c r="G49" i="6"/>
  <c r="G50" i="6"/>
  <c r="E50" i="6"/>
  <c r="F49" i="6"/>
  <c r="F50" i="6"/>
  <c r="H50" i="6"/>
  <c r="D49" i="6"/>
  <c r="D50" i="6"/>
  <c r="E19" i="6"/>
  <c r="F19" i="6"/>
  <c r="G18" i="6"/>
  <c r="G19" i="6"/>
  <c r="D19" i="6"/>
  <c r="E8" i="6"/>
  <c r="E11" i="6"/>
  <c r="E13" i="6"/>
  <c r="E21" i="6"/>
  <c r="E16" i="6"/>
  <c r="E17" i="6"/>
  <c r="F8" i="6"/>
  <c r="F11" i="6"/>
  <c r="F13" i="6"/>
  <c r="F21" i="6"/>
  <c r="F16" i="6"/>
  <c r="F17" i="6"/>
  <c r="G8" i="6"/>
  <c r="G11" i="6"/>
  <c r="G13" i="6"/>
  <c r="G21" i="6"/>
  <c r="G16" i="6"/>
  <c r="G17" i="6"/>
  <c r="D8" i="6"/>
  <c r="D11" i="6"/>
  <c r="D21" i="6"/>
  <c r="D16" i="6"/>
  <c r="D17" i="6"/>
  <c r="E45" i="6"/>
  <c r="F45" i="6"/>
  <c r="H45" i="6"/>
  <c r="D45" i="6"/>
  <c r="F40" i="6"/>
  <c r="H40" i="6"/>
  <c r="E40" i="6"/>
  <c r="D40" i="6"/>
  <c r="L8" i="3"/>
  <c r="M8" i="3"/>
  <c r="N8" i="3"/>
  <c r="O8" i="3"/>
  <c r="J7" i="3"/>
  <c r="I7" i="3"/>
  <c r="H7" i="3"/>
  <c r="G7" i="3"/>
  <c r="F8" i="3"/>
  <c r="F7" i="3"/>
  <c r="L36" i="3"/>
  <c r="M36" i="3"/>
  <c r="N36" i="3"/>
  <c r="O36" i="3"/>
  <c r="L35" i="3"/>
  <c r="M35" i="3"/>
  <c r="N35" i="3"/>
  <c r="O35" i="3"/>
  <c r="L34" i="3"/>
  <c r="M34" i="3"/>
  <c r="N34" i="3"/>
  <c r="O34" i="3"/>
  <c r="L30" i="3"/>
  <c r="M30" i="3"/>
  <c r="N30" i="3"/>
  <c r="O30" i="3"/>
  <c r="L29" i="3"/>
  <c r="M29" i="3"/>
  <c r="N29" i="3"/>
  <c r="O29" i="3"/>
  <c r="L28" i="3"/>
  <c r="M28" i="3"/>
  <c r="N28" i="3"/>
  <c r="O28" i="3"/>
  <c r="L25" i="3"/>
  <c r="M25" i="3"/>
  <c r="N25" i="3"/>
  <c r="O25" i="3"/>
  <c r="L24" i="3"/>
  <c r="M24" i="3"/>
  <c r="N24" i="3"/>
  <c r="O24" i="3"/>
  <c r="L23" i="3"/>
  <c r="M23" i="3"/>
  <c r="N23" i="3"/>
  <c r="O23" i="3"/>
  <c r="L20" i="3"/>
  <c r="M20" i="3"/>
  <c r="N20" i="3"/>
  <c r="O20" i="3"/>
  <c r="L19" i="3"/>
  <c r="M19" i="3"/>
  <c r="N19" i="3"/>
  <c r="O19" i="3"/>
  <c r="L18" i="3"/>
  <c r="M18" i="3"/>
  <c r="N18" i="3"/>
  <c r="O18" i="3"/>
  <c r="L15" i="3"/>
  <c r="M15" i="3"/>
  <c r="N15" i="3"/>
  <c r="O15" i="3"/>
  <c r="L14" i="3"/>
  <c r="M14" i="3"/>
  <c r="N14" i="3"/>
  <c r="O14" i="3"/>
  <c r="L13" i="3"/>
  <c r="M13" i="3"/>
  <c r="N13" i="3"/>
  <c r="O13" i="3"/>
  <c r="L10" i="3"/>
  <c r="M10" i="3"/>
  <c r="N10" i="3"/>
  <c r="O10" i="3"/>
  <c r="F10" i="3"/>
  <c r="L9" i="3"/>
  <c r="M9" i="3"/>
  <c r="N9" i="3"/>
  <c r="O9" i="3"/>
  <c r="F9" i="3"/>
  <c r="K4" i="3"/>
  <c r="L4" i="3"/>
  <c r="M4" i="3"/>
  <c r="N4" i="3"/>
  <c r="O4" i="3"/>
  <c r="G26" i="6"/>
  <c r="F26" i="6"/>
  <c r="E26" i="6"/>
  <c r="D26" i="6"/>
  <c r="G23" i="6"/>
  <c r="G24" i="6"/>
  <c r="F24" i="6"/>
  <c r="E24" i="6"/>
  <c r="G14" i="6"/>
  <c r="F14" i="6"/>
  <c r="E14" i="6"/>
  <c r="D14" i="6"/>
  <c r="G12" i="6"/>
  <c r="F12" i="6"/>
  <c r="E12" i="6"/>
  <c r="D12" i="6"/>
  <c r="F7" i="6"/>
  <c r="E7" i="6"/>
  <c r="Q10" i="2"/>
  <c r="Q17" i="2"/>
  <c r="Q20" i="2"/>
  <c r="Q21" i="2"/>
  <c r="Q22" i="2"/>
  <c r="Q23" i="2"/>
  <c r="Q24" i="2"/>
  <c r="Q26" i="2"/>
  <c r="Q29" i="2"/>
  <c r="P10" i="2"/>
  <c r="P17" i="2"/>
  <c r="P24" i="2"/>
  <c r="P26" i="2"/>
  <c r="P29" i="2"/>
  <c r="O10" i="2"/>
  <c r="O17" i="2"/>
  <c r="O24" i="2"/>
  <c r="O26" i="2"/>
  <c r="O29" i="2"/>
  <c r="N10" i="2"/>
  <c r="N17" i="2"/>
  <c r="N24" i="2"/>
  <c r="N26" i="2"/>
  <c r="N29" i="2"/>
  <c r="M10" i="2"/>
  <c r="M17" i="2"/>
  <c r="M24" i="2"/>
  <c r="M26" i="2"/>
  <c r="M29" i="2"/>
  <c r="AA27" i="2"/>
  <c r="V27" i="2"/>
  <c r="Q27" i="2"/>
  <c r="AA16" i="2"/>
  <c r="V16" i="2"/>
  <c r="Q16" i="2"/>
  <c r="Q14" i="2"/>
  <c r="Q13" i="2"/>
  <c r="AA12" i="2"/>
  <c r="V12" i="2"/>
  <c r="Q12" i="2"/>
  <c r="AA11" i="2"/>
  <c r="V11" i="2"/>
  <c r="Q11" i="2"/>
  <c r="B12" i="1"/>
  <c r="B16" i="1"/>
  <c r="B42" i="1"/>
  <c r="B43" i="1"/>
  <c r="D24" i="6"/>
</calcChain>
</file>

<file path=xl/sharedStrings.xml><?xml version="1.0" encoding="utf-8"?>
<sst xmlns="http://schemas.openxmlformats.org/spreadsheetml/2006/main" count="459" uniqueCount="230">
  <si>
    <t xml:space="preserve">Balance Sheet </t>
  </si>
  <si>
    <t>($ in millions)</t>
  </si>
  <si>
    <t xml:space="preserve">Current Assets </t>
  </si>
  <si>
    <t xml:space="preserve">Cash </t>
  </si>
  <si>
    <t>Accounts receivable, net of allowance for doubtful accounts and returns of $275,065 and $233,951 at June 30, 2016 and December 31, 2015</t>
  </si>
  <si>
    <t xml:space="preserve">Inventories </t>
  </si>
  <si>
    <t>Inventories under warrant clains - related party</t>
  </si>
  <si>
    <t xml:space="preserve">Advance to suppliers </t>
  </si>
  <si>
    <t>Prepaid expenses and other current assets</t>
  </si>
  <si>
    <t xml:space="preserve">income taxes recivable </t>
  </si>
  <si>
    <t>total current assets</t>
  </si>
  <si>
    <t>Property and equipment, net</t>
  </si>
  <si>
    <t xml:space="preserve">other assets </t>
  </si>
  <si>
    <t xml:space="preserve">Total assets </t>
  </si>
  <si>
    <t xml:space="preserve">Liabilities and Shareholders' Equity </t>
  </si>
  <si>
    <t xml:space="preserve">Current Liabilities </t>
  </si>
  <si>
    <t>Accounts payable and accrued expenses</t>
  </si>
  <si>
    <t>due to related party vendor</t>
  </si>
  <si>
    <t xml:space="preserve">notes payable - related parties </t>
  </si>
  <si>
    <t>amounts due to officers - shareholders</t>
  </si>
  <si>
    <t xml:space="preserve">incom taxes payable </t>
  </si>
  <si>
    <t xml:space="preserve">capital lease obligations, current portion </t>
  </si>
  <si>
    <t xml:space="preserve">loans payable, current portion </t>
  </si>
  <si>
    <t xml:space="preserve">line of credit </t>
  </si>
  <si>
    <t xml:space="preserve">total current liabiliites </t>
  </si>
  <si>
    <t xml:space="preserve">Capital lease obligations, long-term </t>
  </si>
  <si>
    <t xml:space="preserve">Notes payable - related parties, long-term </t>
  </si>
  <si>
    <t>Loans payable, long-term</t>
  </si>
  <si>
    <t xml:space="preserve">Total Liabilities </t>
  </si>
  <si>
    <t xml:space="preserve">Shareholders' Equity </t>
  </si>
  <si>
    <t>Preferred stock, no par value, 20,000,000 shares authorized; no shares issued and outstanding</t>
  </si>
  <si>
    <t>Common stock, $0.0001 par value, 100,000,000 shares authorized; 29,596,998 and 29,576,998 shares issued and outstanding, respectively</t>
  </si>
  <si>
    <t>Additional paid-in capital</t>
  </si>
  <si>
    <t>Accumulated deficit</t>
  </si>
  <si>
    <t xml:space="preserve">Total Shareholders' Equity </t>
  </si>
  <si>
    <t xml:space="preserve">Total Liabilities and Shareolders' Equity </t>
  </si>
  <si>
    <t xml:space="preserve">Difference: </t>
  </si>
  <si>
    <t xml:space="preserve">Financial Projections </t>
  </si>
  <si>
    <t>Historical Period</t>
  </si>
  <si>
    <t>2013A</t>
  </si>
  <si>
    <t>2014A</t>
  </si>
  <si>
    <t>2015A</t>
  </si>
  <si>
    <t>2016 A</t>
  </si>
  <si>
    <t xml:space="preserve">2016A </t>
  </si>
  <si>
    <t>2016A</t>
  </si>
  <si>
    <t>2016E</t>
  </si>
  <si>
    <t>2017P</t>
  </si>
  <si>
    <t>2018P</t>
  </si>
  <si>
    <t>Annual</t>
  </si>
  <si>
    <t>Q1</t>
  </si>
  <si>
    <t>Q2</t>
  </si>
  <si>
    <t>Q3</t>
  </si>
  <si>
    <t>Q4</t>
  </si>
  <si>
    <t>Income Statement [Abstract]</t>
  </si>
  <si>
    <t>Sales</t>
  </si>
  <si>
    <t>Cost of goods sold</t>
  </si>
  <si>
    <t>Gross profit</t>
  </si>
  <si>
    <t>Operating expenses</t>
  </si>
  <si>
    <t>Research and development</t>
  </si>
  <si>
    <t>Selling, general and administrative expenses</t>
  </si>
  <si>
    <t>`</t>
  </si>
  <si>
    <t>Total operating expenses</t>
  </si>
  <si>
    <t>Income (loss) from operations</t>
  </si>
  <si>
    <t>Other income (expenses)</t>
  </si>
  <si>
    <t>Interest expense</t>
  </si>
  <si>
    <t>Interest income</t>
  </si>
  <si>
    <t xml:space="preserve"> </t>
  </si>
  <si>
    <t xml:space="preserve">Impairment of loan receivable </t>
  </si>
  <si>
    <t>Reverse merger costs</t>
  </si>
  <si>
    <t>Total other income (expenses)</t>
  </si>
  <si>
    <t>Income (loss) before income taxes</t>
  </si>
  <si>
    <t>Provision (benefit) for income taxes</t>
  </si>
  <si>
    <t>NET INCOME (LOSS)</t>
  </si>
  <si>
    <t>Assumptions Page 1 - Income Statement and Cash Flow Statement</t>
  </si>
  <si>
    <t>Projection Period</t>
  </si>
  <si>
    <t>Income Statement Assumptions</t>
  </si>
  <si>
    <t>Sales (% growth)</t>
  </si>
  <si>
    <t xml:space="preserve">   Base</t>
  </si>
  <si>
    <t xml:space="preserve">   Best</t>
  </si>
  <si>
    <t xml:space="preserve">   Worst</t>
  </si>
  <si>
    <t>Cost of Goods Sold (% of Sales)</t>
  </si>
  <si>
    <t>Operating Expenses (% of Sales</t>
  </si>
  <si>
    <t>Depreciation &amp; Amortization (% of sales)</t>
  </si>
  <si>
    <t>Taxes (% of sales)</t>
  </si>
  <si>
    <t>Cash Flow Statement Assumptions</t>
  </si>
  <si>
    <t>Capital Expenditures (% of sales)</t>
  </si>
  <si>
    <t xml:space="preserve">Best </t>
  </si>
  <si>
    <t xml:space="preserve">Worst </t>
  </si>
  <si>
    <t xml:space="preserve">   WACC</t>
  </si>
  <si>
    <t>Target Capital Structure</t>
  </si>
  <si>
    <t>Debt-to-Total Capitalization</t>
  </si>
  <si>
    <t>Equity-to-Total Capitalization</t>
  </si>
  <si>
    <t>Cost of Debt</t>
  </si>
  <si>
    <t>Cost-of-Debt</t>
  </si>
  <si>
    <t>Tax Rate</t>
  </si>
  <si>
    <t xml:space="preserve">   After-tax Cost of Debt</t>
  </si>
  <si>
    <t>Cost of Equity</t>
  </si>
  <si>
    <t>Risk-free Rate (1)</t>
  </si>
  <si>
    <t>Market Risk Premium (2)</t>
  </si>
  <si>
    <t>Levered Beta</t>
  </si>
  <si>
    <t>Size Premium (3)</t>
  </si>
  <si>
    <t xml:space="preserve">   Cost of Equity</t>
  </si>
  <si>
    <t>Weighted Average Cost of Capital Analysis</t>
  </si>
  <si>
    <t>WACC Calculations</t>
  </si>
  <si>
    <t>Debt</t>
  </si>
  <si>
    <t>Balance</t>
  </si>
  <si>
    <t xml:space="preserve">Interest </t>
  </si>
  <si>
    <t>Quarterly</t>
  </si>
  <si>
    <t>Maturity</t>
  </si>
  <si>
    <t>6/30/16</t>
  </si>
  <si>
    <t>Rate</t>
  </si>
  <si>
    <t>Interest</t>
  </si>
  <si>
    <t>Date</t>
  </si>
  <si>
    <t>Note Payable - Alvin Hao</t>
  </si>
  <si>
    <t>Due on demand</t>
  </si>
  <si>
    <t>Note Payable - Alan Lien</t>
  </si>
  <si>
    <t>Note Payable - Yu Li Ho</t>
  </si>
  <si>
    <t>Note Payable - Bing Hui Huang</t>
  </si>
  <si>
    <t>Due May 2018</t>
  </si>
  <si>
    <t>VW Jetta Car Loan</t>
  </si>
  <si>
    <t>Due Sept 2019</t>
  </si>
  <si>
    <t>Jeep Cherokee Car Loan (EAST)</t>
  </si>
  <si>
    <t xml:space="preserve">Due Nov 2021 </t>
  </si>
  <si>
    <t>Comparable Companies Unlevered Beta</t>
  </si>
  <si>
    <t>Predicted</t>
  </si>
  <si>
    <t xml:space="preserve">Market </t>
  </si>
  <si>
    <t>Debt/</t>
  </si>
  <si>
    <t>Marginal</t>
  </si>
  <si>
    <t>Unlevered</t>
  </si>
  <si>
    <t>Company</t>
  </si>
  <si>
    <t>Levered Beta (4)</t>
  </si>
  <si>
    <t>Value of Debt</t>
  </si>
  <si>
    <t>Value of Equity</t>
  </si>
  <si>
    <t>Equity</t>
  </si>
  <si>
    <t>Beta</t>
  </si>
  <si>
    <t>Terra Tech (TRTC)</t>
  </si>
  <si>
    <t>Medical Marijuana Inc. (MJNA)</t>
  </si>
  <si>
    <t>Aerogrow International (AERO)</t>
  </si>
  <si>
    <t>Grow Blox Sciences (GBLX)</t>
  </si>
  <si>
    <t>American Cannabis Company, Inc. (AMMJ)</t>
  </si>
  <si>
    <t>Mean</t>
  </si>
  <si>
    <t>Median</t>
  </si>
  <si>
    <t>Target</t>
  </si>
  <si>
    <t xml:space="preserve">Relevered </t>
  </si>
  <si>
    <t>WACC Sensitivity Analysis</t>
  </si>
  <si>
    <t>Pre-tax Cost of Debt</t>
  </si>
  <si>
    <t>Financial Projections - BLC (2016E - 2020P)</t>
  </si>
  <si>
    <t>6 Months to 30 June 2016</t>
  </si>
  <si>
    <t>% growth</t>
  </si>
  <si>
    <t>COGS</t>
  </si>
  <si>
    <t>% margin</t>
  </si>
  <si>
    <t>Gross Profit</t>
  </si>
  <si>
    <t>EBITDA</t>
  </si>
  <si>
    <t>EBIT</t>
  </si>
  <si>
    <t>EBIAT</t>
  </si>
  <si>
    <t>Operating Expenses</t>
  </si>
  <si>
    <t xml:space="preserve">Taxes: </t>
  </si>
  <si>
    <t xml:space="preserve">   % margin</t>
  </si>
  <si>
    <t>Depreciation &amp; Amortization</t>
  </si>
  <si>
    <t>%  margin</t>
  </si>
  <si>
    <t>Plus: Depreciation &amp; Amortization</t>
  </si>
  <si>
    <t>Less: Capital Expenditures</t>
  </si>
  <si>
    <t>Less: Inc./(Dec.) in Net Working Capital</t>
  </si>
  <si>
    <t>Discounted Cash Flow Analysis</t>
  </si>
  <si>
    <t>($, fiscal year ending December 31)</t>
  </si>
  <si>
    <t xml:space="preserve">Operating Scenario </t>
  </si>
  <si>
    <t>Operating Scenario</t>
  </si>
  <si>
    <t>Mid-Year Convention</t>
  </si>
  <si>
    <t>n</t>
  </si>
  <si>
    <t>CAGR</t>
  </si>
  <si>
    <t>('13-'15)</t>
  </si>
  <si>
    <t>('16-'20)</t>
  </si>
  <si>
    <t>BASE CASE</t>
  </si>
  <si>
    <t xml:space="preserve">   % growth</t>
  </si>
  <si>
    <t>Cost of Goods Sold</t>
  </si>
  <si>
    <t>Taxes</t>
  </si>
  <si>
    <t>Unlevered Free Cash Flow</t>
  </si>
  <si>
    <t>WACC</t>
  </si>
  <si>
    <t>Discount Period</t>
  </si>
  <si>
    <t>Discount Factor</t>
  </si>
  <si>
    <t>Present Value of Free Cash Flows</t>
  </si>
  <si>
    <t>BEST CASE</t>
  </si>
  <si>
    <t>Depreciation &amp; Amoritization</t>
  </si>
  <si>
    <t>WORST CASE</t>
  </si>
  <si>
    <t>Plus: Depreciation &amp; Ammoritization</t>
  </si>
  <si>
    <t>Less: Capital Expenditure</t>
  </si>
  <si>
    <t>Present Value Free Cash Flow</t>
  </si>
  <si>
    <t>Operating Expense</t>
  </si>
  <si>
    <t>Plus: Depreciation &amp; Amoritization</t>
  </si>
  <si>
    <t>Present Value of Free Cash Flow</t>
  </si>
  <si>
    <t>Enterprise Value 2017P DCF</t>
  </si>
  <si>
    <t>Cumulative Present Value of FCF</t>
  </si>
  <si>
    <t>Terminal Value</t>
  </si>
  <si>
    <t>Terminal Year EBITDA (2016)</t>
  </si>
  <si>
    <t>Exit Multiple</t>
  </si>
  <si>
    <t>Present Value Terminal Value</t>
  </si>
  <si>
    <t>% of Enterprise Value</t>
  </si>
  <si>
    <t>Total Enterprise Value</t>
  </si>
  <si>
    <t>Enterprise Value of 2020P (DCF)</t>
  </si>
  <si>
    <t xml:space="preserve">Terminal Value </t>
  </si>
  <si>
    <t>Terminal Year EBITDA (2020)</t>
  </si>
  <si>
    <t>Present Value of Terminal Value</t>
  </si>
  <si>
    <t>Enterprise Value</t>
  </si>
  <si>
    <t>DCF Valuation Graph (2017P, 2020P)</t>
  </si>
  <si>
    <t>Base Case- Enterprise Value 2017 (DCF)</t>
  </si>
  <si>
    <r>
      <t>Exit Multiple</t>
    </r>
    <r>
      <rPr>
        <vertAlign val="superscript"/>
        <sz val="10"/>
        <rFont val="Arial"/>
        <family val="2"/>
      </rPr>
      <t>(2)</t>
    </r>
  </si>
  <si>
    <t xml:space="preserve">   Terminal Value</t>
  </si>
  <si>
    <t xml:space="preserve">   Present Value of Terminal Value</t>
  </si>
  <si>
    <t xml:space="preserve">   % of Enterprise Value</t>
  </si>
  <si>
    <t xml:space="preserve">  Total Enterprise Value</t>
  </si>
  <si>
    <t>Base Case - Enterprise Value 2017 (DCF)</t>
  </si>
  <si>
    <t>Best Case - Enterprise Value 2017 (DCF)</t>
  </si>
  <si>
    <t>Worst Case- Enterprise Value 2017 (DCF)</t>
  </si>
  <si>
    <t>Base Case- Enterprise Value 2020 (DCF)</t>
  </si>
  <si>
    <t>Best Case- Enterprise Value 2020 (DCF)</t>
  </si>
  <si>
    <t>Worst Case- Enterprise Value 2020 (DCF)</t>
  </si>
  <si>
    <t>Base Case - Enterprise Value 2020 (DCF)</t>
  </si>
  <si>
    <t>Best Case - Enterprise Value 2020 (DCF)</t>
  </si>
  <si>
    <t>Worst Case - Enterprise Value 2020 (DCF)</t>
  </si>
  <si>
    <t>DCF Valuation Range Graph</t>
  </si>
  <si>
    <t>Base Case</t>
  </si>
  <si>
    <t>Best Case</t>
  </si>
  <si>
    <t>Worst Case</t>
  </si>
  <si>
    <t>Low</t>
  </si>
  <si>
    <t>Difference</t>
  </si>
  <si>
    <t xml:space="preserve">High </t>
  </si>
  <si>
    <t>Worst Case - Enterprise Value 2017 (DCF)</t>
  </si>
  <si>
    <t>2020P</t>
  </si>
  <si>
    <t>[Redacted]</t>
  </si>
  <si>
    <t>[Redacted] Relevered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</si>
</sst>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&quot;Year&quot;\ 0"/>
    <numFmt numFmtId="167" formatCode="_(* #,##0.0%_);_(* \(#,##0.0%\);_(* &quot;--- %&quot;_);_(* @_%_)"/>
    <numFmt numFmtId="168" formatCode="_(* #,##0.0%;_(* \(#,##0.0%\);_(* &quot;- %&quot;_);_(* @_%_)"/>
    <numFmt numFmtId="169" formatCode="* _(##,##0.00_);[Red]* \(##,##0.00\);* _(&quot;-&quot;?_);_(@_)"/>
    <numFmt numFmtId="170" formatCode="* _(&quot;$&quot;##,##0.0_);[Red]* \(&quot;$&quot;##,##0.0\);* _(&quot;-&quot;?_);_(@_)"/>
    <numFmt numFmtId="171" formatCode="* _(##,##0.0_);[Red]* \(##,##0.0\);* _(&quot;-&quot;?_);_(@_)"/>
    <numFmt numFmtId="172" formatCode="_(* #,##0.00_);_(* \(#,##0.00\);_(* &quot;-&quot;?_);_(@_)"/>
    <numFmt numFmtId="173" formatCode="* _(&quot;$&quot;##,##0_);[Red]* \(&quot;$&quot;##,##0\);* _(&quot;-&quot;?_);_(@_)"/>
    <numFmt numFmtId="174" formatCode="0000"/>
    <numFmt numFmtId="175" formatCode="* _(&quot;$&quot;##,##0.00_);[Red]* \(&quot;$&quot;##,##0.00\);* _(&quot;-&quot;?_);_(@_)"/>
    <numFmt numFmtId="176" formatCode=".0\x"/>
    <numFmt numFmtId="177" formatCode="0.0\x"/>
    <numFmt numFmtId="178" formatCode="#,##0.0_);[Red]\(#,##0.0\)"/>
    <numFmt numFmtId="179" formatCode="&quot;$&quot;#,##0.00"/>
    <numFmt numFmtId="180" formatCode="_(* #,##0_);_(* \(#,##0\);_(* &quot;-&quot;?_);_(@_)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0"/>
      <name val="Helvetica"/>
    </font>
    <font>
      <b/>
      <sz val="16"/>
      <color indexed="9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i/>
      <sz val="10"/>
      <color indexed="9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MS Sans Serif"/>
      <family val="2"/>
    </font>
    <font>
      <sz val="10"/>
      <color theme="0"/>
      <name val="Arial"/>
      <family val="2"/>
    </font>
    <font>
      <b/>
      <sz val="12"/>
      <color indexed="9"/>
      <name val="Arial"/>
      <family val="2"/>
    </font>
    <font>
      <sz val="9"/>
      <name val="Times New Roman"/>
      <family val="1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indexed="0"/>
      <name val="Arial"/>
      <family val="2"/>
    </font>
    <font>
      <b/>
      <sz val="10"/>
      <color indexed="12"/>
      <name val="Arial"/>
      <family val="2"/>
    </font>
    <font>
      <sz val="10"/>
      <color rgb="FFFFC000"/>
      <name val="Arial"/>
      <family val="2"/>
    </font>
    <font>
      <b/>
      <sz val="11"/>
      <name val="Arial"/>
      <family val="2"/>
    </font>
    <font>
      <i/>
      <sz val="11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theme="3"/>
      <name val="Arial"/>
      <family val="2"/>
    </font>
    <font>
      <i/>
      <sz val="10"/>
      <color theme="1"/>
      <name val="Arial"/>
      <family val="2"/>
    </font>
    <font>
      <sz val="10"/>
      <color rgb="FF002060"/>
      <name val="Arial"/>
      <family val="2"/>
    </font>
    <font>
      <sz val="10"/>
      <color theme="8" tint="-0.249977111117893"/>
      <name val="Arial"/>
      <family val="2"/>
    </font>
    <font>
      <sz val="10"/>
      <color indexed="51"/>
      <name val="Arial"/>
      <family val="2"/>
    </font>
    <font>
      <vertAlign val="superscript"/>
      <sz val="10"/>
      <name val="Arial"/>
      <family val="2"/>
    </font>
    <font>
      <b/>
      <sz val="10"/>
      <color indexed="0"/>
      <name val="Arial"/>
      <family val="2"/>
    </font>
    <font>
      <i/>
      <sz val="10"/>
      <color indexed="8"/>
      <name val="Arial"/>
      <family val="2"/>
    </font>
    <font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7"/>
      <name val="Arial"/>
      <family val="2"/>
    </font>
    <font>
      <sz val="11"/>
      <color theme="4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009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18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indexed="18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thin">
        <color auto="1"/>
      </top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6" fillId="0" borderId="0" applyFill="0" applyBorder="0" applyProtection="0">
      <protection locked="0"/>
    </xf>
    <xf numFmtId="167" fontId="16" fillId="0" borderId="0" applyFont="0" applyFill="0" applyBorder="0" applyAlignment="0" applyProtection="0">
      <alignment horizontal="right"/>
    </xf>
    <xf numFmtId="0" fontId="6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59">
    <xf numFmtId="0" fontId="0" fillId="0" borderId="0" xfId="0"/>
    <xf numFmtId="0" fontId="4" fillId="2" borderId="0" xfId="2" applyFont="1" applyFill="1"/>
    <xf numFmtId="0" fontId="5" fillId="2" borderId="0" xfId="2" applyFont="1" applyFill="1"/>
    <xf numFmtId="0" fontId="5" fillId="0" borderId="0" xfId="2" applyFont="1"/>
    <xf numFmtId="0" fontId="6" fillId="0" borderId="0" xfId="0" applyFont="1"/>
    <xf numFmtId="0" fontId="7" fillId="2" borderId="0" xfId="2" applyFont="1" applyFill="1"/>
    <xf numFmtId="0" fontId="8" fillId="2" borderId="0" xfId="2" applyFont="1" applyFill="1"/>
    <xf numFmtId="0" fontId="2" fillId="0" borderId="0" xfId="0" applyFont="1"/>
    <xf numFmtId="164" fontId="0" fillId="0" borderId="0" xfId="3" applyNumberFormat="1" applyFont="1"/>
    <xf numFmtId="0" fontId="9" fillId="0" borderId="0" xfId="0" applyFont="1"/>
    <xf numFmtId="164" fontId="0" fillId="0" borderId="1" xfId="3" applyNumberFormat="1" applyFont="1" applyBorder="1"/>
    <xf numFmtId="164" fontId="2" fillId="0" borderId="0" xfId="3" applyNumberFormat="1" applyFont="1"/>
    <xf numFmtId="0" fontId="10" fillId="0" borderId="0" xfId="0" applyFont="1"/>
    <xf numFmtId="0" fontId="8" fillId="3" borderId="2" xfId="2" applyFont="1" applyFill="1" applyBorder="1"/>
    <xf numFmtId="0" fontId="5" fillId="4" borderId="0" xfId="2" applyFont="1" applyFill="1"/>
    <xf numFmtId="0" fontId="11" fillId="3" borderId="3" xfId="2" applyFont="1" applyFill="1" applyBorder="1"/>
    <xf numFmtId="0" fontId="11" fillId="3" borderId="4" xfId="2" applyFont="1" applyFill="1" applyBorder="1"/>
    <xf numFmtId="0" fontId="11" fillId="3" borderId="5" xfId="2" applyFont="1" applyFill="1" applyBorder="1"/>
    <xf numFmtId="0" fontId="0" fillId="4" borderId="0" xfId="0" applyFill="1"/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/>
    <xf numFmtId="0" fontId="0" fillId="4" borderId="6" xfId="0" applyFill="1" applyBorder="1"/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14" fontId="12" fillId="3" borderId="4" xfId="0" applyNumberFormat="1" applyFont="1" applyFill="1" applyBorder="1" applyAlignment="1">
      <alignment horizontal="center"/>
    </xf>
    <xf numFmtId="0" fontId="11" fillId="4" borderId="0" xfId="0" applyFont="1" applyFill="1"/>
    <xf numFmtId="9" fontId="11" fillId="4" borderId="6" xfId="0" applyNumberFormat="1" applyFont="1" applyFill="1" applyBorder="1"/>
    <xf numFmtId="9" fontId="6" fillId="4" borderId="0" xfId="0" applyNumberFormat="1" applyFont="1" applyFill="1"/>
    <xf numFmtId="0" fontId="6" fillId="4" borderId="0" xfId="0" applyFont="1" applyFill="1"/>
    <xf numFmtId="9" fontId="0" fillId="0" borderId="0" xfId="0" applyNumberFormat="1"/>
    <xf numFmtId="0" fontId="6" fillId="4" borderId="0" xfId="0" applyFont="1" applyFill="1" applyAlignment="1">
      <alignment horizontal="left"/>
    </xf>
    <xf numFmtId="44" fontId="11" fillId="5" borderId="7" xfId="4" applyNumberFormat="1" applyFont="1" applyFill="1" applyBorder="1" applyProtection="1">
      <protection hidden="1"/>
    </xf>
    <xf numFmtId="44" fontId="6" fillId="4" borderId="0" xfId="0" applyNumberFormat="1" applyFont="1" applyFill="1"/>
    <xf numFmtId="0" fontId="0" fillId="4" borderId="0" xfId="0" applyFill="1" applyAlignment="1">
      <alignment horizontal="left"/>
    </xf>
    <xf numFmtId="164" fontId="0" fillId="4" borderId="1" xfId="0" applyNumberFormat="1" applyFill="1" applyBorder="1"/>
    <xf numFmtId="164" fontId="0" fillId="4" borderId="8" xfId="0" applyNumberFormat="1" applyFill="1" applyBorder="1"/>
    <xf numFmtId="164" fontId="6" fillId="4" borderId="1" xfId="0" applyNumberFormat="1" applyFont="1" applyFill="1" applyBorder="1"/>
    <xf numFmtId="0" fontId="6" fillId="4" borderId="1" xfId="0" applyFont="1" applyFill="1" applyBorder="1"/>
    <xf numFmtId="0" fontId="11" fillId="4" borderId="0" xfId="0" applyFont="1" applyFill="1" applyAlignment="1">
      <alignment horizontal="left"/>
    </xf>
    <xf numFmtId="165" fontId="0" fillId="4" borderId="0" xfId="0" applyNumberFormat="1" applyFill="1"/>
    <xf numFmtId="165" fontId="0" fillId="4" borderId="6" xfId="0" applyNumberFormat="1" applyFill="1" applyBorder="1"/>
    <xf numFmtId="164" fontId="0" fillId="4" borderId="0" xfId="0" applyNumberFormat="1" applyFill="1"/>
    <xf numFmtId="10" fontId="14" fillId="4" borderId="0" xfId="0" applyNumberFormat="1" applyFont="1" applyFill="1"/>
    <xf numFmtId="164" fontId="0" fillId="4" borderId="6" xfId="0" applyNumberFormat="1" applyFill="1" applyBorder="1"/>
    <xf numFmtId="9" fontId="14" fillId="4" borderId="0" xfId="0" applyNumberFormat="1" applyFont="1" applyFill="1"/>
    <xf numFmtId="164" fontId="14" fillId="4" borderId="0" xfId="0" applyNumberFormat="1" applyFont="1" applyFill="1"/>
    <xf numFmtId="0" fontId="14" fillId="4" borderId="0" xfId="0" applyFont="1" applyFill="1"/>
    <xf numFmtId="0" fontId="0" fillId="4" borderId="0" xfId="0" applyFill="1" applyAlignment="1">
      <alignment horizontal="left" indent="1"/>
    </xf>
    <xf numFmtId="164" fontId="6" fillId="4" borderId="0" xfId="0" applyNumberFormat="1" applyFont="1" applyFill="1"/>
    <xf numFmtId="10" fontId="6" fillId="4" borderId="0" xfId="0" applyNumberFormat="1" applyFont="1" applyFill="1"/>
    <xf numFmtId="164" fontId="11" fillId="4" borderId="0" xfId="0" applyNumberFormat="1" applyFont="1" applyFill="1"/>
    <xf numFmtId="164" fontId="11" fillId="4" borderId="6" xfId="0" applyNumberFormat="1" applyFont="1" applyFill="1" applyBorder="1"/>
    <xf numFmtId="10" fontId="11" fillId="4" borderId="0" xfId="0" applyNumberFormat="1" applyFont="1" applyFill="1"/>
    <xf numFmtId="10" fontId="6" fillId="4" borderId="6" xfId="0" applyNumberFormat="1" applyFont="1" applyFill="1" applyBorder="1"/>
    <xf numFmtId="164" fontId="6" fillId="4" borderId="8" xfId="0" applyNumberFormat="1" applyFont="1" applyFill="1" applyBorder="1"/>
    <xf numFmtId="164" fontId="0" fillId="0" borderId="0" xfId="0" applyNumberFormat="1"/>
    <xf numFmtId="164" fontId="6" fillId="0" borderId="0" xfId="0" applyNumberFormat="1" applyFont="1"/>
    <xf numFmtId="0" fontId="15" fillId="2" borderId="9" xfId="4" applyFont="1" applyFill="1" applyBorder="1" applyAlignment="1"/>
    <xf numFmtId="0" fontId="15" fillId="2" borderId="9" xfId="4" applyFont="1" applyFill="1" applyBorder="1" applyAlignment="1">
      <alignment horizontal="center"/>
    </xf>
    <xf numFmtId="0" fontId="6" fillId="0" borderId="0" xfId="5" applyProtection="1"/>
    <xf numFmtId="0" fontId="6" fillId="0" borderId="0" xfId="5" applyBorder="1" applyProtection="1"/>
    <xf numFmtId="0" fontId="6" fillId="0" borderId="0" xfId="5" applyBorder="1" applyAlignment="1" applyProtection="1">
      <alignment horizontal="center"/>
    </xf>
    <xf numFmtId="0" fontId="11" fillId="6" borderId="1" xfId="5" applyFont="1" applyFill="1" applyBorder="1" applyAlignment="1" applyProtection="1">
      <alignment horizontal="centerContinuous"/>
    </xf>
    <xf numFmtId="0" fontId="6" fillId="6" borderId="1" xfId="5" applyFill="1" applyBorder="1" applyAlignment="1" applyProtection="1">
      <alignment horizontal="centerContinuous"/>
    </xf>
    <xf numFmtId="165" fontId="6" fillId="0" borderId="0" xfId="1" applyNumberFormat="1" applyFont="1" applyFill="1" applyBorder="1"/>
    <xf numFmtId="166" fontId="11" fillId="0" borderId="10" xfId="5" applyNumberFormat="1" applyFont="1" applyBorder="1" applyAlignment="1" applyProtection="1">
      <alignment horizontal="center"/>
    </xf>
    <xf numFmtId="0" fontId="11" fillId="0" borderId="1" xfId="2" applyFont="1" applyBorder="1" applyAlignment="1">
      <alignment horizontal="center"/>
    </xf>
    <xf numFmtId="165" fontId="12" fillId="0" borderId="0" xfId="5" applyNumberFormat="1" applyFont="1" applyBorder="1" applyProtection="1"/>
    <xf numFmtId="0" fontId="11" fillId="0" borderId="0" xfId="5" applyFont="1" applyFill="1" applyBorder="1" applyProtection="1"/>
    <xf numFmtId="0" fontId="6" fillId="0" borderId="0" xfId="5" applyFill="1" applyBorder="1" applyProtection="1"/>
    <xf numFmtId="0" fontId="6" fillId="0" borderId="0" xfId="5" applyFill="1" applyBorder="1" applyAlignment="1" applyProtection="1">
      <alignment horizontal="center"/>
    </xf>
    <xf numFmtId="165" fontId="12" fillId="0" borderId="0" xfId="5" applyNumberFormat="1" applyFont="1" applyFill="1" applyBorder="1" applyProtection="1"/>
    <xf numFmtId="168" fontId="6" fillId="0" borderId="10" xfId="6" applyNumberFormat="1" applyFont="1" applyFill="1" applyBorder="1" applyAlignment="1">
      <alignment horizontal="right" vertical="distributed"/>
    </xf>
    <xf numFmtId="168" fontId="6" fillId="0" borderId="4" xfId="6" applyNumberFormat="1" applyFont="1" applyFill="1" applyBorder="1" applyAlignment="1">
      <alignment horizontal="right" vertical="distributed"/>
    </xf>
    <xf numFmtId="168" fontId="17" fillId="5" borderId="11" xfId="6" applyNumberFormat="1" applyFont="1" applyFill="1" applyBorder="1" applyAlignment="1">
      <alignment horizontal="right" vertical="distributed"/>
    </xf>
    <xf numFmtId="168" fontId="17" fillId="5" borderId="10" xfId="6" applyNumberFormat="1" applyFont="1" applyFill="1" applyBorder="1" applyAlignment="1">
      <alignment horizontal="right" vertical="distributed"/>
    </xf>
    <xf numFmtId="168" fontId="6" fillId="5" borderId="10" xfId="6" applyNumberFormat="1" applyFont="1" applyFill="1" applyBorder="1" applyAlignment="1">
      <alignment horizontal="right" vertical="distributed"/>
    </xf>
    <xf numFmtId="168" fontId="6" fillId="5" borderId="12" xfId="6" applyNumberFormat="1" applyFont="1" applyFill="1" applyBorder="1" applyAlignment="1">
      <alignment horizontal="right" vertical="distributed"/>
    </xf>
    <xf numFmtId="168" fontId="17" fillId="5" borderId="13" xfId="6" applyNumberFormat="1" applyFont="1" applyFill="1" applyBorder="1" applyAlignment="1">
      <alignment horizontal="right" vertical="distributed"/>
    </xf>
    <xf numFmtId="168" fontId="17" fillId="5" borderId="0" xfId="6" applyNumberFormat="1" applyFont="1" applyFill="1" applyBorder="1" applyAlignment="1">
      <alignment horizontal="right" vertical="distributed"/>
    </xf>
    <xf numFmtId="168" fontId="6" fillId="5" borderId="0" xfId="6" applyNumberFormat="1" applyFont="1" applyFill="1" applyBorder="1" applyAlignment="1">
      <alignment horizontal="right" vertical="distributed"/>
    </xf>
    <xf numFmtId="168" fontId="6" fillId="5" borderId="6" xfId="6" applyNumberFormat="1" applyFont="1" applyFill="1" applyBorder="1" applyAlignment="1">
      <alignment horizontal="right" vertical="distributed"/>
    </xf>
    <xf numFmtId="168" fontId="17" fillId="5" borderId="14" xfId="6" applyNumberFormat="1" applyFont="1" applyFill="1" applyBorder="1" applyAlignment="1">
      <alignment horizontal="right" vertical="distributed"/>
    </xf>
    <xf numFmtId="168" fontId="17" fillId="5" borderId="1" xfId="6" applyNumberFormat="1" applyFont="1" applyFill="1" applyBorder="1" applyAlignment="1">
      <alignment horizontal="right" vertical="distributed"/>
    </xf>
    <xf numFmtId="165" fontId="6" fillId="0" borderId="1" xfId="5" applyNumberFormat="1" applyBorder="1" applyProtection="1"/>
    <xf numFmtId="165" fontId="6" fillId="0" borderId="4" xfId="5" applyNumberFormat="1" applyBorder="1" applyProtection="1"/>
    <xf numFmtId="10" fontId="17" fillId="5" borderId="11" xfId="6" applyNumberFormat="1" applyFont="1" applyFill="1" applyBorder="1" applyAlignment="1">
      <alignment horizontal="right" vertical="distributed"/>
    </xf>
    <xf numFmtId="10" fontId="17" fillId="5" borderId="10" xfId="6" applyNumberFormat="1" applyFont="1" applyFill="1" applyBorder="1" applyAlignment="1">
      <alignment horizontal="right" vertical="distributed"/>
    </xf>
    <xf numFmtId="10" fontId="17" fillId="5" borderId="13" xfId="6" applyNumberFormat="1" applyFont="1" applyFill="1" applyBorder="1" applyAlignment="1">
      <alignment horizontal="right" vertical="distributed"/>
    </xf>
    <xf numFmtId="10" fontId="17" fillId="5" borderId="0" xfId="6" applyNumberFormat="1" applyFont="1" applyFill="1" applyBorder="1" applyAlignment="1">
      <alignment horizontal="right" vertical="distributed"/>
    </xf>
    <xf numFmtId="168" fontId="6" fillId="5" borderId="1" xfId="6" applyNumberFormat="1" applyFont="1" applyFill="1" applyBorder="1" applyAlignment="1">
      <alignment horizontal="right" vertical="distributed"/>
    </xf>
    <xf numFmtId="165" fontId="6" fillId="0" borderId="10" xfId="5" applyNumberFormat="1" applyFill="1" applyBorder="1" applyProtection="1"/>
    <xf numFmtId="165" fontId="6" fillId="0" borderId="0" xfId="5" applyNumberFormat="1" applyFill="1" applyBorder="1" applyProtection="1"/>
    <xf numFmtId="0" fontId="0" fillId="0" borderId="0" xfId="5" applyFont="1" applyFill="1" applyProtection="1"/>
    <xf numFmtId="0" fontId="11" fillId="0" borderId="0" xfId="5" applyFont="1" applyBorder="1" applyProtection="1"/>
    <xf numFmtId="0" fontId="6" fillId="0" borderId="0" xfId="7"/>
    <xf numFmtId="165" fontId="6" fillId="0" borderId="0" xfId="1" applyNumberFormat="1" applyFont="1" applyFill="1" applyBorder="1" applyAlignment="1">
      <alignment horizontal="left" indent="1"/>
    </xf>
    <xf numFmtId="168" fontId="6" fillId="5" borderId="8" xfId="6" applyNumberFormat="1" applyFont="1" applyFill="1" applyBorder="1" applyAlignment="1">
      <alignment horizontal="right" vertical="distributed"/>
    </xf>
    <xf numFmtId="0" fontId="0" fillId="0" borderId="0" xfId="5" applyFont="1" applyAlignment="1" applyProtection="1">
      <alignment horizontal="center"/>
    </xf>
    <xf numFmtId="0" fontId="18" fillId="0" borderId="0" xfId="2" applyFont="1"/>
    <xf numFmtId="0" fontId="19" fillId="0" borderId="0" xfId="2" applyFont="1"/>
    <xf numFmtId="0" fontId="20" fillId="0" borderId="0" xfId="2" applyFont="1"/>
    <xf numFmtId="0" fontId="6" fillId="0" borderId="0" xfId="5" applyFill="1" applyBorder="1" applyAlignment="1" applyProtection="1">
      <alignment vertical="top"/>
    </xf>
    <xf numFmtId="9" fontId="0" fillId="0" borderId="0" xfId="1" applyFont="1"/>
    <xf numFmtId="0" fontId="2" fillId="0" borderId="0" xfId="0" applyFont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0" fillId="0" borderId="0" xfId="3" applyFont="1"/>
    <xf numFmtId="9" fontId="0" fillId="0" borderId="0" xfId="10" applyFont="1"/>
    <xf numFmtId="0" fontId="0" fillId="0" borderId="0" xfId="0" applyAlignment="1">
      <alignment horizontal="center"/>
    </xf>
    <xf numFmtId="43" fontId="0" fillId="0" borderId="0" xfId="11" applyFont="1"/>
    <xf numFmtId="44" fontId="0" fillId="0" borderId="15" xfId="0" applyNumberFormat="1" applyBorder="1"/>
    <xf numFmtId="44" fontId="0" fillId="0" borderId="0" xfId="0" applyNumberFormat="1"/>
    <xf numFmtId="0" fontId="22" fillId="2" borderId="0" xfId="2" applyFont="1" applyFill="1"/>
    <xf numFmtId="0" fontId="18" fillId="0" borderId="0" xfId="2" applyFont="1" applyAlignment="1">
      <alignment horizontal="center"/>
    </xf>
    <xf numFmtId="0" fontId="18" fillId="0" borderId="1" xfId="2" applyFont="1" applyBorder="1"/>
    <xf numFmtId="0" fontId="18" fillId="0" borderId="1" xfId="2" applyFont="1" applyBorder="1" applyAlignment="1">
      <alignment horizontal="center"/>
    </xf>
    <xf numFmtId="0" fontId="17" fillId="5" borderId="0" xfId="5" applyFont="1" applyFill="1" applyBorder="1" applyProtection="1"/>
    <xf numFmtId="169" fontId="17" fillId="5" borderId="0" xfId="4" applyNumberFormat="1" applyFont="1" applyFill="1"/>
    <xf numFmtId="170" fontId="17" fillId="5" borderId="0" xfId="4" applyNumberFormat="1" applyFont="1" applyFill="1"/>
    <xf numFmtId="168" fontId="6" fillId="0" borderId="0" xfId="6" applyNumberFormat="1" applyFont="1" applyBorder="1" applyAlignment="1">
      <alignment horizontal="right" vertical="distributed"/>
    </xf>
    <xf numFmtId="169" fontId="6" fillId="0" borderId="0" xfId="4" applyNumberFormat="1" applyFont="1" applyFill="1"/>
    <xf numFmtId="171" fontId="17" fillId="5" borderId="0" xfId="4" applyNumberFormat="1" applyFont="1" applyFill="1"/>
    <xf numFmtId="0" fontId="11" fillId="8" borderId="11" xfId="5" applyFont="1" applyFill="1" applyBorder="1" applyProtection="1"/>
    <xf numFmtId="0" fontId="11" fillId="8" borderId="14" xfId="5" applyFont="1" applyFill="1" applyBorder="1" applyProtection="1"/>
    <xf numFmtId="0" fontId="24" fillId="7" borderId="0" xfId="0" applyFont="1" applyFill="1"/>
    <xf numFmtId="0" fontId="23" fillId="0" borderId="0" xfId="0" applyFont="1"/>
    <xf numFmtId="9" fontId="23" fillId="0" borderId="0" xfId="1" applyFont="1"/>
    <xf numFmtId="165" fontId="23" fillId="0" borderId="0" xfId="1" applyNumberFormat="1" applyFont="1"/>
    <xf numFmtId="169" fontId="6" fillId="8" borderId="10" xfId="0" applyNumberFormat="1" applyFont="1" applyFill="1" applyBorder="1"/>
    <xf numFmtId="0" fontId="6" fillId="8" borderId="10" xfId="0" applyFont="1" applyFill="1" applyBorder="1"/>
    <xf numFmtId="165" fontId="6" fillId="8" borderId="10" xfId="1" applyNumberFormat="1" applyFont="1" applyFill="1" applyBorder="1"/>
    <xf numFmtId="2" fontId="6" fillId="8" borderId="12" xfId="1" applyNumberFormat="1" applyFont="1" applyFill="1" applyBorder="1"/>
    <xf numFmtId="169" fontId="6" fillId="8" borderId="1" xfId="0" applyNumberFormat="1" applyFont="1" applyFill="1" applyBorder="1"/>
    <xf numFmtId="0" fontId="6" fillId="8" borderId="1" xfId="0" applyFont="1" applyFill="1" applyBorder="1"/>
    <xf numFmtId="165" fontId="6" fillId="8" borderId="1" xfId="1" applyNumberFormat="1" applyFont="1" applyFill="1" applyBorder="1"/>
    <xf numFmtId="169" fontId="6" fillId="8" borderId="8" xfId="0" applyNumberFormat="1" applyFont="1" applyFill="1" applyBorder="1"/>
    <xf numFmtId="0" fontId="14" fillId="7" borderId="0" xfId="0" applyFont="1" applyFill="1"/>
    <xf numFmtId="0" fontId="25" fillId="0" borderId="0" xfId="0" applyFont="1"/>
    <xf numFmtId="0" fontId="25" fillId="0" borderId="1" xfId="0" applyFont="1" applyBorder="1"/>
    <xf numFmtId="165" fontId="23" fillId="0" borderId="0" xfId="0" applyNumberFormat="1" applyFont="1"/>
    <xf numFmtId="43" fontId="23" fillId="0" borderId="0" xfId="0" applyNumberFormat="1" applyFont="1"/>
    <xf numFmtId="10" fontId="23" fillId="0" borderId="0" xfId="0" applyNumberFormat="1" applyFont="1"/>
    <xf numFmtId="0" fontId="26" fillId="0" borderId="0" xfId="5" applyFont="1" applyProtection="1"/>
    <xf numFmtId="165" fontId="11" fillId="9" borderId="0" xfId="1" applyNumberFormat="1" applyFont="1" applyFill="1" applyBorder="1"/>
    <xf numFmtId="165" fontId="27" fillId="9" borderId="0" xfId="1" applyNumberFormat="1" applyFont="1" applyFill="1" applyBorder="1"/>
    <xf numFmtId="165" fontId="11" fillId="9" borderId="1" xfId="1" applyNumberFormat="1" applyFont="1" applyFill="1" applyBorder="1" applyAlignment="1" applyProtection="1">
      <alignment horizontal="center"/>
    </xf>
    <xf numFmtId="165" fontId="27" fillId="9" borderId="1" xfId="1" applyNumberFormat="1" applyFont="1" applyFill="1" applyBorder="1" applyAlignment="1" applyProtection="1">
      <alignment horizontal="center"/>
    </xf>
    <xf numFmtId="0" fontId="28" fillId="0" borderId="0" xfId="0" applyFont="1"/>
    <xf numFmtId="165" fontId="28" fillId="8" borderId="0" xfId="1" applyNumberFormat="1" applyFont="1" applyFill="1"/>
    <xf numFmtId="165" fontId="21" fillId="7" borderId="0" xfId="1" applyNumberFormat="1" applyFont="1" applyFill="1" applyAlignment="1">
      <alignment horizontal="center"/>
    </xf>
    <xf numFmtId="165" fontId="2" fillId="8" borderId="0" xfId="1" applyNumberFormat="1" applyFont="1" applyFill="1" applyAlignment="1">
      <alignment horizontal="center"/>
    </xf>
    <xf numFmtId="165" fontId="23" fillId="4" borderId="0" xfId="1" applyNumberFormat="1" applyFont="1" applyFill="1" applyAlignment="1">
      <alignment horizontal="center"/>
    </xf>
    <xf numFmtId="165" fontId="0" fillId="4" borderId="0" xfId="1" applyNumberFormat="1" applyFont="1" applyFill="1" applyAlignment="1">
      <alignment horizontal="center"/>
    </xf>
    <xf numFmtId="0" fontId="0" fillId="0" borderId="0" xfId="0" applyAlignment="1">
      <alignment textRotation="90" wrapText="1"/>
    </xf>
    <xf numFmtId="0" fontId="11" fillId="4" borderId="1" xfId="5" applyFont="1" applyFill="1" applyBorder="1" applyAlignment="1" applyProtection="1">
      <alignment horizontal="center"/>
      <protection hidden="1"/>
    </xf>
    <xf numFmtId="0" fontId="11" fillId="4" borderId="1" xfId="5" applyFont="1" applyFill="1" applyBorder="1" applyAlignment="1" applyProtection="1">
      <alignment horizontal="center" wrapText="1"/>
      <protection hidden="1"/>
    </xf>
    <xf numFmtId="0" fontId="30" fillId="0" borderId="0" xfId="0" applyFont="1"/>
    <xf numFmtId="9" fontId="30" fillId="0" borderId="0" xfId="1" applyFont="1"/>
    <xf numFmtId="44" fontId="0" fillId="0" borderId="0" xfId="9" applyFont="1"/>
    <xf numFmtId="0" fontId="11" fillId="4" borderId="0" xfId="2" applyFont="1" applyFill="1" applyAlignment="1" applyProtection="1">
      <alignment horizontal="left"/>
      <protection hidden="1"/>
    </xf>
    <xf numFmtId="0" fontId="6" fillId="4" borderId="0" xfId="2" applyFont="1" applyFill="1" applyProtection="1">
      <protection hidden="1"/>
    </xf>
    <xf numFmtId="0" fontId="12" fillId="4" borderId="0" xfId="2" applyFont="1" applyFill="1" applyAlignment="1" applyProtection="1">
      <alignment horizontal="left"/>
      <protection hidden="1"/>
    </xf>
    <xf numFmtId="0" fontId="6" fillId="4" borderId="0" xfId="2" applyFont="1" applyFill="1" applyAlignment="1" applyProtection="1">
      <alignment horizontal="left"/>
      <protection hidden="1"/>
    </xf>
    <xf numFmtId="0" fontId="31" fillId="4" borderId="0" xfId="2" applyFont="1" applyFill="1" applyAlignment="1" applyProtection="1">
      <alignment horizontal="left"/>
      <protection hidden="1"/>
    </xf>
    <xf numFmtId="172" fontId="6" fillId="10" borderId="1" xfId="5" applyNumberFormat="1" applyFill="1" applyBorder="1" applyProtection="1">
      <protection hidden="1"/>
    </xf>
    <xf numFmtId="40" fontId="11" fillId="4" borderId="0" xfId="4" applyNumberFormat="1" applyFont="1" applyFill="1" applyBorder="1" applyProtection="1">
      <protection hidden="1"/>
    </xf>
    <xf numFmtId="173" fontId="11" fillId="4" borderId="0" xfId="4" applyNumberFormat="1" applyFont="1" applyFill="1" applyBorder="1" applyProtection="1">
      <protection hidden="1"/>
    </xf>
    <xf numFmtId="0" fontId="8" fillId="2" borderId="16" xfId="4" applyFont="1" applyFill="1" applyBorder="1" applyProtection="1">
      <protection hidden="1"/>
    </xf>
    <xf numFmtId="0" fontId="11" fillId="4" borderId="0" xfId="2" applyFont="1" applyFill="1" applyProtection="1">
      <protection hidden="1"/>
    </xf>
    <xf numFmtId="174" fontId="11" fillId="4" borderId="17" xfId="2" applyNumberFormat="1" applyFont="1" applyFill="1" applyBorder="1" applyAlignment="1" applyProtection="1">
      <alignment horizontal="center"/>
      <protection hidden="1"/>
    </xf>
    <xf numFmtId="174" fontId="11" fillId="4" borderId="1" xfId="2" applyNumberFormat="1" applyFont="1" applyFill="1" applyBorder="1" applyAlignment="1" applyProtection="1">
      <alignment horizontal="center"/>
      <protection hidden="1"/>
    </xf>
    <xf numFmtId="0" fontId="11" fillId="4" borderId="1" xfId="2" applyFont="1" applyFill="1" applyBorder="1" applyAlignment="1" applyProtection="1">
      <alignment horizontal="center"/>
      <protection hidden="1"/>
    </xf>
    <xf numFmtId="10" fontId="0" fillId="0" borderId="0" xfId="1" applyNumberFormat="1" applyFont="1"/>
    <xf numFmtId="43" fontId="0" fillId="0" borderId="0" xfId="8" applyFont="1"/>
    <xf numFmtId="2" fontId="0" fillId="0" borderId="0" xfId="0" applyNumberFormat="1"/>
    <xf numFmtId="175" fontId="11" fillId="5" borderId="7" xfId="4" applyNumberFormat="1" applyFont="1" applyFill="1" applyBorder="1" applyProtection="1">
      <protection hidden="1"/>
    </xf>
    <xf numFmtId="44" fontId="11" fillId="5" borderId="7" xfId="9" applyFont="1" applyFill="1" applyBorder="1" applyProtection="1">
      <protection hidden="1"/>
    </xf>
    <xf numFmtId="0" fontId="34" fillId="4" borderId="0" xfId="0" applyFont="1" applyFill="1"/>
    <xf numFmtId="0" fontId="35" fillId="4" borderId="0" xfId="0" applyFont="1" applyFill="1"/>
    <xf numFmtId="0" fontId="6" fillId="0" borderId="0" xfId="2" applyFont="1" applyAlignment="1" applyProtection="1">
      <alignment horizontal="left"/>
      <protection hidden="1"/>
    </xf>
    <xf numFmtId="10" fontId="11" fillId="0" borderId="0" xfId="0" applyNumberFormat="1" applyFont="1"/>
    <xf numFmtId="0" fontId="26" fillId="0" borderId="0" xfId="2" applyFont="1" applyProtection="1">
      <protection hidden="1"/>
    </xf>
    <xf numFmtId="0" fontId="0" fillId="0" borderId="1" xfId="0" applyBorder="1"/>
    <xf numFmtId="0" fontId="22" fillId="2" borderId="0" xfId="4" applyFont="1" applyFill="1" applyBorder="1" applyProtection="1">
      <protection hidden="1"/>
    </xf>
    <xf numFmtId="0" fontId="5" fillId="2" borderId="0" xfId="2" applyFont="1" applyFill="1" applyProtection="1">
      <protection hidden="1"/>
    </xf>
    <xf numFmtId="0" fontId="5" fillId="2" borderId="16" xfId="2" applyFont="1" applyFill="1" applyBorder="1" applyProtection="1">
      <protection hidden="1"/>
    </xf>
    <xf numFmtId="0" fontId="36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0" fontId="37" fillId="0" borderId="0" xfId="0" applyFont="1"/>
    <xf numFmtId="44" fontId="23" fillId="0" borderId="0" xfId="0" applyNumberFormat="1" applyFont="1"/>
    <xf numFmtId="44" fontId="37" fillId="0" borderId="0" xfId="0" applyNumberFormat="1" applyFont="1"/>
    <xf numFmtId="0" fontId="25" fillId="3" borderId="0" xfId="0" applyFont="1" applyFill="1"/>
    <xf numFmtId="0" fontId="23" fillId="3" borderId="0" xfId="0" applyFont="1" applyFill="1"/>
    <xf numFmtId="9" fontId="37" fillId="0" borderId="0" xfId="1" applyFont="1"/>
    <xf numFmtId="9" fontId="37" fillId="0" borderId="18" xfId="1" applyFont="1" applyBorder="1"/>
    <xf numFmtId="9" fontId="37" fillId="0" borderId="20" xfId="1" applyFont="1" applyBorder="1"/>
    <xf numFmtId="0" fontId="37" fillId="0" borderId="0" xfId="0" applyFont="1" applyAlignment="1">
      <alignment horizontal="left" indent="1"/>
    </xf>
    <xf numFmtId="0" fontId="23" fillId="0" borderId="0" xfId="0" applyFont="1" applyAlignment="1">
      <alignment horizontal="left" indent="1"/>
    </xf>
    <xf numFmtId="44" fontId="25" fillId="3" borderId="0" xfId="0" applyNumberFormat="1" applyFont="1" applyFill="1"/>
    <xf numFmtId="44" fontId="25" fillId="3" borderId="22" xfId="0" applyNumberFormat="1" applyFont="1" applyFill="1" applyBorder="1"/>
    <xf numFmtId="177" fontId="11" fillId="9" borderId="1" xfId="5" applyNumberFormat="1" applyFont="1" applyFill="1" applyBorder="1" applyAlignment="1" applyProtection="1">
      <alignment horizontal="center"/>
      <protection hidden="1"/>
    </xf>
    <xf numFmtId="165" fontId="11" fillId="9" borderId="0" xfId="1" applyNumberFormat="1" applyFont="1" applyFill="1" applyBorder="1" applyProtection="1">
      <protection hidden="1"/>
    </xf>
    <xf numFmtId="165" fontId="27" fillId="9" borderId="0" xfId="1" applyNumberFormat="1" applyFont="1" applyFill="1" applyBorder="1" applyProtection="1">
      <protection hidden="1"/>
    </xf>
    <xf numFmtId="164" fontId="23" fillId="0" borderId="0" xfId="0" applyNumberFormat="1" applyFont="1"/>
    <xf numFmtId="164" fontId="37" fillId="0" borderId="0" xfId="0" applyNumberFormat="1" applyFont="1"/>
    <xf numFmtId="169" fontId="11" fillId="6" borderId="2" xfId="4" applyNumberFormat="1" applyFont="1" applyFill="1" applyBorder="1"/>
    <xf numFmtId="168" fontId="11" fillId="6" borderId="2" xfId="6" applyNumberFormat="1" applyFont="1" applyFill="1" applyBorder="1" applyAlignment="1">
      <alignment horizontal="right" vertical="distributed"/>
    </xf>
    <xf numFmtId="164" fontId="23" fillId="0" borderId="19" xfId="0" applyNumberFormat="1" applyFont="1" applyBorder="1"/>
    <xf numFmtId="164" fontId="23" fillId="0" borderId="18" xfId="0" applyNumberFormat="1" applyFont="1" applyBorder="1"/>
    <xf numFmtId="164" fontId="23" fillId="0" borderId="20" xfId="0" applyNumberFormat="1" applyFont="1" applyBorder="1"/>
    <xf numFmtId="164" fontId="23" fillId="0" borderId="1" xfId="9" applyNumberFormat="1" applyFont="1" applyBorder="1"/>
    <xf numFmtId="164" fontId="23" fillId="0" borderId="0" xfId="9" applyNumberFormat="1" applyFont="1"/>
    <xf numFmtId="164" fontId="23" fillId="0" borderId="1" xfId="0" applyNumberFormat="1" applyFont="1" applyBorder="1"/>
    <xf numFmtId="164" fontId="23" fillId="12" borderId="0" xfId="0" applyNumberFormat="1" applyFont="1" applyFill="1"/>
    <xf numFmtId="164" fontId="23" fillId="12" borderId="18" xfId="0" applyNumberFormat="1" applyFont="1" applyFill="1" applyBorder="1"/>
    <xf numFmtId="164" fontId="23" fillId="12" borderId="20" xfId="0" applyNumberFormat="1" applyFont="1" applyFill="1" applyBorder="1"/>
    <xf numFmtId="2" fontId="23" fillId="0" borderId="0" xfId="0" applyNumberFormat="1" applyFont="1" applyAlignment="1">
      <alignment horizontal="center"/>
    </xf>
    <xf numFmtId="164" fontId="23" fillId="3" borderId="0" xfId="0" applyNumberFormat="1" applyFont="1" applyFill="1" applyAlignment="1">
      <alignment horizontal="center"/>
    </xf>
    <xf numFmtId="0" fontId="23" fillId="0" borderId="0" xfId="0" applyFont="1" applyAlignment="1">
      <alignment horizontal="left" indent="2"/>
    </xf>
    <xf numFmtId="164" fontId="11" fillId="3" borderId="0" xfId="0" applyNumberFormat="1" applyFont="1" applyFill="1"/>
    <xf numFmtId="44" fontId="11" fillId="3" borderId="0" xfId="0" applyNumberFormat="1" applyFont="1" applyFill="1"/>
    <xf numFmtId="0" fontId="38" fillId="0" borderId="0" xfId="0" applyFont="1"/>
    <xf numFmtId="2" fontId="23" fillId="0" borderId="1" xfId="0" applyNumberFormat="1" applyFont="1" applyBorder="1"/>
    <xf numFmtId="176" fontId="39" fillId="11" borderId="1" xfId="0" applyNumberFormat="1" applyFont="1" applyFill="1" applyBorder="1"/>
    <xf numFmtId="0" fontId="4" fillId="2" borderId="0" xfId="2" applyFont="1" applyFill="1" applyProtection="1">
      <protection hidden="1"/>
    </xf>
    <xf numFmtId="0" fontId="7" fillId="2" borderId="0" xfId="2" applyFont="1" applyFill="1" applyProtection="1">
      <protection hidden="1"/>
    </xf>
    <xf numFmtId="0" fontId="8" fillId="2" borderId="0" xfId="2" applyFont="1" applyFill="1" applyProtection="1">
      <protection hidden="1"/>
    </xf>
    <xf numFmtId="10" fontId="25" fillId="3" borderId="0" xfId="0" applyNumberFormat="1" applyFont="1" applyFill="1"/>
    <xf numFmtId="178" fontId="40" fillId="6" borderId="0" xfId="5" applyNumberFormat="1" applyFont="1" applyFill="1" applyBorder="1" applyProtection="1">
      <protection hidden="1"/>
    </xf>
    <xf numFmtId="0" fontId="26" fillId="4" borderId="0" xfId="2" applyFont="1" applyFill="1" applyProtection="1">
      <protection hidden="1"/>
    </xf>
    <xf numFmtId="0" fontId="26" fillId="4" borderId="0" xfId="5" applyFont="1" applyFill="1" applyBorder="1" applyProtection="1">
      <protection hidden="1"/>
    </xf>
    <xf numFmtId="0" fontId="42" fillId="4" borderId="0" xfId="5" applyFont="1" applyFill="1" applyBorder="1" applyProtection="1">
      <protection hidden="1"/>
    </xf>
    <xf numFmtId="0" fontId="43" fillId="4" borderId="0" xfId="5" applyFont="1" applyFill="1" applyBorder="1" applyProtection="1">
      <protection hidden="1"/>
    </xf>
    <xf numFmtId="0" fontId="18" fillId="4" borderId="0" xfId="5" applyFont="1" applyFill="1" applyBorder="1" applyProtection="1">
      <protection hidden="1"/>
    </xf>
    <xf numFmtId="165" fontId="22" fillId="2" borderId="0" xfId="1" applyNumberFormat="1" applyFont="1" applyFill="1" applyBorder="1" applyAlignment="1" applyProtection="1">
      <alignment horizontal="centerContinuous"/>
      <protection hidden="1"/>
    </xf>
    <xf numFmtId="179" fontId="5" fillId="2" borderId="0" xfId="5" applyNumberFormat="1" applyFont="1" applyFill="1" applyBorder="1" applyAlignment="1" applyProtection="1">
      <alignment horizontal="centerContinuous"/>
      <protection hidden="1"/>
    </xf>
    <xf numFmtId="0" fontId="5" fillId="2" borderId="0" xfId="5" applyFont="1" applyFill="1" applyAlignment="1" applyProtection="1">
      <alignment horizontal="centerContinuous"/>
      <protection hidden="1"/>
    </xf>
    <xf numFmtId="165" fontId="0" fillId="14" borderId="0" xfId="0" applyNumberFormat="1" applyFill="1"/>
    <xf numFmtId="44" fontId="44" fillId="3" borderId="0" xfId="0" applyNumberFormat="1" applyFont="1" applyFill="1"/>
    <xf numFmtId="0" fontId="18" fillId="4" borderId="0" xfId="5" applyFont="1" applyFill="1" applyProtection="1">
      <protection hidden="1"/>
    </xf>
    <xf numFmtId="0" fontId="11" fillId="4" borderId="1" xfId="5" applyFont="1" applyFill="1" applyBorder="1" applyProtection="1">
      <protection hidden="1"/>
    </xf>
    <xf numFmtId="2" fontId="0" fillId="0" borderId="1" xfId="0" applyNumberFormat="1" applyBorder="1"/>
    <xf numFmtId="0" fontId="2" fillId="0" borderId="1" xfId="0" applyFont="1" applyBorder="1"/>
    <xf numFmtId="43" fontId="0" fillId="0" borderId="1" xfId="0" applyNumberFormat="1" applyBorder="1"/>
    <xf numFmtId="177" fontId="11" fillId="13" borderId="1" xfId="5" applyNumberFormat="1" applyFont="1" applyFill="1" applyBorder="1" applyAlignment="1" applyProtection="1">
      <alignment horizontal="center"/>
      <protection hidden="1"/>
    </xf>
    <xf numFmtId="177" fontId="27" fillId="13" borderId="1" xfId="5" applyNumberFormat="1" applyFont="1" applyFill="1" applyBorder="1" applyAlignment="1" applyProtection="1">
      <alignment horizontal="center"/>
      <protection hidden="1"/>
    </xf>
    <xf numFmtId="165" fontId="0" fillId="0" borderId="0" xfId="0" applyNumberFormat="1"/>
    <xf numFmtId="0" fontId="11" fillId="4" borderId="2" xfId="0" applyFont="1" applyFill="1" applyBorder="1" applyAlignment="1" applyProtection="1">
      <alignment horizontal="center"/>
      <protection hidden="1"/>
    </xf>
    <xf numFmtId="0" fontId="0" fillId="4" borderId="0" xfId="0" applyFill="1" applyProtection="1">
      <protection hidden="1"/>
    </xf>
    <xf numFmtId="0" fontId="26" fillId="8" borderId="0" xfId="2" applyFont="1" applyFill="1" applyAlignment="1" applyProtection="1">
      <alignment horizontal="center"/>
      <protection hidden="1"/>
    </xf>
    <xf numFmtId="164" fontId="0" fillId="0" borderId="0" xfId="9" applyNumberFormat="1" applyFont="1"/>
    <xf numFmtId="9" fontId="23" fillId="0" borderId="0" xfId="1" applyFont="1" applyAlignment="1">
      <alignment horizontal="center"/>
    </xf>
    <xf numFmtId="44" fontId="46" fillId="3" borderId="0" xfId="0" applyNumberFormat="1" applyFont="1" applyFill="1" applyAlignment="1">
      <alignment horizontal="center"/>
    </xf>
    <xf numFmtId="44" fontId="23" fillId="0" borderId="0" xfId="9" applyFont="1" applyAlignment="1">
      <alignment horizontal="center"/>
    </xf>
    <xf numFmtId="44" fontId="11" fillId="3" borderId="0" xfId="9" applyFont="1" applyFill="1" applyAlignment="1">
      <alignment horizontal="right" indent="3"/>
    </xf>
    <xf numFmtId="44" fontId="14" fillId="7" borderId="0" xfId="9" applyFont="1" applyFill="1" applyAlignment="1">
      <alignment horizontal="right" indent="3"/>
    </xf>
    <xf numFmtId="44" fontId="26" fillId="0" borderId="13" xfId="9" applyFont="1" applyBorder="1" applyAlignment="1" applyProtection="1">
      <alignment horizontal="center"/>
      <protection hidden="1"/>
    </xf>
    <xf numFmtId="44" fontId="26" fillId="0" borderId="0" xfId="9" applyFont="1" applyBorder="1" applyAlignment="1" applyProtection="1">
      <alignment horizontal="center"/>
      <protection hidden="1"/>
    </xf>
    <xf numFmtId="44" fontId="5" fillId="2" borderId="0" xfId="9" applyFont="1" applyFill="1" applyBorder="1" applyAlignment="1" applyProtection="1">
      <alignment horizontal="center"/>
      <protection hidden="1"/>
    </xf>
    <xf numFmtId="44" fontId="18" fillId="6" borderId="0" xfId="9" applyFont="1" applyFill="1" applyBorder="1" applyAlignment="1" applyProtection="1">
      <alignment horizontal="center"/>
      <protection hidden="1"/>
    </xf>
    <xf numFmtId="44" fontId="2" fillId="0" borderId="0" xfId="0" applyNumberFormat="1" applyFont="1"/>
    <xf numFmtId="44" fontId="2" fillId="0" borderId="0" xfId="9" applyFont="1"/>
    <xf numFmtId="44" fontId="2" fillId="3" borderId="2" xfId="0" applyNumberFormat="1" applyFont="1" applyFill="1" applyBorder="1"/>
    <xf numFmtId="0" fontId="0" fillId="0" borderId="2" xfId="0" applyBorder="1"/>
    <xf numFmtId="44" fontId="2" fillId="0" borderId="1" xfId="0" applyNumberFormat="1" applyFont="1" applyBorder="1"/>
    <xf numFmtId="177" fontId="47" fillId="0" borderId="1" xfId="0" applyNumberFormat="1" applyFont="1" applyBorder="1"/>
    <xf numFmtId="177" fontId="47" fillId="0" borderId="0" xfId="0" applyNumberFormat="1" applyFont="1"/>
    <xf numFmtId="44" fontId="21" fillId="7" borderId="0" xfId="9" applyFont="1" applyFill="1"/>
    <xf numFmtId="44" fontId="2" fillId="3" borderId="0" xfId="9" applyFont="1" applyFill="1"/>
    <xf numFmtId="44" fontId="33" fillId="7" borderId="0" xfId="9" applyFont="1" applyFill="1"/>
    <xf numFmtId="44" fontId="34" fillId="0" borderId="0" xfId="9" applyFont="1" applyFill="1"/>
    <xf numFmtId="44" fontId="45" fillId="3" borderId="0" xfId="9" applyFont="1" applyFill="1"/>
    <xf numFmtId="4" fontId="11" fillId="4" borderId="0" xfId="4" applyNumberFormat="1" applyFont="1" applyFill="1" applyBorder="1" applyProtection="1">
      <protection hidden="1"/>
    </xf>
    <xf numFmtId="170" fontId="11" fillId="5" borderId="0" xfId="4" applyNumberFormat="1" applyFont="1" applyFill="1" applyProtection="1">
      <protection hidden="1"/>
    </xf>
    <xf numFmtId="44" fontId="2" fillId="10" borderId="0" xfId="0" applyNumberFormat="1" applyFont="1" applyFill="1"/>
    <xf numFmtId="0" fontId="2" fillId="10" borderId="0" xfId="0" applyFont="1" applyFill="1"/>
    <xf numFmtId="0" fontId="0" fillId="10" borderId="0" xfId="0" applyFill="1"/>
    <xf numFmtId="43" fontId="0" fillId="10" borderId="0" xfId="8" applyFont="1" applyFill="1"/>
    <xf numFmtId="170" fontId="11" fillId="5" borderId="1" xfId="4" applyNumberFormat="1" applyFont="1" applyFill="1" applyBorder="1" applyProtection="1">
      <protection hidden="1"/>
    </xf>
    <xf numFmtId="170" fontId="11" fillId="5" borderId="4" xfId="4" applyNumberFormat="1" applyFont="1" applyFill="1" applyBorder="1" applyProtection="1">
      <protection hidden="1"/>
    </xf>
    <xf numFmtId="44" fontId="0" fillId="0" borderId="1" xfId="0" applyNumberFormat="1" applyBorder="1"/>
    <xf numFmtId="170" fontId="11" fillId="5" borderId="23" xfId="4" applyNumberFormat="1" applyFont="1" applyFill="1" applyBorder="1" applyProtection="1">
      <protection hidden="1"/>
    </xf>
    <xf numFmtId="170" fontId="11" fillId="5" borderId="20" xfId="4" applyNumberFormat="1" applyFont="1" applyFill="1" applyBorder="1" applyProtection="1">
      <protection hidden="1"/>
    </xf>
    <xf numFmtId="170" fontId="11" fillId="5" borderId="18" xfId="4" applyNumberFormat="1" applyFont="1" applyFill="1" applyBorder="1" applyProtection="1">
      <protection hidden="1"/>
    </xf>
    <xf numFmtId="170" fontId="11" fillId="5" borderId="24" xfId="4" applyNumberFormat="1" applyFont="1" applyFill="1" applyBorder="1" applyProtection="1">
      <protection hidden="1"/>
    </xf>
    <xf numFmtId="165" fontId="30" fillId="0" borderId="0" xfId="1" applyNumberFormat="1" applyFont="1"/>
    <xf numFmtId="9" fontId="30" fillId="0" borderId="18" xfId="1" applyFont="1" applyBorder="1"/>
    <xf numFmtId="9" fontId="30" fillId="0" borderId="20" xfId="1" applyFont="1" applyBorder="1"/>
    <xf numFmtId="0" fontId="0" fillId="0" borderId="18" xfId="0" applyBorder="1"/>
    <xf numFmtId="9" fontId="30" fillId="0" borderId="19" xfId="1" applyFont="1" applyBorder="1"/>
    <xf numFmtId="9" fontId="30" fillId="0" borderId="21" xfId="1" applyFont="1" applyBorder="1"/>
    <xf numFmtId="0" fontId="0" fillId="0" borderId="20" xfId="0" applyBorder="1"/>
    <xf numFmtId="44" fontId="0" fillId="0" borderId="19" xfId="0" applyNumberFormat="1" applyBorder="1"/>
    <xf numFmtId="44" fontId="0" fillId="0" borderId="21" xfId="0" applyNumberFormat="1" applyBorder="1"/>
    <xf numFmtId="10" fontId="30" fillId="0" borderId="0" xfId="0" applyNumberFormat="1" applyFont="1"/>
    <xf numFmtId="9" fontId="0" fillId="0" borderId="18" xfId="1" applyFont="1" applyBorder="1"/>
    <xf numFmtId="44" fontId="2" fillId="0" borderId="18" xfId="0" applyNumberFormat="1" applyFont="1" applyBorder="1"/>
    <xf numFmtId="164" fontId="2" fillId="10" borderId="4" xfId="0" applyNumberFormat="1" applyFont="1" applyFill="1" applyBorder="1"/>
    <xf numFmtId="10" fontId="2" fillId="3" borderId="2" xfId="1" applyNumberFormat="1" applyFont="1" applyFill="1" applyBorder="1"/>
    <xf numFmtId="0" fontId="2" fillId="3" borderId="2" xfId="0" applyFont="1" applyFill="1" applyBorder="1"/>
    <xf numFmtId="0" fontId="11" fillId="3" borderId="2" xfId="2" applyFont="1" applyFill="1" applyBorder="1" applyProtection="1">
      <protection hidden="1"/>
    </xf>
    <xf numFmtId="44" fontId="2" fillId="10" borderId="4" xfId="0" applyNumberFormat="1" applyFont="1" applyFill="1" applyBorder="1"/>
    <xf numFmtId="0" fontId="0" fillId="0" borderId="10" xfId="0" applyBorder="1"/>
    <xf numFmtId="10" fontId="0" fillId="0" borderId="10" xfId="0" applyNumberFormat="1" applyBorder="1"/>
    <xf numFmtId="44" fontId="11" fillId="5" borderId="23" xfId="9" applyFont="1" applyFill="1" applyBorder="1" applyProtection="1">
      <protection hidden="1"/>
    </xf>
    <xf numFmtId="44" fontId="2" fillId="0" borderId="23" xfId="0" applyNumberFormat="1" applyFont="1" applyBorder="1"/>
    <xf numFmtId="9" fontId="0" fillId="0" borderId="19" xfId="1" applyFont="1" applyBorder="1"/>
    <xf numFmtId="175" fontId="11" fillId="5" borderId="23" xfId="4" applyNumberFormat="1" applyFont="1" applyFill="1" applyBorder="1" applyProtection="1">
      <protection hidden="1"/>
    </xf>
    <xf numFmtId="44" fontId="0" fillId="0" borderId="23" xfId="0" applyNumberFormat="1" applyBorder="1"/>
    <xf numFmtId="165" fontId="2" fillId="14" borderId="0" xfId="0" applyNumberFormat="1" applyFont="1" applyFill="1"/>
    <xf numFmtId="165" fontId="2" fillId="3" borderId="2" xfId="1" applyNumberFormat="1" applyFont="1" applyFill="1" applyBorder="1"/>
    <xf numFmtId="0" fontId="2" fillId="3" borderId="5" xfId="0" applyFont="1" applyFill="1" applyBorder="1"/>
    <xf numFmtId="0" fontId="2" fillId="3" borderId="4" xfId="0" applyFont="1" applyFill="1" applyBorder="1"/>
    <xf numFmtId="0" fontId="11" fillId="3" borderId="3" xfId="2" applyFont="1" applyFill="1" applyBorder="1" applyProtection="1">
      <protection hidden="1"/>
    </xf>
    <xf numFmtId="165" fontId="11" fillId="3" borderId="2" xfId="1" applyNumberFormat="1" applyFont="1" applyFill="1" applyBorder="1" applyProtection="1"/>
    <xf numFmtId="0" fontId="11" fillId="3" borderId="2" xfId="2" applyFont="1" applyFill="1" applyBorder="1" applyAlignment="1" applyProtection="1">
      <alignment horizontal="left"/>
      <protection hidden="1"/>
    </xf>
    <xf numFmtId="0" fontId="0" fillId="3" borderId="3" xfId="0" applyFill="1" applyBorder="1"/>
    <xf numFmtId="0" fontId="0" fillId="3" borderId="5" xfId="0" applyFill="1" applyBorder="1"/>
    <xf numFmtId="173" fontId="27" fillId="5" borderId="0" xfId="4" applyNumberFormat="1" applyFont="1" applyFill="1" applyProtection="1">
      <protection hidden="1"/>
    </xf>
    <xf numFmtId="180" fontId="17" fillId="5" borderId="1" xfId="5" applyNumberFormat="1" applyFont="1" applyFill="1" applyBorder="1" applyProtection="1">
      <protection hidden="1"/>
    </xf>
    <xf numFmtId="164" fontId="25" fillId="0" borderId="0" xfId="0" applyNumberFormat="1" applyFont="1"/>
    <xf numFmtId="164" fontId="25" fillId="0" borderId="0" xfId="9" applyNumberFormat="1" applyFont="1"/>
    <xf numFmtId="0" fontId="25" fillId="0" borderId="1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21" xfId="0" applyFont="1" applyBorder="1" applyAlignment="1">
      <alignment horizontal="center"/>
    </xf>
    <xf numFmtId="10" fontId="25" fillId="3" borderId="2" xfId="0" applyNumberFormat="1" applyFont="1" applyFill="1" applyBorder="1"/>
    <xf numFmtId="173" fontId="27" fillId="5" borderId="0" xfId="4" applyNumberFormat="1" applyFont="1" applyFill="1" applyAlignment="1" applyProtection="1">
      <alignment horizontal="center"/>
      <protection hidden="1"/>
    </xf>
    <xf numFmtId="173" fontId="11" fillId="5" borderId="23" xfId="4" applyNumberFormat="1" applyFont="1" applyFill="1" applyBorder="1" applyProtection="1">
      <protection hidden="1"/>
    </xf>
    <xf numFmtId="180" fontId="6" fillId="5" borderId="19" xfId="5" applyNumberFormat="1" applyFill="1" applyBorder="1" applyProtection="1">
      <protection hidden="1"/>
    </xf>
    <xf numFmtId="164" fontId="25" fillId="0" borderId="18" xfId="9" applyNumberFormat="1" applyFont="1" applyBorder="1"/>
    <xf numFmtId="164" fontId="25" fillId="0" borderId="20" xfId="9" applyNumberFormat="1" applyFont="1" applyBorder="1"/>
    <xf numFmtId="164" fontId="25" fillId="0" borderId="18" xfId="0" applyNumberFormat="1" applyFont="1" applyBorder="1"/>
    <xf numFmtId="164" fontId="25" fillId="0" borderId="20" xfId="0" applyNumberFormat="1" applyFont="1" applyBorder="1"/>
    <xf numFmtId="0" fontId="25" fillId="0" borderId="10" xfId="0" applyFont="1" applyBorder="1" applyAlignment="1">
      <alignment horizontal="center"/>
    </xf>
    <xf numFmtId="0" fontId="22" fillId="2" borderId="16" xfId="4" applyFont="1" applyFill="1" applyBorder="1" applyAlignment="1" applyProtection="1">
      <alignment horizontal="center"/>
      <protection hidden="1"/>
    </xf>
    <xf numFmtId="0" fontId="25" fillId="3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0" fontId="25" fillId="0" borderId="4" xfId="0" applyFont="1" applyBorder="1" applyAlignment="1">
      <alignment horizontal="center"/>
    </xf>
    <xf numFmtId="0" fontId="25" fillId="0" borderId="0" xfId="0" applyFont="1" applyAlignment="1">
      <alignment horizontal="right" vertical="center" textRotation="90" wrapText="1"/>
    </xf>
    <xf numFmtId="0" fontId="22" fillId="2" borderId="0" xfId="2" applyFont="1" applyFill="1" applyAlignment="1">
      <alignment horizontal="center"/>
    </xf>
    <xf numFmtId="0" fontId="11" fillId="0" borderId="1" xfId="5" applyFont="1" applyBorder="1" applyAlignment="1" applyProtection="1">
      <alignment horizontal="center"/>
    </xf>
    <xf numFmtId="0" fontId="24" fillId="15" borderId="13" xfId="2" applyFont="1" applyFill="1" applyBorder="1" applyAlignment="1" applyProtection="1">
      <alignment horizontal="center"/>
      <protection hidden="1"/>
    </xf>
    <xf numFmtId="0" fontId="24" fillId="15" borderId="0" xfId="2" applyFont="1" applyFill="1" applyAlignment="1" applyProtection="1">
      <alignment horizontal="center"/>
      <protection hidden="1"/>
    </xf>
    <xf numFmtId="0" fontId="11" fillId="0" borderId="0" xfId="2" applyFont="1" applyAlignment="1" applyProtection="1">
      <alignment horizontal="left"/>
      <protection hidden="1"/>
    </xf>
    <xf numFmtId="0" fontId="33" fillId="7" borderId="0" xfId="0" applyFont="1" applyFill="1" applyAlignment="1">
      <alignment horizontal="center"/>
    </xf>
    <xf numFmtId="0" fontId="11" fillId="4" borderId="1" xfId="5" applyFont="1" applyFill="1" applyBorder="1" applyAlignment="1" applyProtection="1">
      <alignment horizontal="center"/>
      <protection hidden="1"/>
    </xf>
    <xf numFmtId="0" fontId="11" fillId="4" borderId="0" xfId="0" applyFont="1" applyFill="1" applyAlignment="1">
      <alignment horizontal="right" vertical="center" textRotation="90"/>
    </xf>
    <xf numFmtId="0" fontId="29" fillId="3" borderId="4" xfId="0" applyFont="1" applyFill="1" applyBorder="1" applyAlignment="1">
      <alignment horizontal="center" wrapText="1"/>
    </xf>
    <xf numFmtId="165" fontId="32" fillId="2" borderId="0" xfId="1" applyNumberFormat="1" applyFont="1" applyFill="1" applyBorder="1" applyAlignment="1" applyProtection="1">
      <alignment horizontal="center"/>
      <protection hidden="1"/>
    </xf>
    <xf numFmtId="165" fontId="32" fillId="7" borderId="0" xfId="1" applyNumberFormat="1" applyFont="1" applyFill="1" applyBorder="1" applyAlignment="1" applyProtection="1">
      <alignment horizontal="center"/>
      <protection hidden="1"/>
    </xf>
    <xf numFmtId="0" fontId="2" fillId="3" borderId="0" xfId="0" applyFont="1" applyFill="1" applyAlignment="1">
      <alignment horizontal="center"/>
    </xf>
    <xf numFmtId="165" fontId="22" fillId="2" borderId="0" xfId="1" applyNumberFormat="1" applyFont="1" applyFill="1" applyBorder="1" applyAlignment="1" applyProtection="1">
      <alignment horizontal="center"/>
      <protection hidden="1"/>
    </xf>
    <xf numFmtId="0" fontId="11" fillId="3" borderId="3" xfId="2" applyFont="1" applyFill="1" applyBorder="1" applyAlignment="1">
      <alignment horizontal="center"/>
    </xf>
    <xf numFmtId="0" fontId="11" fillId="3" borderId="4" xfId="2" applyFont="1" applyFill="1" applyBorder="1" applyAlignment="1">
      <alignment horizontal="center"/>
    </xf>
    <xf numFmtId="0" fontId="11" fillId="3" borderId="5" xfId="2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</cellXfs>
  <cellStyles count="12">
    <cellStyle name="_x000a_386grabber=M" xfId="4" xr:uid="{00000000-0005-0000-0000-000000000000}"/>
    <cellStyle name="AFE" xfId="5" xr:uid="{00000000-0005-0000-0000-000001000000}"/>
    <cellStyle name="Comma" xfId="8" builtinId="3"/>
    <cellStyle name="Comma 4" xfId="11" xr:uid="{00000000-0005-0000-0000-000003000000}"/>
    <cellStyle name="Currency" xfId="9" builtinId="4"/>
    <cellStyle name="Currency 4" xfId="3" xr:uid="{00000000-0005-0000-0000-000005000000}"/>
    <cellStyle name="Normal" xfId="0" builtinId="0"/>
    <cellStyle name="Normal_Ch01 Pics v2.2" xfId="2" xr:uid="{00000000-0005-0000-0000-000007000000}"/>
    <cellStyle name="Normal_Financials" xfId="7" xr:uid="{00000000-0005-0000-0000-000009000000}"/>
    <cellStyle name="Pctg" xfId="6" xr:uid="{00000000-0005-0000-0000-00000A000000}"/>
    <cellStyle name="Percent" xfId="1" builtinId="5"/>
    <cellStyle name="Percent 3" xfId="10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spPr>
            <a:noFill/>
            <a:ln>
              <a:solidFill>
                <a:schemeClr val="bg1"/>
              </a:solidFill>
            </a:ln>
          </c:spPr>
          <c:invertIfNegative val="0"/>
          <c:dLbls>
            <c:dLbl>
              <c:idx val="0"/>
              <c:layout>
                <c:manualLayout>
                  <c:x val="-2.8690331060326746E-17"/>
                  <c:y val="-0.1414141414141414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7B25-4E73-B9B8-245906AA4312}"/>
                </c:ext>
              </c:extLst>
            </c:dLbl>
            <c:dLbl>
              <c:idx val="1"/>
              <c:layout>
                <c:manualLayout>
                  <c:x val="-5.7380662120653491E-17"/>
                  <c:y val="-0.2575757575757575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7B25-4E73-B9B8-245906AA4312}"/>
                </c:ext>
              </c:extLst>
            </c:dLbl>
            <c:dLbl>
              <c:idx val="2"/>
              <c:layout>
                <c:manualLayout>
                  <c:x val="-9.3896713615023476E-3"/>
                  <c:y val="-0.121212121212121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7B25-4E73-B9B8-245906AA4312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'Valuation Graph'!$B$7:$D$7</c:f>
              <c:strCache>
                <c:ptCount val="3"/>
                <c:pt idx="0">
                  <c:v>Base Case</c:v>
                </c:pt>
                <c:pt idx="1">
                  <c:v>Best Case</c:v>
                </c:pt>
                <c:pt idx="2">
                  <c:v>Worst Case</c:v>
                </c:pt>
              </c:strCache>
            </c:strRef>
          </c:cat>
          <c:val>
            <c:numRef>
              <c:f>'Valuation Graph'!$B$8:$D$8</c:f>
              <c:numCache>
                <c:formatCode>_("$"* #,##0_);_("$"* \(#,##0\);_("$"* "-"??_);_(@_)</c:formatCode>
                <c:ptCount val="3"/>
                <c:pt idx="0">
                  <c:v>34314743.827309802</c:v>
                </c:pt>
                <c:pt idx="1">
                  <c:v>42075389.24355001</c:v>
                </c:pt>
                <c:pt idx="2">
                  <c:v>31031449.145438217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B25-4E73-B9B8-245906AA4312}"/>
            </c:ext>
          </c:extLst>
        </c:ser>
        <c:ser>
          <c:idx val="4"/>
          <c:order val="1"/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1D-7B25-4E73-B9B8-245906AA4312}"/>
              </c:ext>
            </c:extLst>
          </c:dPt>
          <c:dPt>
            <c:idx val="1"/>
            <c:invertIfNegative val="0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19-7B25-4E73-B9B8-245906AA4312}"/>
              </c:ext>
            </c:extLst>
          </c:dPt>
          <c:dPt>
            <c:idx val="2"/>
            <c:invertIfNegative val="0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1B-7B25-4E73-B9B8-245906AA4312}"/>
              </c:ext>
            </c:extLst>
          </c:dPt>
          <c:dLbls>
            <c:dLbl>
              <c:idx val="0"/>
              <c:layout>
                <c:manualLayout>
                  <c:x val="0"/>
                  <c:y val="-9.090909090909095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37,805,895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D-7B25-4E73-B9B8-245906AA4312}"/>
                </c:ext>
              </c:extLst>
            </c:dLbl>
            <c:dLbl>
              <c:idx val="1"/>
              <c:layout>
                <c:manualLayout>
                  <c:x val="-5.7380662120653491E-17"/>
                  <c:y val="-0.1010101010101010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46,249,038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9-7B25-4E73-B9B8-245906AA4312}"/>
                </c:ext>
              </c:extLst>
            </c:dLbl>
            <c:dLbl>
              <c:idx val="2"/>
              <c:layout>
                <c:manualLayout>
                  <c:x val="0"/>
                  <c:y val="-9.595959595959600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34,180,772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B-7B25-4E73-B9B8-245906AA4312}"/>
                </c:ext>
              </c:extLst>
            </c:dLbl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'Valuation Graph'!$B$7:$D$7</c:f>
              <c:strCache>
                <c:ptCount val="3"/>
                <c:pt idx="0">
                  <c:v>Base Case</c:v>
                </c:pt>
                <c:pt idx="1">
                  <c:v>Best Case</c:v>
                </c:pt>
                <c:pt idx="2">
                  <c:v>Worst Case</c:v>
                </c:pt>
              </c:strCache>
            </c:strRef>
          </c:cat>
          <c:val>
            <c:numRef>
              <c:f>'Valuation Graph'!$B$9:$D$9</c:f>
              <c:numCache>
                <c:formatCode>_("$"* #,##0_);_("$"* \(#,##0\);_("$"* "-"??_);_(@_)</c:formatCode>
                <c:ptCount val="3"/>
                <c:pt idx="0">
                  <c:v>3491151.1373938471</c:v>
                </c:pt>
                <c:pt idx="1">
                  <c:v>4173649.0861026645</c:v>
                </c:pt>
                <c:pt idx="2">
                  <c:v>3149323.0850195214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B25-4E73-B9B8-245906AA4312}"/>
            </c:ext>
          </c:extLst>
        </c:ser>
        <c:ser>
          <c:idx val="5"/>
          <c:order val="2"/>
          <c:spPr>
            <a:noFill/>
            <a:ln>
              <a:solidFill>
                <a:schemeClr val="bg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'Valuation Graph'!$B$7:$D$7</c:f>
              <c:strCache>
                <c:ptCount val="3"/>
                <c:pt idx="0">
                  <c:v>Base Case</c:v>
                </c:pt>
                <c:pt idx="1">
                  <c:v>Best Case</c:v>
                </c:pt>
                <c:pt idx="2">
                  <c:v>Worst Case</c:v>
                </c:pt>
              </c:strCache>
            </c:strRef>
          </c:cat>
          <c:val>
            <c:numRef>
              <c:f>'Valuation Graph'!$B$10:$D$10</c:f>
              <c:numCache>
                <c:formatCode>_("$"* #,##0_);_("$"* \(#,##0\);_("$"* "-"??_);_(@_)</c:formatCode>
                <c:ptCount val="3"/>
                <c:pt idx="0">
                  <c:v>37805894.964703649</c:v>
                </c:pt>
                <c:pt idx="1">
                  <c:v>46249038.329652674</c:v>
                </c:pt>
                <c:pt idx="2">
                  <c:v>34180772.230457738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B25-4E73-B9B8-245906AA4312}"/>
            </c:ext>
          </c:extLst>
        </c:ser>
        <c:ser>
          <c:idx val="0"/>
          <c:order val="3"/>
          <c:spPr>
            <a:noFill/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5.0925337632079971E-17"/>
                  <c:y val="-9.72222222222221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B25-4E73-B9B8-245906AA4312}"/>
                </c:ext>
              </c:extLst>
            </c:dLbl>
            <c:dLbl>
              <c:idx val="1"/>
              <c:layout>
                <c:manualLayout>
                  <c:x val="2.77771616576097E-3"/>
                  <c:y val="-0.2449494949494949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B25-4E73-B9B8-245906AA4312}"/>
                </c:ext>
              </c:extLst>
            </c:dLbl>
            <c:dLbl>
              <c:idx val="2"/>
              <c:layout>
                <c:manualLayout>
                  <c:x val="-1.0185067526415994E-16"/>
                  <c:y val="-8.796296296296304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25-4E73-B9B8-245906AA43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'Valuation Graph'!$B$7:$D$7</c:f>
              <c:strCache>
                <c:ptCount val="3"/>
                <c:pt idx="0">
                  <c:v>Base Case</c:v>
                </c:pt>
                <c:pt idx="1">
                  <c:v>Best Case</c:v>
                </c:pt>
                <c:pt idx="2">
                  <c:v>Worst Case</c:v>
                </c:pt>
              </c:strCache>
            </c:strRef>
          </c:cat>
          <c:val>
            <c:numRef>
              <c:f>'Valuation Graph'!$B$8:$D$8</c:f>
              <c:numCache>
                <c:formatCode>_("$"* #,##0_);_("$"* \(#,##0\);_("$"* "-"??_);_(@_)</c:formatCode>
                <c:ptCount val="3"/>
                <c:pt idx="0">
                  <c:v>34314743.827309802</c:v>
                </c:pt>
                <c:pt idx="1">
                  <c:v>42075389.24355001</c:v>
                </c:pt>
                <c:pt idx="2">
                  <c:v>31031449.145438217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25-4E73-B9B8-245906AA4312}"/>
            </c:ext>
          </c:extLst>
        </c:ser>
        <c:ser>
          <c:idx val="1"/>
          <c:order val="4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'Valuation Graph'!$B$7:$D$7</c:f>
              <c:strCache>
                <c:ptCount val="3"/>
                <c:pt idx="0">
                  <c:v>Base Case</c:v>
                </c:pt>
                <c:pt idx="1">
                  <c:v>Best Case</c:v>
                </c:pt>
                <c:pt idx="2">
                  <c:v>Worst Case</c:v>
                </c:pt>
              </c:strCache>
            </c:strRef>
          </c:cat>
          <c:val>
            <c:numRef>
              <c:f>'Valuation Graph'!$B$9:$D$9</c:f>
              <c:numCache>
                <c:formatCode>_("$"* #,##0_);_("$"* \(#,##0\);_("$"* "-"??_);_(@_)</c:formatCode>
                <c:ptCount val="3"/>
                <c:pt idx="0">
                  <c:v>3491151.1373938471</c:v>
                </c:pt>
                <c:pt idx="1">
                  <c:v>4173649.0861026645</c:v>
                </c:pt>
                <c:pt idx="2">
                  <c:v>3149323.0850195214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B25-4E73-B9B8-245906AA4312}"/>
            </c:ext>
          </c:extLst>
        </c:ser>
        <c:ser>
          <c:idx val="2"/>
          <c:order val="5"/>
          <c:spPr>
            <a:noFill/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5.5555555555555558E-3"/>
                  <c:y val="0.1157407407407407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B25-4E73-B9B8-245906AA4312}"/>
                </c:ext>
              </c:extLst>
            </c:dLbl>
            <c:dLbl>
              <c:idx val="1"/>
              <c:layout>
                <c:manualLayout>
                  <c:x val="0"/>
                  <c:y val="0.1481481481481481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B25-4E73-B9B8-245906AA4312}"/>
                </c:ext>
              </c:extLst>
            </c:dLbl>
            <c:dLbl>
              <c:idx val="2"/>
              <c:layout>
                <c:manualLayout>
                  <c:x val="-1.0185067526415994E-16"/>
                  <c:y val="0.1018518518518518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B25-4E73-B9B8-245906AA43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'Valuation Graph'!$B$7:$D$7</c:f>
              <c:strCache>
                <c:ptCount val="3"/>
                <c:pt idx="0">
                  <c:v>Base Case</c:v>
                </c:pt>
                <c:pt idx="1">
                  <c:v>Best Case</c:v>
                </c:pt>
                <c:pt idx="2">
                  <c:v>Worst Case</c:v>
                </c:pt>
              </c:strCache>
            </c:strRef>
          </c:cat>
          <c:val>
            <c:numRef>
              <c:f>'Valuation Graph'!$B$10:$D$10</c:f>
              <c:numCache>
                <c:formatCode>_("$"* #,##0_);_("$"* \(#,##0\);_("$"* "-"??_);_(@_)</c:formatCode>
                <c:ptCount val="3"/>
                <c:pt idx="0">
                  <c:v>37805894.964703649</c:v>
                </c:pt>
                <c:pt idx="1">
                  <c:v>46249038.329652674</c:v>
                </c:pt>
                <c:pt idx="2">
                  <c:v>34180772.230457738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B25-4E73-B9B8-245906AA431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50417272"/>
        <c:axId val="450414648"/>
      </c:barChart>
      <c:catAx>
        <c:axId val="45041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414648"/>
        <c:crossesAt val="20000"/>
        <c:auto val="1"/>
        <c:lblAlgn val="ctr"/>
        <c:lblOffset val="100"/>
        <c:noMultiLvlLbl val="0"/>
      </c:catAx>
      <c:valAx>
        <c:axId val="450414648"/>
        <c:scaling>
          <c:orientation val="minMax"/>
          <c:max val="50000000"/>
          <c:min val="2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417272"/>
        <c:crosses val="autoZero"/>
        <c:crossBetween val="between"/>
        <c:minorUnit val="500000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'Valuation Graph'!$G$7:$I$7</c:f>
              <c:strCache>
                <c:ptCount val="3"/>
                <c:pt idx="0">
                  <c:v>Base Case</c:v>
                </c:pt>
                <c:pt idx="1">
                  <c:v>Best Case</c:v>
                </c:pt>
                <c:pt idx="2">
                  <c:v>Worst Case</c:v>
                </c:pt>
              </c:strCache>
            </c:strRef>
          </c:cat>
          <c:val>
            <c:numRef>
              <c:f>'Valuation Graph'!$G$8:$I$8</c:f>
              <c:numCache>
                <c:formatCode>_("$"* #,##0_);_("$"* \(#,##0\);_("$"* "-"??_);_(@_)</c:formatCode>
                <c:ptCount val="3"/>
                <c:pt idx="0">
                  <c:v>81788054.275709972</c:v>
                </c:pt>
                <c:pt idx="1">
                  <c:v>99170078.312683538</c:v>
                </c:pt>
                <c:pt idx="2">
                  <c:v>73918279.154839054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0A-4041-822D-682B2D191E62}"/>
            </c:ext>
          </c:extLst>
        </c:ser>
        <c:ser>
          <c:idx val="1"/>
          <c:order val="1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'Valuation Graph'!$G$7:$I$7</c:f>
              <c:strCache>
                <c:ptCount val="3"/>
                <c:pt idx="0">
                  <c:v>Base Case</c:v>
                </c:pt>
                <c:pt idx="1">
                  <c:v>Best Case</c:v>
                </c:pt>
                <c:pt idx="2">
                  <c:v>Worst Case</c:v>
                </c:pt>
              </c:strCache>
            </c:strRef>
          </c:cat>
          <c:val>
            <c:numRef>
              <c:f>'Valuation Graph'!$G$9:$I$9</c:f>
              <c:numCache>
                <c:formatCode>_("$"* #,##0_);_("$"* \(#,##0\);_("$"* "-"??_);_(@_)</c:formatCode>
                <c:ptCount val="3"/>
                <c:pt idx="0">
                  <c:v>3530732.1082745343</c:v>
                </c:pt>
                <c:pt idx="1">
                  <c:v>4063257.9573523849</c:v>
                </c:pt>
                <c:pt idx="2">
                  <c:v>3182365.5730018765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0A-4041-822D-682B2D191E62}"/>
            </c:ext>
          </c:extLst>
        </c:ser>
        <c:ser>
          <c:idx val="2"/>
          <c:order val="2"/>
          <c:spPr>
            <a:noFill/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'Valuation Graph'!$G$7:$I$7</c:f>
              <c:strCache>
                <c:ptCount val="3"/>
                <c:pt idx="0">
                  <c:v>Base Case</c:v>
                </c:pt>
                <c:pt idx="1">
                  <c:v>Best Case</c:v>
                </c:pt>
                <c:pt idx="2">
                  <c:v>Worst Case</c:v>
                </c:pt>
              </c:strCache>
            </c:strRef>
          </c:cat>
          <c:val>
            <c:numRef>
              <c:f>'Valuation Graph'!$G$10:$I$10</c:f>
              <c:numCache>
                <c:formatCode>_("$"* #,##0_);_("$"* \(#,##0\);_("$"* "-"??_);_(@_)</c:formatCode>
                <c:ptCount val="3"/>
                <c:pt idx="0">
                  <c:v>85318786.383984506</c:v>
                </c:pt>
                <c:pt idx="1">
                  <c:v>103233336.27003592</c:v>
                </c:pt>
                <c:pt idx="2">
                  <c:v>77100644.72784093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0A-4041-822D-682B2D191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6288680"/>
        <c:axId val="446286384"/>
      </c:barChart>
      <c:catAx>
        <c:axId val="446288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86384"/>
        <c:crosses val="autoZero"/>
        <c:auto val="1"/>
        <c:lblAlgn val="ctr"/>
        <c:lblOffset val="100"/>
        <c:noMultiLvlLbl val="0"/>
      </c:catAx>
      <c:valAx>
        <c:axId val="446286384"/>
        <c:scaling>
          <c:orientation val="minMax"/>
          <c:max val="120000000"/>
          <c:min val="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88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11</xdr:row>
      <xdr:rowOff>123824</xdr:rowOff>
    </xdr:from>
    <xdr:to>
      <xdr:col>4</xdr:col>
      <xdr:colOff>161925</xdr:colOff>
      <xdr:row>24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E39FFC-BBF0-4F1D-9C51-4E78CF433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1038225</xdr:colOff>
      <xdr:row>11</xdr:row>
      <xdr:rowOff>123825</xdr:rowOff>
    </xdr:from>
    <xdr:to>
      <xdr:col>11</xdr:col>
      <xdr:colOff>76200</xdr:colOff>
      <xdr:row>25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BD26E7-C87C-461A-AA63-01E37F3C8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685800</xdr:colOff>
      <xdr:row>13</xdr:row>
      <xdr:rowOff>171450</xdr:rowOff>
    </xdr:from>
    <xdr:to>
      <xdr:col>8</xdr:col>
      <xdr:colOff>752475</xdr:colOff>
      <xdr:row>15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9ADB5E6-62A5-495B-A861-92A3757D17C9}"/>
            </a:ext>
          </a:extLst>
        </xdr:cNvPr>
        <xdr:cNvSpPr txBox="1"/>
      </xdr:nvSpPr>
      <xdr:spPr>
        <a:xfrm>
          <a:off x="7315200" y="2752725"/>
          <a:ext cx="9810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103,233,336</a:t>
          </a:r>
        </a:p>
      </xdr:txBody>
    </xdr:sp>
    <xdr:clientData/>
  </xdr:twoCellAnchor>
  <xdr:twoCellAnchor>
    <xdr:from>
      <xdr:col>7</xdr:col>
      <xdr:colOff>704850</xdr:colOff>
      <xdr:row>15</xdr:row>
      <xdr:rowOff>85725</xdr:rowOff>
    </xdr:from>
    <xdr:to>
      <xdr:col>8</xdr:col>
      <xdr:colOff>771525</xdr:colOff>
      <xdr:row>16</xdr:row>
      <xdr:rowOff>142875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3EBDE1A-42E1-45FA-9DC5-874112897C13}"/>
            </a:ext>
          </a:extLst>
        </xdr:cNvPr>
        <xdr:cNvSpPr txBox="1"/>
      </xdr:nvSpPr>
      <xdr:spPr>
        <a:xfrm>
          <a:off x="7334250" y="3048000"/>
          <a:ext cx="9810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99,170,078</a:t>
          </a:r>
        </a:p>
      </xdr:txBody>
    </xdr:sp>
    <xdr:clientData/>
  </xdr:twoCellAnchor>
  <xdr:twoCellAnchor>
    <xdr:from>
      <xdr:col>6</xdr:col>
      <xdr:colOff>390525</xdr:colOff>
      <xdr:row>16</xdr:row>
      <xdr:rowOff>152400</xdr:rowOff>
    </xdr:from>
    <xdr:to>
      <xdr:col>7</xdr:col>
      <xdr:colOff>533400</xdr:colOff>
      <xdr:row>18</xdr:row>
      <xdr:rowOff>19050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97AE132-FBD3-4545-8DD9-FF67F15109A9}"/>
            </a:ext>
          </a:extLst>
        </xdr:cNvPr>
        <xdr:cNvSpPr txBox="1"/>
      </xdr:nvSpPr>
      <xdr:spPr>
        <a:xfrm>
          <a:off x="6181725" y="3305175"/>
          <a:ext cx="9810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81,799,042</a:t>
          </a:r>
        </a:p>
      </xdr:txBody>
    </xdr:sp>
    <xdr:clientData/>
  </xdr:twoCellAnchor>
  <xdr:twoCellAnchor>
    <xdr:from>
      <xdr:col>6</xdr:col>
      <xdr:colOff>361950</xdr:colOff>
      <xdr:row>18</xdr:row>
      <xdr:rowOff>9525</xdr:rowOff>
    </xdr:from>
    <xdr:to>
      <xdr:col>7</xdr:col>
      <xdr:colOff>504825</xdr:colOff>
      <xdr:row>19</xdr:row>
      <xdr:rowOff>66675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E070FF9-CDF7-4A34-9843-579B47AF7101}"/>
            </a:ext>
          </a:extLst>
        </xdr:cNvPr>
        <xdr:cNvSpPr txBox="1"/>
      </xdr:nvSpPr>
      <xdr:spPr>
        <a:xfrm>
          <a:off x="6153150" y="3543300"/>
          <a:ext cx="9810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85,328,884</a:t>
          </a:r>
        </a:p>
      </xdr:txBody>
    </xdr:sp>
    <xdr:clientData/>
  </xdr:twoCellAnchor>
  <xdr:twoCellAnchor>
    <xdr:from>
      <xdr:col>9</xdr:col>
      <xdr:colOff>152400</xdr:colOff>
      <xdr:row>17</xdr:row>
      <xdr:rowOff>180975</xdr:rowOff>
    </xdr:from>
    <xdr:to>
      <xdr:col>10</xdr:col>
      <xdr:colOff>523875</xdr:colOff>
      <xdr:row>19</xdr:row>
      <xdr:rowOff>47625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CA27B6D-A9FC-4DAA-A201-16D50DF7CBE2}"/>
            </a:ext>
          </a:extLst>
        </xdr:cNvPr>
        <xdr:cNvSpPr txBox="1"/>
      </xdr:nvSpPr>
      <xdr:spPr>
        <a:xfrm>
          <a:off x="8534400" y="3524250"/>
          <a:ext cx="9810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77,100,645</a:t>
          </a:r>
        </a:p>
      </xdr:txBody>
    </xdr:sp>
    <xdr:clientData/>
  </xdr:twoCellAnchor>
  <xdr:twoCellAnchor>
    <xdr:from>
      <xdr:col>9</xdr:col>
      <xdr:colOff>161925</xdr:colOff>
      <xdr:row>19</xdr:row>
      <xdr:rowOff>85725</xdr:rowOff>
    </xdr:from>
    <xdr:to>
      <xdr:col>10</xdr:col>
      <xdr:colOff>533400</xdr:colOff>
      <xdr:row>20</xdr:row>
      <xdr:rowOff>142875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64B407C-CF06-4DDF-94F8-85F74E2B4CDE}"/>
            </a:ext>
          </a:extLst>
        </xdr:cNvPr>
        <xdr:cNvSpPr txBox="1"/>
      </xdr:nvSpPr>
      <xdr:spPr>
        <a:xfrm>
          <a:off x="8543925" y="3810000"/>
          <a:ext cx="9810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73,918,279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3"/>
  <sheetViews>
    <sheetView showGridLines="0" zoomScale="80" zoomScaleNormal="80" workbookViewId="0">
      <selection activeCell="A2" sqref="A2"/>
    </sheetView>
  </sheetViews>
  <sheetFormatPr defaultRowHeight="12.75" x14ac:dyDescent="0.2"/>
  <cols>
    <col min="1" max="3" width="9.140625" style="125"/>
    <col min="4" max="4" width="9.28515625" style="125" bestFit="1" customWidth="1"/>
    <col min="5" max="5" width="17.28515625" style="125" bestFit="1" customWidth="1"/>
    <col min="6" max="7" width="15.7109375" style="125" bestFit="1" customWidth="1"/>
    <col min="8" max="8" width="20.5703125" style="125" bestFit="1" customWidth="1"/>
    <col min="9" max="9" width="16.28515625" style="125" bestFit="1" customWidth="1"/>
    <col min="10" max="12" width="20.140625" style="125" bestFit="1" customWidth="1"/>
    <col min="13" max="13" width="17.140625" style="125" bestFit="1" customWidth="1"/>
    <col min="14" max="14" width="9.28515625" style="125" bestFit="1" customWidth="1"/>
    <col min="15" max="16384" width="9.140625" style="125"/>
  </cols>
  <sheetData>
    <row r="1" spans="1:14" x14ac:dyDescent="0.2">
      <c r="A1" s="183" t="s">
        <v>228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</row>
    <row r="2" spans="1:14" x14ac:dyDescent="0.2">
      <c r="A2" s="183" t="s">
        <v>163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</row>
    <row r="3" spans="1:14" ht="13.5" thickBot="1" x14ac:dyDescent="0.25">
      <c r="A3" s="167" t="s">
        <v>164</v>
      </c>
      <c r="B3" s="185"/>
      <c r="C3" s="185"/>
      <c r="D3" s="185"/>
      <c r="E3" s="185"/>
      <c r="F3" s="185"/>
      <c r="G3" s="185"/>
      <c r="H3" s="185"/>
      <c r="I3" s="335" t="s">
        <v>165</v>
      </c>
      <c r="J3" s="335"/>
      <c r="K3" s="335"/>
      <c r="L3" s="335"/>
    </row>
    <row r="4" spans="1:14" x14ac:dyDescent="0.2">
      <c r="A4" s="125" t="s">
        <v>166</v>
      </c>
      <c r="D4" s="186">
        <v>1</v>
      </c>
    </row>
    <row r="5" spans="1:14" x14ac:dyDescent="0.2">
      <c r="A5" s="125" t="s">
        <v>167</v>
      </c>
      <c r="D5" s="186" t="s">
        <v>168</v>
      </c>
      <c r="E5" s="336" t="s">
        <v>38</v>
      </c>
      <c r="F5" s="336"/>
      <c r="G5" s="336"/>
      <c r="H5" s="324" t="s">
        <v>169</v>
      </c>
      <c r="I5" s="187"/>
      <c r="J5" s="336" t="s">
        <v>74</v>
      </c>
      <c r="K5" s="336"/>
      <c r="L5" s="336"/>
      <c r="M5" s="336"/>
      <c r="N5" s="324" t="s">
        <v>169</v>
      </c>
    </row>
    <row r="6" spans="1:14" x14ac:dyDescent="0.2">
      <c r="E6" s="323" t="s">
        <v>39</v>
      </c>
      <c r="F6" s="323" t="s">
        <v>40</v>
      </c>
      <c r="G6" s="323" t="s">
        <v>41</v>
      </c>
      <c r="H6" s="327" t="s">
        <v>170</v>
      </c>
      <c r="I6" s="327" t="s">
        <v>45</v>
      </c>
      <c r="J6" s="325">
        <v>2017</v>
      </c>
      <c r="K6" s="325">
        <v>2018</v>
      </c>
      <c r="L6" s="325">
        <v>2019</v>
      </c>
      <c r="M6" s="325">
        <v>2020</v>
      </c>
      <c r="N6" s="327" t="s">
        <v>171</v>
      </c>
    </row>
    <row r="7" spans="1:14" x14ac:dyDescent="0.2">
      <c r="A7" s="137" t="s">
        <v>54</v>
      </c>
      <c r="E7" s="319">
        <f>'Projections 2016 - 2020'!D6</f>
        <v>4818319</v>
      </c>
      <c r="F7" s="319">
        <f>'Projections 2016 - 2020'!E6</f>
        <v>6155379</v>
      </c>
      <c r="G7" s="319">
        <f>'Projections 2016 - 2020'!F6</f>
        <v>7713456</v>
      </c>
      <c r="H7" s="252">
        <f>(G7/E7)^(0.5)-1</f>
        <v>0.26525111462136386</v>
      </c>
      <c r="I7" s="328">
        <f>CHOOSE($D$4,'Projections 2016 - 2020'!D39,'Projections 2016 - 2020'!D74,'Projections 2016 - 2020'!D108)</f>
        <v>9397876.8000000007</v>
      </c>
      <c r="J7" s="328">
        <f>CHOOSE($D$4,'Projections 2016 - 2020'!E39,'Projections 2016 - 2020'!E74,'Projections 2016 - 2020'!E108)</f>
        <v>14130914.840000002</v>
      </c>
      <c r="K7" s="328">
        <f>CHOOSE($D$4,'Projections 2016 - 2020'!F39,'Projections 2016 - 2020'!F74,'Projections 2016 - 2020'!F108)</f>
        <v>19383018.550000004</v>
      </c>
      <c r="L7" s="328">
        <f>CHOOSE($D$4,'Projections 2016 - 2020'!G39,'Projections 2016 - 2020'!G74,'Projections 2016 - 2020'!G108)</f>
        <v>26587196.396241549</v>
      </c>
      <c r="M7" s="328">
        <f>CHOOSE($D$4,'Projections 2016 - 2020'!H39,'Projections 2016 - 2020'!H74,'Projections 2016 - 2020'!H108)</f>
        <v>36468984.972019203</v>
      </c>
      <c r="N7" s="126">
        <f>(M7/I7)^(1/5)-1</f>
        <v>0.31153168085217886</v>
      </c>
    </row>
    <row r="8" spans="1:14" s="189" customFormat="1" x14ac:dyDescent="0.2">
      <c r="A8" s="197" t="s">
        <v>148</v>
      </c>
      <c r="E8" s="194"/>
      <c r="F8" s="194">
        <f>F7/E7-1</f>
        <v>0.27749511811069372</v>
      </c>
      <c r="G8" s="194">
        <f>G7/F7-1</f>
        <v>0.25312446236048181</v>
      </c>
      <c r="H8" s="194"/>
      <c r="I8" s="195">
        <f>I7/G7-1</f>
        <v>0.21837433181702215</v>
      </c>
      <c r="J8" s="196">
        <f>J7/I7-1</f>
        <v>0.50362844084102076</v>
      </c>
      <c r="K8" s="196">
        <f>K7/J7-1</f>
        <v>0.37167471246327333</v>
      </c>
      <c r="L8" s="196">
        <f>L7/K7-1</f>
        <v>0.37167471246327333</v>
      </c>
      <c r="M8" s="196">
        <f>M7/L7-1</f>
        <v>0.37167471246327333</v>
      </c>
    </row>
    <row r="9" spans="1:14" x14ac:dyDescent="0.2">
      <c r="A9" s="125" t="s">
        <v>174</v>
      </c>
      <c r="E9" s="320">
        <f>'P&amp;L 2013-2018'!B9</f>
        <v>3597057</v>
      </c>
      <c r="F9" s="320">
        <f>'P&amp;L 2013-2018'!G9</f>
        <v>4638749</v>
      </c>
      <c r="G9" s="320">
        <f>'P&amp;L 2013-2018'!L9</f>
        <v>4994420</v>
      </c>
      <c r="H9" s="212"/>
      <c r="I9" s="329">
        <f>CHOOSE($D$4,'Projections 2016 - 2020'!D41,'Projections 2016 - 2020'!D76,'Projections 2016 - 2020'!D110)</f>
        <v>6046993.068</v>
      </c>
      <c r="J9" s="329">
        <f>CHOOSE($D$4,'Projections 2016 - 2020'!E41,'Projections 2016 - 2020'!E76,'Projections 2016 - 2020'!E110)</f>
        <v>8329568.0524000004</v>
      </c>
      <c r="K9" s="329">
        <f>CHOOSE($D$4,'Projections 2016 - 2020'!F41,'Projections 2016 - 2020'!F76,'Projections 2016 - 2020'!F110)</f>
        <v>10851061.130000001</v>
      </c>
      <c r="L9" s="329">
        <f>CHOOSE($D$4,'Projections 2016 - 2020'!G41,'Projections 2016 - 2020'!G76,'Projections 2016 - 2020'!G110)</f>
        <v>15278068.892353185</v>
      </c>
      <c r="M9" s="329">
        <f>CHOOSE($D$4,'Projections 2016 - 2020'!H41,'Projections 2016 - 2020'!H76,'Projections 2016 - 2020'!H110)</f>
        <v>20686360.109703716</v>
      </c>
      <c r="N9" s="126">
        <f>(M9/I9)^(1/5)-1</f>
        <v>0.278877427348035</v>
      </c>
    </row>
    <row r="10" spans="1:14" x14ac:dyDescent="0.2">
      <c r="A10" s="137" t="s">
        <v>151</v>
      </c>
      <c r="E10" s="322">
        <f>E7-E9</f>
        <v>1221262</v>
      </c>
      <c r="F10" s="322">
        <f t="shared" ref="F10:G10" si="0">F7-F9</f>
        <v>1516630</v>
      </c>
      <c r="G10" s="322">
        <f t="shared" si="0"/>
        <v>2719036</v>
      </c>
      <c r="H10" s="212"/>
      <c r="I10" s="330">
        <f>I7-I9</f>
        <v>3350883.7320000008</v>
      </c>
      <c r="J10" s="331">
        <f t="shared" ref="J10" si="1">J7-J9</f>
        <v>5801346.7876000013</v>
      </c>
      <c r="K10" s="331">
        <f t="shared" ref="K10" si="2">K7-K9</f>
        <v>8531957.4200000037</v>
      </c>
      <c r="L10" s="331">
        <f>L7-L9</f>
        <v>11309127.503888365</v>
      </c>
      <c r="M10" s="331">
        <f>M7-M9</f>
        <v>15782624.862315487</v>
      </c>
    </row>
    <row r="11" spans="1:14" s="189" customFormat="1" x14ac:dyDescent="0.2">
      <c r="A11" s="197" t="s">
        <v>150</v>
      </c>
      <c r="E11" s="194">
        <f>E10/E7</f>
        <v>0.25346225519730015</v>
      </c>
      <c r="F11" s="194">
        <f t="shared" ref="F11:G11" si="3">F10/F7</f>
        <v>0.24639100208126907</v>
      </c>
      <c r="G11" s="194">
        <f t="shared" si="3"/>
        <v>0.35250554355920355</v>
      </c>
      <c r="H11" s="194"/>
      <c r="I11" s="195">
        <f>I10/I7</f>
        <v>0.35655752924958545</v>
      </c>
      <c r="J11" s="196">
        <f t="shared" ref="J11" si="4">J10/J7</f>
        <v>0.41054290208998251</v>
      </c>
      <c r="K11" s="196">
        <f t="shared" ref="K11" si="5">K10/K7</f>
        <v>0.44017692074075848</v>
      </c>
      <c r="L11" s="196">
        <f>L10/L7</f>
        <v>0.42535991141537055</v>
      </c>
      <c r="M11" s="196">
        <f t="shared" ref="M11" si="6">M10/M7</f>
        <v>0.43276841607806449</v>
      </c>
      <c r="N11" s="194"/>
    </row>
    <row r="12" spans="1:14" x14ac:dyDescent="0.2">
      <c r="A12" s="125" t="s">
        <v>187</v>
      </c>
      <c r="E12" s="320">
        <f>'P&amp;L 2013-2018'!B15</f>
        <v>878457</v>
      </c>
      <c r="F12" s="320">
        <f>'P&amp;L 2013-2018'!G15</f>
        <v>1928828</v>
      </c>
      <c r="G12" s="320">
        <f>'P&amp;L 2013-2018'!L15</f>
        <v>3081717</v>
      </c>
      <c r="H12" s="212"/>
      <c r="I12" s="329">
        <f>CHOOSE($D$4,'Projections 2016 - 2020'!D46,'Projections 2016 - 2020'!D81,'Projections 2016 - 2020'!D115)</f>
        <v>3336918.2442999999</v>
      </c>
      <c r="J12" s="329">
        <f>CHOOSE($D$4,'Projections 2016 - 2020'!E46,'Projections 2016 - 2020'!E81,'Projections 2016 - 2020'!E115)</f>
        <v>3733443.89263369</v>
      </c>
      <c r="K12" s="329">
        <f>CHOOSE($D$4,'Projections 2016 - 2020'!F46,'Projections 2016 - 2020'!F81,'Projections 2016 - 2020'!F115)</f>
        <v>4013133.2556839501</v>
      </c>
      <c r="L12" s="329">
        <f>CHOOSE($D$4,'Projections 2016 - 2020'!G46,'Projections 2016 - 2020'!G81,'Projections 2016 - 2020'!G115)</f>
        <v>6264578.2085239841</v>
      </c>
      <c r="M12" s="329">
        <f>CHOOSE($D$4,'Projections 2016 - 2020'!H46,'Projections 2016 - 2020'!H81,'Projections 2016 - 2020'!H115)</f>
        <v>8071819.8446415514</v>
      </c>
      <c r="N12" s="126">
        <f>(M12/I12)^(1/5)-1</f>
        <v>0.19323278869119265</v>
      </c>
    </row>
    <row r="13" spans="1:14" x14ac:dyDescent="0.2">
      <c r="A13" s="137" t="s">
        <v>152</v>
      </c>
      <c r="E13" s="322">
        <f>E15+E16</f>
        <v>342805</v>
      </c>
      <c r="F13" s="322">
        <f t="shared" ref="F13:G13" si="7">F15+F16</f>
        <v>-397198</v>
      </c>
      <c r="G13" s="322">
        <f t="shared" si="7"/>
        <v>-299681</v>
      </c>
      <c r="H13" s="212"/>
      <c r="I13" s="330">
        <f>I15+I16</f>
        <v>125800.22162000088</v>
      </c>
      <c r="J13" s="331">
        <f t="shared" ref="J13:M13" si="8">J15+J16</f>
        <v>2236060.7815623111</v>
      </c>
      <c r="K13" s="331">
        <f t="shared" si="8"/>
        <v>4749482.0850610537</v>
      </c>
      <c r="L13" s="331">
        <f>L15+L16</f>
        <v>5360936.9324796554</v>
      </c>
      <c r="M13" s="331">
        <f t="shared" si="8"/>
        <v>8144785.9388409639</v>
      </c>
      <c r="N13" s="126">
        <f>(M13/I13)^(1/5)-1</f>
        <v>1.3027121564630653</v>
      </c>
    </row>
    <row r="14" spans="1:14" s="189" customFormat="1" x14ac:dyDescent="0.2">
      <c r="A14" s="197" t="s">
        <v>150</v>
      </c>
      <c r="E14" s="194">
        <f>E13/E10</f>
        <v>0.28069734422261561</v>
      </c>
      <c r="F14" s="194">
        <f t="shared" ref="F14" si="9">F13/F10</f>
        <v>-0.26189512273923105</v>
      </c>
      <c r="G14" s="194">
        <f t="shared" ref="G14" si="10">G13/G10</f>
        <v>-0.1102159000469284</v>
      </c>
      <c r="H14" s="194"/>
      <c r="I14" s="195">
        <f>I13/I10</f>
        <v>3.7542401253330283E-2</v>
      </c>
      <c r="J14" s="196">
        <f t="shared" ref="J14" si="11">J13/J10</f>
        <v>0.38543822037009484</v>
      </c>
      <c r="K14" s="196">
        <f t="shared" ref="K14" si="12">K13/K10</f>
        <v>0.55666968917679527</v>
      </c>
      <c r="L14" s="196">
        <f>L13/L10</f>
        <v>0.47403629772822253</v>
      </c>
      <c r="M14" s="196">
        <f t="shared" ref="M14" si="13">M13/M10</f>
        <v>0.51606028844342899</v>
      </c>
    </row>
    <row r="15" spans="1:14" x14ac:dyDescent="0.2">
      <c r="A15" s="125" t="s">
        <v>182</v>
      </c>
      <c r="E15" s="211">
        <f>'Projections 2016 - 2020'!D18</f>
        <v>0</v>
      </c>
      <c r="F15" s="320">
        <f>'Projections 2016 - 2020'!E18</f>
        <v>15000</v>
      </c>
      <c r="G15" s="320">
        <f>'Projections 2016 - 2020'!F18</f>
        <v>63000</v>
      </c>
      <c r="H15" s="204"/>
      <c r="I15" s="208">
        <f>CHOOSE($D$4,'Projections 2016 - 2020'!D52,'Projections 2016 - 2020'!D87,'Projections 2016 - 2020'!D121)</f>
        <v>111834.73392000001</v>
      </c>
      <c r="J15" s="208">
        <f>CHOOSE($D$4,'Projections 2016 - 2020'!E52,'Projections 2016 - 2020'!E87,'Projections 2016 - 2020'!E121)</f>
        <v>168157.88659600003</v>
      </c>
      <c r="K15" s="208">
        <f>CHOOSE($D$4,'Projections 2016 - 2020'!F52,'Projections 2016 - 2020'!F87,'Projections 2016 - 2020'!F121)</f>
        <v>230657.92074500007</v>
      </c>
      <c r="L15" s="208">
        <f>CHOOSE($D$4,'Projections 2016 - 2020'!G52,'Projections 2016 - 2020'!G87,'Projections 2016 - 2020'!G121)</f>
        <v>316387.63711527444</v>
      </c>
      <c r="M15" s="208">
        <f>CHOOSE($D$4,'Projections 2016 - 2020'!H52,'Projections 2016 - 2020'!H87,'Projections 2016 - 2020'!H121)</f>
        <v>433980.92116702854</v>
      </c>
    </row>
    <row r="16" spans="1:14" x14ac:dyDescent="0.2">
      <c r="A16" s="137" t="s">
        <v>153</v>
      </c>
      <c r="E16" s="321">
        <f>E10-E12</f>
        <v>342805</v>
      </c>
      <c r="F16" s="321">
        <f t="shared" ref="F16:G16" si="14">F10-F12</f>
        <v>-412198</v>
      </c>
      <c r="G16" s="321">
        <f t="shared" si="14"/>
        <v>-362681</v>
      </c>
      <c r="H16" s="204"/>
      <c r="I16" s="332">
        <f>I10-I12</f>
        <v>13965.487700000871</v>
      </c>
      <c r="J16" s="333">
        <f t="shared" ref="J16:M16" si="15">J10-J12</f>
        <v>2067902.8949663113</v>
      </c>
      <c r="K16" s="333">
        <f t="shared" si="15"/>
        <v>4518824.1643160535</v>
      </c>
      <c r="L16" s="333">
        <f>L10-L12</f>
        <v>5044549.2953643808</v>
      </c>
      <c r="M16" s="333">
        <f t="shared" si="15"/>
        <v>7710805.0176739357</v>
      </c>
      <c r="N16" s="126">
        <f>(M16/I16)^(1/5)-1</f>
        <v>2.535157137568544</v>
      </c>
    </row>
    <row r="17" spans="1:14" s="189" customFormat="1" x14ac:dyDescent="0.2">
      <c r="A17" s="197" t="s">
        <v>150</v>
      </c>
      <c r="E17" s="194">
        <f>E16/E7</f>
        <v>7.1146181894557001E-2</v>
      </c>
      <c r="F17" s="194">
        <f t="shared" ref="F17:G17" si="16">F16/F7</f>
        <v>-6.6965494732330863E-2</v>
      </c>
      <c r="G17" s="194">
        <f t="shared" si="16"/>
        <v>-4.7019260886430159E-2</v>
      </c>
      <c r="H17" s="194"/>
      <c r="I17" s="195">
        <f>I16/I7</f>
        <v>1.4860258329839854E-3</v>
      </c>
      <c r="J17" s="196">
        <f t="shared" ref="J17" si="17">J16/J7</f>
        <v>0.14633892556713696</v>
      </c>
      <c r="K17" s="196">
        <f t="shared" ref="K17" si="18">K16/K7</f>
        <v>0.23313314965155685</v>
      </c>
      <c r="L17" s="196">
        <f>L16/L7</f>
        <v>0.18973603760934696</v>
      </c>
      <c r="M17" s="196">
        <f t="shared" ref="M17" si="19">M16/M7</f>
        <v>0.21143459363045186</v>
      </c>
      <c r="N17" s="194"/>
    </row>
    <row r="18" spans="1:14" x14ac:dyDescent="0.2">
      <c r="A18" s="125" t="s">
        <v>175</v>
      </c>
      <c r="E18" s="213">
        <f>'Projections 2016 - 2020'!D23</f>
        <v>228063</v>
      </c>
      <c r="F18" s="213">
        <f>'Projections 2016 - 2020'!E23</f>
        <v>-49608</v>
      </c>
      <c r="G18" s="213">
        <f>'Projections 2016 - 2020'!F23</f>
        <v>-119102</v>
      </c>
      <c r="H18" s="204"/>
      <c r="I18" s="208">
        <f>CHOOSE($D$4,'Projections 2016 - 2020'!D57,'Projections 2016 - 2020'!D92,'Projections 2016 - 2020'!D126)</f>
        <v>114717.39508000012</v>
      </c>
      <c r="J18" s="208">
        <f>CHOOSE($D$4,'Projections 2016 - 2020'!E57,'Projections 2016 - 2020'!E92,'Projections 2016 - 2020'!E126)</f>
        <v>798281.15798652428</v>
      </c>
      <c r="K18" s="208">
        <f>CHOOSE($D$4,'Projections 2016 - 2020'!F57,'Projections 2016 - 2020'!F92,'Projections 2016 - 2020'!F126)</f>
        <v>1778649.6657264212</v>
      </c>
      <c r="L18" s="208">
        <f>CHOOSE($D$4,'Projections 2016 - 2020'!G57,'Projections 2016 - 2020'!G92,'Projections 2016 - 2020'!G126)</f>
        <v>2446022.0684542223</v>
      </c>
      <c r="M18" s="208">
        <f>CHOOSE($D$4,'Projections 2016 - 2020'!H57,'Projections 2016 - 2020'!H92,'Projections 2016 - 2020'!H126)</f>
        <v>3355146.6174257668</v>
      </c>
    </row>
    <row r="19" spans="1:14" x14ac:dyDescent="0.2">
      <c r="A19" s="137" t="s">
        <v>154</v>
      </c>
      <c r="E19" s="321">
        <f>E16-E18</f>
        <v>114742</v>
      </c>
      <c r="F19" s="321">
        <f t="shared" ref="F19:G19" si="20">F16-F18</f>
        <v>-362590</v>
      </c>
      <c r="G19" s="321">
        <f t="shared" si="20"/>
        <v>-243579</v>
      </c>
      <c r="H19" s="204"/>
      <c r="I19" s="332">
        <f>I16-I18</f>
        <v>-100751.90737999925</v>
      </c>
      <c r="J19" s="333">
        <f t="shared" ref="J19" si="21">J16-J18</f>
        <v>1269621.736979787</v>
      </c>
      <c r="K19" s="333">
        <f t="shared" ref="K19" si="22">K16-K18</f>
        <v>2740174.4985896321</v>
      </c>
      <c r="L19" s="333">
        <f>L16-L18</f>
        <v>2598527.2269101585</v>
      </c>
      <c r="M19" s="333">
        <f t="shared" ref="M19" si="23">M16-M18</f>
        <v>4355658.400248169</v>
      </c>
      <c r="N19" s="126">
        <f>(M19/I19)^(1/5)-1</f>
        <v>-3.1240273620149144</v>
      </c>
    </row>
    <row r="20" spans="1:14" x14ac:dyDescent="0.2">
      <c r="E20" s="204"/>
      <c r="F20" s="204"/>
      <c r="G20" s="204"/>
      <c r="H20" s="204"/>
      <c r="I20" s="209"/>
      <c r="J20" s="210"/>
      <c r="K20" s="210"/>
      <c r="L20" s="210"/>
      <c r="M20" s="210"/>
    </row>
    <row r="21" spans="1:14" x14ac:dyDescent="0.2">
      <c r="A21" s="125" t="s">
        <v>188</v>
      </c>
      <c r="E21" s="214">
        <f>E15</f>
        <v>0</v>
      </c>
      <c r="F21" s="214">
        <f t="shared" ref="F21:M21" si="24">F15</f>
        <v>15000</v>
      </c>
      <c r="G21" s="214">
        <f t="shared" si="24"/>
        <v>63000</v>
      </c>
      <c r="H21" s="204"/>
      <c r="I21" s="215">
        <f t="shared" si="24"/>
        <v>111834.73392000001</v>
      </c>
      <c r="J21" s="216">
        <f t="shared" si="24"/>
        <v>168157.88659600003</v>
      </c>
      <c r="K21" s="216">
        <f t="shared" si="24"/>
        <v>230657.92074500007</v>
      </c>
      <c r="L21" s="216">
        <f t="shared" si="24"/>
        <v>316387.63711527444</v>
      </c>
      <c r="M21" s="216">
        <f t="shared" si="24"/>
        <v>433980.92116702854</v>
      </c>
    </row>
    <row r="22" spans="1:14" x14ac:dyDescent="0.2">
      <c r="A22" s="125" t="s">
        <v>185</v>
      </c>
      <c r="E22" s="214">
        <f>'Projections 2016 - 2020'!D28</f>
        <v>0</v>
      </c>
      <c r="F22" s="214">
        <f>'Projections 2016 - 2020'!E27</f>
        <v>77000</v>
      </c>
      <c r="G22" s="214">
        <f>'Projections 2016 - 2020'!F27</f>
        <v>144000</v>
      </c>
      <c r="H22" s="204"/>
      <c r="I22" s="215">
        <f>CHOOSE($D$4,'Projections 2016 - 2020'!D61,'Projections 2016 - 2020'!D96,'Projections 2016 - 2020'!D130)</f>
        <v>174800.50847999999</v>
      </c>
      <c r="J22" s="215">
        <f>CHOOSE($D$4,'Projections 2016 - 2020'!E61,'Projections 2016 - 2020'!E96,'Projections 2016 - 2020'!E130)</f>
        <v>262835.01602400001</v>
      </c>
      <c r="K22" s="215">
        <f>CHOOSE($D$4,'Projections 2016 - 2020'!F61,'Projections 2016 - 2020'!F96,'Projections 2016 - 2020'!F130)</f>
        <v>360524.14503000007</v>
      </c>
      <c r="L22" s="215">
        <f>CHOOSE($D$4,'Projections 2016 - 2020'!G61,'Projections 2016 - 2020'!G96,'Projections 2016 - 2020'!G130)</f>
        <v>494521.85297009279</v>
      </c>
      <c r="M22" s="215">
        <f>CHOOSE($D$4,'Projections 2016 - 2020'!H61,'Projections 2016 - 2020'!H96,'Projections 2016 - 2020'!H130)</f>
        <v>678323.12047955708</v>
      </c>
    </row>
    <row r="23" spans="1:14" x14ac:dyDescent="0.2">
      <c r="A23" s="181" t="s">
        <v>162</v>
      </c>
      <c r="E23" s="214">
        <v>0</v>
      </c>
      <c r="F23" s="214">
        <v>0</v>
      </c>
      <c r="G23" s="214">
        <v>0</v>
      </c>
      <c r="H23" s="204"/>
      <c r="I23" s="215">
        <v>0</v>
      </c>
      <c r="J23" s="216">
        <v>0</v>
      </c>
      <c r="K23" s="216">
        <v>0</v>
      </c>
      <c r="L23" s="216">
        <v>0</v>
      </c>
      <c r="M23" s="216">
        <v>0</v>
      </c>
    </row>
    <row r="25" spans="1:14" x14ac:dyDescent="0.2">
      <c r="A25" s="125" t="s">
        <v>176</v>
      </c>
      <c r="E25" s="191">
        <f>E19+E21-E22-E23</f>
        <v>114742</v>
      </c>
      <c r="F25" s="191">
        <f t="shared" ref="F25:G25" si="25">F19+F21-F22-F23</f>
        <v>-424590</v>
      </c>
      <c r="G25" s="191">
        <f t="shared" si="25"/>
        <v>-324579</v>
      </c>
      <c r="H25" s="189"/>
      <c r="I25" s="205">
        <f>I19+I21-I22-I23</f>
        <v>-163717.68193999922</v>
      </c>
      <c r="J25" s="205">
        <f t="shared" ref="J25:K25" si="26">J19+J21-J22-J23</f>
        <v>1174944.607551787</v>
      </c>
      <c r="K25" s="205">
        <f t="shared" si="26"/>
        <v>2610308.2743046321</v>
      </c>
      <c r="L25" s="205">
        <f>L19+L21-L22-L23</f>
        <v>2420393.0110553401</v>
      </c>
      <c r="M25" s="205">
        <f t="shared" ref="M25" si="27">M19+M21-M22-M23</f>
        <v>4111316.2009356399</v>
      </c>
      <c r="N25" s="190"/>
    </row>
    <row r="26" spans="1:14" x14ac:dyDescent="0.2">
      <c r="A26" s="198" t="s">
        <v>177</v>
      </c>
      <c r="E26" s="326">
        <f>WACC!D26</f>
        <v>7.9315495014933707E-2</v>
      </c>
    </row>
    <row r="27" spans="1:14" x14ac:dyDescent="0.2">
      <c r="A27" s="198" t="s">
        <v>178</v>
      </c>
      <c r="I27" s="187">
        <v>1</v>
      </c>
      <c r="J27" s="187">
        <v>2</v>
      </c>
      <c r="K27" s="187">
        <v>3</v>
      </c>
      <c r="L27" s="187">
        <v>4</v>
      </c>
      <c r="M27" s="187">
        <v>5</v>
      </c>
    </row>
    <row r="28" spans="1:14" x14ac:dyDescent="0.2">
      <c r="A28" s="198" t="s">
        <v>179</v>
      </c>
      <c r="I28" s="217">
        <f>1/POWER(1+$E$26,I$27)</f>
        <v>0.92651315080597796</v>
      </c>
      <c r="J28" s="217">
        <f t="shared" ref="J28:M28" si="28">1/POWER(1+$E$26,J$27)</f>
        <v>0.85842661861642078</v>
      </c>
      <c r="K28" s="217">
        <f t="shared" si="28"/>
        <v>0.79534355115002164</v>
      </c>
      <c r="L28" s="217">
        <f t="shared" si="28"/>
        <v>0.736896259549222</v>
      </c>
      <c r="M28" s="217">
        <f t="shared" si="28"/>
        <v>0.68274407525208936</v>
      </c>
    </row>
    <row r="29" spans="1:14" s="193" customFormat="1" x14ac:dyDescent="0.2">
      <c r="A29" s="192" t="s">
        <v>189</v>
      </c>
      <c r="I29" s="218">
        <f>I25*I28</f>
        <v>-151686.58533687962</v>
      </c>
      <c r="J29" s="218">
        <f t="shared" ref="J29:M29" si="29">J25*J28</f>
        <v>1008603.726522278</v>
      </c>
      <c r="K29" s="218">
        <f t="shared" si="29"/>
        <v>2076091.852481731</v>
      </c>
      <c r="L29" s="218">
        <f t="shared" si="29"/>
        <v>1783578.5564857589</v>
      </c>
      <c r="M29" s="218">
        <f t="shared" si="29"/>
        <v>2806976.7776767365</v>
      </c>
    </row>
    <row r="33" spans="1:13" x14ac:dyDescent="0.2">
      <c r="A33" s="337" t="s">
        <v>190</v>
      </c>
      <c r="B33" s="337"/>
      <c r="C33" s="337"/>
      <c r="D33" s="337"/>
      <c r="E33" s="337"/>
      <c r="I33" s="337" t="s">
        <v>190</v>
      </c>
      <c r="J33" s="337"/>
      <c r="K33" s="337"/>
      <c r="L33" s="337"/>
      <c r="M33" s="337"/>
    </row>
    <row r="34" spans="1:13" ht="15" customHeight="1" x14ac:dyDescent="0.2">
      <c r="A34" s="125" t="s">
        <v>191</v>
      </c>
      <c r="E34" s="200">
        <f>SUM(I29:J29)</f>
        <v>856917.14118539845</v>
      </c>
      <c r="I34" s="334" t="s">
        <v>194</v>
      </c>
      <c r="J34" s="334"/>
      <c r="K34" s="334"/>
      <c r="L34" s="334"/>
      <c r="M34" s="334"/>
    </row>
    <row r="35" spans="1:13" x14ac:dyDescent="0.2">
      <c r="G35" s="190"/>
      <c r="H35" s="253">
        <f>E44</f>
        <v>36076492.383207962</v>
      </c>
      <c r="I35" s="201">
        <f>J35-0.5</f>
        <v>16</v>
      </c>
      <c r="J35" s="201">
        <f>K35-0.5</f>
        <v>16.5</v>
      </c>
      <c r="K35" s="201">
        <f>17</f>
        <v>17</v>
      </c>
      <c r="L35" s="201">
        <f>K35+0.5</f>
        <v>17.5</v>
      </c>
      <c r="M35" s="201">
        <f>L35+0.5</f>
        <v>18</v>
      </c>
    </row>
    <row r="36" spans="1:13" x14ac:dyDescent="0.2">
      <c r="A36" s="188" t="s">
        <v>192</v>
      </c>
      <c r="B36" s="188"/>
      <c r="C36" s="188"/>
      <c r="D36" s="188"/>
      <c r="E36" s="188"/>
      <c r="H36" s="202">
        <f>H37-0.005</f>
        <v>6.9315495014933698E-2</v>
      </c>
      <c r="I36" s="254">
        <f t="dataTable" ref="I36:M40" dt2D="1" dtr="1" r1="E38" r2="E26"/>
        <v>34332277.970540039</v>
      </c>
      <c r="J36" s="254">
        <v>35377835.054481424</v>
      </c>
      <c r="K36" s="254">
        <v>36423392.13842281</v>
      </c>
      <c r="L36" s="254">
        <v>37468949.222364202</v>
      </c>
      <c r="M36" s="254">
        <v>38514506.30630558</v>
      </c>
    </row>
    <row r="37" spans="1:13" x14ac:dyDescent="0.2">
      <c r="A37" s="125" t="s">
        <v>193</v>
      </c>
      <c r="E37" s="204">
        <f>J13</f>
        <v>2236060.7815623111</v>
      </c>
      <c r="H37" s="202">
        <f>H38-0.005</f>
        <v>7.4315495014933702E-2</v>
      </c>
      <c r="I37" s="254">
        <v>34167731.093174167</v>
      </c>
      <c r="J37" s="256">
        <v>35208422.022392884</v>
      </c>
      <c r="K37" s="256">
        <v>36249112.951611601</v>
      </c>
      <c r="L37" s="256">
        <v>37289803.880830318</v>
      </c>
      <c r="M37" s="254">
        <v>38330494.810049027</v>
      </c>
    </row>
    <row r="38" spans="1:13" x14ac:dyDescent="0.2">
      <c r="A38" s="125" t="s">
        <v>194</v>
      </c>
      <c r="E38" s="224">
        <v>17</v>
      </c>
      <c r="H38" s="203">
        <v>7.9315495014933707E-2</v>
      </c>
      <c r="I38" s="254">
        <v>34004752.663088992</v>
      </c>
      <c r="J38" s="256">
        <v>35040622.523148477</v>
      </c>
      <c r="K38" s="255">
        <v>36076492.383207962</v>
      </c>
      <c r="L38" s="256">
        <v>37112362.243267454</v>
      </c>
      <c r="M38" s="254">
        <v>38148232.103326932</v>
      </c>
    </row>
    <row r="39" spans="1:13" x14ac:dyDescent="0.2">
      <c r="A39" s="219" t="s">
        <v>192</v>
      </c>
      <c r="E39" s="190">
        <f>E37*E38</f>
        <v>38013033.286559291</v>
      </c>
      <c r="H39" s="202">
        <f>H38+0.005</f>
        <v>8.4315495014933711E-2</v>
      </c>
      <c r="I39" s="254">
        <v>33843320.378514186</v>
      </c>
      <c r="J39" s="256">
        <v>34874413.631281689</v>
      </c>
      <c r="K39" s="256">
        <v>35905506.884049192</v>
      </c>
      <c r="L39" s="256">
        <v>36936600.136816703</v>
      </c>
      <c r="M39" s="254">
        <v>37967693.389584199</v>
      </c>
    </row>
    <row r="40" spans="1:13" x14ac:dyDescent="0.2">
      <c r="A40" s="125" t="s">
        <v>179</v>
      </c>
      <c r="E40" s="223">
        <f>I28</f>
        <v>0.92651315080597796</v>
      </c>
      <c r="H40" s="202">
        <f>H39+0.005</f>
        <v>8.9315495014933716E-2</v>
      </c>
      <c r="I40" s="254">
        <v>33683412.358190708</v>
      </c>
      <c r="J40" s="254">
        <v>34709772.853288434</v>
      </c>
      <c r="K40" s="254">
        <v>35736133.348386168</v>
      </c>
      <c r="L40" s="254">
        <v>36762493.843483895</v>
      </c>
      <c r="M40" s="254">
        <v>37788854.338581622</v>
      </c>
    </row>
    <row r="41" spans="1:13" x14ac:dyDescent="0.2">
      <c r="A41" s="125" t="s">
        <v>195</v>
      </c>
      <c r="E41" s="190">
        <f>E39*E40</f>
        <v>35219575.242022566</v>
      </c>
    </row>
    <row r="42" spans="1:13" x14ac:dyDescent="0.2">
      <c r="A42" s="125" t="s">
        <v>196</v>
      </c>
      <c r="E42" s="127">
        <f>E41/(E41+E34)</f>
        <v>0.97624721571922402</v>
      </c>
      <c r="H42" s="137"/>
    </row>
    <row r="44" spans="1:13" x14ac:dyDescent="0.2">
      <c r="A44" s="125" t="s">
        <v>197</v>
      </c>
      <c r="E44" s="199">
        <f>E41/E42</f>
        <v>36076492.383207962</v>
      </c>
    </row>
    <row r="52" spans="1:13" x14ac:dyDescent="0.2">
      <c r="A52" s="337" t="s">
        <v>198</v>
      </c>
      <c r="B52" s="337"/>
      <c r="C52" s="337"/>
      <c r="D52" s="337"/>
      <c r="E52" s="337"/>
      <c r="I52" s="337" t="s">
        <v>190</v>
      </c>
      <c r="J52" s="337"/>
      <c r="K52" s="337"/>
      <c r="L52" s="337"/>
      <c r="M52" s="337"/>
    </row>
    <row r="53" spans="1:13" x14ac:dyDescent="0.2">
      <c r="A53" s="137" t="s">
        <v>191</v>
      </c>
      <c r="E53" s="220">
        <f>SUM(I29:M29)</f>
        <v>7523564.3278296255</v>
      </c>
      <c r="I53" s="338" t="s">
        <v>194</v>
      </c>
      <c r="J53" s="338"/>
      <c r="K53" s="338"/>
      <c r="L53" s="338"/>
      <c r="M53" s="338"/>
    </row>
    <row r="54" spans="1:13" x14ac:dyDescent="0.2">
      <c r="G54" s="190"/>
      <c r="H54" s="229">
        <f>E63</f>
        <v>83706583.839810282</v>
      </c>
      <c r="I54" s="201">
        <f>J54-0.5</f>
        <v>12.7</v>
      </c>
      <c r="J54" s="201">
        <f>K54-0.5</f>
        <v>13.2</v>
      </c>
      <c r="K54" s="201">
        <v>13.7</v>
      </c>
      <c r="L54" s="201">
        <f>K54+0.5</f>
        <v>14.2</v>
      </c>
      <c r="M54" s="201">
        <f>L54+0.5</f>
        <v>14.7</v>
      </c>
    </row>
    <row r="55" spans="1:13" x14ac:dyDescent="0.2">
      <c r="A55" s="138" t="s">
        <v>199</v>
      </c>
      <c r="B55" s="188"/>
      <c r="C55" s="188"/>
      <c r="D55" s="188"/>
      <c r="E55" s="188"/>
      <c r="H55" s="202">
        <f>H56-0.005</f>
        <v>6.9315495014933698E-2</v>
      </c>
      <c r="I55" s="257">
        <v>81799042.187073171</v>
      </c>
      <c r="J55" s="258">
        <v>84711907.331362367</v>
      </c>
      <c r="K55" s="258">
        <v>87624772.475651547</v>
      </c>
      <c r="L55" s="258">
        <v>90537637.619940758</v>
      </c>
      <c r="M55" s="258">
        <v>93450502.764229953</v>
      </c>
    </row>
    <row r="56" spans="1:13" x14ac:dyDescent="0.2">
      <c r="A56" s="125" t="s">
        <v>200</v>
      </c>
      <c r="E56" s="190">
        <f>M13</f>
        <v>8144785.9388409639</v>
      </c>
      <c r="H56" s="202">
        <f>H57-0.005</f>
        <v>7.4315495014933702E-2</v>
      </c>
      <c r="I56" s="257">
        <v>79952522.39220728</v>
      </c>
      <c r="J56" s="259">
        <v>82798231.347968534</v>
      </c>
      <c r="K56" s="259">
        <v>85643940.303729802</v>
      </c>
      <c r="L56" s="259">
        <v>88489649.259491071</v>
      </c>
      <c r="M56" s="258">
        <v>91335358.21525234</v>
      </c>
    </row>
    <row r="57" spans="1:13" x14ac:dyDescent="0.2">
      <c r="A57" s="125" t="s">
        <v>194</v>
      </c>
      <c r="E57" s="224">
        <v>13.7</v>
      </c>
      <c r="G57" s="222"/>
      <c r="H57" s="203">
        <v>7.9315495014933707E-2</v>
      </c>
      <c r="I57" s="257">
        <v>78156310.69747293</v>
      </c>
      <c r="J57" s="259">
        <v>80936712.869443014</v>
      </c>
      <c r="K57" s="260">
        <v>83717115.041413113</v>
      </c>
      <c r="L57" s="259">
        <v>86497517.213383213</v>
      </c>
      <c r="M57" s="258">
        <v>89277919.385353312</v>
      </c>
    </row>
    <row r="58" spans="1:13" x14ac:dyDescent="0.2">
      <c r="A58" s="219" t="s">
        <v>199</v>
      </c>
      <c r="E58" s="190">
        <f>E56*E57</f>
        <v>111583567.36212119</v>
      </c>
      <c r="H58" s="202">
        <f>H57+0.005</f>
        <v>8.4315495014933711E-2</v>
      </c>
      <c r="I58" s="257">
        <v>76408808.342197344</v>
      </c>
      <c r="J58" s="259">
        <v>79125693.988089919</v>
      </c>
      <c r="K58" s="259">
        <v>81842579.633982494</v>
      </c>
      <c r="L58" s="259">
        <v>84559465.279875085</v>
      </c>
      <c r="M58" s="258">
        <v>87276350.92576766</v>
      </c>
    </row>
    <row r="59" spans="1:13" x14ac:dyDescent="0.2">
      <c r="A59" s="125" t="s">
        <v>179</v>
      </c>
      <c r="E59" s="223">
        <f>M28</f>
        <v>0.68274407525208936</v>
      </c>
      <c r="H59" s="202">
        <f>H58+0.005</f>
        <v>8.9315495014933716E-2</v>
      </c>
      <c r="I59" s="257">
        <v>74708474.494093135</v>
      </c>
      <c r="J59" s="258">
        <v>77363576.876602754</v>
      </c>
      <c r="K59" s="258">
        <v>80018679.259112388</v>
      </c>
      <c r="L59" s="258">
        <v>82673781.641622007</v>
      </c>
      <c r="M59" s="258">
        <v>85328884.024131626</v>
      </c>
    </row>
    <row r="60" spans="1:13" x14ac:dyDescent="0.2">
      <c r="A60" s="219" t="s">
        <v>201</v>
      </c>
      <c r="E60" s="190">
        <f>E58*E59</f>
        <v>76183019.511980653</v>
      </c>
    </row>
    <row r="61" spans="1:13" x14ac:dyDescent="0.2">
      <c r="A61" s="219" t="s">
        <v>202</v>
      </c>
      <c r="E61" s="126">
        <f>E60/(E60+E53)</f>
        <v>0.91011980201906806</v>
      </c>
    </row>
    <row r="63" spans="1:13" x14ac:dyDescent="0.2">
      <c r="A63" s="219" t="s">
        <v>197</v>
      </c>
      <c r="E63" s="221">
        <f>E60/E61</f>
        <v>83706583.839810282</v>
      </c>
    </row>
  </sheetData>
  <mergeCells count="9">
    <mergeCell ref="A52:E52"/>
    <mergeCell ref="I52:M52"/>
    <mergeCell ref="I53:M53"/>
    <mergeCell ref="I34:M34"/>
    <mergeCell ref="I3:L3"/>
    <mergeCell ref="E5:G5"/>
    <mergeCell ref="J5:M5"/>
    <mergeCell ref="A33:E33"/>
    <mergeCell ref="I33:M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zoomScale="80" zoomScaleNormal="80" workbookViewId="0">
      <selection activeCell="F19" sqref="F19"/>
    </sheetView>
  </sheetViews>
  <sheetFormatPr defaultRowHeight="15" x14ac:dyDescent="0.25"/>
  <cols>
    <col min="4" max="4" width="22.5703125" bestFit="1" customWidth="1"/>
    <col min="6" max="6" width="37.5703125" bestFit="1" customWidth="1"/>
    <col min="7" max="7" width="16" bestFit="1" customWidth="1"/>
    <col min="8" max="12" width="15.7109375" customWidth="1"/>
  </cols>
  <sheetData>
    <row r="1" spans="1:12" ht="20.25" x14ac:dyDescent="0.3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" x14ac:dyDescent="0.25">
      <c r="A2" s="5" t="s">
        <v>102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6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2" x14ac:dyDescent="0.25">
      <c r="A6" s="124" t="s">
        <v>103</v>
      </c>
      <c r="B6" s="124"/>
      <c r="C6" s="124"/>
      <c r="D6" s="124"/>
      <c r="E6" s="125"/>
      <c r="F6" s="340" t="s">
        <v>123</v>
      </c>
      <c r="G6" s="340"/>
      <c r="H6" s="340"/>
      <c r="I6" s="340"/>
      <c r="J6" s="340"/>
      <c r="K6" s="340"/>
      <c r="L6" s="340"/>
    </row>
    <row r="7" spans="1:12" x14ac:dyDescent="0.25">
      <c r="A7" s="100" t="s">
        <v>89</v>
      </c>
      <c r="B7" s="125"/>
      <c r="C7" s="125"/>
      <c r="D7" s="125"/>
      <c r="E7" s="125"/>
      <c r="F7" s="101"/>
      <c r="G7" s="113" t="s">
        <v>124</v>
      </c>
      <c r="H7" s="113" t="s">
        <v>125</v>
      </c>
      <c r="I7" s="113" t="s">
        <v>125</v>
      </c>
      <c r="J7" s="113" t="s">
        <v>126</v>
      </c>
      <c r="K7" s="113" t="s">
        <v>127</v>
      </c>
      <c r="L7" s="113" t="s">
        <v>128</v>
      </c>
    </row>
    <row r="8" spans="1:12" x14ac:dyDescent="0.25">
      <c r="A8" s="101" t="s">
        <v>90</v>
      </c>
      <c r="B8" s="125"/>
      <c r="C8" s="125"/>
      <c r="D8" s="127">
        <f>'Consolidated BS'!B33/('Consolidated BS'!B33+'Consolidated BS'!B40)</f>
        <v>0.5761272055070924</v>
      </c>
      <c r="E8" s="125"/>
      <c r="F8" s="114" t="s">
        <v>129</v>
      </c>
      <c r="G8" s="115" t="s">
        <v>130</v>
      </c>
      <c r="H8" s="115" t="s">
        <v>131</v>
      </c>
      <c r="I8" s="115" t="s">
        <v>132</v>
      </c>
      <c r="J8" s="115" t="s">
        <v>133</v>
      </c>
      <c r="K8" s="115" t="s">
        <v>94</v>
      </c>
      <c r="L8" s="115" t="s">
        <v>134</v>
      </c>
    </row>
    <row r="9" spans="1:12" x14ac:dyDescent="0.25">
      <c r="A9" s="102" t="s">
        <v>91</v>
      </c>
      <c r="B9" s="125"/>
      <c r="C9" s="125"/>
      <c r="D9" s="139">
        <f>1-D8</f>
        <v>0.4238727944929076</v>
      </c>
      <c r="E9" s="125"/>
      <c r="F9" s="116" t="s">
        <v>135</v>
      </c>
      <c r="G9" s="117">
        <v>-1.47</v>
      </c>
      <c r="H9" s="118">
        <v>12996235</v>
      </c>
      <c r="I9" s="118">
        <v>140870000</v>
      </c>
      <c r="J9" s="119">
        <f>+IF(ISERROR(H9/I9),0,H9/I9)</f>
        <v>9.2256939021793147E-2</v>
      </c>
      <c r="K9" s="79">
        <f>44/(-9363)</f>
        <v>-4.6993484994125815E-3</v>
      </c>
      <c r="L9" s="120">
        <f>+G9/(1+(J9)*(1-K9))</f>
        <v>-1.3453031925523067</v>
      </c>
    </row>
    <row r="10" spans="1:12" x14ac:dyDescent="0.25">
      <c r="A10" s="102"/>
      <c r="B10" s="125"/>
      <c r="C10" s="125"/>
      <c r="D10" s="125"/>
      <c r="E10" s="125"/>
      <c r="F10" s="116" t="s">
        <v>136</v>
      </c>
      <c r="G10" s="117">
        <v>-0.35</v>
      </c>
      <c r="H10" s="121">
        <v>14202754</v>
      </c>
      <c r="I10" s="121">
        <v>216570000</v>
      </c>
      <c r="J10" s="119">
        <f>+IF(ISERROR(H10/I10),0,H10/I10)</f>
        <v>6.5580431269335548E-2</v>
      </c>
      <c r="K10" s="79">
        <v>0</v>
      </c>
      <c r="L10" s="120">
        <f>+G10/(1+(J10)*(1-K10))</f>
        <v>-0.32845948529955143</v>
      </c>
    </row>
    <row r="11" spans="1:12" x14ac:dyDescent="0.25">
      <c r="A11" s="59"/>
      <c r="B11" s="125"/>
      <c r="C11" s="125"/>
      <c r="D11" s="125"/>
      <c r="E11" s="125"/>
      <c r="F11" s="116" t="s">
        <v>137</v>
      </c>
      <c r="G11" s="117">
        <v>0.77</v>
      </c>
      <c r="H11" s="121">
        <v>3931000</v>
      </c>
      <c r="I11" s="121">
        <v>37730000</v>
      </c>
      <c r="J11" s="119">
        <f>+IF(ISERROR(H11/I11),0,H11/I11)</f>
        <v>0.10418764908560826</v>
      </c>
      <c r="K11" s="79">
        <v>0</v>
      </c>
      <c r="L11" s="120">
        <f>+G11/(1+(J11)*(1-K11))</f>
        <v>0.69734523895249756</v>
      </c>
    </row>
    <row r="12" spans="1:12" x14ac:dyDescent="0.25">
      <c r="A12" s="100" t="s">
        <v>92</v>
      </c>
      <c r="B12" s="125"/>
      <c r="C12" s="125"/>
      <c r="D12" s="125"/>
      <c r="E12" s="125"/>
      <c r="F12" s="116" t="s">
        <v>138</v>
      </c>
      <c r="G12" s="117">
        <v>-0.01</v>
      </c>
      <c r="H12" s="121">
        <v>4331742</v>
      </c>
      <c r="I12" s="121">
        <v>22540000</v>
      </c>
      <c r="J12" s="119">
        <f>+IF(ISERROR(H12/I12),0,H12/I12)</f>
        <v>0.1921802129547471</v>
      </c>
      <c r="K12" s="79">
        <v>0</v>
      </c>
      <c r="L12" s="120">
        <f>+G12/(1+(J12)*(1-K12))</f>
        <v>-8.3879936030942844E-3</v>
      </c>
    </row>
    <row r="13" spans="1:12" x14ac:dyDescent="0.25">
      <c r="A13" s="101" t="s">
        <v>93</v>
      </c>
      <c r="B13" s="125"/>
      <c r="C13" s="125"/>
      <c r="D13" s="126">
        <f>Debt!D22*4/Debt!B22</f>
        <v>7.9931660865550716E-2</v>
      </c>
      <c r="E13" s="125"/>
      <c r="F13" s="116" t="s">
        <v>139</v>
      </c>
      <c r="G13" s="117">
        <v>2.31</v>
      </c>
      <c r="H13" s="121">
        <v>398208</v>
      </c>
      <c r="I13" s="121">
        <v>17000000</v>
      </c>
      <c r="J13" s="119">
        <f>+IF(ISERROR(H13/I13),0,H13/I13)</f>
        <v>2.3424E-2</v>
      </c>
      <c r="K13" s="79">
        <v>0</v>
      </c>
      <c r="L13" s="120">
        <f>+G13/(1+(J13)*(1-K13))</f>
        <v>2.2571290100681636</v>
      </c>
    </row>
    <row r="14" spans="1:12" x14ac:dyDescent="0.25">
      <c r="A14" s="101" t="s">
        <v>94</v>
      </c>
      <c r="B14" s="125"/>
      <c r="C14" s="125"/>
      <c r="D14" s="126">
        <v>0.35</v>
      </c>
      <c r="E14" s="147"/>
      <c r="F14" s="125"/>
      <c r="G14" s="125"/>
      <c r="H14" s="125"/>
      <c r="I14" s="125"/>
      <c r="J14" s="125"/>
      <c r="K14" s="125"/>
      <c r="L14" s="125"/>
    </row>
    <row r="15" spans="1:12" x14ac:dyDescent="0.25">
      <c r="A15" s="99" t="s">
        <v>95</v>
      </c>
      <c r="B15" s="125"/>
      <c r="C15" s="125"/>
      <c r="D15" s="127">
        <f>D13*(1-D14)</f>
        <v>5.1955579562607969E-2</v>
      </c>
      <c r="E15" s="125"/>
      <c r="F15" s="122" t="s">
        <v>140</v>
      </c>
      <c r="G15" s="128">
        <f>AVERAGE(G9:G13)</f>
        <v>0.25000000000000006</v>
      </c>
      <c r="H15" s="129"/>
      <c r="I15" s="129"/>
      <c r="J15" s="130">
        <f>AVERAGE(J9:J13)</f>
        <v>9.5525846466296804E-2</v>
      </c>
      <c r="K15" s="129"/>
      <c r="L15" s="131">
        <f>AVERAGE(L9:L13)</f>
        <v>0.25446471551314176</v>
      </c>
    </row>
    <row r="16" spans="1:12" x14ac:dyDescent="0.25">
      <c r="A16" s="99"/>
      <c r="B16" s="125"/>
      <c r="C16" s="125"/>
      <c r="D16" s="125"/>
      <c r="E16" s="125"/>
      <c r="F16" s="123" t="s">
        <v>141</v>
      </c>
      <c r="G16" s="132">
        <f>MEDIAN(G9:G13)</f>
        <v>-0.01</v>
      </c>
      <c r="H16" s="133"/>
      <c r="I16" s="133"/>
      <c r="J16" s="134">
        <f>MEDIAN(J9:J13)</f>
        <v>9.2256939021793147E-2</v>
      </c>
      <c r="K16" s="133"/>
      <c r="L16" s="135">
        <f>MEDIAN(L9:L13)</f>
        <v>-8.3879936030942844E-3</v>
      </c>
    </row>
    <row r="17" spans="1:12" x14ac:dyDescent="0.25">
      <c r="A17" s="59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</row>
    <row r="18" spans="1:12" x14ac:dyDescent="0.25">
      <c r="A18" s="100" t="s">
        <v>96</v>
      </c>
      <c r="B18" s="125"/>
      <c r="C18" s="125"/>
      <c r="D18" s="125"/>
      <c r="E18" s="125"/>
      <c r="F18" s="124" t="s">
        <v>229</v>
      </c>
      <c r="G18" s="136"/>
      <c r="H18" s="136"/>
      <c r="I18" s="136"/>
      <c r="J18" s="136"/>
      <c r="K18" s="136"/>
      <c r="L18" s="136"/>
    </row>
    <row r="19" spans="1:12" x14ac:dyDescent="0.25">
      <c r="A19" s="101" t="s">
        <v>97</v>
      </c>
      <c r="B19" s="125"/>
      <c r="C19" s="125"/>
      <c r="D19" s="79">
        <v>1.46E-2</v>
      </c>
      <c r="E19" s="125"/>
      <c r="F19" s="125"/>
      <c r="G19" s="125"/>
      <c r="H19" s="125"/>
      <c r="I19" s="113" t="s">
        <v>140</v>
      </c>
      <c r="J19" s="113" t="s">
        <v>142</v>
      </c>
      <c r="K19" s="113" t="s">
        <v>142</v>
      </c>
      <c r="L19" s="125"/>
    </row>
    <row r="20" spans="1:12" x14ac:dyDescent="0.25">
      <c r="A20" s="101" t="s">
        <v>98</v>
      </c>
      <c r="B20" s="125"/>
      <c r="C20" s="125"/>
      <c r="D20" s="79">
        <v>4.5699999999999998E-2</v>
      </c>
      <c r="E20" s="125"/>
      <c r="F20" s="125"/>
      <c r="G20" s="125"/>
      <c r="H20" s="125"/>
      <c r="I20" s="113" t="s">
        <v>128</v>
      </c>
      <c r="J20" s="113" t="s">
        <v>126</v>
      </c>
      <c r="K20" s="113" t="s">
        <v>127</v>
      </c>
      <c r="L20" s="137" t="s">
        <v>143</v>
      </c>
    </row>
    <row r="21" spans="1:12" x14ac:dyDescent="0.25">
      <c r="A21" s="101" t="s">
        <v>99</v>
      </c>
      <c r="B21" s="125"/>
      <c r="C21" s="125"/>
      <c r="D21" s="140">
        <f>L22</f>
        <v>0.4792789304846049</v>
      </c>
      <c r="E21" s="125"/>
      <c r="F21" s="125"/>
      <c r="G21" s="125"/>
      <c r="H21" s="125"/>
      <c r="I21" s="115" t="s">
        <v>134</v>
      </c>
      <c r="J21" s="115" t="s">
        <v>133</v>
      </c>
      <c r="K21" s="115" t="s">
        <v>94</v>
      </c>
      <c r="L21" s="138" t="s">
        <v>134</v>
      </c>
    </row>
    <row r="22" spans="1:12" x14ac:dyDescent="0.25">
      <c r="A22" s="59" t="s">
        <v>100</v>
      </c>
      <c r="B22" s="125"/>
      <c r="C22" s="125"/>
      <c r="D22" s="141">
        <v>0.08</v>
      </c>
      <c r="E22" s="125"/>
      <c r="F22" s="125"/>
      <c r="G22" s="125"/>
      <c r="H22" s="125"/>
      <c r="I22" s="120">
        <f>L15</f>
        <v>0.25446471551314176</v>
      </c>
      <c r="J22" s="119">
        <f>D8/D9</f>
        <v>1.3591983561868639</v>
      </c>
      <c r="K22" s="119">
        <f>D14</f>
        <v>0.35</v>
      </c>
      <c r="L22" s="206">
        <f>+I22*(1+(J22)*(1-K22))</f>
        <v>0.4792789304846049</v>
      </c>
    </row>
    <row r="23" spans="1:12" x14ac:dyDescent="0.25">
      <c r="A23" s="99" t="s">
        <v>101</v>
      </c>
      <c r="B23" s="125"/>
      <c r="C23" s="125"/>
      <c r="D23" s="207">
        <f>+D19+(D21*D20)+D22</f>
        <v>0.11650304712314644</v>
      </c>
      <c r="E23" s="125"/>
      <c r="F23" s="125"/>
      <c r="G23" s="125"/>
      <c r="H23" s="125"/>
      <c r="I23" s="125"/>
      <c r="J23" s="125"/>
      <c r="K23" s="125"/>
      <c r="L23" s="125"/>
    </row>
    <row r="24" spans="1:12" x14ac:dyDescent="0.25">
      <c r="A24" s="99"/>
      <c r="B24" s="125"/>
      <c r="C24" s="125"/>
      <c r="D24" s="125"/>
      <c r="E24" s="125"/>
      <c r="F24" s="112" t="s">
        <v>144</v>
      </c>
      <c r="G24" s="112"/>
      <c r="H24" s="112"/>
      <c r="I24" s="112"/>
      <c r="J24" s="112"/>
      <c r="K24" s="112"/>
      <c r="L24" s="112"/>
    </row>
    <row r="25" spans="1:12" x14ac:dyDescent="0.25">
      <c r="A25" s="100"/>
      <c r="B25" s="125"/>
      <c r="C25" s="125"/>
      <c r="D25" s="125"/>
      <c r="E25" s="125"/>
      <c r="F25" s="142"/>
      <c r="G25" s="59"/>
      <c r="H25" s="341" t="s">
        <v>145</v>
      </c>
      <c r="I25" s="341"/>
      <c r="J25" s="341"/>
      <c r="K25" s="341"/>
      <c r="L25" s="341"/>
    </row>
    <row r="26" spans="1:12" ht="15" customHeight="1" x14ac:dyDescent="0.25">
      <c r="A26" s="99" t="s">
        <v>88</v>
      </c>
      <c r="B26" s="125"/>
      <c r="C26" s="125"/>
      <c r="D26" s="228">
        <f>(D8*D15)+(D9*D23)</f>
        <v>7.9315495014933707E-2</v>
      </c>
      <c r="E26" s="125"/>
      <c r="F26" s="339" t="s">
        <v>90</v>
      </c>
      <c r="G26" s="148">
        <f>D26</f>
        <v>7.9315495014933707E-2</v>
      </c>
      <c r="H26" s="145">
        <f>I26-0.025</f>
        <v>2.9931660865550713E-2</v>
      </c>
      <c r="I26" s="145">
        <f>J26-0.025</f>
        <v>5.4931660865550715E-2</v>
      </c>
      <c r="J26" s="146">
        <v>7.9931660865550716E-2</v>
      </c>
      <c r="K26" s="145">
        <f>J26+0.025</f>
        <v>0.10493166086555072</v>
      </c>
      <c r="L26" s="145">
        <f>K26+0.025</f>
        <v>0.12993166086555072</v>
      </c>
    </row>
    <row r="27" spans="1:12" ht="15" customHeight="1" x14ac:dyDescent="0.25">
      <c r="A27" s="125"/>
      <c r="B27" s="125"/>
      <c r="C27" s="125"/>
      <c r="D27" s="125"/>
      <c r="E27" s="125"/>
      <c r="F27" s="339"/>
      <c r="G27" s="143">
        <f>G28-0.05</f>
        <v>0.44474692536199645</v>
      </c>
      <c r="H27" s="151">
        <f t="dataTable" ref="H27:L31" dt2D="1" dtr="1" r1="D13" r2="D8"/>
        <v>7.0998595015909133E-2</v>
      </c>
      <c r="I27" s="151">
        <v>7.8225732553041577E-2</v>
      </c>
      <c r="J27" s="151">
        <v>8.5452870090174021E-2</v>
      </c>
      <c r="K27" s="151">
        <v>9.2680007627306465E-2</v>
      </c>
      <c r="L27" s="151">
        <v>9.990714516443891E-2</v>
      </c>
    </row>
    <row r="28" spans="1:12" x14ac:dyDescent="0.25">
      <c r="F28" s="339"/>
      <c r="G28" s="143">
        <f>G29-0.05</f>
        <v>0.49474692536199644</v>
      </c>
      <c r="H28" s="152">
        <v>6.7037865837807895E-2</v>
      </c>
      <c r="I28" s="149">
        <v>7.5077503374940346E-2</v>
      </c>
      <c r="J28" s="149">
        <v>8.3117140912072784E-2</v>
      </c>
      <c r="K28" s="149">
        <v>9.1156778449205222E-2</v>
      </c>
      <c r="L28" s="152">
        <v>9.919641598633766E-2</v>
      </c>
    </row>
    <row r="29" spans="1:12" ht="15" customHeight="1" x14ac:dyDescent="0.25">
      <c r="D29" s="153"/>
      <c r="E29" s="153"/>
      <c r="F29" s="339"/>
      <c r="G29" s="144">
        <v>0.54474692536199643</v>
      </c>
      <c r="H29" s="152">
        <v>6.3077136659706656E-2</v>
      </c>
      <c r="I29" s="149">
        <v>7.1929274196839116E-2</v>
      </c>
      <c r="J29" s="150">
        <v>8.0781411733971548E-2</v>
      </c>
      <c r="K29" s="149">
        <v>8.9633549271103993E-2</v>
      </c>
      <c r="L29" s="152">
        <v>9.8485686808236439E-2</v>
      </c>
    </row>
    <row r="30" spans="1:12" x14ac:dyDescent="0.25">
      <c r="F30" s="339"/>
      <c r="G30" s="143">
        <f>G29+0.05</f>
        <v>0.59474692536199647</v>
      </c>
      <c r="H30" s="152">
        <v>5.9116407481605418E-2</v>
      </c>
      <c r="I30" s="149">
        <v>6.8781045018737857E-2</v>
      </c>
      <c r="J30" s="149">
        <v>7.8445682555870311E-2</v>
      </c>
      <c r="K30" s="149">
        <v>8.8110320093002764E-2</v>
      </c>
      <c r="L30" s="152">
        <v>9.777495763013519E-2</v>
      </c>
    </row>
    <row r="31" spans="1:12" x14ac:dyDescent="0.25">
      <c r="F31" s="339"/>
      <c r="G31" s="143">
        <f>G30+0.05</f>
        <v>0.64474692536199651</v>
      </c>
      <c r="H31" s="152">
        <v>5.515567830350418E-2</v>
      </c>
      <c r="I31" s="152">
        <v>6.5632815840636627E-2</v>
      </c>
      <c r="J31" s="152">
        <v>7.6109953377769074E-2</v>
      </c>
      <c r="K31" s="152">
        <v>8.6587090914901521E-2</v>
      </c>
      <c r="L31" s="152">
        <v>9.7064228452033968E-2</v>
      </c>
    </row>
  </sheetData>
  <mergeCells count="3">
    <mergeCell ref="F26:F31"/>
    <mergeCell ref="F6:L6"/>
    <mergeCell ref="H25:L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A2" sqref="A2"/>
    </sheetView>
  </sheetViews>
  <sheetFormatPr defaultRowHeight="15" x14ac:dyDescent="0.25"/>
  <cols>
    <col min="1" max="1" width="10" customWidth="1"/>
    <col min="2" max="2" width="16.5703125" customWidth="1"/>
    <col min="3" max="3" width="17.140625" customWidth="1"/>
    <col min="4" max="4" width="16.7109375" customWidth="1"/>
    <col min="5" max="5" width="16" customWidth="1"/>
    <col min="6" max="6" width="10.42578125" bestFit="1" customWidth="1"/>
    <col min="7" max="7" width="12.5703125" bestFit="1" customWidth="1"/>
    <col min="8" max="8" width="13.7109375" bestFit="1" customWidth="1"/>
    <col min="9" max="9" width="12.5703125" bestFit="1" customWidth="1"/>
  </cols>
  <sheetData>
    <row r="1" spans="1:11" ht="20.25" x14ac:dyDescent="0.3">
      <c r="A1" s="225" t="s">
        <v>228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</row>
    <row r="2" spans="1:11" ht="18" x14ac:dyDescent="0.25">
      <c r="A2" s="226" t="s">
        <v>203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</row>
    <row r="3" spans="1:11" x14ac:dyDescent="0.25">
      <c r="A3" s="227"/>
      <c r="B3" s="184"/>
      <c r="C3" s="184"/>
      <c r="D3" s="184"/>
      <c r="E3" s="184"/>
      <c r="F3" s="184"/>
      <c r="G3" s="184"/>
      <c r="H3" s="184"/>
      <c r="I3" s="184"/>
      <c r="J3" s="184"/>
      <c r="K3" s="184"/>
    </row>
    <row r="6" spans="1:11" x14ac:dyDescent="0.25">
      <c r="A6" s="248" t="s">
        <v>46</v>
      </c>
      <c r="B6" s="342" t="s">
        <v>219</v>
      </c>
      <c r="C6" s="343"/>
      <c r="D6" s="343"/>
      <c r="F6" s="248" t="s">
        <v>227</v>
      </c>
      <c r="G6" s="342" t="s">
        <v>219</v>
      </c>
      <c r="H6" s="343"/>
      <c r="I6" s="343"/>
    </row>
    <row r="7" spans="1:11" x14ac:dyDescent="0.25">
      <c r="A7" s="249"/>
      <c r="B7" s="250" t="s">
        <v>220</v>
      </c>
      <c r="C7" s="250" t="s">
        <v>221</v>
      </c>
      <c r="D7" s="250" t="s">
        <v>222</v>
      </c>
      <c r="F7" s="249"/>
      <c r="G7" s="250" t="s">
        <v>220</v>
      </c>
      <c r="H7" s="250" t="s">
        <v>221</v>
      </c>
      <c r="I7" s="250" t="s">
        <v>222</v>
      </c>
    </row>
    <row r="8" spans="1:11" x14ac:dyDescent="0.25">
      <c r="A8" s="249" t="s">
        <v>223</v>
      </c>
      <c r="B8" s="251">
        <f>'Projections 2016 - 2020'!G143</f>
        <v>34314743.827309802</v>
      </c>
      <c r="C8" s="251">
        <f>'Projections 2016 - 2020'!G158</f>
        <v>42075389.24355001</v>
      </c>
      <c r="D8" s="251">
        <f>'Projections 2016 - 2020'!G173</f>
        <v>31031449.145438217</v>
      </c>
      <c r="F8" s="249" t="s">
        <v>223</v>
      </c>
      <c r="G8" s="251">
        <f>'Projections 2016 - 2020'!G187</f>
        <v>81788054.275709972</v>
      </c>
      <c r="H8" s="251">
        <f>'Projections 2016 - 2020'!G203</f>
        <v>99170078.312683538</v>
      </c>
      <c r="I8" s="251">
        <f>'Projections 2016 - 2020'!G218</f>
        <v>73918279.154839054</v>
      </c>
    </row>
    <row r="9" spans="1:11" x14ac:dyDescent="0.25">
      <c r="A9" s="249" t="s">
        <v>224</v>
      </c>
      <c r="B9" s="251">
        <f>B10-B8</f>
        <v>3491151.1373938471</v>
      </c>
      <c r="C9" s="251">
        <f t="shared" ref="C9:D9" si="0">C10-C8</f>
        <v>4173649.0861026645</v>
      </c>
      <c r="D9" s="251">
        <f t="shared" si="0"/>
        <v>3149323.0850195214</v>
      </c>
      <c r="F9" s="249" t="s">
        <v>224</v>
      </c>
      <c r="G9" s="251">
        <f>G10-G8</f>
        <v>3530732.1082745343</v>
      </c>
      <c r="H9" s="251">
        <f t="shared" ref="H9:I9" si="1">H10-H8</f>
        <v>4063257.9573523849</v>
      </c>
      <c r="I9" s="251">
        <f t="shared" si="1"/>
        <v>3182365.5730018765</v>
      </c>
    </row>
    <row r="10" spans="1:11" x14ac:dyDescent="0.25">
      <c r="A10" s="249" t="s">
        <v>225</v>
      </c>
      <c r="B10" s="251">
        <f>'Projections 2016 - 2020'!K147</f>
        <v>37805894.964703649</v>
      </c>
      <c r="C10" s="251">
        <f>'Projections 2016 - 2020'!K162</f>
        <v>46249038.329652674</v>
      </c>
      <c r="D10" s="251">
        <f>'Projections 2016 - 2020'!K177</f>
        <v>34180772.230457738</v>
      </c>
      <c r="F10" s="249" t="s">
        <v>225</v>
      </c>
      <c r="G10" s="251">
        <f>'Projections 2016 - 2020'!K191</f>
        <v>85318786.383984506</v>
      </c>
      <c r="H10" s="251">
        <f>'Projections 2016 - 2020'!K207</f>
        <v>103233336.27003592</v>
      </c>
      <c r="I10" s="251">
        <f>'Projections 2016 - 2020'!K222</f>
        <v>77100644.72784093</v>
      </c>
    </row>
  </sheetData>
  <mergeCells count="2">
    <mergeCell ref="B6:D6"/>
    <mergeCell ref="G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36"/>
  <sheetViews>
    <sheetView tabSelected="1" workbookViewId="0">
      <selection activeCell="B22" sqref="B22"/>
    </sheetView>
  </sheetViews>
  <sheetFormatPr defaultColWidth="8.85546875" defaultRowHeight="15" x14ac:dyDescent="0.25"/>
  <cols>
    <col min="1" max="1" width="0.85546875" customWidth="1"/>
    <col min="2" max="4" width="9.7109375" customWidth="1"/>
    <col min="5" max="5" width="9.7109375" style="98" customWidth="1"/>
    <col min="6" max="15" width="12.7109375" customWidth="1"/>
  </cols>
  <sheetData>
    <row r="1" spans="2:15" s="59" customFormat="1" ht="15.75" x14ac:dyDescent="0.25">
      <c r="B1" s="57" t="s">
        <v>73</v>
      </c>
      <c r="C1" s="57"/>
      <c r="D1" s="57"/>
      <c r="E1" s="58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2:15" s="59" customFormat="1" ht="12.75" x14ac:dyDescent="0.2">
      <c r="B2" s="60"/>
      <c r="C2" s="60"/>
      <c r="D2" s="60"/>
      <c r="E2" s="61"/>
      <c r="F2" s="62" t="s">
        <v>74</v>
      </c>
      <c r="G2" s="63"/>
      <c r="H2" s="63"/>
      <c r="I2" s="63"/>
      <c r="J2" s="63"/>
      <c r="K2" s="63"/>
      <c r="L2" s="63"/>
      <c r="M2" s="63"/>
      <c r="N2" s="63"/>
      <c r="O2" s="62"/>
    </row>
    <row r="3" spans="2:15" s="59" customFormat="1" ht="12.75" x14ac:dyDescent="0.2">
      <c r="B3" s="64"/>
      <c r="C3" s="60"/>
      <c r="D3" s="60"/>
      <c r="E3" s="61"/>
      <c r="F3" s="65">
        <v>1</v>
      </c>
      <c r="G3" s="65">
        <v>2</v>
      </c>
      <c r="H3" s="65">
        <v>3</v>
      </c>
      <c r="I3" s="65">
        <v>4</v>
      </c>
      <c r="J3" s="65">
        <v>5</v>
      </c>
      <c r="K3" s="65">
        <v>6</v>
      </c>
      <c r="L3" s="65">
        <v>7</v>
      </c>
      <c r="M3" s="65">
        <v>8</v>
      </c>
      <c r="N3" s="65">
        <v>9</v>
      </c>
      <c r="O3" s="65">
        <v>10</v>
      </c>
    </row>
    <row r="4" spans="2:15" s="59" customFormat="1" ht="12.75" x14ac:dyDescent="0.2">
      <c r="B4" s="64"/>
      <c r="C4" s="60"/>
      <c r="D4" s="60"/>
      <c r="E4" s="61"/>
      <c r="F4" s="66" t="s">
        <v>45</v>
      </c>
      <c r="G4" s="66">
        <v>2017</v>
      </c>
      <c r="H4" s="66">
        <v>2018</v>
      </c>
      <c r="I4" s="66">
        <v>2019</v>
      </c>
      <c r="J4" s="66">
        <v>2020</v>
      </c>
      <c r="K4" s="66">
        <f>+J4+1</f>
        <v>2021</v>
      </c>
      <c r="L4" s="66">
        <f>+K4+1</f>
        <v>2022</v>
      </c>
      <c r="M4" s="66">
        <f>+L4+1</f>
        <v>2023</v>
      </c>
      <c r="N4" s="66">
        <f>+M4+1</f>
        <v>2024</v>
      </c>
      <c r="O4" s="66">
        <f>+N4+1</f>
        <v>2025</v>
      </c>
    </row>
    <row r="5" spans="2:15" x14ac:dyDescent="0.25">
      <c r="B5" s="64"/>
      <c r="C5" s="60"/>
      <c r="D5" s="60"/>
      <c r="E5" s="61"/>
      <c r="F5" s="67"/>
      <c r="G5" s="67"/>
      <c r="H5" s="67"/>
      <c r="I5" s="67"/>
      <c r="J5" s="67"/>
      <c r="K5" s="67"/>
      <c r="L5" s="67"/>
      <c r="M5" s="67"/>
      <c r="N5" s="67"/>
      <c r="O5" s="67"/>
    </row>
    <row r="6" spans="2:15" s="69" customFormat="1" ht="12.75" x14ac:dyDescent="0.2">
      <c r="B6" s="68" t="s">
        <v>75</v>
      </c>
      <c r="E6" s="70"/>
      <c r="G6" s="71"/>
      <c r="H6" s="71"/>
      <c r="I6" s="71"/>
      <c r="J6" s="71"/>
    </row>
    <row r="7" spans="2:15" x14ac:dyDescent="0.25">
      <c r="B7" s="64" t="s">
        <v>76</v>
      </c>
      <c r="C7" s="60"/>
      <c r="D7" s="60"/>
      <c r="E7" s="61"/>
      <c r="F7" s="72">
        <f>CHOOSE(DCF!$D$4,F8,F9,F10)</f>
        <v>0.2183743318170222</v>
      </c>
      <c r="G7" s="72">
        <f>CHOOSE(DCF!$D$4,G8,G9,G10)</f>
        <v>0.50362844084102065</v>
      </c>
      <c r="H7" s="72">
        <f>CHOOSE(DCF!$D$4,H8,H9,H10)</f>
        <v>0.37167471246327333</v>
      </c>
      <c r="I7" s="72">
        <f>CHOOSE(DCF!$D$4,I8,I9,I10)</f>
        <v>0.37167471246327333</v>
      </c>
      <c r="J7" s="72">
        <f>CHOOSE(DCF!$D$4,J8,J9,J10)</f>
        <v>0.37167471246327333</v>
      </c>
      <c r="K7" s="72">
        <f>CHOOSE(DCF!$D$4,K8,K9,K10)</f>
        <v>0</v>
      </c>
      <c r="L7" s="72">
        <f>CHOOSE(DCF!$D$4,L8,L9,L10)</f>
        <v>0</v>
      </c>
      <c r="M7" s="72">
        <f>CHOOSE(DCF!$D$4,M8,M9,M10)</f>
        <v>0</v>
      </c>
      <c r="N7" s="72">
        <f>CHOOSE(DCF!$D$4,N8,N9,N10)</f>
        <v>0</v>
      </c>
      <c r="O7" s="72">
        <f>CHOOSE(DCF!$D$4,O8,O9,O10)</f>
        <v>0</v>
      </c>
    </row>
    <row r="8" spans="2:15" x14ac:dyDescent="0.25">
      <c r="B8" s="64" t="s">
        <v>77</v>
      </c>
      <c r="C8" s="60"/>
      <c r="D8" s="60"/>
      <c r="E8" s="61">
        <v>1</v>
      </c>
      <c r="F8" s="74">
        <f>('P&amp;L 2013-2018'!Q8-'P&amp;L 2013-2018'!L8)/'P&amp;L 2013-2018'!L8</f>
        <v>0.2183743318170222</v>
      </c>
      <c r="G8" s="75">
        <f>('P&amp;L 2013-2018'!V8-'P&amp;L 2013-2018'!Q8)/'P&amp;L 2013-2018'!Q8</f>
        <v>0.50362844084102065</v>
      </c>
      <c r="H8" s="75">
        <f>('P&amp;L 2013-2018'!AA8-'P&amp;L 2013-2018'!V8)/'P&amp;L 2013-2018'!V8</f>
        <v>0.37167471246327333</v>
      </c>
      <c r="I8" s="75">
        <f>H8</f>
        <v>0.37167471246327333</v>
      </c>
      <c r="J8" s="75">
        <f>AVERAGE(H8:I8)</f>
        <v>0.37167471246327333</v>
      </c>
      <c r="K8" s="76">
        <v>0</v>
      </c>
      <c r="L8" s="76">
        <f t="shared" ref="L8:O10" si="0">+K8</f>
        <v>0</v>
      </c>
      <c r="M8" s="76">
        <f t="shared" si="0"/>
        <v>0</v>
      </c>
      <c r="N8" s="76">
        <f t="shared" si="0"/>
        <v>0</v>
      </c>
      <c r="O8" s="77">
        <f t="shared" si="0"/>
        <v>0</v>
      </c>
    </row>
    <row r="9" spans="2:15" x14ac:dyDescent="0.25">
      <c r="B9" s="64" t="s">
        <v>78</v>
      </c>
      <c r="C9" s="60"/>
      <c r="D9" s="60"/>
      <c r="E9" s="61">
        <v>2</v>
      </c>
      <c r="F9" s="78">
        <f>F8*1.03</f>
        <v>0.22492556177153289</v>
      </c>
      <c r="G9" s="79">
        <f>G8*1.03</f>
        <v>0.51873729406625124</v>
      </c>
      <c r="H9" s="79">
        <f>H8*1.03</f>
        <v>0.38282495383717152</v>
      </c>
      <c r="I9" s="79">
        <f>I8*1.03</f>
        <v>0.38282495383717152</v>
      </c>
      <c r="J9" s="79">
        <f>J8*1.03</f>
        <v>0.38282495383717152</v>
      </c>
      <c r="K9" s="80">
        <v>0</v>
      </c>
      <c r="L9" s="80">
        <f t="shared" si="0"/>
        <v>0</v>
      </c>
      <c r="M9" s="80">
        <f t="shared" si="0"/>
        <v>0</v>
      </c>
      <c r="N9" s="80">
        <f t="shared" si="0"/>
        <v>0</v>
      </c>
      <c r="O9" s="81">
        <f t="shared" si="0"/>
        <v>0</v>
      </c>
    </row>
    <row r="10" spans="2:15" x14ac:dyDescent="0.25">
      <c r="B10" s="64" t="s">
        <v>79</v>
      </c>
      <c r="C10" s="60"/>
      <c r="D10" s="60"/>
      <c r="E10" s="61">
        <v>3</v>
      </c>
      <c r="F10" s="82">
        <f>F8*0.97</f>
        <v>0.21182310186251152</v>
      </c>
      <c r="G10" s="83">
        <f>G8*0.97</f>
        <v>0.48851958761579001</v>
      </c>
      <c r="H10" s="83">
        <f>H8*0.97</f>
        <v>0.36052447108937513</v>
      </c>
      <c r="I10" s="83">
        <f>I8*0.97</f>
        <v>0.36052447108937513</v>
      </c>
      <c r="J10" s="83">
        <f>J8*0.97</f>
        <v>0.36052447108937513</v>
      </c>
      <c r="K10" s="80">
        <v>0</v>
      </c>
      <c r="L10" s="80">
        <f t="shared" si="0"/>
        <v>0</v>
      </c>
      <c r="M10" s="80">
        <f t="shared" si="0"/>
        <v>0</v>
      </c>
      <c r="N10" s="80">
        <f t="shared" si="0"/>
        <v>0</v>
      </c>
      <c r="O10" s="81">
        <f t="shared" si="0"/>
        <v>0</v>
      </c>
    </row>
    <row r="11" spans="2:15" x14ac:dyDescent="0.25">
      <c r="B11" s="64"/>
      <c r="C11" s="60"/>
      <c r="D11" s="60"/>
      <c r="E11" s="61"/>
      <c r="F11" s="84"/>
      <c r="G11" s="84"/>
      <c r="H11" s="84"/>
      <c r="I11" s="84"/>
      <c r="J11" s="84"/>
      <c r="K11" s="85"/>
      <c r="L11" s="85"/>
      <c r="M11" s="85"/>
      <c r="N11" s="85"/>
      <c r="O11" s="85"/>
    </row>
    <row r="12" spans="2:15" x14ac:dyDescent="0.25">
      <c r="B12" s="64" t="s">
        <v>80</v>
      </c>
      <c r="C12" s="60"/>
      <c r="D12" s="60"/>
      <c r="E12" s="61"/>
      <c r="F12" s="73">
        <f>CHOOSE(DCF!$D$4,Assumptions!F13,Assumptions!F14,Assumptions!F15)</f>
        <v>0.6434424707504145</v>
      </c>
      <c r="G12" s="73">
        <f>CHOOSE(DCF!$D$4,Assumptions!G13,Assumptions!G14,Assumptions!G15)</f>
        <v>0.58945709791001755</v>
      </c>
      <c r="H12" s="73">
        <f>CHOOSE(DCF!$D$4,Assumptions!H13,Assumptions!H14,Assumptions!H15)</f>
        <v>0.55982307925924146</v>
      </c>
      <c r="I12" s="73">
        <f>CHOOSE(DCF!$D$4,Assumptions!I13,Assumptions!I14,Assumptions!I15)</f>
        <v>0.57464008858462945</v>
      </c>
      <c r="J12" s="73">
        <f>CHOOSE(DCF!$D$4,Assumptions!J13,Assumptions!J14,Assumptions!J15)</f>
        <v>0.56723158392193551</v>
      </c>
      <c r="K12" s="73">
        <f>CHOOSE(DCF!$D$4,Assumptions!K13,Assumptions!K14,Assumptions!K15)</f>
        <v>0</v>
      </c>
      <c r="L12" s="73">
        <f>CHOOSE(DCF!$D$4,Assumptions!L13,Assumptions!L14,Assumptions!L15)</f>
        <v>0</v>
      </c>
      <c r="M12" s="73">
        <f>CHOOSE(DCF!$D$4,Assumptions!M13,Assumptions!M14,Assumptions!M15)</f>
        <v>0</v>
      </c>
      <c r="N12" s="73">
        <f>CHOOSE(DCF!$D$4,Assumptions!N13,Assumptions!N14,Assumptions!N15)</f>
        <v>0</v>
      </c>
      <c r="O12" s="73">
        <f>CHOOSE(DCF!$D$4,Assumptions!O13,Assumptions!O14,Assumptions!O15)</f>
        <v>0</v>
      </c>
    </row>
    <row r="13" spans="2:15" x14ac:dyDescent="0.25">
      <c r="B13" s="64" t="s">
        <v>77</v>
      </c>
      <c r="C13" s="60"/>
      <c r="D13" s="60"/>
      <c r="E13" s="61">
        <v>1</v>
      </c>
      <c r="F13" s="74">
        <f>'P&amp;L 2013-2018'!Q9/'P&amp;L 2013-2018'!Q8</f>
        <v>0.6434424707504145</v>
      </c>
      <c r="G13" s="75">
        <f>'P&amp;L 2013-2018'!V9/'P&amp;L 2013-2018'!V8</f>
        <v>0.58945709791001755</v>
      </c>
      <c r="H13" s="75">
        <f>'P&amp;L 2013-2018'!AA9/'P&amp;L 2013-2018'!AA8</f>
        <v>0.55982307925924146</v>
      </c>
      <c r="I13" s="75">
        <f>AVERAGE(G13:H13)</f>
        <v>0.57464008858462945</v>
      </c>
      <c r="J13" s="75">
        <f>AVERAGE(H13:I13)</f>
        <v>0.56723158392193551</v>
      </c>
      <c r="K13" s="80">
        <v>0</v>
      </c>
      <c r="L13" s="76">
        <f t="shared" ref="L13:O15" si="1">+K13</f>
        <v>0</v>
      </c>
      <c r="M13" s="76">
        <f t="shared" si="1"/>
        <v>0</v>
      </c>
      <c r="N13" s="76">
        <f t="shared" si="1"/>
        <v>0</v>
      </c>
      <c r="O13" s="77">
        <f t="shared" si="1"/>
        <v>0</v>
      </c>
    </row>
    <row r="14" spans="2:15" x14ac:dyDescent="0.25">
      <c r="B14" s="64" t="s">
        <v>78</v>
      </c>
      <c r="C14" s="60"/>
      <c r="D14" s="60"/>
      <c r="E14" s="61">
        <v>2</v>
      </c>
      <c r="F14" s="78">
        <f>F13*0.97</f>
        <v>0.62413919662790207</v>
      </c>
      <c r="G14" s="79">
        <f>G13*0.97</f>
        <v>0.57177338497271701</v>
      </c>
      <c r="H14" s="79">
        <f>H13*0.97</f>
        <v>0.54302838688146415</v>
      </c>
      <c r="I14" s="79">
        <f>I13*0.97</f>
        <v>0.55740088592709058</v>
      </c>
      <c r="J14" s="79">
        <f>J13*0.97</f>
        <v>0.55021463640427748</v>
      </c>
      <c r="K14" s="80">
        <v>0</v>
      </c>
      <c r="L14" s="80">
        <f t="shared" si="1"/>
        <v>0</v>
      </c>
      <c r="M14" s="80">
        <f t="shared" si="1"/>
        <v>0</v>
      </c>
      <c r="N14" s="80">
        <f t="shared" si="1"/>
        <v>0</v>
      </c>
      <c r="O14" s="81">
        <f t="shared" si="1"/>
        <v>0</v>
      </c>
    </row>
    <row r="15" spans="2:15" x14ac:dyDescent="0.25">
      <c r="B15" s="64" t="s">
        <v>79</v>
      </c>
      <c r="C15" s="60"/>
      <c r="D15" s="60"/>
      <c r="E15" s="61">
        <v>3</v>
      </c>
      <c r="F15" s="82">
        <f>F13*1.01</f>
        <v>0.6498768954579186</v>
      </c>
      <c r="G15" s="83">
        <f>G13*1.01</f>
        <v>0.59535166888911772</v>
      </c>
      <c r="H15" s="83">
        <f>H13*1.01</f>
        <v>0.56542131005183394</v>
      </c>
      <c r="I15" s="83">
        <f>I13*1.01</f>
        <v>0.58038648947047577</v>
      </c>
      <c r="J15" s="83">
        <f>J13*1.01</f>
        <v>0.57290389976115486</v>
      </c>
      <c r="K15" s="80">
        <v>0</v>
      </c>
      <c r="L15" s="80">
        <f t="shared" si="1"/>
        <v>0</v>
      </c>
      <c r="M15" s="80">
        <f t="shared" si="1"/>
        <v>0</v>
      </c>
      <c r="N15" s="80">
        <f t="shared" si="1"/>
        <v>0</v>
      </c>
      <c r="O15" s="81">
        <f t="shared" si="1"/>
        <v>0</v>
      </c>
    </row>
    <row r="16" spans="2:15" x14ac:dyDescent="0.25">
      <c r="B16" s="64"/>
      <c r="C16" s="60"/>
      <c r="D16" s="60"/>
      <c r="E16" s="61"/>
      <c r="F16" s="84"/>
      <c r="G16" s="84"/>
      <c r="H16" s="84"/>
      <c r="I16" s="84"/>
      <c r="J16" s="84"/>
      <c r="K16" s="85"/>
      <c r="L16" s="85"/>
      <c r="M16" s="85"/>
      <c r="N16" s="85"/>
      <c r="O16" s="85"/>
    </row>
    <row r="17" spans="2:15" x14ac:dyDescent="0.25">
      <c r="B17" s="64" t="s">
        <v>81</v>
      </c>
      <c r="C17" s="60"/>
      <c r="D17" s="60"/>
      <c r="E17" s="61"/>
      <c r="F17" s="73">
        <f>CHOOSE(DCF!$D$4,Assumptions!F18,Assumptions!F19,Assumptions!F20)</f>
        <v>0.35507150341660149</v>
      </c>
      <c r="G17" s="73">
        <f>CHOOSE(DCF!$D$4,Assumptions!G18,Assumptions!G19,Assumptions!G20)</f>
        <v>0.26420397652284555</v>
      </c>
      <c r="H17" s="73">
        <f>CHOOSE(DCF!$D$4,Assumptions!H18,Assumptions!H19,Assumptions!H20)</f>
        <v>0.20704377108920163</v>
      </c>
      <c r="I17" s="73">
        <f>CHOOSE(DCF!$D$4,Assumptions!I18,Assumptions!I19,Assumptions!I20)</f>
        <v>0.23562387380602359</v>
      </c>
      <c r="J17" s="73">
        <f>CHOOSE(DCF!$D$4,Assumptions!J18,Assumptions!J19,Assumptions!J20)</f>
        <v>0.22133382244761263</v>
      </c>
      <c r="K17" s="73">
        <f>CHOOSE(DCF!$D$4,Assumptions!K18,Assumptions!K19,Assumptions!K20)</f>
        <v>0</v>
      </c>
      <c r="L17" s="73">
        <f>CHOOSE(DCF!$D$4,Assumptions!L18,Assumptions!L19,Assumptions!L20)</f>
        <v>0</v>
      </c>
      <c r="M17" s="73">
        <f>CHOOSE(DCF!$D$4,Assumptions!M18,Assumptions!M19,Assumptions!M20)</f>
        <v>0</v>
      </c>
      <c r="N17" s="73">
        <f>CHOOSE(DCF!$D$4,Assumptions!N18,Assumptions!N19,Assumptions!N20)</f>
        <v>0</v>
      </c>
      <c r="O17" s="73">
        <f>CHOOSE(DCF!$D$4,Assumptions!O18,Assumptions!O19,Assumptions!O20)</f>
        <v>0</v>
      </c>
    </row>
    <row r="18" spans="2:15" x14ac:dyDescent="0.25">
      <c r="B18" s="64" t="s">
        <v>77</v>
      </c>
      <c r="C18" s="60"/>
      <c r="D18" s="60"/>
      <c r="E18" s="61">
        <v>1</v>
      </c>
      <c r="F18" s="74">
        <f>'P&amp;L 2013-2018'!Q15/'P&amp;L 2013-2018'!Q8</f>
        <v>0.35507150341660149</v>
      </c>
      <c r="G18" s="74">
        <f>'P&amp;L 2013-2018'!V15/'P&amp;L 2013-2018'!V8</f>
        <v>0.26420397652284555</v>
      </c>
      <c r="H18" s="75">
        <f>'P&amp;L 2013-2018'!AA15/'P&amp;L 2013-2018'!AA8</f>
        <v>0.20704377108920163</v>
      </c>
      <c r="I18" s="75">
        <f>AVERAGE(G18:H18)</f>
        <v>0.23562387380602359</v>
      </c>
      <c r="J18" s="75">
        <f>AVERAGE(H18:I18)</f>
        <v>0.22133382244761263</v>
      </c>
      <c r="K18" s="80">
        <v>0</v>
      </c>
      <c r="L18" s="76">
        <f t="shared" ref="L18:O20" si="2">+K18</f>
        <v>0</v>
      </c>
      <c r="M18" s="76">
        <f t="shared" si="2"/>
        <v>0</v>
      </c>
      <c r="N18" s="76">
        <f t="shared" si="2"/>
        <v>0</v>
      </c>
      <c r="O18" s="77">
        <f t="shared" si="2"/>
        <v>0</v>
      </c>
    </row>
    <row r="19" spans="2:15" x14ac:dyDescent="0.25">
      <c r="B19" s="64" t="s">
        <v>78</v>
      </c>
      <c r="C19" s="60"/>
      <c r="D19" s="60"/>
      <c r="E19" s="61">
        <v>2</v>
      </c>
      <c r="F19" s="78">
        <f>F18*0.97</f>
        <v>0.34441935831410342</v>
      </c>
      <c r="G19" s="79">
        <f>G18*0.97</f>
        <v>0.25627785722716018</v>
      </c>
      <c r="H19" s="79">
        <f>H18*0.97</f>
        <v>0.20083245795652557</v>
      </c>
      <c r="I19" s="79">
        <f>I18*0.97</f>
        <v>0.22855515759184289</v>
      </c>
      <c r="J19" s="79">
        <f>J18*0.97</f>
        <v>0.21469380777418423</v>
      </c>
      <c r="K19" s="80">
        <v>0</v>
      </c>
      <c r="L19" s="80">
        <f t="shared" si="2"/>
        <v>0</v>
      </c>
      <c r="M19" s="80">
        <f t="shared" si="2"/>
        <v>0</v>
      </c>
      <c r="N19" s="80">
        <f t="shared" si="2"/>
        <v>0</v>
      </c>
      <c r="O19" s="81">
        <f t="shared" si="2"/>
        <v>0</v>
      </c>
    </row>
    <row r="20" spans="2:15" x14ac:dyDescent="0.25">
      <c r="B20" s="64" t="s">
        <v>79</v>
      </c>
      <c r="C20" s="60"/>
      <c r="D20" s="60"/>
      <c r="E20" s="61">
        <v>3</v>
      </c>
      <c r="F20" s="82">
        <f>F18*1.01</f>
        <v>0.35862221845076753</v>
      </c>
      <c r="G20" s="83">
        <f>G18*1.01</f>
        <v>0.26684601628807403</v>
      </c>
      <c r="H20" s="83">
        <f>H18*1.01</f>
        <v>0.20911420880009365</v>
      </c>
      <c r="I20" s="83">
        <f>I18*1.01</f>
        <v>0.23798011254408383</v>
      </c>
      <c r="J20" s="79">
        <f>J18*1.01</f>
        <v>0.22354716067208877</v>
      </c>
      <c r="K20" s="80">
        <v>0</v>
      </c>
      <c r="L20" s="80">
        <f t="shared" si="2"/>
        <v>0</v>
      </c>
      <c r="M20" s="80">
        <f t="shared" si="2"/>
        <v>0</v>
      </c>
      <c r="N20" s="80">
        <f t="shared" si="2"/>
        <v>0</v>
      </c>
      <c r="O20" s="81">
        <f t="shared" si="2"/>
        <v>0</v>
      </c>
    </row>
    <row r="21" spans="2:15" x14ac:dyDescent="0.25">
      <c r="B21" s="64"/>
      <c r="C21" s="60"/>
      <c r="D21" s="60"/>
      <c r="E21" s="61"/>
      <c r="F21" s="84"/>
      <c r="G21" s="84"/>
      <c r="H21" s="84"/>
      <c r="I21" s="84"/>
      <c r="J21" s="85"/>
      <c r="K21" s="85"/>
      <c r="L21" s="85"/>
      <c r="M21" s="85"/>
      <c r="N21" s="85"/>
      <c r="O21" s="85"/>
    </row>
    <row r="22" spans="2:15" x14ac:dyDescent="0.25">
      <c r="B22" s="64" t="s">
        <v>82</v>
      </c>
      <c r="C22" s="60"/>
      <c r="D22" s="60"/>
      <c r="E22" s="61"/>
      <c r="F22" s="73">
        <f>CHOOSE(DCF!$D$4,Assumptions!F23,Assumptions!F24,Assumptions!F25)</f>
        <v>1.1900000000000001E-2</v>
      </c>
      <c r="G22" s="73">
        <f>CHOOSE(DCF!$D$4,Assumptions!G23,Assumptions!G24,Assumptions!G25)</f>
        <v>1.1900000000000001E-2</v>
      </c>
      <c r="H22" s="73">
        <f>CHOOSE(DCF!$D$4,Assumptions!H23,Assumptions!H24,Assumptions!H25)</f>
        <v>1.1900000000000001E-2</v>
      </c>
      <c r="I22" s="73">
        <f>CHOOSE(DCF!$D$4,Assumptions!I23,Assumptions!I24,Assumptions!I25)</f>
        <v>1.1900000000000001E-2</v>
      </c>
      <c r="J22" s="73">
        <f>CHOOSE(DCF!$D$4,Assumptions!J23,Assumptions!J24,Assumptions!J25)</f>
        <v>1.1900000000000001E-2</v>
      </c>
      <c r="K22" s="73">
        <f>CHOOSE(DCF!$D$4,Assumptions!K23,Assumptions!K24,Assumptions!K25)</f>
        <v>0</v>
      </c>
      <c r="L22" s="73">
        <f>CHOOSE(DCF!$D$4,Assumptions!L23,Assumptions!L24,Assumptions!L25)</f>
        <v>0</v>
      </c>
      <c r="M22" s="73">
        <f>CHOOSE(DCF!$D$4,Assumptions!M23,Assumptions!M24,Assumptions!M25)</f>
        <v>0</v>
      </c>
      <c r="N22" s="73">
        <f>CHOOSE(DCF!$D$4,Assumptions!N23,Assumptions!N24,Assumptions!N25)</f>
        <v>0</v>
      </c>
      <c r="O22" s="73">
        <f>CHOOSE(DCF!$D$4,Assumptions!O23,Assumptions!O24,Assumptions!O25)</f>
        <v>0</v>
      </c>
    </row>
    <row r="23" spans="2:15" x14ac:dyDescent="0.25">
      <c r="B23" s="64" t="s">
        <v>77</v>
      </c>
      <c r="C23" s="60"/>
      <c r="D23" s="60"/>
      <c r="E23" s="61">
        <v>1</v>
      </c>
      <c r="F23" s="86">
        <v>1.1900000000000001E-2</v>
      </c>
      <c r="G23" s="87">
        <v>1.1900000000000001E-2</v>
      </c>
      <c r="H23" s="87">
        <v>1.1900000000000001E-2</v>
      </c>
      <c r="I23" s="87">
        <v>1.1900000000000001E-2</v>
      </c>
      <c r="J23" s="87">
        <v>1.1900000000000001E-2</v>
      </c>
      <c r="K23" s="76">
        <v>0</v>
      </c>
      <c r="L23" s="76">
        <f t="shared" ref="L23:O25" si="3">+K23</f>
        <v>0</v>
      </c>
      <c r="M23" s="76">
        <f t="shared" si="3"/>
        <v>0</v>
      </c>
      <c r="N23" s="76">
        <f t="shared" si="3"/>
        <v>0</v>
      </c>
      <c r="O23" s="77">
        <f t="shared" si="3"/>
        <v>0</v>
      </c>
    </row>
    <row r="24" spans="2:15" x14ac:dyDescent="0.25">
      <c r="B24" s="64" t="s">
        <v>78</v>
      </c>
      <c r="C24" s="60"/>
      <c r="D24" s="60"/>
      <c r="E24" s="61">
        <v>2</v>
      </c>
      <c r="F24" s="88">
        <v>9.9000000000000008E-3</v>
      </c>
      <c r="G24" s="89">
        <v>8.0000000000000002E-3</v>
      </c>
      <c r="H24" s="89">
        <v>8.0000000000000002E-3</v>
      </c>
      <c r="I24" s="89">
        <v>8.0000000000000002E-3</v>
      </c>
      <c r="J24" s="89">
        <v>8.0000000000000002E-3</v>
      </c>
      <c r="K24" s="80">
        <v>0</v>
      </c>
      <c r="L24" s="80">
        <f t="shared" si="3"/>
        <v>0</v>
      </c>
      <c r="M24" s="80">
        <f t="shared" si="3"/>
        <v>0</v>
      </c>
      <c r="N24" s="80">
        <f t="shared" si="3"/>
        <v>0</v>
      </c>
      <c r="O24" s="81">
        <f t="shared" si="3"/>
        <v>0</v>
      </c>
    </row>
    <row r="25" spans="2:15" x14ac:dyDescent="0.25">
      <c r="B25" s="64" t="s">
        <v>79</v>
      </c>
      <c r="C25" s="60"/>
      <c r="D25" s="60"/>
      <c r="E25" s="61">
        <v>3</v>
      </c>
      <c r="F25" s="88">
        <v>1.44E-2</v>
      </c>
      <c r="G25" s="89">
        <v>1.2500000000000001E-2</v>
      </c>
      <c r="H25" s="89">
        <v>1.2500000000000001E-2</v>
      </c>
      <c r="I25" s="89">
        <v>1.2500000000000001E-2</v>
      </c>
      <c r="J25" s="89">
        <v>1.2500000000000001E-2</v>
      </c>
      <c r="K25" s="90">
        <v>0</v>
      </c>
      <c r="L25" s="80">
        <f t="shared" si="3"/>
        <v>0</v>
      </c>
      <c r="M25" s="80">
        <f t="shared" si="3"/>
        <v>0</v>
      </c>
      <c r="N25" s="80">
        <f t="shared" si="3"/>
        <v>0</v>
      </c>
      <c r="O25" s="81">
        <f t="shared" si="3"/>
        <v>0</v>
      </c>
    </row>
    <row r="26" spans="2:15" s="93" customFormat="1" x14ac:dyDescent="0.25">
      <c r="B26" s="64"/>
      <c r="C26" s="69"/>
      <c r="D26" s="69"/>
      <c r="E26" s="70"/>
      <c r="F26" s="91"/>
      <c r="G26" s="91"/>
      <c r="H26" s="91"/>
      <c r="I26" s="91"/>
      <c r="J26" s="91"/>
      <c r="K26" s="92"/>
      <c r="L26" s="91"/>
      <c r="M26" s="91"/>
      <c r="N26" s="91"/>
      <c r="O26" s="91"/>
    </row>
    <row r="27" spans="2:15" x14ac:dyDescent="0.25">
      <c r="B27" s="64" t="s">
        <v>83</v>
      </c>
      <c r="C27" s="60"/>
      <c r="D27" s="60"/>
      <c r="E27" s="61"/>
      <c r="F27" s="73">
        <f>CHOOSE(DCF!$D$4,Assumptions!F28,Assumptions!F29,Assumptions!F30)</f>
        <v>1.2E-2</v>
      </c>
      <c r="G27" s="73">
        <f>CHOOSE(DCF!$D$4,Assumptions!G28,Assumptions!G29,Assumptions!G30)</f>
        <v>5.6000000000000001E-2</v>
      </c>
      <c r="H27" s="73">
        <f>CHOOSE(DCF!$D$4,Assumptions!H28,Assumptions!H29,Assumptions!H30)</f>
        <v>9.1999999999999998E-2</v>
      </c>
      <c r="I27" s="73">
        <f>CHOOSE(DCF!$D$4,Assumptions!I28,Assumptions!I29,Assumptions!I30)</f>
        <v>7.3999999999999996E-2</v>
      </c>
      <c r="J27" s="73">
        <f>CHOOSE(DCF!$D$4,Assumptions!J28,Assumptions!J29,Assumptions!J30)</f>
        <v>8.299999999999999E-2</v>
      </c>
      <c r="K27" s="73">
        <f>CHOOSE(DCF!$D$4,Assumptions!K28,Assumptions!K29,Assumptions!K30)</f>
        <v>0</v>
      </c>
      <c r="L27" s="73">
        <f>CHOOSE(DCF!$D$4,Assumptions!L28,Assumptions!L29,Assumptions!L30)</f>
        <v>0</v>
      </c>
      <c r="M27" s="73">
        <f>CHOOSE(DCF!$D$4,Assumptions!M28,Assumptions!M29,Assumptions!M30)</f>
        <v>0</v>
      </c>
      <c r="N27" s="73">
        <f>CHOOSE(DCF!$D$4,Assumptions!N28,Assumptions!N29,Assumptions!N30)</f>
        <v>0</v>
      </c>
      <c r="O27" s="73">
        <f>CHOOSE(DCF!$D$4,Assumptions!O28,Assumptions!O29,Assumptions!O30)</f>
        <v>0</v>
      </c>
    </row>
    <row r="28" spans="2:15" x14ac:dyDescent="0.25">
      <c r="B28" s="64" t="s">
        <v>77</v>
      </c>
      <c r="C28" s="60"/>
      <c r="D28" s="60"/>
      <c r="E28" s="61">
        <v>1</v>
      </c>
      <c r="F28" s="74">
        <v>1.2E-2</v>
      </c>
      <c r="G28" s="75">
        <v>5.6000000000000001E-2</v>
      </c>
      <c r="H28" s="75">
        <v>9.1999999999999998E-2</v>
      </c>
      <c r="I28" s="75">
        <f>AVERAGE(G28:H28)</f>
        <v>7.3999999999999996E-2</v>
      </c>
      <c r="J28" s="75">
        <f>AVERAGE(H28:I28)</f>
        <v>8.299999999999999E-2</v>
      </c>
      <c r="K28" s="80">
        <v>0</v>
      </c>
      <c r="L28" s="76">
        <f t="shared" ref="L28:O30" si="4">+K28</f>
        <v>0</v>
      </c>
      <c r="M28" s="76">
        <f t="shared" si="4"/>
        <v>0</v>
      </c>
      <c r="N28" s="76">
        <f t="shared" si="4"/>
        <v>0</v>
      </c>
      <c r="O28" s="77">
        <f t="shared" si="4"/>
        <v>0</v>
      </c>
    </row>
    <row r="29" spans="2:15" x14ac:dyDescent="0.25">
      <c r="B29" s="64" t="s">
        <v>78</v>
      </c>
      <c r="C29" s="60"/>
      <c r="D29" s="60"/>
      <c r="E29" s="61">
        <v>2</v>
      </c>
      <c r="F29" s="78">
        <v>1.2738484926569161E-2</v>
      </c>
      <c r="G29" s="79">
        <v>5.6491824275018004E-2</v>
      </c>
      <c r="H29" s="79">
        <v>9.1763295852926932E-2</v>
      </c>
      <c r="I29" s="79">
        <v>7.4127560063972475E-2</v>
      </c>
      <c r="J29" s="79">
        <v>8.2945427958449697E-2</v>
      </c>
      <c r="K29" s="80">
        <v>0</v>
      </c>
      <c r="L29" s="80">
        <f t="shared" si="4"/>
        <v>0</v>
      </c>
      <c r="M29" s="80">
        <f t="shared" si="4"/>
        <v>0</v>
      </c>
      <c r="N29" s="80">
        <f t="shared" si="4"/>
        <v>0</v>
      </c>
      <c r="O29" s="81">
        <f t="shared" si="4"/>
        <v>0</v>
      </c>
    </row>
    <row r="30" spans="2:15" x14ac:dyDescent="0.25">
      <c r="B30" s="64" t="s">
        <v>79</v>
      </c>
      <c r="C30" s="60"/>
      <c r="D30" s="60"/>
      <c r="E30" s="61">
        <v>3</v>
      </c>
      <c r="F30" s="82">
        <v>1.2738484926569161E-2</v>
      </c>
      <c r="G30" s="83">
        <v>5.6491824275018004E-2</v>
      </c>
      <c r="H30" s="83">
        <v>9.1763295852926932E-2</v>
      </c>
      <c r="I30" s="83">
        <v>7.4127560063972475E-2</v>
      </c>
      <c r="J30" s="79">
        <v>8.2945427958449697E-2</v>
      </c>
      <c r="K30" s="80">
        <v>0</v>
      </c>
      <c r="L30" s="80">
        <f t="shared" si="4"/>
        <v>0</v>
      </c>
      <c r="M30" s="80">
        <f t="shared" si="4"/>
        <v>0</v>
      </c>
      <c r="N30" s="80">
        <f t="shared" si="4"/>
        <v>0</v>
      </c>
      <c r="O30" s="81">
        <f t="shared" si="4"/>
        <v>0</v>
      </c>
    </row>
    <row r="31" spans="2:15" x14ac:dyDescent="0.25">
      <c r="B31" s="64"/>
      <c r="C31" s="69"/>
      <c r="D31" s="69"/>
      <c r="E31" s="70"/>
      <c r="F31" s="92"/>
      <c r="G31" s="92"/>
      <c r="H31" s="92"/>
      <c r="I31" s="92"/>
      <c r="J31" s="91"/>
      <c r="K31" s="91"/>
      <c r="L31" s="91"/>
      <c r="M31" s="91"/>
      <c r="N31" s="91"/>
      <c r="O31" s="91"/>
    </row>
    <row r="32" spans="2:15" x14ac:dyDescent="0.25">
      <c r="B32" s="94" t="s">
        <v>84</v>
      </c>
      <c r="C32" s="60"/>
      <c r="D32" s="60"/>
      <c r="E32" s="61"/>
      <c r="F32" s="67"/>
      <c r="G32" s="67"/>
      <c r="H32" s="67"/>
      <c r="I32" s="67"/>
      <c r="J32" s="67"/>
      <c r="K32" s="67"/>
      <c r="L32" s="67"/>
      <c r="M32" s="67"/>
      <c r="N32" s="67"/>
      <c r="O32" s="67"/>
    </row>
    <row r="33" spans="2:15" x14ac:dyDescent="0.25">
      <c r="B33" s="95" t="s">
        <v>85</v>
      </c>
      <c r="C33" s="60"/>
      <c r="D33" s="60"/>
      <c r="E33" s="61"/>
      <c r="F33" s="73">
        <f>CHOOSE(DCF!$D$4,Assumptions!F34,Assumptions!F35,Assumptions!F36)</f>
        <v>1.8599999999999998E-2</v>
      </c>
      <c r="G33" s="73">
        <f>CHOOSE(DCF!$D$4,Assumptions!G34,Assumptions!G35,Assumptions!G36)</f>
        <v>1.8599999999999998E-2</v>
      </c>
      <c r="H33" s="73">
        <f>CHOOSE(DCF!$D$4,Assumptions!H34,Assumptions!H35,Assumptions!H36)</f>
        <v>1.8599999999999998E-2</v>
      </c>
      <c r="I33" s="73">
        <f>CHOOSE(DCF!$D$4,Assumptions!I34,Assumptions!I35,Assumptions!I36)</f>
        <v>1.8599999999999998E-2</v>
      </c>
      <c r="J33" s="73">
        <f>CHOOSE(DCF!$D$4,Assumptions!J34,Assumptions!J35,Assumptions!J36)</f>
        <v>1.8599999999999998E-2</v>
      </c>
      <c r="K33" s="73">
        <f>CHOOSE(DCF!$D$4,Assumptions!K34,Assumptions!K35,Assumptions!K36)</f>
        <v>0</v>
      </c>
      <c r="L33" s="73">
        <f>CHOOSE(DCF!$D$4,Assumptions!L34,Assumptions!L35,Assumptions!L36)</f>
        <v>0</v>
      </c>
      <c r="M33" s="73">
        <f>CHOOSE(DCF!$D$4,Assumptions!M34,Assumptions!M35,Assumptions!M36)</f>
        <v>0</v>
      </c>
      <c r="N33" s="73">
        <f>CHOOSE(DCF!$D$4,Assumptions!N34,Assumptions!N35,Assumptions!N36)</f>
        <v>0</v>
      </c>
      <c r="O33" s="73">
        <f>CHOOSE(DCF!$D$4,Assumptions!O34,Assumptions!O35,Assumptions!O36)</f>
        <v>0</v>
      </c>
    </row>
    <row r="34" spans="2:15" x14ac:dyDescent="0.25">
      <c r="B34" s="64" t="s">
        <v>77</v>
      </c>
      <c r="C34" s="60"/>
      <c r="D34" s="60"/>
      <c r="E34" s="61">
        <v>1</v>
      </c>
      <c r="F34" s="74">
        <v>1.8599999999999998E-2</v>
      </c>
      <c r="G34" s="75">
        <v>1.8599999999999998E-2</v>
      </c>
      <c r="H34" s="75">
        <v>1.8599999999999998E-2</v>
      </c>
      <c r="I34" s="75">
        <v>1.8599999999999998E-2</v>
      </c>
      <c r="J34" s="75">
        <v>1.8599999999999998E-2</v>
      </c>
      <c r="K34" s="76">
        <v>0</v>
      </c>
      <c r="L34" s="76">
        <f t="shared" ref="L34:O36" si="5">+K34</f>
        <v>0</v>
      </c>
      <c r="M34" s="76">
        <f t="shared" si="5"/>
        <v>0</v>
      </c>
      <c r="N34" s="76">
        <f t="shared" si="5"/>
        <v>0</v>
      </c>
      <c r="O34" s="77">
        <f t="shared" si="5"/>
        <v>0</v>
      </c>
    </row>
    <row r="35" spans="2:15" x14ac:dyDescent="0.25">
      <c r="B35" s="96" t="s">
        <v>86</v>
      </c>
      <c r="C35" s="60" t="s">
        <v>66</v>
      </c>
      <c r="D35" s="60"/>
      <c r="E35" s="61">
        <v>2</v>
      </c>
      <c r="F35" s="78">
        <f>F34*0.8</f>
        <v>1.4879999999999999E-2</v>
      </c>
      <c r="G35" s="79">
        <f>G34*0.8</f>
        <v>1.4879999999999999E-2</v>
      </c>
      <c r="H35" s="79">
        <f>H34*0.8</f>
        <v>1.4879999999999999E-2</v>
      </c>
      <c r="I35" s="79">
        <f>I34*0.8</f>
        <v>1.4879999999999999E-2</v>
      </c>
      <c r="J35" s="79">
        <f>J34*0.8</f>
        <v>1.4879999999999999E-2</v>
      </c>
      <c r="K35" s="80">
        <v>0</v>
      </c>
      <c r="L35" s="80">
        <f t="shared" si="5"/>
        <v>0</v>
      </c>
      <c r="M35" s="80">
        <f t="shared" si="5"/>
        <v>0</v>
      </c>
      <c r="N35" s="80">
        <f t="shared" si="5"/>
        <v>0</v>
      </c>
      <c r="O35" s="81">
        <f t="shared" si="5"/>
        <v>0</v>
      </c>
    </row>
    <row r="36" spans="2:15" x14ac:dyDescent="0.25">
      <c r="B36" s="96" t="s">
        <v>87</v>
      </c>
      <c r="C36" s="60"/>
      <c r="D36" s="60"/>
      <c r="E36" s="61">
        <v>3</v>
      </c>
      <c r="F36" s="82">
        <f>F34*1.2</f>
        <v>2.2319999999999996E-2</v>
      </c>
      <c r="G36" s="83">
        <v>2.2319999999999996E-2</v>
      </c>
      <c r="H36" s="83">
        <v>2.2319999999999996E-2</v>
      </c>
      <c r="I36" s="83">
        <v>2.2319999999999996E-2</v>
      </c>
      <c r="J36" s="83">
        <v>2.2319999999999996E-2</v>
      </c>
      <c r="K36" s="90">
        <v>0</v>
      </c>
      <c r="L36" s="90">
        <f t="shared" si="5"/>
        <v>0</v>
      </c>
      <c r="M36" s="90">
        <f t="shared" si="5"/>
        <v>0</v>
      </c>
      <c r="N36" s="90">
        <f t="shared" si="5"/>
        <v>0</v>
      </c>
      <c r="O36" s="97">
        <f t="shared" si="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9"/>
  <sheetViews>
    <sheetView showGridLines="0" workbookViewId="0">
      <selection activeCell="A2" sqref="A2"/>
    </sheetView>
  </sheetViews>
  <sheetFormatPr defaultRowHeight="15" x14ac:dyDescent="0.25"/>
  <cols>
    <col min="3" max="3" width="17.28515625" customWidth="1"/>
    <col min="4" max="4" width="16.28515625" bestFit="1" customWidth="1"/>
    <col min="5" max="5" width="15.28515625" customWidth="1"/>
    <col min="6" max="6" width="15.28515625" bestFit="1" customWidth="1"/>
    <col min="7" max="7" width="15.7109375" bestFit="1" customWidth="1"/>
    <col min="8" max="11" width="16.28515625" bestFit="1" customWidth="1"/>
  </cols>
  <sheetData>
    <row r="1" spans="1:11" ht="20.25" customHeight="1" x14ac:dyDescent="0.3">
      <c r="A1" s="1" t="s">
        <v>228</v>
      </c>
      <c r="B1" s="1"/>
      <c r="C1" s="1"/>
      <c r="D1" s="1"/>
      <c r="E1" s="1"/>
      <c r="F1" s="2"/>
      <c r="G1" s="2"/>
      <c r="H1" s="2"/>
      <c r="I1" s="2"/>
      <c r="J1" s="2"/>
      <c r="K1" s="2"/>
    </row>
    <row r="2" spans="1:11" ht="18" customHeight="1" x14ac:dyDescent="0.25">
      <c r="A2" s="5" t="s">
        <v>146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 x14ac:dyDescent="0.25">
      <c r="A3" s="6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D4" s="348" t="s">
        <v>38</v>
      </c>
      <c r="E4" s="348"/>
      <c r="F4" s="348"/>
      <c r="G4" s="348"/>
    </row>
    <row r="5" spans="1:11" ht="26.25" x14ac:dyDescent="0.25">
      <c r="D5" s="154" t="s">
        <v>39</v>
      </c>
      <c r="E5" s="154" t="s">
        <v>40</v>
      </c>
      <c r="F5" s="154" t="s">
        <v>41</v>
      </c>
      <c r="G5" s="155" t="s">
        <v>147</v>
      </c>
    </row>
    <row r="6" spans="1:11" x14ac:dyDescent="0.25">
      <c r="A6" s="7" t="s">
        <v>54</v>
      </c>
      <c r="D6" s="274">
        <f>'P&amp;L 2013-2018'!B8</f>
        <v>4818319</v>
      </c>
      <c r="E6" s="274">
        <f>'P&amp;L 2013-2018'!G8</f>
        <v>6155379</v>
      </c>
      <c r="F6" s="274">
        <f>'P&amp;L 2013-2018'!L8</f>
        <v>7713456</v>
      </c>
      <c r="G6" s="274">
        <f>SUM('P&amp;L 2013-2018'!M8:N8)</f>
        <v>4710498</v>
      </c>
    </row>
    <row r="7" spans="1:11" x14ac:dyDescent="0.25">
      <c r="A7" s="156" t="s">
        <v>148</v>
      </c>
      <c r="D7" s="157">
        <v>0</v>
      </c>
      <c r="E7" s="157">
        <f>(E6/D6)-1</f>
        <v>0.27749511811069372</v>
      </c>
      <c r="F7" s="157">
        <f>(F6/E6)-1</f>
        <v>0.25312446236048181</v>
      </c>
      <c r="G7" s="157"/>
    </row>
    <row r="8" spans="1:11" x14ac:dyDescent="0.25">
      <c r="A8" t="s">
        <v>149</v>
      </c>
      <c r="D8" s="279">
        <f>'P&amp;L 2013-2018'!B9</f>
        <v>3597057</v>
      </c>
      <c r="E8" s="279">
        <f>'P&amp;L 2013-2018'!G9</f>
        <v>4638749</v>
      </c>
      <c r="F8" s="279">
        <f>'P&amp;L 2013-2018'!L9</f>
        <v>4994420</v>
      </c>
      <c r="G8" s="279">
        <f>'P&amp;L 2013-2018'!M9+'P&amp;L 2013-2018'!N9</f>
        <v>2982876</v>
      </c>
    </row>
    <row r="9" spans="1:11" x14ac:dyDescent="0.25">
      <c r="A9" t="s">
        <v>150</v>
      </c>
    </row>
    <row r="11" spans="1:11" x14ac:dyDescent="0.25">
      <c r="A11" s="159" t="s">
        <v>151</v>
      </c>
      <c r="D11" s="261">
        <f>D6-D8</f>
        <v>1221262</v>
      </c>
      <c r="E11" s="261">
        <f>E6-E8</f>
        <v>1516630</v>
      </c>
      <c r="F11" s="261">
        <f>F6-F8</f>
        <v>2719036</v>
      </c>
      <c r="G11" s="261">
        <f>G6-G8</f>
        <v>1727622</v>
      </c>
    </row>
    <row r="12" spans="1:11" x14ac:dyDescent="0.25">
      <c r="A12" s="163" t="s">
        <v>157</v>
      </c>
      <c r="D12" s="103">
        <f>D11/D6</f>
        <v>0.25346225519730015</v>
      </c>
      <c r="E12" s="103">
        <f>E11/E6</f>
        <v>0.24639100208126907</v>
      </c>
      <c r="F12" s="103">
        <f>F11/F6</f>
        <v>0.35250554355920355</v>
      </c>
      <c r="G12" s="103">
        <f>G11/G6</f>
        <v>0.36675994767432235</v>
      </c>
    </row>
    <row r="13" spans="1:11" x14ac:dyDescent="0.25">
      <c r="A13" s="162" t="s">
        <v>155</v>
      </c>
      <c r="D13" s="280">
        <f>'P&amp;L 2013-2018'!B15</f>
        <v>878457</v>
      </c>
      <c r="E13" s="280">
        <f>'P&amp;L 2013-2018'!G15</f>
        <v>1928828</v>
      </c>
      <c r="F13" s="280">
        <f>'P&amp;L 2013-2018'!L15</f>
        <v>3081717</v>
      </c>
      <c r="G13" s="280">
        <f>SUM('P&amp;L 2013-2018'!M15:N15)</f>
        <v>1634225</v>
      </c>
    </row>
    <row r="14" spans="1:11" x14ac:dyDescent="0.25">
      <c r="A14" s="163" t="s">
        <v>159</v>
      </c>
      <c r="D14" s="103">
        <f>D13/D8</f>
        <v>0.24421547948781464</v>
      </c>
      <c r="E14" s="103">
        <f>E13/E8</f>
        <v>0.41580779645546678</v>
      </c>
      <c r="F14" s="103">
        <f>F13/F8</f>
        <v>0.61703200772061617</v>
      </c>
      <c r="G14" s="103">
        <f>G13/G8</f>
        <v>0.54786890236134522</v>
      </c>
    </row>
    <row r="15" spans="1:11" x14ac:dyDescent="0.25">
      <c r="A15" s="162"/>
    </row>
    <row r="16" spans="1:11" x14ac:dyDescent="0.25">
      <c r="A16" s="159" t="s">
        <v>152</v>
      </c>
      <c r="D16" s="261">
        <f>D21+D18</f>
        <v>342805</v>
      </c>
      <c r="E16" s="261">
        <f t="shared" ref="E16:G16" si="0">E21+E18</f>
        <v>-397198</v>
      </c>
      <c r="F16" s="261">
        <f t="shared" si="0"/>
        <v>-299681</v>
      </c>
      <c r="G16" s="261">
        <f t="shared" si="0"/>
        <v>149397</v>
      </c>
    </row>
    <row r="17" spans="1:7" x14ac:dyDescent="0.25">
      <c r="A17" s="161" t="s">
        <v>157</v>
      </c>
      <c r="D17" s="103">
        <f>D16/D6</f>
        <v>7.1146181894557001E-2</v>
      </c>
      <c r="E17" s="103">
        <f t="shared" ref="E17:G17" si="1">E16/E6</f>
        <v>-6.4528601731916102E-2</v>
      </c>
      <c r="F17" s="103">
        <f t="shared" si="1"/>
        <v>-3.8851715754909345E-2</v>
      </c>
      <c r="G17" s="103">
        <f t="shared" si="1"/>
        <v>3.1715754894705399E-2</v>
      </c>
    </row>
    <row r="18" spans="1:7" x14ac:dyDescent="0.25">
      <c r="A18" s="159" t="s">
        <v>158</v>
      </c>
      <c r="D18" s="164">
        <v>0</v>
      </c>
      <c r="E18" s="164">
        <v>15000</v>
      </c>
      <c r="F18" s="164">
        <v>63000</v>
      </c>
      <c r="G18" s="164">
        <f>28*2*1000</f>
        <v>56000</v>
      </c>
    </row>
    <row r="19" spans="1:7" x14ac:dyDescent="0.25">
      <c r="A19" s="161" t="s">
        <v>150</v>
      </c>
      <c r="D19" s="172">
        <f>D18/D6</f>
        <v>0</v>
      </c>
      <c r="E19" s="172">
        <f t="shared" ref="E19:G19" si="2">E18/E6</f>
        <v>2.4368930004147592E-3</v>
      </c>
      <c r="F19" s="172">
        <f t="shared" si="2"/>
        <v>8.1675451315208116E-3</v>
      </c>
      <c r="G19" s="172">
        <f t="shared" si="2"/>
        <v>1.1888339619292906E-2</v>
      </c>
    </row>
    <row r="20" spans="1:7" x14ac:dyDescent="0.25">
      <c r="A20" s="159"/>
    </row>
    <row r="21" spans="1:7" x14ac:dyDescent="0.25">
      <c r="A21" s="159" t="s">
        <v>153</v>
      </c>
      <c r="D21" s="261">
        <f>D11-D13</f>
        <v>342805</v>
      </c>
      <c r="E21" s="261">
        <f t="shared" ref="E21:G21" si="3">E11-E13</f>
        <v>-412198</v>
      </c>
      <c r="F21" s="261">
        <f t="shared" si="3"/>
        <v>-362681</v>
      </c>
      <c r="G21" s="261">
        <f t="shared" si="3"/>
        <v>93397</v>
      </c>
    </row>
    <row r="22" spans="1:7" x14ac:dyDescent="0.25">
      <c r="A22" s="161" t="s">
        <v>157</v>
      </c>
      <c r="D22" s="103"/>
      <c r="E22" s="103"/>
      <c r="F22" s="103"/>
      <c r="G22" s="103"/>
    </row>
    <row r="23" spans="1:7" x14ac:dyDescent="0.25">
      <c r="A23" s="160" t="s">
        <v>156</v>
      </c>
      <c r="D23" s="158">
        <f>'P&amp;L 2013-2018'!B28</f>
        <v>228063</v>
      </c>
      <c r="E23" s="158">
        <f>'P&amp;L 2013-2018'!G28</f>
        <v>-49608</v>
      </c>
      <c r="F23" s="158">
        <f>'P&amp;L 2013-2018'!L28</f>
        <v>-119102</v>
      </c>
      <c r="G23" s="158">
        <f>SUM('P&amp;L 2013-2018'!M28:N28)</f>
        <v>37700</v>
      </c>
    </row>
    <row r="24" spans="1:7" x14ac:dyDescent="0.25">
      <c r="A24" s="159" t="s">
        <v>154</v>
      </c>
      <c r="D24" s="261">
        <f>D21-D23</f>
        <v>114742</v>
      </c>
      <c r="E24" s="261">
        <f>E21-E23</f>
        <v>-362590</v>
      </c>
      <c r="F24" s="261">
        <f>F21-F23</f>
        <v>-243579</v>
      </c>
      <c r="G24" s="261">
        <f>G21-G23</f>
        <v>55697</v>
      </c>
    </row>
    <row r="26" spans="1:7" x14ac:dyDescent="0.25">
      <c r="A26" s="160" t="s">
        <v>160</v>
      </c>
      <c r="D26" s="164">
        <f>D18</f>
        <v>0</v>
      </c>
      <c r="E26" s="164">
        <f>E18</f>
        <v>15000</v>
      </c>
      <c r="F26" s="164">
        <f>F18</f>
        <v>63000</v>
      </c>
      <c r="G26" s="164">
        <f>G18</f>
        <v>56000</v>
      </c>
    </row>
    <row r="27" spans="1:7" x14ac:dyDescent="0.25">
      <c r="A27" s="160" t="s">
        <v>161</v>
      </c>
      <c r="D27" s="164">
        <v>0</v>
      </c>
      <c r="E27" s="164">
        <v>77000</v>
      </c>
      <c r="F27" s="164">
        <v>144000</v>
      </c>
      <c r="G27" s="164">
        <v>0</v>
      </c>
    </row>
    <row r="28" spans="1:7" x14ac:dyDescent="0.25">
      <c r="A28" s="160" t="s">
        <v>162</v>
      </c>
      <c r="D28" s="165">
        <v>0</v>
      </c>
      <c r="E28" s="165">
        <v>0</v>
      </c>
      <c r="F28" s="165">
        <v>3135000</v>
      </c>
      <c r="G28" s="166">
        <v>0</v>
      </c>
    </row>
    <row r="37" spans="1:8" x14ac:dyDescent="0.25">
      <c r="A37" s="349" t="s">
        <v>172</v>
      </c>
      <c r="B37" s="349"/>
      <c r="C37" s="349"/>
      <c r="D37" s="351" t="s">
        <v>74</v>
      </c>
      <c r="E37" s="351"/>
      <c r="F37" s="351"/>
      <c r="G37" s="351"/>
      <c r="H37" s="351"/>
    </row>
    <row r="38" spans="1:8" x14ac:dyDescent="0.25">
      <c r="A38" s="18"/>
      <c r="D38" s="169" t="s">
        <v>45</v>
      </c>
      <c r="E38" s="170">
        <v>2017</v>
      </c>
      <c r="F38" s="171">
        <v>2018</v>
      </c>
      <c r="G38" s="171">
        <v>2019</v>
      </c>
      <c r="H38" s="171">
        <v>2020</v>
      </c>
    </row>
    <row r="39" spans="1:8" x14ac:dyDescent="0.25">
      <c r="A39" s="168" t="s">
        <v>54</v>
      </c>
      <c r="D39" s="282">
        <f>'P&amp;L 2013-2018'!Q8</f>
        <v>9397876.8000000007</v>
      </c>
      <c r="E39" s="285">
        <f>'P&amp;L 2013-2018'!V8</f>
        <v>14130914.840000002</v>
      </c>
      <c r="F39" s="285">
        <f>'P&amp;L 2013-2018'!AA8</f>
        <v>19383018.550000004</v>
      </c>
      <c r="G39" s="285">
        <f>F39*(1+Assumptions!I8)</f>
        <v>26587196.396241549</v>
      </c>
      <c r="H39" s="285">
        <f>G39*(1+Assumptions!J8)</f>
        <v>36468984.972019203</v>
      </c>
    </row>
    <row r="40" spans="1:8" x14ac:dyDescent="0.25">
      <c r="A40" s="161" t="s">
        <v>173</v>
      </c>
      <c r="D40" s="286">
        <f>D39/F6-1</f>
        <v>0.21837433181702215</v>
      </c>
      <c r="E40" s="286">
        <f>E39/D39-1</f>
        <v>0.50362844084102076</v>
      </c>
      <c r="F40" s="286">
        <f t="shared" ref="F40:H40" si="4">F39/E39-1</f>
        <v>0.37167471246327333</v>
      </c>
      <c r="G40" s="286">
        <f t="shared" si="4"/>
        <v>0.37167471246327333</v>
      </c>
      <c r="H40" s="286">
        <f t="shared" si="4"/>
        <v>0.37167471246327333</v>
      </c>
    </row>
    <row r="41" spans="1:8" x14ac:dyDescent="0.25">
      <c r="A41" s="162" t="s">
        <v>174</v>
      </c>
      <c r="D41" s="282">
        <f>'P&amp;L 2013-2018'!Q9</f>
        <v>6046993.068</v>
      </c>
      <c r="E41" s="282">
        <f>'P&amp;L 2013-2018'!V9</f>
        <v>8329568.0524000004</v>
      </c>
      <c r="F41" s="282">
        <f>'P&amp;L 2013-2018'!AA9</f>
        <v>10851061.130000001</v>
      </c>
      <c r="G41" s="282">
        <f>G39*Assumptions!I13</f>
        <v>15278068.892353185</v>
      </c>
      <c r="H41" s="282">
        <f>H39*Assumptions!J13</f>
        <v>20686360.109703716</v>
      </c>
    </row>
    <row r="42" spans="1:8" x14ac:dyDescent="0.25">
      <c r="A42" s="163"/>
    </row>
    <row r="43" spans="1:8" x14ac:dyDescent="0.25">
      <c r="A43" s="162"/>
    </row>
    <row r="44" spans="1:8" x14ac:dyDescent="0.25">
      <c r="A44" s="159" t="s">
        <v>151</v>
      </c>
      <c r="D44" s="261">
        <f>D39-D41</f>
        <v>3350883.7320000008</v>
      </c>
      <c r="E44" s="261">
        <f t="shared" ref="E44:H44" si="5">E39-E41</f>
        <v>5801346.7876000013</v>
      </c>
      <c r="F44" s="261">
        <f t="shared" si="5"/>
        <v>8531957.4200000037</v>
      </c>
      <c r="G44" s="261">
        <f t="shared" si="5"/>
        <v>11309127.503888365</v>
      </c>
      <c r="H44" s="261">
        <f t="shared" si="5"/>
        <v>15782624.862315487</v>
      </c>
    </row>
    <row r="45" spans="1:8" x14ac:dyDescent="0.25">
      <c r="A45" s="163" t="s">
        <v>157</v>
      </c>
      <c r="D45" s="290">
        <f>D44/D39</f>
        <v>0.35655752924958545</v>
      </c>
      <c r="E45" s="291">
        <f t="shared" ref="E45:H45" si="6">E44/E39</f>
        <v>0.41054290208998251</v>
      </c>
      <c r="F45" s="291">
        <f t="shared" si="6"/>
        <v>0.44017692074075848</v>
      </c>
      <c r="G45" s="291">
        <f t="shared" si="6"/>
        <v>0.42535991141537055</v>
      </c>
      <c r="H45" s="291">
        <f t="shared" si="6"/>
        <v>0.43276841607806449</v>
      </c>
    </row>
    <row r="46" spans="1:8" x14ac:dyDescent="0.25">
      <c r="A46" s="162" t="s">
        <v>155</v>
      </c>
      <c r="D46" s="284">
        <f>'P&amp;L 2013-2018'!Q15</f>
        <v>3336918.2442999999</v>
      </c>
      <c r="E46" s="283">
        <f>'P&amp;L 2013-2018'!V15</f>
        <v>3733443.89263369</v>
      </c>
      <c r="F46" s="283">
        <f>'P&amp;L 2013-2018'!AA15</f>
        <v>4013133.2556839501</v>
      </c>
      <c r="G46" s="283">
        <f>G39*Assumptions!I18</f>
        <v>6264578.2085239841</v>
      </c>
      <c r="H46" s="283">
        <f>H39*Assumptions!J18</f>
        <v>8071819.8446415514</v>
      </c>
    </row>
    <row r="47" spans="1:8" x14ac:dyDescent="0.25">
      <c r="A47" s="163"/>
    </row>
    <row r="48" spans="1:8" x14ac:dyDescent="0.25">
      <c r="A48" s="162"/>
    </row>
    <row r="49" spans="1:8" x14ac:dyDescent="0.25">
      <c r="A49" s="159" t="s">
        <v>152</v>
      </c>
      <c r="D49" s="261">
        <f>D52+D55</f>
        <v>125800.22162000088</v>
      </c>
      <c r="E49" s="261">
        <f t="shared" ref="E49:H49" si="7">E52+E55</f>
        <v>2236060.7815623111</v>
      </c>
      <c r="F49" s="261">
        <f t="shared" si="7"/>
        <v>4749482.0850610537</v>
      </c>
      <c r="G49" s="261">
        <f t="shared" si="7"/>
        <v>5360936.9324796554</v>
      </c>
      <c r="H49" s="261">
        <f t="shared" si="7"/>
        <v>8144785.9388409639</v>
      </c>
    </row>
    <row r="50" spans="1:8" x14ac:dyDescent="0.25">
      <c r="A50" s="161" t="s">
        <v>157</v>
      </c>
      <c r="D50" s="287">
        <f>D49/D39</f>
        <v>1.3386025832983985E-2</v>
      </c>
      <c r="E50" s="288">
        <f t="shared" ref="E50:H50" si="8">E49/E39</f>
        <v>0.15823892556713695</v>
      </c>
      <c r="F50" s="287">
        <f t="shared" si="8"/>
        <v>0.24503314965155687</v>
      </c>
      <c r="G50" s="287">
        <f t="shared" si="8"/>
        <v>0.20163603760934698</v>
      </c>
      <c r="H50" s="287">
        <f t="shared" si="8"/>
        <v>0.22333459363045186</v>
      </c>
    </row>
    <row r="51" spans="1:8" x14ac:dyDescent="0.25">
      <c r="A51" s="161"/>
      <c r="D51" s="289"/>
      <c r="E51" s="292"/>
      <c r="F51" s="289"/>
      <c r="G51" s="289"/>
      <c r="H51" s="289"/>
    </row>
    <row r="52" spans="1:8" x14ac:dyDescent="0.25">
      <c r="A52" s="159" t="s">
        <v>158</v>
      </c>
      <c r="D52" s="293">
        <f>D39*Assumptions!F23</f>
        <v>111834.73392000001</v>
      </c>
      <c r="E52" s="294">
        <f>E39*Assumptions!G23</f>
        <v>168157.88659600003</v>
      </c>
      <c r="F52" s="293">
        <f>F39*Assumptions!H23</f>
        <v>230657.92074500007</v>
      </c>
      <c r="G52" s="293">
        <f>G39*Assumptions!I23</f>
        <v>316387.63711527444</v>
      </c>
      <c r="H52" s="293">
        <f>H39*Assumptions!J23</f>
        <v>433980.92116702854</v>
      </c>
    </row>
    <row r="53" spans="1:8" x14ac:dyDescent="0.25">
      <c r="A53" s="161"/>
      <c r="D53" s="295">
        <f>Assumptions!F23</f>
        <v>1.1900000000000001E-2</v>
      </c>
    </row>
    <row r="54" spans="1:8" x14ac:dyDescent="0.25">
      <c r="A54" s="162"/>
      <c r="D54" s="182"/>
      <c r="E54" s="182"/>
      <c r="F54" s="182"/>
      <c r="G54" s="182"/>
      <c r="H54" s="182"/>
    </row>
    <row r="55" spans="1:8" x14ac:dyDescent="0.25">
      <c r="A55" s="159" t="s">
        <v>153</v>
      </c>
      <c r="D55" s="284">
        <f>D44-D46</f>
        <v>13965.487700000871</v>
      </c>
      <c r="E55" s="284">
        <f t="shared" ref="E55:H55" si="9">E44-E46</f>
        <v>2067902.8949663113</v>
      </c>
      <c r="F55" s="284">
        <f t="shared" si="9"/>
        <v>4518824.1643160535</v>
      </c>
      <c r="G55" s="284">
        <f t="shared" si="9"/>
        <v>5044549.2953643808</v>
      </c>
      <c r="H55" s="284">
        <f t="shared" si="9"/>
        <v>7710805.0176739357</v>
      </c>
    </row>
    <row r="56" spans="1:8" x14ac:dyDescent="0.25">
      <c r="A56" s="161" t="s">
        <v>157</v>
      </c>
      <c r="D56" s="296"/>
      <c r="E56" s="296"/>
      <c r="F56" s="296"/>
      <c r="G56" s="296"/>
      <c r="H56" s="296"/>
    </row>
    <row r="57" spans="1:8" x14ac:dyDescent="0.25">
      <c r="A57" s="160" t="s">
        <v>175</v>
      </c>
      <c r="D57" s="281">
        <f>'P&amp;L 2013-2018'!Q28</f>
        <v>114717.39508000012</v>
      </c>
      <c r="E57" s="281">
        <f>'P&amp;L 2013-2018'!V28</f>
        <v>798281.15798652428</v>
      </c>
      <c r="F57" s="281">
        <f>'P&amp;L 2013-2018'!AA28</f>
        <v>1778649.6657264212</v>
      </c>
      <c r="G57" s="281">
        <f>G39*Assumptions!H28</f>
        <v>2446022.0684542223</v>
      </c>
      <c r="H57" s="281">
        <f>H39*Assumptions!H28</f>
        <v>3355146.6174257668</v>
      </c>
    </row>
    <row r="58" spans="1:8" x14ac:dyDescent="0.25">
      <c r="A58" s="159" t="s">
        <v>154</v>
      </c>
      <c r="D58" s="297">
        <f>D55-D57</f>
        <v>-100751.90737999925</v>
      </c>
      <c r="E58" s="297">
        <f t="shared" ref="E58:H58" si="10">E55-E57</f>
        <v>1269621.736979787</v>
      </c>
      <c r="F58" s="297">
        <f t="shared" si="10"/>
        <v>2740174.4985896321</v>
      </c>
      <c r="G58" s="297">
        <f t="shared" si="10"/>
        <v>2598527.2269101585</v>
      </c>
      <c r="H58" s="297">
        <f t="shared" si="10"/>
        <v>4355658.400248169</v>
      </c>
    </row>
    <row r="59" spans="1:8" x14ac:dyDescent="0.25">
      <c r="A59" s="159"/>
      <c r="D59" s="289"/>
      <c r="E59" s="289"/>
      <c r="F59" s="289"/>
      <c r="G59" s="289"/>
      <c r="H59" s="289"/>
    </row>
    <row r="60" spans="1:8" x14ac:dyDescent="0.25">
      <c r="A60" s="160" t="s">
        <v>160</v>
      </c>
      <c r="D60" s="275">
        <f>D52</f>
        <v>111834.73392000001</v>
      </c>
      <c r="E60" s="275">
        <f t="shared" ref="E60:H60" si="11">E52</f>
        <v>168157.88659600003</v>
      </c>
      <c r="F60" s="275">
        <f t="shared" si="11"/>
        <v>230657.92074500007</v>
      </c>
      <c r="G60" s="275">
        <f t="shared" si="11"/>
        <v>316387.63711527444</v>
      </c>
      <c r="H60" s="275">
        <f t="shared" si="11"/>
        <v>433980.92116702854</v>
      </c>
    </row>
    <row r="61" spans="1:8" x14ac:dyDescent="0.25">
      <c r="A61" s="160" t="s">
        <v>161</v>
      </c>
      <c r="D61" s="298">
        <f>D39*Assumptions!F34</f>
        <v>174800.50847999999</v>
      </c>
      <c r="E61" s="298">
        <f>E39*Assumptions!G34</f>
        <v>262835.01602400001</v>
      </c>
      <c r="F61" s="298">
        <f>F39*Assumptions!H34</f>
        <v>360524.14503000007</v>
      </c>
      <c r="G61" s="298">
        <f>G39*Assumptions!I34</f>
        <v>494521.85297009279</v>
      </c>
      <c r="H61" s="298">
        <f>H39*Assumptions!J34</f>
        <v>678323.12047955708</v>
      </c>
    </row>
    <row r="62" spans="1:8" x14ac:dyDescent="0.25">
      <c r="A62" s="160" t="s">
        <v>162</v>
      </c>
      <c r="D62" s="278">
        <v>0</v>
      </c>
      <c r="E62" s="278">
        <v>0</v>
      </c>
      <c r="F62" s="278">
        <v>0</v>
      </c>
      <c r="G62" s="278">
        <v>0</v>
      </c>
      <c r="H62" s="278">
        <v>0</v>
      </c>
    </row>
    <row r="64" spans="1:8" x14ac:dyDescent="0.25">
      <c r="A64" s="160" t="s">
        <v>176</v>
      </c>
      <c r="D64" s="261">
        <f>D58+D60-D61-D62</f>
        <v>-163717.68193999922</v>
      </c>
      <c r="E64" s="261">
        <f t="shared" ref="E64:H64" si="12">E58+E60-E61-E62</f>
        <v>1174944.607551787</v>
      </c>
      <c r="F64" s="261">
        <f t="shared" si="12"/>
        <v>2610308.2743046321</v>
      </c>
      <c r="G64" s="273">
        <f>G58+G60-G61-G62</f>
        <v>2420393.0110553401</v>
      </c>
      <c r="H64" s="261">
        <f t="shared" si="12"/>
        <v>4111316.2009356399</v>
      </c>
    </row>
    <row r="65" spans="1:8" x14ac:dyDescent="0.25">
      <c r="A65" s="160" t="s">
        <v>177</v>
      </c>
      <c r="C65" s="299">
        <f>WACC!D26</f>
        <v>7.9315495014933707E-2</v>
      </c>
    </row>
    <row r="66" spans="1:8" x14ac:dyDescent="0.25">
      <c r="A66" s="160" t="s">
        <v>178</v>
      </c>
      <c r="D66">
        <v>1</v>
      </c>
      <c r="E66">
        <v>2</v>
      </c>
      <c r="F66">
        <v>3</v>
      </c>
      <c r="G66">
        <v>4</v>
      </c>
      <c r="H66">
        <v>5</v>
      </c>
    </row>
    <row r="67" spans="1:8" x14ac:dyDescent="0.25">
      <c r="A67" s="160" t="s">
        <v>179</v>
      </c>
      <c r="D67" s="173">
        <f>1/POWER(1+C65,D66)</f>
        <v>0.92651315080597796</v>
      </c>
      <c r="E67" s="174">
        <f>1/POWER(1+C65,E66)</f>
        <v>0.85842661861642078</v>
      </c>
      <c r="F67" s="174">
        <f>1/POWER(1+C65,F66)</f>
        <v>0.79534355115002164</v>
      </c>
      <c r="G67" s="174">
        <f>1/POWER(C65+1,G66)</f>
        <v>0.736896259549222</v>
      </c>
      <c r="H67" s="174">
        <f>1/POWER(1+C65,H66)</f>
        <v>0.68274407525208936</v>
      </c>
    </row>
    <row r="68" spans="1:8" x14ac:dyDescent="0.25">
      <c r="A68" s="301" t="s">
        <v>180</v>
      </c>
      <c r="B68" s="300"/>
      <c r="C68" s="300"/>
      <c r="D68" s="262">
        <f>D67*D64</f>
        <v>-151686.58533687962</v>
      </c>
      <c r="E68" s="262">
        <f t="shared" ref="E68:F68" si="13">E67*E64</f>
        <v>1008603.726522278</v>
      </c>
      <c r="F68" s="262">
        <f t="shared" si="13"/>
        <v>2076091.852481731</v>
      </c>
      <c r="G68" s="262">
        <f t="shared" ref="G68" si="14">G67*G64</f>
        <v>1783578.5564857589</v>
      </c>
      <c r="H68" s="262">
        <f t="shared" ref="H68" si="15">H67*H64</f>
        <v>2806976.7776767365</v>
      </c>
    </row>
    <row r="72" spans="1:8" x14ac:dyDescent="0.25">
      <c r="A72" s="350" t="s">
        <v>181</v>
      </c>
      <c r="B72" s="350"/>
      <c r="C72" s="350"/>
      <c r="D72" s="351" t="s">
        <v>74</v>
      </c>
      <c r="E72" s="351"/>
      <c r="F72" s="351"/>
      <c r="G72" s="351"/>
      <c r="H72" s="351"/>
    </row>
    <row r="73" spans="1:8" x14ac:dyDescent="0.25">
      <c r="A73" s="28"/>
      <c r="D73" s="169" t="s">
        <v>45</v>
      </c>
      <c r="E73" s="170">
        <v>2017</v>
      </c>
      <c r="F73" s="171">
        <v>2018</v>
      </c>
      <c r="G73" s="171">
        <v>2019</v>
      </c>
      <c r="H73" s="171">
        <v>2020</v>
      </c>
    </row>
    <row r="74" spans="1:8" x14ac:dyDescent="0.25">
      <c r="A74" s="168" t="s">
        <v>54</v>
      </c>
      <c r="D74" s="176">
        <v>9908679.9068</v>
      </c>
      <c r="E74" s="176">
        <f>D74*(1+Assumptions!G9)</f>
        <v>15048681.709422065</v>
      </c>
      <c r="F74" s="176">
        <f>E74*(1+Assumptions!H9)</f>
        <v>20809692.590141855</v>
      </c>
      <c r="G74" s="176">
        <f>F74*(1+Assumptions!I9)</f>
        <v>28776162.195328642</v>
      </c>
      <c r="H74" s="176">
        <f>G74*(1+Assumptions!J9)</f>
        <v>39792395.159366287</v>
      </c>
    </row>
    <row r="75" spans="1:8" x14ac:dyDescent="0.25">
      <c r="A75" s="161" t="s">
        <v>173</v>
      </c>
      <c r="D75" s="157">
        <f>D74/F6-1</f>
        <v>0.28459667194575289</v>
      </c>
      <c r="E75" s="157">
        <f>E74/D74-1</f>
        <v>0.51873729406625113</v>
      </c>
      <c r="F75" s="157">
        <f>F74/E74-1</f>
        <v>0.38282495383717152</v>
      </c>
      <c r="G75" s="157">
        <f>G74/F74-1</f>
        <v>0.38282495383717152</v>
      </c>
      <c r="H75" s="157">
        <f>H74/G74-1</f>
        <v>0.38282495383717152</v>
      </c>
    </row>
    <row r="76" spans="1:8" x14ac:dyDescent="0.25">
      <c r="A76" s="162" t="s">
        <v>174</v>
      </c>
      <c r="D76" s="176">
        <f>D74*Assumptions!F14</f>
        <v>6184395.5166731877</v>
      </c>
      <c r="E76" s="176">
        <f>E74*Assumptions!G14</f>
        <v>8604435.6803732682</v>
      </c>
      <c r="F76" s="176">
        <f>F74*Assumptions!H14</f>
        <v>11300253.79872389</v>
      </c>
      <c r="G76" s="176">
        <f>G74*Assumptions!I14</f>
        <v>16039858.301257838</v>
      </c>
      <c r="H76" s="176">
        <f>H74*Assumptions!J14</f>
        <v>21894358.234266054</v>
      </c>
    </row>
    <row r="77" spans="1:8" x14ac:dyDescent="0.25">
      <c r="A77" s="163"/>
    </row>
    <row r="78" spans="1:8" x14ac:dyDescent="0.25">
      <c r="A78" s="162"/>
    </row>
    <row r="79" spans="1:8" x14ac:dyDescent="0.25">
      <c r="A79" s="159" t="s">
        <v>151</v>
      </c>
      <c r="D79" s="261">
        <f>D74-D76</f>
        <v>3724284.3901268123</v>
      </c>
      <c r="E79" s="261">
        <f t="shared" ref="E79:H79" si="16">E74-E76</f>
        <v>6444246.0290487967</v>
      </c>
      <c r="F79" s="261">
        <f t="shared" si="16"/>
        <v>9509438.7914179657</v>
      </c>
      <c r="G79" s="261">
        <f t="shared" si="16"/>
        <v>12736303.894070804</v>
      </c>
      <c r="H79" s="261">
        <f t="shared" si="16"/>
        <v>17898036.925100233</v>
      </c>
    </row>
    <row r="80" spans="1:8" x14ac:dyDescent="0.25">
      <c r="A80" s="163" t="s">
        <v>157</v>
      </c>
      <c r="D80" s="290">
        <f>D79/D74</f>
        <v>0.37586080337209793</v>
      </c>
      <c r="E80" s="291">
        <f t="shared" ref="E80:H80" si="17">E79/E74</f>
        <v>0.42822661502728293</v>
      </c>
      <c r="F80" s="291">
        <f t="shared" si="17"/>
        <v>0.45697161311853585</v>
      </c>
      <c r="G80" s="291">
        <f t="shared" si="17"/>
        <v>0.44259911407290936</v>
      </c>
      <c r="H80" s="290">
        <f t="shared" si="17"/>
        <v>0.44978536359572252</v>
      </c>
    </row>
    <row r="81" spans="1:8" x14ac:dyDescent="0.25">
      <c r="A81" s="162" t="s">
        <v>155</v>
      </c>
      <c r="D81" s="176">
        <f>D74*Assumptions!F19</f>
        <v>3412741.1752399062</v>
      </c>
      <c r="E81" s="176">
        <f>E74*Assumptions!G19</f>
        <v>3856643.9025842445</v>
      </c>
      <c r="F81" s="176">
        <f>F74*Assumptions!H19</f>
        <v>4179261.7121978858</v>
      </c>
      <c r="G81" s="176">
        <f>G74*Assumptions!I19</f>
        <v>6576940.2854417693</v>
      </c>
      <c r="H81" s="305">
        <f>H74*Assumptions!J19</f>
        <v>8543180.8372193649</v>
      </c>
    </row>
    <row r="82" spans="1:8" x14ac:dyDescent="0.25">
      <c r="A82" s="163"/>
    </row>
    <row r="83" spans="1:8" x14ac:dyDescent="0.25">
      <c r="A83" s="162"/>
    </row>
    <row r="84" spans="1:8" x14ac:dyDescent="0.25">
      <c r="A84" s="159" t="s">
        <v>152</v>
      </c>
      <c r="D84" s="262">
        <f>D87+D90</f>
        <v>409639.1459642261</v>
      </c>
      <c r="E84" s="262">
        <f t="shared" ref="E84:H84" si="18">E87+E90</f>
        <v>2707991.580139929</v>
      </c>
      <c r="F84" s="262">
        <f t="shared" si="18"/>
        <v>5496654.619941215</v>
      </c>
      <c r="G84" s="262">
        <f t="shared" si="18"/>
        <v>6389572.9061916638</v>
      </c>
      <c r="H84" s="262">
        <f t="shared" si="18"/>
        <v>9673195.2491557989</v>
      </c>
    </row>
    <row r="85" spans="1:8" x14ac:dyDescent="0.25">
      <c r="A85" s="161" t="s">
        <v>157</v>
      </c>
      <c r="D85" s="287">
        <f>D84/D74</f>
        <v>4.1341445057994482E-2</v>
      </c>
      <c r="E85" s="287">
        <f t="shared" ref="E85:H85" si="19">E84/E74</f>
        <v>0.17994875780012279</v>
      </c>
      <c r="F85" s="287">
        <f t="shared" si="19"/>
        <v>0.26413915516201025</v>
      </c>
      <c r="G85" s="287">
        <f t="shared" si="19"/>
        <v>0.22204395648106651</v>
      </c>
      <c r="H85" s="287">
        <f t="shared" si="19"/>
        <v>0.24309155582153827</v>
      </c>
    </row>
    <row r="86" spans="1:8" x14ac:dyDescent="0.25">
      <c r="A86" s="161"/>
      <c r="D86" s="289"/>
      <c r="E86" s="289"/>
      <c r="F86" s="289"/>
      <c r="G86" s="289"/>
      <c r="H86" s="289"/>
    </row>
    <row r="87" spans="1:8" x14ac:dyDescent="0.25">
      <c r="A87" s="159" t="s">
        <v>158</v>
      </c>
      <c r="D87" s="293">
        <f>D74*Assumptions!F24</f>
        <v>98095.931077320012</v>
      </c>
      <c r="E87" s="293">
        <f>E74*Assumptions!G24</f>
        <v>120389.45367537653</v>
      </c>
      <c r="F87" s="293">
        <f>F74*Assumptions!H24</f>
        <v>166477.54072113484</v>
      </c>
      <c r="G87" s="293">
        <f>G74*Assumptions!I24</f>
        <v>230209.29756262913</v>
      </c>
      <c r="H87" s="293">
        <f>H74*Assumptions!J24</f>
        <v>318339.16127493029</v>
      </c>
    </row>
    <row r="88" spans="1:8" x14ac:dyDescent="0.25">
      <c r="A88" s="161"/>
      <c r="D88" s="304"/>
      <c r="E88" s="303"/>
      <c r="F88" s="303"/>
      <c r="G88" s="303"/>
      <c r="H88" s="303"/>
    </row>
    <row r="89" spans="1:8" x14ac:dyDescent="0.25">
      <c r="A89" s="162"/>
    </row>
    <row r="90" spans="1:8" x14ac:dyDescent="0.25">
      <c r="A90" s="159" t="s">
        <v>153</v>
      </c>
      <c r="D90" s="305">
        <f>D79-D81</f>
        <v>311543.21488690609</v>
      </c>
      <c r="E90" s="305">
        <f t="shared" ref="E90:H90" si="20">E79-E81</f>
        <v>2587602.1264645522</v>
      </c>
      <c r="F90" s="305">
        <f t="shared" si="20"/>
        <v>5330177.0792200798</v>
      </c>
      <c r="G90" s="305">
        <f t="shared" si="20"/>
        <v>6159363.6086290348</v>
      </c>
      <c r="H90" s="305">
        <f t="shared" si="20"/>
        <v>9354856.0878808685</v>
      </c>
    </row>
    <row r="91" spans="1:8" x14ac:dyDescent="0.25">
      <c r="A91" s="161" t="s">
        <v>157</v>
      </c>
      <c r="D91" s="287">
        <f>D90/D74</f>
        <v>3.1441445057994483E-2</v>
      </c>
      <c r="E91" s="287">
        <f t="shared" ref="E91:H91" si="21">E90/E74</f>
        <v>0.17194875780012278</v>
      </c>
      <c r="F91" s="287">
        <f t="shared" si="21"/>
        <v>0.25613915516201025</v>
      </c>
      <c r="G91" s="287">
        <f t="shared" si="21"/>
        <v>0.2140439564810665</v>
      </c>
      <c r="H91" s="287">
        <f t="shared" si="21"/>
        <v>0.23509155582153826</v>
      </c>
    </row>
    <row r="92" spans="1:8" x14ac:dyDescent="0.25">
      <c r="A92" s="160" t="s">
        <v>175</v>
      </c>
      <c r="D92" s="111">
        <f>D74*Assumptions!F29</f>
        <v>126221.56963497052</v>
      </c>
      <c r="E92" s="111">
        <f>E74*Assumptions!G29</f>
        <v>850127.48269934882</v>
      </c>
      <c r="F92" s="111">
        <f>F74*Assumptions!H29</f>
        <v>1909565.9777576483</v>
      </c>
      <c r="G92" s="111">
        <f>G74*Assumptions!I29</f>
        <v>2133106.6915448378</v>
      </c>
      <c r="H92" s="111">
        <f>H74*Assumptions!J29</f>
        <v>3300597.245985379</v>
      </c>
    </row>
    <row r="93" spans="1:8" x14ac:dyDescent="0.25">
      <c r="A93" s="159" t="s">
        <v>154</v>
      </c>
      <c r="D93" s="306">
        <f>D90-D92</f>
        <v>185321.64525193558</v>
      </c>
      <c r="E93" s="306">
        <f t="shared" ref="E93:H93" si="22">E90-E92</f>
        <v>1737474.6437652034</v>
      </c>
      <c r="F93" s="306">
        <f t="shared" si="22"/>
        <v>3420611.1014624313</v>
      </c>
      <c r="G93" s="306">
        <f t="shared" si="22"/>
        <v>4026256.917084197</v>
      </c>
      <c r="H93" s="306">
        <f t="shared" si="22"/>
        <v>6054258.841895489</v>
      </c>
    </row>
    <row r="94" spans="1:8" x14ac:dyDescent="0.25">
      <c r="A94" s="159"/>
    </row>
    <row r="95" spans="1:8" x14ac:dyDescent="0.25">
      <c r="A95" s="160" t="s">
        <v>160</v>
      </c>
      <c r="D95" s="275">
        <f>D87</f>
        <v>98095.931077320012</v>
      </c>
      <c r="E95" s="275">
        <f t="shared" ref="E95:H95" si="23">E87</f>
        <v>120389.45367537653</v>
      </c>
      <c r="F95" s="275">
        <f t="shared" si="23"/>
        <v>166477.54072113484</v>
      </c>
      <c r="G95" s="275">
        <f t="shared" si="23"/>
        <v>230209.29756262913</v>
      </c>
      <c r="H95" s="275">
        <f t="shared" si="23"/>
        <v>318339.16127493029</v>
      </c>
    </row>
    <row r="96" spans="1:8" x14ac:dyDescent="0.25">
      <c r="A96" s="160" t="s">
        <v>161</v>
      </c>
      <c r="D96" s="302">
        <f>D74*Assumptions!F35</f>
        <v>147441.15701318398</v>
      </c>
      <c r="E96" s="302">
        <f>E74*Assumptions!G35</f>
        <v>223924.38383620032</v>
      </c>
      <c r="F96" s="302">
        <f>F74*Assumptions!H35</f>
        <v>309648.2257413108</v>
      </c>
      <c r="G96" s="302">
        <f>G74*Assumptions!I35</f>
        <v>428189.29346649017</v>
      </c>
      <c r="H96" s="302">
        <f>H74*Assumptions!J35</f>
        <v>592110.8399713703</v>
      </c>
    </row>
    <row r="97" spans="1:8" x14ac:dyDescent="0.25">
      <c r="A97" s="160" t="s">
        <v>162</v>
      </c>
      <c r="D97" s="277">
        <v>0</v>
      </c>
      <c r="E97" s="277">
        <v>0</v>
      </c>
      <c r="F97" s="277">
        <v>0</v>
      </c>
      <c r="G97" s="277">
        <v>0</v>
      </c>
      <c r="H97" s="277">
        <v>0</v>
      </c>
    </row>
    <row r="99" spans="1:8" x14ac:dyDescent="0.25">
      <c r="A99" s="160" t="s">
        <v>176</v>
      </c>
      <c r="D99" s="261">
        <f>D93+D95-D96-D97</f>
        <v>135976.41931607161</v>
      </c>
      <c r="E99" s="261">
        <f t="shared" ref="E99:H99" si="24">E93+E95-E96-E97</f>
        <v>1633939.7136043797</v>
      </c>
      <c r="F99" s="261">
        <f t="shared" si="24"/>
        <v>3277440.416442255</v>
      </c>
      <c r="G99" s="261">
        <f t="shared" si="24"/>
        <v>3828276.9211803363</v>
      </c>
      <c r="H99" s="261">
        <f t="shared" si="24"/>
        <v>5780487.1631990494</v>
      </c>
    </row>
    <row r="100" spans="1:8" x14ac:dyDescent="0.25">
      <c r="A100" s="160" t="s">
        <v>177</v>
      </c>
      <c r="C100" s="311">
        <f>WACC!D26</f>
        <v>7.9315495014933707E-2</v>
      </c>
    </row>
    <row r="101" spans="1:8" x14ac:dyDescent="0.25">
      <c r="A101" s="160" t="s">
        <v>178</v>
      </c>
      <c r="D101">
        <v>1</v>
      </c>
      <c r="E101">
        <v>2</v>
      </c>
      <c r="F101">
        <v>3</v>
      </c>
      <c r="G101">
        <v>4</v>
      </c>
      <c r="H101">
        <v>5</v>
      </c>
    </row>
    <row r="102" spans="1:8" x14ac:dyDescent="0.25">
      <c r="A102" s="160" t="s">
        <v>179</v>
      </c>
      <c r="D102" s="174">
        <f>1/POWER(1+$C$100,D101)</f>
        <v>0.92651315080597796</v>
      </c>
      <c r="E102" s="174">
        <f t="shared" ref="E102:H102" si="25">1/POWER(1+$C$100,E101)</f>
        <v>0.85842661861642078</v>
      </c>
      <c r="F102" s="174">
        <f t="shared" si="25"/>
        <v>0.79534355115002164</v>
      </c>
      <c r="G102" s="174">
        <f t="shared" si="25"/>
        <v>0.736896259549222</v>
      </c>
      <c r="H102" s="174">
        <f t="shared" si="25"/>
        <v>0.68274407525208936</v>
      </c>
    </row>
    <row r="103" spans="1:8" x14ac:dyDescent="0.25">
      <c r="A103" s="314" t="s">
        <v>180</v>
      </c>
      <c r="B103" s="313"/>
      <c r="C103" s="312"/>
      <c r="D103" s="261">
        <f>D102*D99</f>
        <v>125983.94069584835</v>
      </c>
      <c r="E103" s="261">
        <f t="shared" ref="E103:H103" si="26">E102*E99</f>
        <v>1402617.3433724907</v>
      </c>
      <c r="F103" s="261">
        <f t="shared" si="26"/>
        <v>2606691.099495789</v>
      </c>
      <c r="G103" s="261">
        <f t="shared" si="26"/>
        <v>2821042.9437364014</v>
      </c>
      <c r="H103" s="261">
        <f t="shared" si="26"/>
        <v>3946593.3627449083</v>
      </c>
    </row>
    <row r="106" spans="1:8" x14ac:dyDescent="0.25">
      <c r="A106" s="349" t="s">
        <v>183</v>
      </c>
      <c r="B106" s="349"/>
      <c r="C106" s="349"/>
      <c r="D106" s="351" t="s">
        <v>74</v>
      </c>
      <c r="E106" s="351"/>
      <c r="F106" s="351"/>
      <c r="G106" s="351"/>
      <c r="H106" s="351"/>
    </row>
    <row r="107" spans="1:8" x14ac:dyDescent="0.25">
      <c r="A107" s="168"/>
      <c r="B107" s="28"/>
      <c r="C107" s="28"/>
      <c r="D107" s="169" t="s">
        <v>45</v>
      </c>
      <c r="E107" s="170">
        <v>2017</v>
      </c>
      <c r="F107" s="171">
        <v>2018</v>
      </c>
      <c r="G107" s="171">
        <v>2019</v>
      </c>
      <c r="H107" s="171">
        <v>2020</v>
      </c>
    </row>
    <row r="108" spans="1:8" x14ac:dyDescent="0.25">
      <c r="A108" s="168" t="s">
        <v>54</v>
      </c>
      <c r="B108" s="28"/>
      <c r="C108" s="28"/>
      <c r="D108" s="175">
        <v>9091055.2131999992</v>
      </c>
      <c r="E108" s="175">
        <f>D108*(1+Assumptions!G10)</f>
        <v>13532213.756944841</v>
      </c>
      <c r="F108" s="175">
        <f>E108*(1+Assumptions!H10)</f>
        <v>18410907.964335747</v>
      </c>
      <c r="G108" s="175">
        <f>F108*(1+Assumptions!I10)</f>
        <v>25048490.820453055</v>
      </c>
      <c r="H108" s="175">
        <f>G108*(1+Assumptions!J10)</f>
        <v>34079084.725083962</v>
      </c>
    </row>
    <row r="109" spans="1:8" x14ac:dyDescent="0.25">
      <c r="A109" s="161" t="s">
        <v>173</v>
      </c>
      <c r="B109" s="28"/>
      <c r="C109" s="28"/>
      <c r="D109" s="103">
        <f>D108/F6-1</f>
        <v>0.17859688487235803</v>
      </c>
      <c r="E109" s="103">
        <f>E108/D108-1</f>
        <v>0.48851958761578995</v>
      </c>
      <c r="F109" s="103">
        <f t="shared" ref="F109:H109" si="27">F108/E108-1</f>
        <v>0.36052447108937535</v>
      </c>
      <c r="G109" s="103">
        <f t="shared" si="27"/>
        <v>0.36052447108937513</v>
      </c>
      <c r="H109" s="103">
        <f t="shared" si="27"/>
        <v>0.36052447108937513</v>
      </c>
    </row>
    <row r="110" spans="1:8" x14ac:dyDescent="0.25">
      <c r="A110" s="162" t="s">
        <v>174</v>
      </c>
      <c r="B110" s="28"/>
      <c r="C110" s="28"/>
      <c r="D110" s="175">
        <f>D108*Assumptions!F15</f>
        <v>5908066.7383909421</v>
      </c>
      <c r="E110" s="175">
        <f>E108*Assumptions!G15</f>
        <v>8056426.043961389</v>
      </c>
      <c r="F110" s="175">
        <f>F108*Assumptions!H15</f>
        <v>10409919.70043846</v>
      </c>
      <c r="G110" s="175">
        <f>G108*Assumptions!I15</f>
        <v>14537805.653816186</v>
      </c>
      <c r="H110" s="175">
        <f>H108*Assumptions!J15</f>
        <v>19524040.539291404</v>
      </c>
    </row>
    <row r="111" spans="1:8" x14ac:dyDescent="0.25">
      <c r="A111" s="163"/>
      <c r="B111" s="28"/>
      <c r="C111" s="28"/>
    </row>
    <row r="112" spans="1:8" x14ac:dyDescent="0.25">
      <c r="A112" s="162"/>
      <c r="B112" s="28"/>
      <c r="C112" s="28"/>
    </row>
    <row r="113" spans="1:8" x14ac:dyDescent="0.25">
      <c r="A113" s="159" t="s">
        <v>151</v>
      </c>
      <c r="B113" s="28"/>
      <c r="C113" s="28"/>
      <c r="D113" s="261">
        <f>D108-D110</f>
        <v>3182988.4748090571</v>
      </c>
      <c r="E113" s="261">
        <f t="shared" ref="E113:H113" si="28">E108-E110</f>
        <v>5475787.7129834518</v>
      </c>
      <c r="F113" s="261">
        <f t="shared" si="28"/>
        <v>8000988.2638972867</v>
      </c>
      <c r="G113" s="261">
        <f t="shared" si="28"/>
        <v>10510685.166636869</v>
      </c>
      <c r="H113" s="261">
        <f t="shared" si="28"/>
        <v>14555044.185792558</v>
      </c>
    </row>
    <row r="114" spans="1:8" x14ac:dyDescent="0.25">
      <c r="A114" s="163" t="s">
        <v>157</v>
      </c>
      <c r="B114" s="28"/>
      <c r="C114" s="28"/>
      <c r="D114" s="307">
        <f>D113/D108</f>
        <v>0.35012310454208134</v>
      </c>
      <c r="E114" s="307">
        <f t="shared" ref="E114:H114" si="29">E113/E108</f>
        <v>0.40464833111088228</v>
      </c>
      <c r="F114" s="307">
        <f t="shared" si="29"/>
        <v>0.43457868994816612</v>
      </c>
      <c r="G114" s="307">
        <f t="shared" si="29"/>
        <v>0.41961351052952423</v>
      </c>
      <c r="H114" s="307">
        <f t="shared" si="29"/>
        <v>0.4270961002388452</v>
      </c>
    </row>
    <row r="115" spans="1:8" x14ac:dyDescent="0.25">
      <c r="A115" s="162" t="s">
        <v>155</v>
      </c>
      <c r="B115" s="28"/>
      <c r="C115" s="28"/>
      <c r="D115" s="175">
        <f>D108*Assumptions!F20</f>
        <v>3260254.3886161991</v>
      </c>
      <c r="E115" s="175">
        <f>E108*Assumptions!G20</f>
        <v>3611017.3325994024</v>
      </c>
      <c r="F115" s="175">
        <f>F108*Assumptions!H20</f>
        <v>3849982.4522534125</v>
      </c>
      <c r="G115" s="175">
        <f>G108*Assumptions!I20</f>
        <v>5961042.6645108685</v>
      </c>
      <c r="H115" s="175">
        <f>H108*Assumptions!J20</f>
        <v>7618282.6285960702</v>
      </c>
    </row>
    <row r="116" spans="1:8" x14ac:dyDescent="0.25">
      <c r="A116" s="163"/>
      <c r="B116" s="28"/>
      <c r="C116" s="28"/>
    </row>
    <row r="117" spans="1:8" x14ac:dyDescent="0.25">
      <c r="A117" s="162"/>
      <c r="B117" s="28"/>
      <c r="C117" s="28"/>
    </row>
    <row r="118" spans="1:8" x14ac:dyDescent="0.25">
      <c r="A118" s="159" t="s">
        <v>152</v>
      </c>
      <c r="B118" s="28"/>
      <c r="C118" s="28"/>
      <c r="D118" s="262">
        <f>D124+D121</f>
        <v>53645.281262937919</v>
      </c>
      <c r="E118" s="262">
        <f t="shared" ref="E118:H118" si="30">E124+E121</f>
        <v>2033923.0523458598</v>
      </c>
      <c r="F118" s="262">
        <f t="shared" si="30"/>
        <v>4381142.1611980712</v>
      </c>
      <c r="G118" s="262">
        <f t="shared" si="30"/>
        <v>4862748.6373816635</v>
      </c>
      <c r="H118" s="262">
        <f t="shared" si="30"/>
        <v>7362750.1162600368</v>
      </c>
    </row>
    <row r="119" spans="1:8" x14ac:dyDescent="0.25">
      <c r="A119" s="161" t="s">
        <v>157</v>
      </c>
      <c r="B119" s="28"/>
      <c r="C119" s="28"/>
      <c r="D119" s="296">
        <f>D118/D113</f>
        <v>1.685374662443791E-2</v>
      </c>
      <c r="E119" s="296">
        <f t="shared" ref="E119" si="31">E118/E113</f>
        <v>0.3714393542911269</v>
      </c>
      <c r="F119" s="296">
        <f t="shared" ref="F119" si="32">F118/F113</f>
        <v>0.54757512655868013</v>
      </c>
      <c r="G119" s="296">
        <f t="shared" ref="G119" si="33">G118/G113</f>
        <v>0.46264811097349323</v>
      </c>
      <c r="H119" s="296">
        <f t="shared" ref="H119" si="34">H118/H113</f>
        <v>0.50585556610312121</v>
      </c>
    </row>
    <row r="120" spans="1:8" x14ac:dyDescent="0.25">
      <c r="A120" s="161"/>
      <c r="B120" s="177"/>
      <c r="C120" s="177"/>
      <c r="D120" s="289"/>
      <c r="E120" s="289"/>
      <c r="F120" s="289"/>
      <c r="G120" s="289"/>
      <c r="H120" s="289"/>
    </row>
    <row r="121" spans="1:8" x14ac:dyDescent="0.25">
      <c r="A121" s="159" t="s">
        <v>158</v>
      </c>
      <c r="B121" s="178"/>
      <c r="C121" s="178"/>
      <c r="D121" s="309">
        <f>D108*Assumptions!F25</f>
        <v>130911.19507007998</v>
      </c>
      <c r="E121" s="309">
        <f>E108*Assumptions!G25</f>
        <v>169152.67196181053</v>
      </c>
      <c r="F121" s="309">
        <f>F108*Assumptions!H25</f>
        <v>230136.34955419684</v>
      </c>
      <c r="G121" s="309">
        <f>G108*Assumptions!I25</f>
        <v>313106.13525566319</v>
      </c>
      <c r="H121" s="309">
        <f>H108*Assumptions!J25</f>
        <v>425988.55906354956</v>
      </c>
    </row>
    <row r="122" spans="1:8" x14ac:dyDescent="0.25">
      <c r="A122" s="161"/>
      <c r="B122" s="28"/>
      <c r="C122" s="28"/>
    </row>
    <row r="123" spans="1:8" x14ac:dyDescent="0.25">
      <c r="A123" s="162"/>
      <c r="B123" s="28"/>
      <c r="C123" s="28"/>
    </row>
    <row r="124" spans="1:8" x14ac:dyDescent="0.25">
      <c r="A124" s="159" t="s">
        <v>153</v>
      </c>
      <c r="B124" s="28"/>
      <c r="C124" s="28"/>
      <c r="D124" s="308">
        <f>D113-D115</f>
        <v>-77265.91380714206</v>
      </c>
      <c r="E124" s="308">
        <f t="shared" ref="E124:H124" si="35">E113-E115</f>
        <v>1864770.3803840494</v>
      </c>
      <c r="F124" s="308">
        <f t="shared" si="35"/>
        <v>4151005.8116438743</v>
      </c>
      <c r="G124" s="308">
        <f t="shared" si="35"/>
        <v>4549642.5021260008</v>
      </c>
      <c r="H124" s="308">
        <f t="shared" si="35"/>
        <v>6936761.5571964877</v>
      </c>
    </row>
    <row r="125" spans="1:8" x14ac:dyDescent="0.25">
      <c r="A125" s="161" t="s">
        <v>157</v>
      </c>
      <c r="B125" s="28"/>
      <c r="C125" s="28"/>
      <c r="D125" s="296">
        <f>D124/D108</f>
        <v>-8.499113908686174E-3</v>
      </c>
      <c r="E125" s="296">
        <f t="shared" ref="E125:H125" si="36">E124/E108</f>
        <v>0.13780231482280822</v>
      </c>
      <c r="F125" s="296">
        <f t="shared" si="36"/>
        <v>0.22546448114807247</v>
      </c>
      <c r="G125" s="296">
        <f t="shared" si="36"/>
        <v>0.18163339798544043</v>
      </c>
      <c r="H125" s="296">
        <f t="shared" si="36"/>
        <v>0.20354893956675643</v>
      </c>
    </row>
    <row r="126" spans="1:8" x14ac:dyDescent="0.25">
      <c r="A126" s="160" t="s">
        <v>175</v>
      </c>
      <c r="B126" s="28"/>
      <c r="C126" s="28"/>
      <c r="D126" s="111">
        <f>D108*Assumptions!F30</f>
        <v>115806.26979995618</v>
      </c>
      <c r="E126" s="111">
        <f>E108*Assumptions!G30</f>
        <v>764459.44160930917</v>
      </c>
      <c r="F126" s="111">
        <f>F108*Assumptions!H30</f>
        <v>1689445.5944523499</v>
      </c>
      <c r="G126" s="111">
        <f>G108*Assumptions!I30</f>
        <v>1856783.507804997</v>
      </c>
      <c r="H126" s="111">
        <f>H108*Assumptions!J30</f>
        <v>2826704.2669543554</v>
      </c>
    </row>
    <row r="127" spans="1:8" x14ac:dyDescent="0.25">
      <c r="A127" s="159" t="s">
        <v>154</v>
      </c>
      <c r="B127" s="28"/>
      <c r="C127" s="28"/>
      <c r="D127" s="306">
        <f>D124-D126</f>
        <v>-193072.18360709824</v>
      </c>
      <c r="E127" s="306">
        <f t="shared" ref="E127:H127" si="37">E124-E126</f>
        <v>1100310.9387747403</v>
      </c>
      <c r="F127" s="306">
        <f t="shared" si="37"/>
        <v>2461560.2171915243</v>
      </c>
      <c r="G127" s="306">
        <f t="shared" si="37"/>
        <v>2692858.9943210036</v>
      </c>
      <c r="H127" s="306">
        <f t="shared" si="37"/>
        <v>4110057.2902421323</v>
      </c>
    </row>
    <row r="128" spans="1:8" x14ac:dyDescent="0.25">
      <c r="A128" s="160"/>
      <c r="B128" s="28"/>
      <c r="C128" s="28"/>
    </row>
    <row r="129" spans="1:11" x14ac:dyDescent="0.25">
      <c r="A129" s="160" t="s">
        <v>184</v>
      </c>
      <c r="B129" s="28"/>
      <c r="C129" s="28"/>
      <c r="D129" s="275">
        <f>D121</f>
        <v>130911.19507007998</v>
      </c>
      <c r="E129" s="275">
        <f t="shared" ref="E129:H129" si="38">E121</f>
        <v>169152.67196181053</v>
      </c>
      <c r="F129" s="275">
        <f t="shared" si="38"/>
        <v>230136.34955419684</v>
      </c>
      <c r="G129" s="275">
        <f t="shared" si="38"/>
        <v>313106.13525566319</v>
      </c>
      <c r="H129" s="275">
        <f t="shared" si="38"/>
        <v>425988.55906354956</v>
      </c>
    </row>
    <row r="130" spans="1:11" x14ac:dyDescent="0.25">
      <c r="A130" s="160" t="s">
        <v>185</v>
      </c>
      <c r="B130" s="28"/>
      <c r="C130" s="28"/>
      <c r="D130" s="302">
        <f>D108*Assumptions!F36</f>
        <v>202912.35235862396</v>
      </c>
      <c r="E130" s="302">
        <f>E108*Assumptions!G36</f>
        <v>302039.0110550088</v>
      </c>
      <c r="F130" s="302">
        <f>F108*Assumptions!H36</f>
        <v>410931.46576397383</v>
      </c>
      <c r="G130" s="302">
        <f>G108*Assumptions!I36</f>
        <v>559082.31511251209</v>
      </c>
      <c r="H130" s="302">
        <f>H108*Assumptions!J36</f>
        <v>760645.17106387392</v>
      </c>
    </row>
    <row r="131" spans="1:11" x14ac:dyDescent="0.25">
      <c r="A131" s="160" t="s">
        <v>162</v>
      </c>
      <c r="B131" s="28"/>
      <c r="C131" s="28"/>
      <c r="D131" s="276">
        <v>0</v>
      </c>
      <c r="E131" s="276">
        <v>0</v>
      </c>
      <c r="F131" s="276">
        <v>0</v>
      </c>
      <c r="G131" s="276">
        <v>0</v>
      </c>
      <c r="H131" s="276">
        <v>0</v>
      </c>
    </row>
    <row r="132" spans="1:11" x14ac:dyDescent="0.25">
      <c r="A132" s="159"/>
      <c r="B132" s="28"/>
      <c r="C132" s="28"/>
    </row>
    <row r="133" spans="1:11" x14ac:dyDescent="0.25">
      <c r="A133" s="179" t="s">
        <v>176</v>
      </c>
      <c r="B133" s="4"/>
      <c r="C133" s="180"/>
      <c r="D133" s="261">
        <f>D127+D129-D130-D131</f>
        <v>-265073.34089564224</v>
      </c>
      <c r="E133" s="261">
        <f t="shared" ref="E133:H133" si="39">E127+E129-E130-E131</f>
        <v>967424.59968154202</v>
      </c>
      <c r="F133" s="261">
        <f t="shared" si="39"/>
        <v>2280765.1009817473</v>
      </c>
      <c r="G133" s="261">
        <f t="shared" si="39"/>
        <v>2446882.8144641547</v>
      </c>
      <c r="H133" s="261">
        <f t="shared" si="39"/>
        <v>3775400.678241808</v>
      </c>
    </row>
    <row r="134" spans="1:11" x14ac:dyDescent="0.25">
      <c r="A134" s="179" t="s">
        <v>177</v>
      </c>
      <c r="B134" s="4"/>
      <c r="C134" s="315">
        <f>WACC!D26</f>
        <v>7.9315495014933707E-2</v>
      </c>
    </row>
    <row r="135" spans="1:11" x14ac:dyDescent="0.25">
      <c r="A135" s="179" t="s">
        <v>178</v>
      </c>
      <c r="B135" s="4"/>
      <c r="C135" s="4"/>
      <c r="D135">
        <v>1</v>
      </c>
      <c r="E135">
        <v>2</v>
      </c>
      <c r="F135">
        <v>3</v>
      </c>
      <c r="G135">
        <v>4</v>
      </c>
      <c r="H135">
        <v>5</v>
      </c>
    </row>
    <row r="136" spans="1:11" x14ac:dyDescent="0.25">
      <c r="A136" s="344" t="s">
        <v>179</v>
      </c>
      <c r="B136" s="344"/>
      <c r="C136" s="344"/>
      <c r="D136" s="174">
        <f>1/POWER(1+$C$134,D135)</f>
        <v>0.92651315080597796</v>
      </c>
      <c r="E136" s="174">
        <f t="shared" ref="E136:H136" si="40">1/POWER(1+$C$134,E135)</f>
        <v>0.85842661861642078</v>
      </c>
      <c r="F136" s="174">
        <f t="shared" si="40"/>
        <v>0.79534355115002164</v>
      </c>
      <c r="G136" s="174">
        <f t="shared" si="40"/>
        <v>0.736896259549222</v>
      </c>
      <c r="H136" s="174">
        <f t="shared" si="40"/>
        <v>0.68274407525208936</v>
      </c>
    </row>
    <row r="137" spans="1:11" x14ac:dyDescent="0.25">
      <c r="A137" s="316" t="s">
        <v>186</v>
      </c>
      <c r="B137" s="317"/>
      <c r="C137" s="318"/>
      <c r="D137" s="261">
        <f>D133*D136</f>
        <v>-245593.93626788858</v>
      </c>
      <c r="E137" s="261">
        <f t="shared" ref="E137:H137" si="41">E133*E136</f>
        <v>830463.02787097066</v>
      </c>
      <c r="F137" s="261">
        <f t="shared" si="41"/>
        <v>1813991.8147538607</v>
      </c>
      <c r="G137" s="261">
        <f t="shared" si="41"/>
        <v>1803098.7935339084</v>
      </c>
      <c r="H137" s="261">
        <f t="shared" si="41"/>
        <v>2577632.4447723143</v>
      </c>
    </row>
    <row r="140" spans="1:11" x14ac:dyDescent="0.25">
      <c r="A140" s="345" t="s">
        <v>204</v>
      </c>
      <c r="B140" s="345"/>
      <c r="C140" s="345"/>
      <c r="D140" s="345"/>
      <c r="F140" s="235" t="s">
        <v>210</v>
      </c>
      <c r="G140" s="236"/>
      <c r="H140" s="236"/>
      <c r="I140" s="236"/>
      <c r="J140" s="236"/>
      <c r="K140" s="237"/>
    </row>
    <row r="141" spans="1:11" x14ac:dyDescent="0.25">
      <c r="A141" s="7" t="s">
        <v>191</v>
      </c>
      <c r="D141" s="263">
        <f>SUM(D68:E68)</f>
        <v>856917.14118539845</v>
      </c>
      <c r="F141" s="230"/>
      <c r="G141" s="346" t="s">
        <v>194</v>
      </c>
      <c r="H141" s="346"/>
      <c r="I141" s="346"/>
      <c r="J141" s="346"/>
      <c r="K141" s="346"/>
    </row>
    <row r="142" spans="1:11" x14ac:dyDescent="0.25">
      <c r="F142" s="239">
        <f>D151</f>
        <v>36076492.383207962</v>
      </c>
      <c r="G142" s="245">
        <f>H142-0.5</f>
        <v>16</v>
      </c>
      <c r="H142" s="245">
        <f>I142-0.5</f>
        <v>16.5</v>
      </c>
      <c r="I142" s="246">
        <v>17</v>
      </c>
      <c r="J142" s="245">
        <f>I142+0.5</f>
        <v>17.5</v>
      </c>
      <c r="K142" s="245">
        <f>J142+0.5</f>
        <v>18</v>
      </c>
    </row>
    <row r="143" spans="1:11" x14ac:dyDescent="0.25">
      <c r="A143" s="243" t="s">
        <v>192</v>
      </c>
      <c r="B143" s="182"/>
      <c r="C143" s="182"/>
      <c r="D143" s="182"/>
      <c r="F143" s="238">
        <f>$F$144-0.005</f>
        <v>6.9315495014933698E-2</v>
      </c>
      <c r="G143" s="158">
        <f t="dataTable" ref="G143:K147" dt2D="1" dtr="1" r1="D145" r2="C134" ca="1"/>
        <v>34314743.827309802</v>
      </c>
      <c r="H143" s="158">
        <v>35360300.911251187</v>
      </c>
      <c r="I143" s="158">
        <v>36405857.995192572</v>
      </c>
      <c r="J143" s="158">
        <v>37451415.079133965</v>
      </c>
      <c r="K143" s="158">
        <v>38496972.163075343</v>
      </c>
    </row>
    <row r="144" spans="1:11" x14ac:dyDescent="0.25">
      <c r="A144" s="230" t="s">
        <v>193</v>
      </c>
      <c r="D144" s="261">
        <f>E49</f>
        <v>2236060.7815623111</v>
      </c>
      <c r="E144" s="347" t="s">
        <v>177</v>
      </c>
      <c r="F144" s="238">
        <f>$F$145-0.005</f>
        <v>7.4315495014933702E-2</v>
      </c>
      <c r="G144" s="158">
        <v>34159026.876184292</v>
      </c>
      <c r="H144" s="268">
        <v>35199717.805403009</v>
      </c>
      <c r="I144" s="268">
        <v>36240408.734621726</v>
      </c>
      <c r="J144" s="268">
        <v>37281099.663840443</v>
      </c>
      <c r="K144" s="158">
        <v>38321790.593059152</v>
      </c>
    </row>
    <row r="145" spans="1:11" ht="15" customHeight="1" x14ac:dyDescent="0.25">
      <c r="A145" s="231" t="s">
        <v>205</v>
      </c>
      <c r="D145" s="267">
        <f>DCF!$E$38</f>
        <v>17</v>
      </c>
      <c r="E145" s="347"/>
      <c r="F145" s="238">
        <f>DCF!$E$26</f>
        <v>7.9315495014933707E-2</v>
      </c>
      <c r="G145" s="158">
        <v>34004752.663088992</v>
      </c>
      <c r="H145" s="268">
        <v>35040622.523148477</v>
      </c>
      <c r="I145" s="269">
        <v>36076492.383207962</v>
      </c>
      <c r="J145" s="268">
        <v>37112362.243267454</v>
      </c>
      <c r="K145" s="158">
        <v>38148232.103326932</v>
      </c>
    </row>
    <row r="146" spans="1:11" x14ac:dyDescent="0.25">
      <c r="A146" s="232" t="s">
        <v>206</v>
      </c>
      <c r="D146" s="265">
        <f>D144*D145</f>
        <v>38013033.286559291</v>
      </c>
      <c r="E146" s="347"/>
      <c r="F146" s="238">
        <f>$F$145+0.005</f>
        <v>8.4315495014933711E-2</v>
      </c>
      <c r="G146" s="158">
        <v>33851901.229745567</v>
      </c>
      <c r="H146" s="268">
        <v>34882994.48251307</v>
      </c>
      <c r="I146" s="270">
        <v>35914087.735280573</v>
      </c>
      <c r="J146" s="268">
        <v>36945180.988048084</v>
      </c>
      <c r="K146" s="158">
        <v>37976274.24081558</v>
      </c>
    </row>
    <row r="147" spans="1:11" x14ac:dyDescent="0.25">
      <c r="A147" s="231" t="s">
        <v>179</v>
      </c>
      <c r="D147" s="242">
        <f>D136</f>
        <v>0.92651315080597796</v>
      </c>
      <c r="E147" s="347"/>
      <c r="F147" s="238">
        <f>$F$146+0.005</f>
        <v>8.9315495014933716E-2</v>
      </c>
      <c r="G147" s="158">
        <v>33700452.984312735</v>
      </c>
      <c r="H147" s="271">
        <v>34726813.479410462</v>
      </c>
      <c r="I147" s="271">
        <v>35753173.974508196</v>
      </c>
      <c r="J147" s="271">
        <v>36779534.469605923</v>
      </c>
      <c r="K147" s="158">
        <v>37805894.964703649</v>
      </c>
    </row>
    <row r="148" spans="1:11" x14ac:dyDescent="0.25">
      <c r="A148" s="232" t="s">
        <v>207</v>
      </c>
      <c r="D148" s="261">
        <f>D146*D147</f>
        <v>35219575.242022566</v>
      </c>
      <c r="E148" s="347"/>
      <c r="G148" s="173"/>
      <c r="H148" s="173"/>
      <c r="I148" s="173"/>
      <c r="J148" s="173"/>
      <c r="K148" s="173"/>
    </row>
    <row r="149" spans="1:11" x14ac:dyDescent="0.25">
      <c r="A149" s="233" t="s">
        <v>208</v>
      </c>
      <c r="D149" s="157">
        <f>D148/(D148+D141)</f>
        <v>0.97624721571922402</v>
      </c>
      <c r="E149" s="347"/>
    </row>
    <row r="150" spans="1:11" x14ac:dyDescent="0.25">
      <c r="A150" s="231"/>
    </row>
    <row r="151" spans="1:11" x14ac:dyDescent="0.25">
      <c r="A151" s="234" t="s">
        <v>209</v>
      </c>
      <c r="D151" s="263">
        <f>D148/D149</f>
        <v>36076492.383207962</v>
      </c>
    </row>
    <row r="155" spans="1:11" x14ac:dyDescent="0.25">
      <c r="A155" s="352" t="s">
        <v>211</v>
      </c>
      <c r="B155" s="352"/>
      <c r="C155" s="352"/>
      <c r="D155" s="352"/>
      <c r="F155" s="352" t="s">
        <v>211</v>
      </c>
      <c r="G155" s="352"/>
      <c r="H155" s="352"/>
      <c r="I155" s="352"/>
      <c r="J155" s="352"/>
      <c r="K155" s="352"/>
    </row>
    <row r="156" spans="1:11" x14ac:dyDescent="0.25">
      <c r="A156" s="240" t="s">
        <v>191</v>
      </c>
      <c r="D156" s="263">
        <f>SUM(D103:E103)</f>
        <v>1528601.284068339</v>
      </c>
      <c r="G156" s="346" t="s">
        <v>194</v>
      </c>
      <c r="H156" s="346"/>
      <c r="I156" s="346"/>
      <c r="J156" s="346"/>
      <c r="K156" s="346"/>
    </row>
    <row r="157" spans="1:11" x14ac:dyDescent="0.25">
      <c r="A157" s="233"/>
      <c r="F157" s="239">
        <f>D166</f>
        <v>44181428.075683914</v>
      </c>
      <c r="G157" s="245">
        <f>H157-0.5</f>
        <v>16</v>
      </c>
      <c r="H157" s="245">
        <f>I157-0.5</f>
        <v>16.5</v>
      </c>
      <c r="I157" s="246">
        <v>17</v>
      </c>
      <c r="J157" s="245">
        <f>I157+0.5</f>
        <v>17.5</v>
      </c>
      <c r="K157" s="245">
        <f>J157+0.5</f>
        <v>18</v>
      </c>
    </row>
    <row r="158" spans="1:11" x14ac:dyDescent="0.25">
      <c r="A158" s="241" t="s">
        <v>192</v>
      </c>
      <c r="B158" s="182"/>
      <c r="C158" s="182"/>
      <c r="D158" s="182"/>
      <c r="F158" s="238">
        <f>$F$144-0.005</f>
        <v>6.9315495014933698E-2</v>
      </c>
      <c r="G158" s="158">
        <f t="dataTable" ref="G158:K162" dt2D="1" dtr="1" r1="D160" r2="C100" ca="1"/>
        <v>42075389.24355001</v>
      </c>
      <c r="H158" s="158">
        <v>43341615.905729875</v>
      </c>
      <c r="I158" s="158">
        <v>44607842.567909732</v>
      </c>
      <c r="J158" s="158">
        <v>45874069.230089597</v>
      </c>
      <c r="K158" s="158">
        <v>47140295.892269447</v>
      </c>
    </row>
    <row r="159" spans="1:11" x14ac:dyDescent="0.25">
      <c r="A159" s="230" t="s">
        <v>193</v>
      </c>
      <c r="D159" s="111">
        <f>E84</f>
        <v>2707991.580139929</v>
      </c>
      <c r="F159" s="238">
        <f>$F$145-0.005</f>
        <v>7.4315495014933702E-2</v>
      </c>
      <c r="G159" s="158">
        <v>41872945.395538978</v>
      </c>
      <c r="H159" s="268">
        <v>43133278.878908448</v>
      </c>
      <c r="I159" s="268">
        <v>44393612.362277918</v>
      </c>
      <c r="J159" s="268">
        <v>45653945.845647387</v>
      </c>
      <c r="K159" s="158">
        <v>46914279.329016849</v>
      </c>
    </row>
    <row r="160" spans="1:11" x14ac:dyDescent="0.25">
      <c r="A160" s="231" t="s">
        <v>205</v>
      </c>
      <c r="D160" s="266">
        <f>DCF!$E$38</f>
        <v>17</v>
      </c>
      <c r="F160" s="238">
        <f>DCF!$E$26</f>
        <v>7.9315495014933707E-2</v>
      </c>
      <c r="G160" s="158">
        <v>41672438.264412411</v>
      </c>
      <c r="H160" s="268">
        <v>42926933.17004817</v>
      </c>
      <c r="I160" s="272">
        <v>44181428.075683914</v>
      </c>
      <c r="J160" s="268">
        <v>45435922.981319673</v>
      </c>
      <c r="K160" s="158">
        <v>46690417.886955418</v>
      </c>
    </row>
    <row r="161" spans="1:11" x14ac:dyDescent="0.25">
      <c r="A161" s="232" t="s">
        <v>206</v>
      </c>
      <c r="D161" s="261">
        <f>D159*D160</f>
        <v>46035856.862378791</v>
      </c>
      <c r="F161" s="238">
        <f>$F$145+0.005</f>
        <v>8.4315495014933711E-2</v>
      </c>
      <c r="G161" s="158">
        <v>41473840.217759855</v>
      </c>
      <c r="H161" s="268">
        <v>42722550.391408458</v>
      </c>
      <c r="I161" s="268">
        <v>43971260.565057054</v>
      </c>
      <c r="J161" s="268">
        <v>45219970.738705657</v>
      </c>
      <c r="K161" s="158">
        <v>46468680.912354253</v>
      </c>
    </row>
    <row r="162" spans="1:11" x14ac:dyDescent="0.25">
      <c r="A162" s="231" t="s">
        <v>179</v>
      </c>
      <c r="D162" s="242">
        <f>D102</f>
        <v>0.92651315080597796</v>
      </c>
      <c r="F162" s="238">
        <f>$F$146+0.005</f>
        <v>8.9315495014933716E-2</v>
      </c>
      <c r="G162" s="158">
        <v>41277124.14586921</v>
      </c>
      <c r="H162" s="158">
        <v>42520102.691815078</v>
      </c>
      <c r="I162" s="158">
        <v>43763081.237760946</v>
      </c>
      <c r="J162" s="158">
        <v>45006059.783706814</v>
      </c>
      <c r="K162" s="158">
        <v>46249038.329652674</v>
      </c>
    </row>
    <row r="163" spans="1:11" x14ac:dyDescent="0.25">
      <c r="A163" s="232" t="s">
        <v>207</v>
      </c>
      <c r="D163" s="261">
        <f>D161*D162</f>
        <v>42652826.791615576</v>
      </c>
      <c r="F163" s="247"/>
    </row>
    <row r="164" spans="1:11" x14ac:dyDescent="0.25">
      <c r="A164" s="233" t="s">
        <v>208</v>
      </c>
      <c r="D164" s="157">
        <f>D163/(D163+D156)</f>
        <v>0.9654017230622377</v>
      </c>
    </row>
    <row r="165" spans="1:11" x14ac:dyDescent="0.25">
      <c r="A165" s="231"/>
    </row>
    <row r="166" spans="1:11" x14ac:dyDescent="0.25">
      <c r="A166" s="234" t="s">
        <v>209</v>
      </c>
      <c r="D166" s="263">
        <f>D163/D164</f>
        <v>44181428.075683914</v>
      </c>
    </row>
    <row r="170" spans="1:11" x14ac:dyDescent="0.25">
      <c r="A170" s="345" t="s">
        <v>212</v>
      </c>
      <c r="B170" s="345"/>
      <c r="C170" s="345"/>
      <c r="D170" s="345"/>
      <c r="F170" s="352" t="s">
        <v>226</v>
      </c>
      <c r="G170" s="352"/>
      <c r="H170" s="352"/>
      <c r="I170" s="352"/>
      <c r="J170" s="352"/>
      <c r="K170" s="352"/>
    </row>
    <row r="171" spans="1:11" x14ac:dyDescent="0.25">
      <c r="A171" s="240" t="s">
        <v>191</v>
      </c>
      <c r="D171" s="263">
        <f>SUM(D137:E137)</f>
        <v>584869.09160308214</v>
      </c>
      <c r="G171" s="346" t="s">
        <v>194</v>
      </c>
      <c r="H171" s="346"/>
      <c r="I171" s="346"/>
      <c r="J171" s="346"/>
      <c r="K171" s="346"/>
    </row>
    <row r="172" spans="1:11" x14ac:dyDescent="0.25">
      <c r="A172" s="233"/>
      <c r="F172" s="239">
        <f>D181</f>
        <v>32620628.838942949</v>
      </c>
      <c r="G172" s="245">
        <f>H172-0.5</f>
        <v>16</v>
      </c>
      <c r="H172" s="245">
        <f>I172-0.5</f>
        <v>16.5</v>
      </c>
      <c r="I172" s="246">
        <v>17</v>
      </c>
      <c r="J172" s="245">
        <f>I172+0.5</f>
        <v>17.5</v>
      </c>
      <c r="K172" s="245">
        <f>J172+0.5</f>
        <v>18</v>
      </c>
    </row>
    <row r="173" spans="1:11" x14ac:dyDescent="0.25">
      <c r="A173" s="241" t="s">
        <v>192</v>
      </c>
      <c r="B173" s="182"/>
      <c r="C173" s="182"/>
      <c r="D173" s="182"/>
      <c r="F173" s="238">
        <f>$F$144-0.005</f>
        <v>6.9315495014933698E-2</v>
      </c>
      <c r="G173" s="158">
        <f t="dataTable" ref="G173:K177" dt2D="1" dtr="1" r1="D175" r2="C134" ca="1"/>
        <v>31031449.145438217</v>
      </c>
      <c r="H173" s="158">
        <v>31982488.881525394</v>
      </c>
      <c r="I173" s="158">
        <v>32933528.617612567</v>
      </c>
      <c r="J173" s="158">
        <v>33884568.353699744</v>
      </c>
      <c r="K173" s="158">
        <v>34835608.089786924</v>
      </c>
    </row>
    <row r="174" spans="1:11" x14ac:dyDescent="0.25">
      <c r="A174" s="230" t="s">
        <v>193</v>
      </c>
      <c r="D174" s="158">
        <f>E118</f>
        <v>2033923.0523458598</v>
      </c>
      <c r="F174" s="238">
        <f>$F$145-0.005</f>
        <v>7.4315495014933702E-2</v>
      </c>
      <c r="G174" s="158">
        <v>30883105.479860485</v>
      </c>
      <c r="H174" s="268">
        <v>31829718.956899457</v>
      </c>
      <c r="I174" s="268">
        <v>32776332.433938425</v>
      </c>
      <c r="J174" s="268">
        <v>33722945.910977401</v>
      </c>
      <c r="K174" s="158">
        <v>34669559.388016365</v>
      </c>
    </row>
    <row r="175" spans="1:11" x14ac:dyDescent="0.25">
      <c r="A175" s="231" t="s">
        <v>205</v>
      </c>
      <c r="D175" s="266">
        <f>DCF!$E$38</f>
        <v>17</v>
      </c>
      <c r="F175" s="238">
        <f>DCF!$E$26</f>
        <v>7.9315495014933707E-2</v>
      </c>
      <c r="G175" s="158">
        <v>30736172.383217074</v>
      </c>
      <c r="H175" s="268">
        <v>31678400.611080013</v>
      </c>
      <c r="I175" s="272">
        <v>32620628.838942949</v>
      </c>
      <c r="J175" s="268">
        <v>33562857.066805892</v>
      </c>
      <c r="K175" s="158">
        <v>34505085.294668831</v>
      </c>
    </row>
    <row r="176" spans="1:11" x14ac:dyDescent="0.25">
      <c r="A176" s="232" t="s">
        <v>206</v>
      </c>
      <c r="D176" s="261">
        <f>D174*D175</f>
        <v>34576691.889879614</v>
      </c>
      <c r="F176" s="238">
        <f>$F$145+0.005</f>
        <v>8.4315495014933711E-2</v>
      </c>
      <c r="G176" s="158">
        <v>30590629.844529215</v>
      </c>
      <c r="H176" s="268">
        <v>31528513.265773624</v>
      </c>
      <c r="I176" s="268">
        <v>32466396.687018029</v>
      </c>
      <c r="J176" s="268">
        <v>33404280.108262442</v>
      </c>
      <c r="K176" s="158">
        <v>34342163.529506847</v>
      </c>
    </row>
    <row r="177" spans="1:11" x14ac:dyDescent="0.25">
      <c r="A177" s="231" t="s">
        <v>179</v>
      </c>
      <c r="D177" s="242">
        <f>D136</f>
        <v>0.92651315080597796</v>
      </c>
      <c r="F177" s="238">
        <f>$F$146+0.005</f>
        <v>8.9315495014933716E-2</v>
      </c>
      <c r="G177" s="158">
        <v>30446458.229318924</v>
      </c>
      <c r="H177" s="158">
        <v>31380036.729603626</v>
      </c>
      <c r="I177" s="158">
        <v>32313615.229888327</v>
      </c>
      <c r="J177" s="158">
        <v>33247193.730173036</v>
      </c>
      <c r="K177" s="158">
        <v>34180772.230457738</v>
      </c>
    </row>
    <row r="178" spans="1:11" x14ac:dyDescent="0.25">
      <c r="A178" s="232" t="s">
        <v>207</v>
      </c>
      <c r="D178" s="261">
        <f>D176*D177</f>
        <v>32035759.747339867</v>
      </c>
    </row>
    <row r="179" spans="1:11" x14ac:dyDescent="0.25">
      <c r="A179" s="233" t="s">
        <v>208</v>
      </c>
      <c r="D179" s="157">
        <f>D178/(D178+D171)</f>
        <v>0.9820705758159739</v>
      </c>
    </row>
    <row r="180" spans="1:11" x14ac:dyDescent="0.25">
      <c r="A180" s="231"/>
    </row>
    <row r="181" spans="1:11" x14ac:dyDescent="0.25">
      <c r="A181" s="234" t="s">
        <v>209</v>
      </c>
      <c r="D181" s="263">
        <f>D178/D179</f>
        <v>32620628.838942949</v>
      </c>
    </row>
    <row r="184" spans="1:11" x14ac:dyDescent="0.25">
      <c r="A184" s="345" t="s">
        <v>213</v>
      </c>
      <c r="B184" s="345"/>
      <c r="C184" s="345"/>
      <c r="D184" s="345"/>
      <c r="F184" s="352" t="s">
        <v>216</v>
      </c>
      <c r="G184" s="352"/>
      <c r="H184" s="352"/>
      <c r="I184" s="352"/>
      <c r="J184" s="352"/>
      <c r="K184" s="352"/>
    </row>
    <row r="185" spans="1:11" x14ac:dyDescent="0.25">
      <c r="A185" s="240" t="s">
        <v>191</v>
      </c>
      <c r="D185" s="263">
        <f>SUM(D68:H68)</f>
        <v>7523564.3278296255</v>
      </c>
      <c r="G185" s="346" t="s">
        <v>194</v>
      </c>
      <c r="H185" s="346"/>
      <c r="I185" s="346"/>
      <c r="J185" s="346"/>
      <c r="K185" s="346"/>
    </row>
    <row r="186" spans="1:11" x14ac:dyDescent="0.25">
      <c r="A186" s="233"/>
      <c r="F186" s="239">
        <f>D195</f>
        <v>83706583.839810282</v>
      </c>
      <c r="G186" s="245">
        <f>H186-0.5</f>
        <v>12.7</v>
      </c>
      <c r="H186" s="245">
        <f>I186-0.5</f>
        <v>13.2</v>
      </c>
      <c r="I186" s="246">
        <v>13.7</v>
      </c>
      <c r="J186" s="245">
        <f>I186+0.5</f>
        <v>14.2</v>
      </c>
      <c r="K186" s="245">
        <f>J186+0.5</f>
        <v>14.7</v>
      </c>
    </row>
    <row r="187" spans="1:11" x14ac:dyDescent="0.25">
      <c r="A187" s="241" t="s">
        <v>192</v>
      </c>
      <c r="B187" s="182"/>
      <c r="C187" s="182"/>
      <c r="D187" s="182"/>
      <c r="F187" s="238">
        <f>$F$144-0.005</f>
        <v>6.9315495014933698E-2</v>
      </c>
      <c r="G187" s="158">
        <f t="dataTable" ref="G187:K191" dt2D="1" dtr="1" r1="D189" r2="C65"/>
        <v>81788054.275709972</v>
      </c>
      <c r="H187" s="158">
        <v>84700919.419999167</v>
      </c>
      <c r="I187" s="158">
        <v>87613784.564288348</v>
      </c>
      <c r="J187" s="158">
        <v>90526649.708577558</v>
      </c>
      <c r="K187" s="158">
        <v>93439514.852866754</v>
      </c>
    </row>
    <row r="188" spans="1:11" x14ac:dyDescent="0.25">
      <c r="A188" s="230" t="s">
        <v>200</v>
      </c>
      <c r="D188" s="111">
        <f>H49</f>
        <v>8144785.9388409639</v>
      </c>
      <c r="F188" s="238">
        <f>$F$145-0.005</f>
        <v>7.4315495014933702E-2</v>
      </c>
      <c r="G188" s="158">
        <v>79941765.819275633</v>
      </c>
      <c r="H188" s="268">
        <v>82787474.775036886</v>
      </c>
      <c r="I188" s="268">
        <v>85633183.730798155</v>
      </c>
      <c r="J188" s="268">
        <v>88478892.686559424</v>
      </c>
      <c r="K188" s="158">
        <v>91324601.642320693</v>
      </c>
    </row>
    <row r="189" spans="1:11" x14ac:dyDescent="0.25">
      <c r="A189" s="231" t="s">
        <v>205</v>
      </c>
      <c r="D189" s="266">
        <f>DCF!$E$57</f>
        <v>13.7</v>
      </c>
      <c r="F189" s="310">
        <f>DCF!$E$26</f>
        <v>7.9315495014933707E-2</v>
      </c>
      <c r="G189" s="158">
        <v>78145779.495870098</v>
      </c>
      <c r="H189" s="268">
        <v>80926181.667840183</v>
      </c>
      <c r="I189" s="272">
        <v>83706583.839810282</v>
      </c>
      <c r="J189" s="268">
        <v>86486986.011780381</v>
      </c>
      <c r="K189" s="158">
        <v>89267388.18375048</v>
      </c>
    </row>
    <row r="190" spans="1:11" x14ac:dyDescent="0.25">
      <c r="A190" s="232" t="s">
        <v>206</v>
      </c>
      <c r="D190" s="261">
        <f>D188*D189</f>
        <v>111583567.36212119</v>
      </c>
      <c r="F190" s="238">
        <f>$F$145+0.005</f>
        <v>8.4315495014933711E-2</v>
      </c>
      <c r="G190" s="158">
        <v>76398496.726436228</v>
      </c>
      <c r="H190" s="268">
        <v>79115382.372328803</v>
      </c>
      <c r="I190" s="268">
        <v>81832268.018221378</v>
      </c>
      <c r="J190" s="268">
        <v>84549153.664113969</v>
      </c>
      <c r="K190" s="158">
        <v>87266039.310006544</v>
      </c>
    </row>
    <row r="191" spans="1:11" x14ac:dyDescent="0.25">
      <c r="A191" s="231" t="s">
        <v>179</v>
      </c>
      <c r="D191" s="244">
        <f>H67</f>
        <v>0.68274407525208936</v>
      </c>
      <c r="F191" s="238">
        <f>$F$146+0.005</f>
        <v>8.9315495014933716E-2</v>
      </c>
      <c r="G191" s="158">
        <v>74698376.853946015</v>
      </c>
      <c r="H191" s="158">
        <v>77353479.236455634</v>
      </c>
      <c r="I191" s="158">
        <v>80008581.618965268</v>
      </c>
      <c r="J191" s="158">
        <v>82663684.001474887</v>
      </c>
      <c r="K191" s="158">
        <v>85318786.383984506</v>
      </c>
    </row>
    <row r="192" spans="1:11" x14ac:dyDescent="0.25">
      <c r="A192" s="232" t="s">
        <v>207</v>
      </c>
      <c r="D192" s="262">
        <f>D190*D191</f>
        <v>76183019.511980653</v>
      </c>
    </row>
    <row r="193" spans="1:11" x14ac:dyDescent="0.25">
      <c r="A193" s="233" t="s">
        <v>208</v>
      </c>
      <c r="D193" s="157">
        <f>D192/(D192+D185)</f>
        <v>0.91011980201906806</v>
      </c>
    </row>
    <row r="194" spans="1:11" x14ac:dyDescent="0.25">
      <c r="A194" s="231"/>
    </row>
    <row r="195" spans="1:11" x14ac:dyDescent="0.25">
      <c r="A195" s="234" t="s">
        <v>209</v>
      </c>
      <c r="D195" s="263">
        <f>D192/D193</f>
        <v>83706583.839810282</v>
      </c>
    </row>
    <row r="200" spans="1:11" x14ac:dyDescent="0.25">
      <c r="A200" s="345" t="s">
        <v>214</v>
      </c>
      <c r="B200" s="345"/>
      <c r="C200" s="345"/>
      <c r="D200" s="345"/>
      <c r="F200" s="352" t="s">
        <v>217</v>
      </c>
      <c r="G200" s="352"/>
      <c r="H200" s="352"/>
      <c r="I200" s="352"/>
      <c r="J200" s="352"/>
      <c r="K200" s="352"/>
    </row>
    <row r="201" spans="1:11" x14ac:dyDescent="0.25">
      <c r="A201" s="240" t="s">
        <v>191</v>
      </c>
      <c r="D201" s="263">
        <f>SUM(D103:H103)</f>
        <v>10902928.690045439</v>
      </c>
      <c r="G201" s="346" t="s">
        <v>194</v>
      </c>
      <c r="H201" s="346"/>
      <c r="I201" s="346"/>
      <c r="J201" s="346"/>
      <c r="K201" s="346"/>
    </row>
    <row r="202" spans="1:11" x14ac:dyDescent="0.25">
      <c r="A202" s="233"/>
      <c r="F202" s="239">
        <f>D211</f>
        <v>101382068.09815902</v>
      </c>
      <c r="G202" s="245">
        <f>H202-0.5</f>
        <v>12.7</v>
      </c>
      <c r="H202" s="245">
        <f>I202-0.5</f>
        <v>13.2</v>
      </c>
      <c r="I202" s="246">
        <v>13.7</v>
      </c>
      <c r="J202" s="245">
        <f>I202+0.5</f>
        <v>14.2</v>
      </c>
      <c r="K202" s="245">
        <f>J202+0.5</f>
        <v>14.7</v>
      </c>
    </row>
    <row r="203" spans="1:11" x14ac:dyDescent="0.25">
      <c r="A203" s="241" t="s">
        <v>192</v>
      </c>
      <c r="B203" s="182"/>
      <c r="C203" s="182"/>
      <c r="D203" s="182"/>
      <c r="F203" s="238">
        <f>$F$144-0.005</f>
        <v>6.9315495014933698E-2</v>
      </c>
      <c r="G203" s="158">
        <f t="dataTable" ref="G203:K207" dt2D="1" dtr="1" r1="D205" r2="C100"/>
        <v>99170078.312683538</v>
      </c>
      <c r="H203" s="158">
        <v>102629556.98858099</v>
      </c>
      <c r="I203" s="158">
        <v>106089035.66447845</v>
      </c>
      <c r="J203" s="158">
        <v>109548514.3403759</v>
      </c>
      <c r="K203" s="158">
        <v>113007993.01627336</v>
      </c>
    </row>
    <row r="204" spans="1:11" x14ac:dyDescent="0.25">
      <c r="A204" s="230" t="s">
        <v>200</v>
      </c>
      <c r="D204" s="111">
        <f>H84</f>
        <v>9673195.2491557989</v>
      </c>
      <c r="F204" s="238">
        <f>$F$145-0.005</f>
        <v>7.4315495014933702E-2</v>
      </c>
      <c r="G204" s="158">
        <v>96943646.448573053</v>
      </c>
      <c r="H204" s="268">
        <v>100323366.74546611</v>
      </c>
      <c r="I204" s="268">
        <v>103703087.04235917</v>
      </c>
      <c r="J204" s="268">
        <v>107082807.3392522</v>
      </c>
      <c r="K204" s="158">
        <v>110462527.63614526</v>
      </c>
    </row>
    <row r="205" spans="1:11" x14ac:dyDescent="0.25">
      <c r="A205" s="231" t="s">
        <v>205</v>
      </c>
      <c r="D205" s="266">
        <f>DCF!$E$57</f>
        <v>13.7</v>
      </c>
      <c r="F205" s="238">
        <f>DCF!$E$26</f>
        <v>7.9315495014933707E-2</v>
      </c>
      <c r="G205" s="158">
        <v>94777751.353041232</v>
      </c>
      <c r="H205" s="268">
        <v>98079909.725600123</v>
      </c>
      <c r="I205" s="272">
        <v>101382068.09815902</v>
      </c>
      <c r="J205" s="268">
        <v>104684226.47071791</v>
      </c>
      <c r="K205" s="158">
        <v>107986384.8432768</v>
      </c>
    </row>
    <row r="206" spans="1:11" x14ac:dyDescent="0.25">
      <c r="A206" s="232" t="s">
        <v>206</v>
      </c>
      <c r="D206" s="261">
        <f>D204*D205</f>
        <v>132522774.91343445</v>
      </c>
      <c r="F206" s="238">
        <f>$F$145+0.005</f>
        <v>8.4315495014933711E-2</v>
      </c>
      <c r="G206" s="158">
        <v>92670471.374001294</v>
      </c>
      <c r="H206" s="268">
        <v>95897194.030642092</v>
      </c>
      <c r="I206" s="268">
        <v>99123916.68728292</v>
      </c>
      <c r="J206" s="268">
        <v>102350639.34392372</v>
      </c>
      <c r="K206" s="158">
        <v>105577362.00056455</v>
      </c>
    </row>
    <row r="207" spans="1:11" x14ac:dyDescent="0.25">
      <c r="A207" s="231" t="s">
        <v>179</v>
      </c>
      <c r="D207" s="244">
        <f>H102</f>
        <v>0.68274407525208936</v>
      </c>
      <c r="F207" s="238">
        <f>$F$146+0.005</f>
        <v>8.9315495014933716E-2</v>
      </c>
      <c r="G207" s="158">
        <v>90619954.435144305</v>
      </c>
      <c r="H207" s="158">
        <v>93773299.89386721</v>
      </c>
      <c r="I207" s="158">
        <v>96926645.352590114</v>
      </c>
      <c r="J207" s="158">
        <v>100079990.81131302</v>
      </c>
      <c r="K207" s="158">
        <v>103233336.27003592</v>
      </c>
    </row>
    <row r="208" spans="1:11" x14ac:dyDescent="0.25">
      <c r="A208" s="232" t="s">
        <v>207</v>
      </c>
      <c r="D208" s="262">
        <f>D206*D207</f>
        <v>90479139.408113584</v>
      </c>
    </row>
    <row r="209" spans="1:11" x14ac:dyDescent="0.25">
      <c r="A209" s="233" t="s">
        <v>208</v>
      </c>
      <c r="D209" s="157">
        <f>D208/(D208+D201)</f>
        <v>0.89245703017727829</v>
      </c>
    </row>
    <row r="210" spans="1:11" x14ac:dyDescent="0.25">
      <c r="A210" s="231"/>
    </row>
    <row r="211" spans="1:11" x14ac:dyDescent="0.25">
      <c r="A211" s="234" t="s">
        <v>209</v>
      </c>
      <c r="D211" s="263">
        <f>D208/D209</f>
        <v>101382068.09815902</v>
      </c>
    </row>
    <row r="215" spans="1:11" x14ac:dyDescent="0.25">
      <c r="A215" s="345" t="s">
        <v>215</v>
      </c>
      <c r="B215" s="345"/>
      <c r="C215" s="345"/>
      <c r="D215" s="345"/>
      <c r="F215" s="352" t="s">
        <v>218</v>
      </c>
      <c r="G215" s="352"/>
      <c r="H215" s="352"/>
      <c r="I215" s="352"/>
      <c r="J215" s="352"/>
      <c r="K215" s="352"/>
    </row>
    <row r="216" spans="1:11" x14ac:dyDescent="0.25">
      <c r="A216" s="240" t="s">
        <v>191</v>
      </c>
      <c r="D216" s="263">
        <f>SUM(D137:H137)</f>
        <v>6779592.1446631653</v>
      </c>
      <c r="G216" s="346" t="s">
        <v>194</v>
      </c>
      <c r="H216" s="346"/>
      <c r="I216" s="346"/>
      <c r="J216" s="346"/>
      <c r="K216" s="346"/>
    </row>
    <row r="217" spans="1:11" x14ac:dyDescent="0.25">
      <c r="A217" s="233"/>
      <c r="F217" s="239">
        <f>D226</f>
        <v>75647766.210966125</v>
      </c>
      <c r="G217" s="245">
        <f>H217-0.5</f>
        <v>12.7</v>
      </c>
      <c r="H217" s="245">
        <f>I217-0.5</f>
        <v>13.2</v>
      </c>
      <c r="I217" s="246">
        <v>13.7</v>
      </c>
      <c r="J217" s="245">
        <f>I217+0.5</f>
        <v>14.2</v>
      </c>
      <c r="K217" s="245">
        <f>J217+0.5</f>
        <v>14.7</v>
      </c>
    </row>
    <row r="218" spans="1:11" x14ac:dyDescent="0.25">
      <c r="A218" s="241" t="s">
        <v>192</v>
      </c>
      <c r="B218" s="182"/>
      <c r="C218" s="182"/>
      <c r="D218" s="182"/>
      <c r="F218" s="238">
        <f>$F$144-0.005</f>
        <v>6.9315495014933698E-2</v>
      </c>
      <c r="G218" s="158">
        <f t="dataTable" ref="G218:K222" dt2D="1" dtr="1" r1="D220" r2="C134"/>
        <v>73918279.154839054</v>
      </c>
      <c r="H218" s="158">
        <v>76551460.473637089</v>
      </c>
      <c r="I218" s="158">
        <v>79184641.792435154</v>
      </c>
      <c r="J218" s="158">
        <v>81817823.111233205</v>
      </c>
      <c r="K218" s="158">
        <v>84451004.430031255</v>
      </c>
    </row>
    <row r="219" spans="1:11" x14ac:dyDescent="0.25">
      <c r="A219" s="230" t="s">
        <v>200</v>
      </c>
      <c r="D219" s="111">
        <f>H118</f>
        <v>7362750.1162600368</v>
      </c>
      <c r="F219" s="238">
        <f>$F$145-0.005</f>
        <v>7.4315495014933702E-2</v>
      </c>
      <c r="G219" s="158">
        <v>72246810.033098996</v>
      </c>
      <c r="H219" s="268">
        <v>74819283.281899303</v>
      </c>
      <c r="I219" s="268">
        <v>77391756.530699641</v>
      </c>
      <c r="J219" s="268">
        <v>79964229.779499978</v>
      </c>
      <c r="K219" s="158">
        <v>82536703.028300315</v>
      </c>
    </row>
    <row r="220" spans="1:11" x14ac:dyDescent="0.25">
      <c r="A220" s="231" t="s">
        <v>205</v>
      </c>
      <c r="D220" s="266">
        <f>DCF!$E$57</f>
        <v>13.7</v>
      </c>
      <c r="F220" s="238">
        <f>DCF!$E$26</f>
        <v>7.9315495014933707E-2</v>
      </c>
      <c r="G220" s="158">
        <v>70620892.191527948</v>
      </c>
      <c r="H220" s="268">
        <v>73134329.201247036</v>
      </c>
      <c r="I220" s="272">
        <v>75647766.210966125</v>
      </c>
      <c r="J220" s="268">
        <v>78161203.220685214</v>
      </c>
      <c r="K220" s="158">
        <v>80674640.230404302</v>
      </c>
    </row>
    <row r="221" spans="1:11" x14ac:dyDescent="0.25">
      <c r="A221" s="232" t="s">
        <v>206</v>
      </c>
      <c r="D221" s="261">
        <f>D219*D220</f>
        <v>100869676.5927625</v>
      </c>
      <c r="E221" s="264"/>
      <c r="F221" s="238">
        <f>$F$145+0.005</f>
        <v>8.4315495014933711E-2</v>
      </c>
      <c r="G221" s="158">
        <v>69039078.014515445</v>
      </c>
      <c r="H221" s="268">
        <v>71495097.148151189</v>
      </c>
      <c r="I221" s="268">
        <v>73951116.281786934</v>
      </c>
      <c r="J221" s="268">
        <v>76407135.415422678</v>
      </c>
      <c r="K221" s="158">
        <v>78863154.549058437</v>
      </c>
    </row>
    <row r="222" spans="1:11" x14ac:dyDescent="0.25">
      <c r="A222" s="231" t="s">
        <v>179</v>
      </c>
      <c r="D222" s="244">
        <f>H136</f>
        <v>0.68274407525208936</v>
      </c>
      <c r="F222" s="238">
        <f>$F$146+0.005</f>
        <v>8.9315495014933716E-2</v>
      </c>
      <c r="G222" s="158">
        <v>67499972.335811481</v>
      </c>
      <c r="H222" s="158">
        <v>69900140.433818832</v>
      </c>
      <c r="I222" s="158">
        <v>72300308.531826198</v>
      </c>
      <c r="J222" s="158">
        <v>74700476.629833564</v>
      </c>
      <c r="K222" s="158">
        <v>77100644.72784093</v>
      </c>
    </row>
    <row r="223" spans="1:11" x14ac:dyDescent="0.25">
      <c r="A223" s="232" t="s">
        <v>207</v>
      </c>
      <c r="D223" s="262">
        <f>D221*D222</f>
        <v>68868174.066302955</v>
      </c>
    </row>
    <row r="224" spans="1:11" x14ac:dyDescent="0.25">
      <c r="A224" s="233" t="s">
        <v>208</v>
      </c>
      <c r="D224" s="157">
        <f>D223/(D223+D216)</f>
        <v>0.910379480000027</v>
      </c>
    </row>
    <row r="225" spans="1:7" x14ac:dyDescent="0.25">
      <c r="A225" s="231"/>
    </row>
    <row r="226" spans="1:7" x14ac:dyDescent="0.25">
      <c r="A226" s="234" t="s">
        <v>209</v>
      </c>
      <c r="D226" s="263">
        <f>D223/D224</f>
        <v>75647766.210966125</v>
      </c>
    </row>
    <row r="229" spans="1:7" x14ac:dyDescent="0.25">
      <c r="G229" s="7"/>
    </row>
  </sheetData>
  <mergeCells count="26">
    <mergeCell ref="G216:K216"/>
    <mergeCell ref="A215:D215"/>
    <mergeCell ref="F155:K155"/>
    <mergeCell ref="F170:K170"/>
    <mergeCell ref="G156:K156"/>
    <mergeCell ref="G171:K171"/>
    <mergeCell ref="F184:K184"/>
    <mergeCell ref="G185:K185"/>
    <mergeCell ref="F200:K200"/>
    <mergeCell ref="G201:K201"/>
    <mergeCell ref="F215:K215"/>
    <mergeCell ref="A155:D155"/>
    <mergeCell ref="A170:D170"/>
    <mergeCell ref="A184:D184"/>
    <mergeCell ref="A200:D200"/>
    <mergeCell ref="A136:C136"/>
    <mergeCell ref="A140:D140"/>
    <mergeCell ref="G141:K141"/>
    <mergeCell ref="E144:E149"/>
    <mergeCell ref="D4:G4"/>
    <mergeCell ref="A37:C37"/>
    <mergeCell ref="A72:C72"/>
    <mergeCell ref="A106:C106"/>
    <mergeCell ref="D106:H106"/>
    <mergeCell ref="D72:H72"/>
    <mergeCell ref="D37:H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1"/>
  <sheetViews>
    <sheetView workbookViewId="0">
      <selection activeCell="A2" sqref="A2"/>
    </sheetView>
  </sheetViews>
  <sheetFormatPr defaultColWidth="8.85546875" defaultRowHeight="15" outlineLevelCol="1" x14ac:dyDescent="0.25"/>
  <cols>
    <col min="1" max="1" width="41.140625" bestFit="1" customWidth="1"/>
    <col min="2" max="2" width="14" bestFit="1" customWidth="1"/>
    <col min="3" max="5" width="11.28515625" hidden="1" customWidth="1" outlineLevel="1"/>
    <col min="6" max="6" width="15" hidden="1" customWidth="1" outlineLevel="1"/>
    <col min="7" max="7" width="14.7109375" customWidth="1" collapsed="1"/>
    <col min="8" max="11" width="11.28515625" hidden="1" customWidth="1" outlineLevel="1"/>
    <col min="12" max="12" width="14" bestFit="1" customWidth="1" collapsed="1"/>
    <col min="13" max="16" width="14" hidden="1" customWidth="1" outlineLevel="1"/>
    <col min="17" max="17" width="14" style="4" customWidth="1" collapsed="1"/>
    <col min="18" max="21" width="14" style="4" hidden="1" customWidth="1" outlineLevel="1"/>
    <col min="22" max="22" width="15" style="4" customWidth="1" collapsed="1"/>
    <col min="23" max="26" width="12" style="4" hidden="1" customWidth="1" outlineLevel="1"/>
    <col min="27" max="27" width="15" style="4" bestFit="1" customWidth="1" collapsed="1"/>
  </cols>
  <sheetData>
    <row r="1" spans="1:28" ht="20.25" x14ac:dyDescent="0.3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Q1" s="2"/>
      <c r="V1" s="2"/>
      <c r="AA1" s="2"/>
    </row>
    <row r="2" spans="1:28" ht="18" x14ac:dyDescent="0.25">
      <c r="A2" s="5" t="s">
        <v>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5">
      <c r="A3" s="6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Q3" s="2"/>
      <c r="V3" s="2"/>
      <c r="AA3" s="2"/>
    </row>
    <row r="4" spans="1:28" x14ac:dyDescent="0.25">
      <c r="A4" s="13"/>
      <c r="B4" s="353" t="s">
        <v>38</v>
      </c>
      <c r="C4" s="354"/>
      <c r="D4" s="354"/>
      <c r="E4" s="354"/>
      <c r="F4" s="354"/>
      <c r="G4" s="354"/>
      <c r="H4" s="354"/>
      <c r="I4" s="354"/>
      <c r="J4" s="354"/>
      <c r="K4" s="354"/>
      <c r="L4" s="355"/>
      <c r="M4" s="14"/>
      <c r="N4" s="14"/>
      <c r="O4" s="14"/>
      <c r="P4" s="14"/>
      <c r="Q4" s="15"/>
      <c r="R4" s="16"/>
      <c r="S4" s="16"/>
      <c r="T4" s="16"/>
      <c r="U4" s="16"/>
      <c r="V4" s="16"/>
      <c r="W4" s="16"/>
      <c r="X4" s="16"/>
      <c r="Y4" s="16"/>
      <c r="Z4" s="16"/>
      <c r="AA4" s="17"/>
    </row>
    <row r="5" spans="1:28" x14ac:dyDescent="0.25">
      <c r="A5" s="18"/>
      <c r="B5" s="19" t="s">
        <v>39</v>
      </c>
      <c r="C5" s="356" t="s">
        <v>40</v>
      </c>
      <c r="D5" s="356"/>
      <c r="E5" s="356"/>
      <c r="F5" s="356"/>
      <c r="G5" s="356"/>
      <c r="H5" s="357" t="s">
        <v>41</v>
      </c>
      <c r="I5" s="357"/>
      <c r="J5" s="357"/>
      <c r="K5" s="357"/>
      <c r="L5" s="358"/>
      <c r="M5" s="20" t="s">
        <v>42</v>
      </c>
      <c r="N5" s="20" t="s">
        <v>43</v>
      </c>
      <c r="O5" s="20" t="s">
        <v>44</v>
      </c>
      <c r="P5" s="20" t="s">
        <v>45</v>
      </c>
      <c r="Q5" s="19" t="s">
        <v>45</v>
      </c>
      <c r="R5" s="356" t="s">
        <v>46</v>
      </c>
      <c r="S5" s="356"/>
      <c r="T5" s="356"/>
      <c r="U5" s="356"/>
      <c r="V5" s="356"/>
      <c r="W5" s="356" t="s">
        <v>47</v>
      </c>
      <c r="X5" s="356"/>
      <c r="Y5" s="356"/>
      <c r="Z5" s="356"/>
      <c r="AA5" s="356"/>
    </row>
    <row r="6" spans="1:28" x14ac:dyDescent="0.25">
      <c r="A6" s="21"/>
      <c r="B6" s="22" t="s">
        <v>48</v>
      </c>
      <c r="C6" s="22" t="s">
        <v>49</v>
      </c>
      <c r="D6" s="22" t="s">
        <v>50</v>
      </c>
      <c r="E6" s="22" t="s">
        <v>51</v>
      </c>
      <c r="F6" s="22" t="s">
        <v>52</v>
      </c>
      <c r="G6" s="22" t="s">
        <v>48</v>
      </c>
      <c r="H6" s="22" t="s">
        <v>49</v>
      </c>
      <c r="I6" s="22" t="s">
        <v>50</v>
      </c>
      <c r="J6" s="22" t="s">
        <v>51</v>
      </c>
      <c r="K6" s="22" t="s">
        <v>52</v>
      </c>
      <c r="L6" s="23" t="s">
        <v>48</v>
      </c>
      <c r="M6" s="24" t="s">
        <v>49</v>
      </c>
      <c r="N6" s="22" t="s">
        <v>50</v>
      </c>
      <c r="O6" s="22" t="s">
        <v>51</v>
      </c>
      <c r="P6" s="24" t="s">
        <v>52</v>
      </c>
      <c r="Q6" s="22" t="s">
        <v>48</v>
      </c>
      <c r="R6" s="24" t="s">
        <v>49</v>
      </c>
      <c r="S6" s="22" t="s">
        <v>50</v>
      </c>
      <c r="T6" s="22" t="s">
        <v>51</v>
      </c>
      <c r="U6" s="24" t="s">
        <v>52</v>
      </c>
      <c r="V6" s="22" t="s">
        <v>48</v>
      </c>
      <c r="W6" s="22" t="s">
        <v>49</v>
      </c>
      <c r="X6" s="22" t="s">
        <v>50</v>
      </c>
      <c r="Y6" s="22" t="s">
        <v>51</v>
      </c>
      <c r="Z6" s="22" t="s">
        <v>52</v>
      </c>
      <c r="AA6" s="22" t="s">
        <v>48</v>
      </c>
    </row>
    <row r="7" spans="1:28" x14ac:dyDescent="0.25">
      <c r="A7" s="25" t="s">
        <v>53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26"/>
      <c r="M7" s="18"/>
      <c r="N7" s="18"/>
      <c r="O7" s="18"/>
      <c r="P7" s="18"/>
      <c r="Q7" s="27"/>
      <c r="R7" s="28"/>
      <c r="S7" s="28"/>
      <c r="T7" s="28"/>
      <c r="U7" s="28"/>
      <c r="V7" s="27"/>
      <c r="W7" s="28"/>
      <c r="X7" s="28"/>
      <c r="Y7" s="28"/>
      <c r="Z7" s="28"/>
      <c r="AA7" s="27"/>
      <c r="AB7" s="29"/>
    </row>
    <row r="8" spans="1:28" x14ac:dyDescent="0.25">
      <c r="A8" s="30" t="s">
        <v>54</v>
      </c>
      <c r="B8" s="31">
        <v>4818319</v>
      </c>
      <c r="C8" s="32">
        <v>1714775</v>
      </c>
      <c r="D8" s="32">
        <v>1379004</v>
      </c>
      <c r="E8" s="32">
        <v>1515663</v>
      </c>
      <c r="F8" s="32">
        <v>1545937</v>
      </c>
      <c r="G8" s="31">
        <v>6155379</v>
      </c>
      <c r="H8" s="31">
        <v>2091484</v>
      </c>
      <c r="I8" s="31">
        <v>1843643</v>
      </c>
      <c r="J8" s="31">
        <v>1827420</v>
      </c>
      <c r="K8" s="31">
        <v>1950909</v>
      </c>
      <c r="L8" s="31">
        <v>7713456</v>
      </c>
      <c r="M8" s="31">
        <v>2584668</v>
      </c>
      <c r="N8" s="31">
        <v>2125830</v>
      </c>
      <c r="O8" s="31">
        <v>1877000</v>
      </c>
      <c r="P8" s="31">
        <f>3010378.8-200000</f>
        <v>2810378.8</v>
      </c>
      <c r="Q8" s="31">
        <f>SUM(M8:P8)</f>
        <v>9397876.8000000007</v>
      </c>
      <c r="R8" s="31">
        <v>3537714.72</v>
      </c>
      <c r="S8" s="31">
        <v>3091182.5120000001</v>
      </c>
      <c r="T8" s="31">
        <v>3337190.32</v>
      </c>
      <c r="U8" s="31">
        <v>4164827.2880000011</v>
      </c>
      <c r="V8" s="31">
        <v>14130914.840000002</v>
      </c>
      <c r="W8" s="31">
        <v>4906768.4000000004</v>
      </c>
      <c r="X8" s="31">
        <v>4349353.1400000006</v>
      </c>
      <c r="Y8" s="31">
        <v>4608362.9000000004</v>
      </c>
      <c r="Z8" s="31">
        <v>5518534.1100000013</v>
      </c>
      <c r="AA8" s="31">
        <v>19383018.550000004</v>
      </c>
    </row>
    <row r="9" spans="1:28" x14ac:dyDescent="0.25">
      <c r="A9" s="33" t="s">
        <v>55</v>
      </c>
      <c r="B9" s="34">
        <v>3597057</v>
      </c>
      <c r="C9" s="34">
        <v>1173780</v>
      </c>
      <c r="D9" s="34">
        <v>1047129</v>
      </c>
      <c r="E9" s="34">
        <v>1097915</v>
      </c>
      <c r="F9" s="34">
        <v>1319925</v>
      </c>
      <c r="G9" s="34">
        <v>4638749</v>
      </c>
      <c r="H9" s="34">
        <v>1346451</v>
      </c>
      <c r="I9" s="34">
        <v>1109473</v>
      </c>
      <c r="J9" s="34">
        <v>1103775</v>
      </c>
      <c r="K9" s="34">
        <v>1434721</v>
      </c>
      <c r="L9" s="35">
        <v>4994420</v>
      </c>
      <c r="M9" s="34">
        <v>1658711</v>
      </c>
      <c r="N9" s="34">
        <v>1324165</v>
      </c>
      <c r="O9" s="34">
        <v>1236536</v>
      </c>
      <c r="P9" s="34">
        <v>1827581.0680000004</v>
      </c>
      <c r="Q9" s="36">
        <f>SUM(M9:P9)</f>
        <v>6046993.068</v>
      </c>
      <c r="R9" s="36">
        <v>2124855.9791999999</v>
      </c>
      <c r="S9" s="36">
        <v>1835571.33232</v>
      </c>
      <c r="T9" s="36">
        <v>1953916.0951999999</v>
      </c>
      <c r="U9" s="36">
        <v>2415224.6456800005</v>
      </c>
      <c r="V9" s="36">
        <v>8329568.0524000004</v>
      </c>
      <c r="W9" s="37">
        <v>2783061.04</v>
      </c>
      <c r="X9" s="37">
        <v>2428111.8840000001</v>
      </c>
      <c r="Y9" s="37">
        <v>2557517.7399999998</v>
      </c>
      <c r="Z9" s="37">
        <v>3082370.4660000005</v>
      </c>
      <c r="AA9" s="36">
        <v>10851061.130000001</v>
      </c>
    </row>
    <row r="10" spans="1:28" x14ac:dyDescent="0.25">
      <c r="A10" s="38" t="s">
        <v>56</v>
      </c>
      <c r="B10" s="31">
        <v>1221262</v>
      </c>
      <c r="C10" s="31">
        <v>540995</v>
      </c>
      <c r="D10" s="31">
        <v>331875</v>
      </c>
      <c r="E10" s="31">
        <v>417748</v>
      </c>
      <c r="F10" s="31">
        <v>226012</v>
      </c>
      <c r="G10" s="31">
        <v>1516630</v>
      </c>
      <c r="H10" s="31">
        <v>745033</v>
      </c>
      <c r="I10" s="31">
        <v>734170</v>
      </c>
      <c r="J10" s="31">
        <v>723645</v>
      </c>
      <c r="K10" s="31">
        <v>516188</v>
      </c>
      <c r="L10" s="31">
        <v>2719036</v>
      </c>
      <c r="M10" s="31">
        <f>M8-M9</f>
        <v>925957</v>
      </c>
      <c r="N10" s="31">
        <f>N8-N9</f>
        <v>801665</v>
      </c>
      <c r="O10" s="31">
        <f>O8-O9</f>
        <v>640464</v>
      </c>
      <c r="P10" s="31">
        <f>P8-P9</f>
        <v>982797.73199999938</v>
      </c>
      <c r="Q10" s="31">
        <f>Q8-Q9</f>
        <v>3350883.7320000008</v>
      </c>
      <c r="R10" s="31">
        <v>1412858.7408000003</v>
      </c>
      <c r="S10" s="31">
        <v>1255611.1796800001</v>
      </c>
      <c r="T10" s="31">
        <v>1383274.2248</v>
      </c>
      <c r="U10" s="31">
        <v>1749602.6423200006</v>
      </c>
      <c r="V10" s="31">
        <v>5801346.7876000013</v>
      </c>
      <c r="W10" s="31">
        <v>2123707.3600000003</v>
      </c>
      <c r="X10" s="31">
        <v>1921241.2560000005</v>
      </c>
      <c r="Y10" s="31">
        <v>2050845.1600000006</v>
      </c>
      <c r="Z10" s="31">
        <v>2436163.6440000008</v>
      </c>
      <c r="AA10" s="31">
        <v>8531957.4200000037</v>
      </c>
    </row>
    <row r="11" spans="1:28" x14ac:dyDescent="0.25">
      <c r="A11" s="1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40"/>
      <c r="M11" s="41"/>
      <c r="N11" s="41"/>
      <c r="O11" s="41"/>
      <c r="P11" s="41"/>
      <c r="Q11" s="42">
        <f>(Q8-L8)/L8</f>
        <v>0.2183743318170222</v>
      </c>
      <c r="R11" s="42"/>
      <c r="S11" s="42"/>
      <c r="T11" s="42"/>
      <c r="U11" s="42"/>
      <c r="V11" s="42">
        <f>(V8-Q8)/Q8</f>
        <v>0.50362844084102065</v>
      </c>
      <c r="W11" s="42"/>
      <c r="X11" s="42"/>
      <c r="Y11" s="42"/>
      <c r="Z11" s="42"/>
      <c r="AA11" s="42">
        <f>(AA8-V8)/V8</f>
        <v>0.37167471246327333</v>
      </c>
    </row>
    <row r="12" spans="1:28" x14ac:dyDescent="0.25">
      <c r="A12" s="25" t="s">
        <v>57</v>
      </c>
      <c r="B12" s="41"/>
      <c r="C12" s="41"/>
      <c r="D12" s="41"/>
      <c r="E12" s="41"/>
      <c r="F12" s="41"/>
      <c r="G12" s="41"/>
      <c r="H12" s="41"/>
      <c r="I12" s="41"/>
      <c r="J12" s="41"/>
      <c r="K12" s="41">
        <v>0</v>
      </c>
      <c r="L12" s="43"/>
      <c r="M12" s="41"/>
      <c r="N12" s="41"/>
      <c r="O12" s="41"/>
      <c r="P12" s="41"/>
      <c r="Q12" s="44">
        <f>Q9/Q8</f>
        <v>0.6434424707504145</v>
      </c>
      <c r="R12" s="45"/>
      <c r="S12" s="45"/>
      <c r="T12" s="45"/>
      <c r="U12" s="45"/>
      <c r="V12" s="44">
        <f>V9/V8</f>
        <v>0.58945709791001755</v>
      </c>
      <c r="W12" s="46"/>
      <c r="X12" s="46"/>
      <c r="Y12" s="46"/>
      <c r="Z12" s="46"/>
      <c r="AA12" s="44">
        <f>AA9/AA8</f>
        <v>0.55982307925924146</v>
      </c>
    </row>
    <row r="13" spans="1:28" x14ac:dyDescent="0.25">
      <c r="A13" s="47" t="s">
        <v>58</v>
      </c>
      <c r="B13" s="41">
        <v>96472</v>
      </c>
      <c r="C13" s="41">
        <v>30138</v>
      </c>
      <c r="D13" s="41">
        <v>29650</v>
      </c>
      <c r="E13" s="41">
        <v>33000</v>
      </c>
      <c r="F13" s="41">
        <v>27749</v>
      </c>
      <c r="G13" s="41">
        <v>120537</v>
      </c>
      <c r="H13" s="41">
        <v>46841</v>
      </c>
      <c r="I13" s="41">
        <v>48384</v>
      </c>
      <c r="J13" s="41">
        <v>62674</v>
      </c>
      <c r="K13" s="41">
        <v>98549</v>
      </c>
      <c r="L13" s="43">
        <v>256448</v>
      </c>
      <c r="M13" s="41">
        <v>57000</v>
      </c>
      <c r="N13" s="41">
        <v>58000</v>
      </c>
      <c r="O13" s="41">
        <v>57500</v>
      </c>
      <c r="P13" s="41">
        <v>63500</v>
      </c>
      <c r="Q13" s="48">
        <f>SUM(M13:P13)</f>
        <v>236000</v>
      </c>
      <c r="R13" s="48">
        <v>66500</v>
      </c>
      <c r="S13" s="48">
        <v>68500</v>
      </c>
      <c r="T13" s="48">
        <v>70500</v>
      </c>
      <c r="U13" s="48">
        <v>73000</v>
      </c>
      <c r="V13" s="48">
        <v>278500</v>
      </c>
      <c r="W13" s="28">
        <v>75000</v>
      </c>
      <c r="X13" s="28">
        <v>76000</v>
      </c>
      <c r="Y13" s="28">
        <v>78000</v>
      </c>
      <c r="Z13" s="28">
        <v>80500</v>
      </c>
      <c r="AA13" s="48">
        <v>309500</v>
      </c>
    </row>
    <row r="14" spans="1:28" x14ac:dyDescent="0.25">
      <c r="A14" s="47" t="s">
        <v>59</v>
      </c>
      <c r="B14" s="34">
        <v>781985</v>
      </c>
      <c r="C14" s="34">
        <v>288546</v>
      </c>
      <c r="D14" s="34">
        <v>383212</v>
      </c>
      <c r="E14" s="34">
        <v>515442</v>
      </c>
      <c r="F14" s="34">
        <v>621091</v>
      </c>
      <c r="G14" s="34" t="s">
        <v>60</v>
      </c>
      <c r="H14" s="34">
        <v>672867</v>
      </c>
      <c r="I14" s="34">
        <v>674148</v>
      </c>
      <c r="J14" s="34">
        <v>687690</v>
      </c>
      <c r="K14" s="34">
        <v>790564</v>
      </c>
      <c r="L14" s="35">
        <v>2825269</v>
      </c>
      <c r="M14" s="34">
        <v>753694</v>
      </c>
      <c r="N14" s="34">
        <v>765531</v>
      </c>
      <c r="O14" s="34">
        <v>767239</v>
      </c>
      <c r="P14" s="34">
        <v>814454.24430000002</v>
      </c>
      <c r="Q14" s="36">
        <f>SUM(M14:P14)</f>
        <v>3100918.2442999999</v>
      </c>
      <c r="R14" s="36">
        <v>830305.32918600005</v>
      </c>
      <c r="S14" s="36">
        <v>851631.40912378998</v>
      </c>
      <c r="T14" s="36">
        <v>882339.38026064681</v>
      </c>
      <c r="U14" s="36">
        <v>890667.77406325331</v>
      </c>
      <c r="V14" s="36">
        <v>3454943.89263369</v>
      </c>
      <c r="W14" s="37">
        <v>899079.45180388587</v>
      </c>
      <c r="X14" s="37">
        <v>915575.24632192473</v>
      </c>
      <c r="Y14" s="37">
        <v>940155.99878514395</v>
      </c>
      <c r="Z14" s="37">
        <v>948822.55877299537</v>
      </c>
      <c r="AA14" s="36">
        <v>3703633.2556839501</v>
      </c>
    </row>
    <row r="15" spans="1:28" x14ac:dyDescent="0.25">
      <c r="A15" s="47" t="s">
        <v>61</v>
      </c>
      <c r="B15" s="41">
        <v>878457</v>
      </c>
      <c r="C15" s="41">
        <v>318684</v>
      </c>
      <c r="D15" s="41">
        <v>412862</v>
      </c>
      <c r="E15" s="41">
        <v>548442</v>
      </c>
      <c r="F15" s="41">
        <v>648840</v>
      </c>
      <c r="G15" s="41">
        <v>1928828</v>
      </c>
      <c r="H15" s="41">
        <v>719708</v>
      </c>
      <c r="I15" s="41">
        <v>722532</v>
      </c>
      <c r="J15" s="41">
        <v>750364</v>
      </c>
      <c r="K15" s="41">
        <v>889113</v>
      </c>
      <c r="L15" s="43">
        <v>3081717</v>
      </c>
      <c r="M15" s="41">
        <f>SUM(M13:M14)</f>
        <v>810694</v>
      </c>
      <c r="N15" s="41">
        <f>SUM(N13:N14)</f>
        <v>823531</v>
      </c>
      <c r="O15" s="41">
        <f>SUM(O13:O14)</f>
        <v>824739</v>
      </c>
      <c r="P15" s="41">
        <f>SUM(P13:P14)</f>
        <v>877954.24430000002</v>
      </c>
      <c r="Q15" s="48">
        <f>SUM(M15:P15)</f>
        <v>3336918.2442999999</v>
      </c>
      <c r="R15" s="48">
        <v>896805.32918600005</v>
      </c>
      <c r="S15" s="48">
        <v>920131.40912378998</v>
      </c>
      <c r="T15" s="48">
        <v>952839.38026064681</v>
      </c>
      <c r="U15" s="48">
        <v>963667.77406325331</v>
      </c>
      <c r="V15" s="48">
        <v>3733443.89263369</v>
      </c>
      <c r="W15" s="48">
        <v>974079.45180388587</v>
      </c>
      <c r="X15" s="48">
        <v>991575.24632192473</v>
      </c>
      <c r="Y15" s="48">
        <v>1018155.998785144</v>
      </c>
      <c r="Z15" s="48">
        <v>1029322.5587729954</v>
      </c>
      <c r="AA15" s="48">
        <v>4013133.2556839501</v>
      </c>
    </row>
    <row r="16" spans="1:28" x14ac:dyDescent="0.25">
      <c r="A16" s="47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3"/>
      <c r="M16" s="41"/>
      <c r="N16" s="41"/>
      <c r="O16" s="41"/>
      <c r="P16" s="41"/>
      <c r="Q16" s="49">
        <f>Q15/Q8</f>
        <v>0.35507150341660149</v>
      </c>
      <c r="R16" s="48"/>
      <c r="S16" s="48"/>
      <c r="T16" s="48"/>
      <c r="U16" s="48"/>
      <c r="V16" s="27">
        <f>V15/V8</f>
        <v>0.26420397652284555</v>
      </c>
      <c r="W16" s="28"/>
      <c r="X16" s="28"/>
      <c r="Y16" s="28"/>
      <c r="Z16" s="28"/>
      <c r="AA16" s="27">
        <f>AA15/AA8</f>
        <v>0.20704377108920163</v>
      </c>
    </row>
    <row r="17" spans="1:27" x14ac:dyDescent="0.25">
      <c r="A17" s="38" t="s">
        <v>62</v>
      </c>
      <c r="B17" s="31">
        <v>342805</v>
      </c>
      <c r="C17" s="31">
        <v>222311</v>
      </c>
      <c r="D17" s="31">
        <v>-80987</v>
      </c>
      <c r="E17" s="31">
        <v>-130694</v>
      </c>
      <c r="F17" s="31">
        <v>-422828</v>
      </c>
      <c r="G17" s="31">
        <v>-412198</v>
      </c>
      <c r="H17" s="31">
        <v>25325</v>
      </c>
      <c r="I17" s="31">
        <v>11638</v>
      </c>
      <c r="J17" s="31">
        <v>-26719</v>
      </c>
      <c r="K17" s="31">
        <v>-372925</v>
      </c>
      <c r="L17" s="31">
        <v>-362681</v>
      </c>
      <c r="M17" s="31">
        <f>M10-M15</f>
        <v>115263</v>
      </c>
      <c r="N17" s="31">
        <f>N10-N15</f>
        <v>-21866</v>
      </c>
      <c r="O17" s="31">
        <f>O10-O15</f>
        <v>-184275</v>
      </c>
      <c r="P17" s="31">
        <f>P10-P15</f>
        <v>104843.48769999936</v>
      </c>
      <c r="Q17" s="31">
        <f>Q10-Q15</f>
        <v>13965.487700000871</v>
      </c>
      <c r="R17" s="31">
        <v>516053.41161400022</v>
      </c>
      <c r="S17" s="31">
        <v>335479.77055621007</v>
      </c>
      <c r="T17" s="31">
        <v>430434.84453935316</v>
      </c>
      <c r="U17" s="31">
        <v>785934.86825674726</v>
      </c>
      <c r="V17" s="31">
        <v>2067902.8949663113</v>
      </c>
      <c r="W17" s="31">
        <v>1149627.9081961145</v>
      </c>
      <c r="X17" s="31">
        <v>929666.00967807579</v>
      </c>
      <c r="Y17" s="31">
        <v>1032689.1612148567</v>
      </c>
      <c r="Z17" s="31">
        <v>1406841.0852270054</v>
      </c>
      <c r="AA17" s="31">
        <v>4518824.1643160535</v>
      </c>
    </row>
    <row r="18" spans="1:27" x14ac:dyDescent="0.25">
      <c r="A18" s="47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3"/>
      <c r="M18" s="41"/>
      <c r="N18" s="41"/>
      <c r="O18" s="41"/>
      <c r="P18" s="41"/>
      <c r="Q18" s="48"/>
      <c r="R18" s="48"/>
      <c r="S18" s="48"/>
      <c r="T18" s="48"/>
      <c r="U18" s="48"/>
      <c r="V18" s="48"/>
      <c r="W18" s="28"/>
      <c r="X18" s="28"/>
      <c r="Y18" s="28"/>
      <c r="Z18" s="28"/>
      <c r="AA18" s="48"/>
    </row>
    <row r="19" spans="1:27" x14ac:dyDescent="0.25">
      <c r="A19" s="38" t="s">
        <v>63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3"/>
      <c r="M19" s="41"/>
      <c r="N19" s="41"/>
      <c r="O19" s="41"/>
      <c r="P19" s="41"/>
      <c r="Q19" s="48"/>
      <c r="R19" s="48"/>
      <c r="S19" s="48"/>
      <c r="T19" s="48"/>
      <c r="U19" s="48"/>
      <c r="V19" s="48"/>
      <c r="W19" s="28"/>
      <c r="X19" s="28"/>
      <c r="Y19" s="28"/>
      <c r="Z19" s="28"/>
      <c r="AA19" s="48"/>
    </row>
    <row r="20" spans="1:27" x14ac:dyDescent="0.25">
      <c r="A20" s="47" t="s">
        <v>64</v>
      </c>
      <c r="B20" s="41">
        <v>-56932</v>
      </c>
      <c r="C20" s="41">
        <v>-11368</v>
      </c>
      <c r="D20" s="41">
        <v>-11937</v>
      </c>
      <c r="E20" s="41">
        <v>-10102</v>
      </c>
      <c r="F20" s="41">
        <v>33407</v>
      </c>
      <c r="G20" s="41">
        <v>0</v>
      </c>
      <c r="H20" s="41">
        <v>-12015</v>
      </c>
      <c r="I20" s="41">
        <v>-12294</v>
      </c>
      <c r="J20" s="41">
        <v>-13806</v>
      </c>
      <c r="K20" s="41">
        <v>-22348</v>
      </c>
      <c r="L20" s="43">
        <v>-60463</v>
      </c>
      <c r="M20" s="41">
        <v>-26774</v>
      </c>
      <c r="N20" s="41">
        <v>-23620</v>
      </c>
      <c r="O20" s="41">
        <v>-26885</v>
      </c>
      <c r="P20" s="41">
        <v>-18050</v>
      </c>
      <c r="Q20" s="48">
        <f>SUM(M20:P20)</f>
        <v>-95329</v>
      </c>
      <c r="R20" s="48">
        <v>-18050</v>
      </c>
      <c r="S20" s="48">
        <v>-18050</v>
      </c>
      <c r="T20" s="48">
        <v>-18050</v>
      </c>
      <c r="U20" s="48">
        <v>-18050</v>
      </c>
      <c r="V20" s="48">
        <v>-72200</v>
      </c>
      <c r="W20" s="28">
        <v>-18050</v>
      </c>
      <c r="X20" s="28">
        <v>-18050</v>
      </c>
      <c r="Y20" s="28">
        <v>-18050</v>
      </c>
      <c r="Z20" s="28">
        <v>-18050</v>
      </c>
      <c r="AA20" s="48">
        <v>-72200</v>
      </c>
    </row>
    <row r="21" spans="1:27" x14ac:dyDescent="0.25">
      <c r="A21" s="47" t="s">
        <v>65</v>
      </c>
      <c r="B21" s="41">
        <v>0</v>
      </c>
      <c r="C21" s="41">
        <v>232</v>
      </c>
      <c r="D21" s="41">
        <v>249</v>
      </c>
      <c r="E21" s="41">
        <v>0</v>
      </c>
      <c r="F21" s="41">
        <v>-481</v>
      </c>
      <c r="G21" s="41">
        <v>0</v>
      </c>
      <c r="H21" s="41">
        <v>1272</v>
      </c>
      <c r="I21" s="41">
        <v>0</v>
      </c>
      <c r="J21" s="41">
        <v>0</v>
      </c>
      <c r="K21" s="41">
        <v>-1272</v>
      </c>
      <c r="L21" s="43"/>
      <c r="M21" s="41" t="s">
        <v>66</v>
      </c>
      <c r="N21" s="41">
        <v>4500</v>
      </c>
      <c r="O21" s="41">
        <v>0</v>
      </c>
      <c r="P21" s="41">
        <v>0</v>
      </c>
      <c r="Q21" s="48">
        <f>SUM(M21:P21)</f>
        <v>4500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28">
        <v>0</v>
      </c>
      <c r="X21" s="28">
        <v>0</v>
      </c>
      <c r="Y21" s="28">
        <v>0</v>
      </c>
      <c r="Z21" s="28">
        <v>0</v>
      </c>
      <c r="AA21" s="48">
        <v>0</v>
      </c>
    </row>
    <row r="22" spans="1:27" x14ac:dyDescent="0.25">
      <c r="A22" s="47" t="s">
        <v>67</v>
      </c>
      <c r="B22" s="41">
        <v>0</v>
      </c>
      <c r="C22" s="41">
        <v>0</v>
      </c>
      <c r="D22" s="41">
        <v>0</v>
      </c>
      <c r="E22" s="41">
        <v>0</v>
      </c>
      <c r="F22" s="41">
        <v>-250000</v>
      </c>
      <c r="G22" s="41">
        <v>-250000</v>
      </c>
      <c r="H22" s="41">
        <v>0</v>
      </c>
      <c r="I22" s="41">
        <v>0</v>
      </c>
      <c r="J22" s="41">
        <v>0</v>
      </c>
      <c r="K22" s="41">
        <v>0</v>
      </c>
      <c r="L22" s="43">
        <v>0</v>
      </c>
      <c r="M22" s="41">
        <v>0</v>
      </c>
      <c r="N22" s="41"/>
      <c r="O22" s="41">
        <v>0</v>
      </c>
      <c r="P22" s="41">
        <v>0</v>
      </c>
      <c r="Q22" s="48">
        <f>SUM(M22:P22)</f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</row>
    <row r="23" spans="1:27" x14ac:dyDescent="0.25">
      <c r="A23" s="47" t="s">
        <v>68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-248980</v>
      </c>
      <c r="J23" s="34">
        <v>0</v>
      </c>
      <c r="K23" s="34">
        <v>0</v>
      </c>
      <c r="L23" s="35">
        <v>-248980</v>
      </c>
      <c r="M23" s="34">
        <v>0</v>
      </c>
      <c r="N23" s="34">
        <v>0</v>
      </c>
      <c r="O23" s="34">
        <v>0</v>
      </c>
      <c r="P23" s="34">
        <v>0</v>
      </c>
      <c r="Q23" s="48">
        <f>SUM(M23:P23)</f>
        <v>0</v>
      </c>
      <c r="R23" s="36"/>
      <c r="S23" s="36"/>
      <c r="T23" s="36"/>
      <c r="U23" s="36"/>
      <c r="V23" s="36">
        <v>0</v>
      </c>
      <c r="W23" s="37">
        <v>0</v>
      </c>
      <c r="X23" s="37">
        <v>0</v>
      </c>
      <c r="Y23" s="36">
        <v>0</v>
      </c>
      <c r="Z23" s="36">
        <v>0</v>
      </c>
      <c r="AA23" s="36">
        <v>0</v>
      </c>
    </row>
    <row r="24" spans="1:27" x14ac:dyDescent="0.25">
      <c r="A24" s="38" t="s">
        <v>69</v>
      </c>
      <c r="B24" s="31">
        <v>-56932</v>
      </c>
      <c r="C24" s="31">
        <v>34512</v>
      </c>
      <c r="D24" s="31">
        <v>-11688</v>
      </c>
      <c r="E24" s="31">
        <v>-10102</v>
      </c>
      <c r="F24" s="31">
        <v>-310764</v>
      </c>
      <c r="G24" s="31">
        <v>-298042</v>
      </c>
      <c r="H24" s="31">
        <v>-10743</v>
      </c>
      <c r="I24" s="31">
        <v>-261274</v>
      </c>
      <c r="J24" s="31">
        <v>-13806</v>
      </c>
      <c r="K24" s="31">
        <v>-23620</v>
      </c>
      <c r="L24" s="31">
        <v>-309443</v>
      </c>
      <c r="M24" s="31">
        <f>SUM(M20:M23)</f>
        <v>-26774</v>
      </c>
      <c r="N24" s="31">
        <f>SUM(N20:N23)</f>
        <v>-19120</v>
      </c>
      <c r="O24" s="31">
        <f>SUM(O20:O23)</f>
        <v>-26885</v>
      </c>
      <c r="P24" s="31">
        <f>SUM(P20:P23)</f>
        <v>-18050</v>
      </c>
      <c r="Q24" s="31">
        <f>SUM(Q20:Q23)</f>
        <v>-90829</v>
      </c>
      <c r="R24" s="31">
        <v>-18050</v>
      </c>
      <c r="S24" s="31">
        <v>-18050</v>
      </c>
      <c r="T24" s="31">
        <v>-18050</v>
      </c>
      <c r="U24" s="31">
        <v>-18050</v>
      </c>
      <c r="V24" s="31">
        <v>-72200</v>
      </c>
      <c r="W24" s="31">
        <v>-18050</v>
      </c>
      <c r="X24" s="31">
        <v>-18050</v>
      </c>
      <c r="Y24" s="31">
        <v>-18050</v>
      </c>
      <c r="Z24" s="31">
        <v>-18050</v>
      </c>
      <c r="AA24" s="31">
        <v>-72200</v>
      </c>
    </row>
    <row r="25" spans="1:27" x14ac:dyDescent="0.25">
      <c r="A25" s="18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3"/>
      <c r="M25" s="41"/>
      <c r="N25" s="41"/>
      <c r="O25" s="41"/>
      <c r="P25" s="41"/>
      <c r="Q25" s="48"/>
      <c r="R25" s="48"/>
      <c r="S25" s="48"/>
      <c r="T25" s="48"/>
      <c r="U25" s="48"/>
      <c r="V25" s="48"/>
      <c r="W25" s="28"/>
      <c r="X25" s="28"/>
      <c r="Y25" s="28"/>
      <c r="Z25" s="28"/>
      <c r="AA25" s="48"/>
    </row>
    <row r="26" spans="1:27" x14ac:dyDescent="0.25">
      <c r="A26" s="25" t="s">
        <v>70</v>
      </c>
      <c r="B26" s="50">
        <v>285873</v>
      </c>
      <c r="C26" s="50">
        <v>211175</v>
      </c>
      <c r="D26" s="50">
        <v>-92675</v>
      </c>
      <c r="E26" s="50">
        <v>-140796</v>
      </c>
      <c r="F26" s="50">
        <v>-687944</v>
      </c>
      <c r="G26" s="50">
        <v>-710240</v>
      </c>
      <c r="H26" s="50">
        <v>14582</v>
      </c>
      <c r="I26" s="50">
        <v>-249636</v>
      </c>
      <c r="J26" s="50">
        <v>-40525</v>
      </c>
      <c r="K26" s="50">
        <v>-396545</v>
      </c>
      <c r="L26" s="51">
        <v>-672124</v>
      </c>
      <c r="M26" s="50">
        <f>M17+M24</f>
        <v>88489</v>
      </c>
      <c r="N26" s="50">
        <f>N17+N24</f>
        <v>-40986</v>
      </c>
      <c r="O26" s="50">
        <f>O17+O24</f>
        <v>-211160</v>
      </c>
      <c r="P26" s="50">
        <f>P17+P24</f>
        <v>86793.487699999358</v>
      </c>
      <c r="Q26" s="50">
        <f>Q17+Q24</f>
        <v>-76863.512299999129</v>
      </c>
      <c r="R26" s="50">
        <v>498003.41161400022</v>
      </c>
      <c r="S26" s="50">
        <v>317429.77055621007</v>
      </c>
      <c r="T26" s="50">
        <v>412384.84453935316</v>
      </c>
      <c r="U26" s="50">
        <v>767884.86825674726</v>
      </c>
      <c r="V26" s="50">
        <v>1995702.8949663113</v>
      </c>
      <c r="W26" s="50">
        <v>1131577.9081961145</v>
      </c>
      <c r="X26" s="50">
        <v>911616.00967807579</v>
      </c>
      <c r="Y26" s="50">
        <v>1014639.1612148567</v>
      </c>
      <c r="Z26" s="50">
        <v>1388791.0852270054</v>
      </c>
      <c r="AA26" s="50">
        <v>4446624.1643160535</v>
      </c>
    </row>
    <row r="27" spans="1:27" x14ac:dyDescent="0.25">
      <c r="A27" s="25"/>
      <c r="B27" s="52"/>
      <c r="C27" s="50"/>
      <c r="D27" s="50"/>
      <c r="E27" s="50"/>
      <c r="F27" s="50"/>
      <c r="G27" s="48"/>
      <c r="H27" s="48"/>
      <c r="I27" s="48"/>
      <c r="J27" s="48"/>
      <c r="K27" s="48"/>
      <c r="L27" s="53"/>
      <c r="M27" s="48"/>
      <c r="N27" s="48"/>
      <c r="O27" s="48"/>
      <c r="P27" s="48"/>
      <c r="Q27" s="49">
        <f>Q28/Q8</f>
        <v>1.2206735363885607E-2</v>
      </c>
      <c r="R27" s="48"/>
      <c r="S27" s="48"/>
      <c r="T27" s="48"/>
      <c r="U27" s="48"/>
      <c r="V27" s="49">
        <f>V28/V8</f>
        <v>5.6491824275018004E-2</v>
      </c>
      <c r="W27" s="28"/>
      <c r="X27" s="28"/>
      <c r="Y27" s="28"/>
      <c r="Z27" s="28"/>
      <c r="AA27" s="49">
        <f>AA28/AA8</f>
        <v>9.1763295852926932E-2</v>
      </c>
    </row>
    <row r="28" spans="1:27" x14ac:dyDescent="0.25">
      <c r="A28" s="25" t="s">
        <v>71</v>
      </c>
      <c r="B28" s="36">
        <v>228063</v>
      </c>
      <c r="C28" s="36">
        <v>29860</v>
      </c>
      <c r="D28" s="36">
        <v>7775</v>
      </c>
      <c r="E28" s="36">
        <v>-35984</v>
      </c>
      <c r="F28" s="36">
        <v>-51259</v>
      </c>
      <c r="G28" s="36">
        <v>-49608</v>
      </c>
      <c r="H28" s="36">
        <v>11990</v>
      </c>
      <c r="I28" s="36">
        <v>9464</v>
      </c>
      <c r="J28" s="36">
        <v>-11864</v>
      </c>
      <c r="K28" s="36">
        <v>-128692</v>
      </c>
      <c r="L28" s="54">
        <v>-119102</v>
      </c>
      <c r="M28" s="36">
        <v>43529</v>
      </c>
      <c r="N28" s="36">
        <v>-5829</v>
      </c>
      <c r="O28" s="36">
        <v>-37700</v>
      </c>
      <c r="P28" s="36">
        <v>114717.39508000012</v>
      </c>
      <c r="Q28" s="36">
        <f>SUM(M28:P28)</f>
        <v>114717.39508000012</v>
      </c>
      <c r="R28" s="36">
        <v>199201.36464560009</v>
      </c>
      <c r="S28" s="36">
        <v>126971.90822248404</v>
      </c>
      <c r="T28" s="36">
        <v>164953.93781574129</v>
      </c>
      <c r="U28" s="36">
        <v>307153.94730269891</v>
      </c>
      <c r="V28" s="36">
        <v>798281.15798652428</v>
      </c>
      <c r="W28" s="37">
        <v>452631.16327844583</v>
      </c>
      <c r="X28" s="37">
        <v>364646.40387123032</v>
      </c>
      <c r="Y28" s="37">
        <v>405855.66448594269</v>
      </c>
      <c r="Z28" s="37">
        <v>555516.43409080221</v>
      </c>
      <c r="AA28" s="36">
        <v>1778649.6657264212</v>
      </c>
    </row>
    <row r="29" spans="1:27" x14ac:dyDescent="0.25">
      <c r="A29" s="25" t="s">
        <v>72</v>
      </c>
      <c r="B29" s="50">
        <v>57810</v>
      </c>
      <c r="C29" s="50">
        <v>181315</v>
      </c>
      <c r="D29" s="50">
        <v>-100450</v>
      </c>
      <c r="E29" s="50">
        <v>-104812</v>
      </c>
      <c r="F29" s="50">
        <v>-636685</v>
      </c>
      <c r="G29" s="50">
        <v>-660632</v>
      </c>
      <c r="H29" s="50">
        <v>2592</v>
      </c>
      <c r="I29" s="50">
        <v>-259100</v>
      </c>
      <c r="J29" s="50">
        <v>-28661</v>
      </c>
      <c r="K29" s="50">
        <v>-267853</v>
      </c>
      <c r="L29" s="51">
        <v>-553022</v>
      </c>
      <c r="M29" s="50">
        <f>M26-M28</f>
        <v>44960</v>
      </c>
      <c r="N29" s="50">
        <f>N26-N28</f>
        <v>-35157</v>
      </c>
      <c r="O29" s="50">
        <f>O26-O28</f>
        <v>-173460</v>
      </c>
      <c r="P29" s="50">
        <f>P26-P28</f>
        <v>-27923.907380000761</v>
      </c>
      <c r="Q29" s="50">
        <f>Q26-Q28</f>
        <v>-191580.90737999923</v>
      </c>
      <c r="R29" s="50">
        <v>298802.04696840013</v>
      </c>
      <c r="S29" s="50">
        <v>190457.86233372602</v>
      </c>
      <c r="T29" s="50">
        <v>247430.90672361187</v>
      </c>
      <c r="U29" s="50">
        <v>460730.92095404834</v>
      </c>
      <c r="V29" s="50">
        <v>1197421.736979787</v>
      </c>
      <c r="W29" s="50">
        <v>678946.74491766864</v>
      </c>
      <c r="X29" s="50">
        <v>546969.60580684547</v>
      </c>
      <c r="Y29" s="50">
        <v>608783.49672891397</v>
      </c>
      <c r="Z29" s="50">
        <v>833274.6511362032</v>
      </c>
      <c r="AA29" s="50">
        <v>2667974.4985896321</v>
      </c>
    </row>
    <row r="30" spans="1:27" x14ac:dyDescent="0.25">
      <c r="A30" s="18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18"/>
      <c r="P30" s="18"/>
      <c r="Q30" s="28"/>
      <c r="R30" s="48"/>
      <c r="S30" s="48"/>
      <c r="T30" s="48"/>
      <c r="U30" s="48"/>
      <c r="V30" s="48"/>
      <c r="W30" s="28"/>
      <c r="X30" s="28"/>
      <c r="Y30" s="28"/>
      <c r="Z30" s="28"/>
      <c r="AA30" s="48"/>
    </row>
    <row r="31" spans="1:27" x14ac:dyDescent="0.25"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</sheetData>
  <mergeCells count="5">
    <mergeCell ref="B4:L4"/>
    <mergeCell ref="C5:G5"/>
    <mergeCell ref="H5:L5"/>
    <mergeCell ref="R5:V5"/>
    <mergeCell ref="W5:A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43"/>
  <sheetViews>
    <sheetView workbookViewId="0"/>
  </sheetViews>
  <sheetFormatPr defaultColWidth="8.85546875" defaultRowHeight="15" x14ac:dyDescent="0.25"/>
  <cols>
    <col min="1" max="1" width="98.140625" customWidth="1"/>
    <col min="2" max="2" width="12.7109375" bestFit="1" customWidth="1"/>
  </cols>
  <sheetData>
    <row r="1" spans="1:27" ht="20.25" x14ac:dyDescent="0.3">
      <c r="A1" s="1" t="s">
        <v>228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Q1" s="3"/>
      <c r="R1" s="4"/>
      <c r="S1" s="4"/>
      <c r="T1" s="4"/>
      <c r="U1" s="4"/>
      <c r="V1" s="3"/>
      <c r="W1" s="4"/>
      <c r="X1" s="4"/>
      <c r="Y1" s="4"/>
      <c r="Z1" s="4"/>
      <c r="AA1" s="3"/>
    </row>
    <row r="2" spans="1:27" ht="18" x14ac:dyDescent="0.25">
      <c r="A2" s="5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6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Q3" s="3"/>
      <c r="R3" s="4"/>
      <c r="S3" s="4"/>
      <c r="T3" s="4"/>
      <c r="U3" s="4"/>
      <c r="V3" s="3"/>
      <c r="W3" s="4"/>
      <c r="X3" s="4"/>
      <c r="Y3" s="4"/>
      <c r="Z3" s="4"/>
      <c r="AA3" s="3"/>
    </row>
    <row r="4" spans="1:27" x14ac:dyDescent="0.25">
      <c r="A4" s="7" t="s">
        <v>2</v>
      </c>
      <c r="B4" s="8"/>
    </row>
    <row r="5" spans="1:27" x14ac:dyDescent="0.25">
      <c r="A5" t="s">
        <v>3</v>
      </c>
      <c r="B5" s="8">
        <v>208907</v>
      </c>
    </row>
    <row r="6" spans="1:27" x14ac:dyDescent="0.25">
      <c r="A6" s="9" t="s">
        <v>4</v>
      </c>
      <c r="B6" s="8">
        <v>904202</v>
      </c>
    </row>
    <row r="7" spans="1:27" x14ac:dyDescent="0.25">
      <c r="A7" t="s">
        <v>5</v>
      </c>
      <c r="B7" s="8">
        <v>2498477</v>
      </c>
    </row>
    <row r="8" spans="1:27" x14ac:dyDescent="0.25">
      <c r="A8" t="s">
        <v>6</v>
      </c>
      <c r="B8" s="8">
        <v>75314</v>
      </c>
    </row>
    <row r="9" spans="1:27" x14ac:dyDescent="0.25">
      <c r="A9" t="s">
        <v>7</v>
      </c>
      <c r="B9" s="8">
        <v>42686</v>
      </c>
    </row>
    <row r="10" spans="1:27" x14ac:dyDescent="0.25">
      <c r="A10" t="s">
        <v>8</v>
      </c>
      <c r="B10" s="8">
        <v>73828</v>
      </c>
    </row>
    <row r="11" spans="1:27" x14ac:dyDescent="0.25">
      <c r="A11" t="s">
        <v>9</v>
      </c>
      <c r="B11" s="10">
        <v>81893</v>
      </c>
    </row>
    <row r="12" spans="1:27" x14ac:dyDescent="0.25">
      <c r="A12" t="s">
        <v>10</v>
      </c>
      <c r="B12" s="8">
        <f>SUM(B5:B11)</f>
        <v>3885307</v>
      </c>
    </row>
    <row r="13" spans="1:27" x14ac:dyDescent="0.25">
      <c r="B13" s="8"/>
    </row>
    <row r="14" spans="1:27" x14ac:dyDescent="0.25">
      <c r="A14" t="s">
        <v>11</v>
      </c>
      <c r="B14" s="8">
        <v>222883</v>
      </c>
    </row>
    <row r="15" spans="1:27" x14ac:dyDescent="0.25">
      <c r="A15" t="s">
        <v>12</v>
      </c>
      <c r="B15" s="10">
        <v>32071</v>
      </c>
    </row>
    <row r="16" spans="1:27" x14ac:dyDescent="0.25">
      <c r="A16" s="7" t="s">
        <v>13</v>
      </c>
      <c r="B16" s="11">
        <f>SUM(B14:B15)+B12</f>
        <v>4140261</v>
      </c>
    </row>
    <row r="17" spans="1:2" x14ac:dyDescent="0.25">
      <c r="B17" s="8"/>
    </row>
    <row r="18" spans="1:2" x14ac:dyDescent="0.25">
      <c r="A18" s="7" t="s">
        <v>14</v>
      </c>
      <c r="B18" s="8"/>
    </row>
    <row r="19" spans="1:2" x14ac:dyDescent="0.25">
      <c r="A19" t="s">
        <v>15</v>
      </c>
      <c r="B19" s="8"/>
    </row>
    <row r="20" spans="1:2" x14ac:dyDescent="0.25">
      <c r="A20" t="s">
        <v>16</v>
      </c>
      <c r="B20" s="8">
        <v>428334</v>
      </c>
    </row>
    <row r="21" spans="1:2" x14ac:dyDescent="0.25">
      <c r="A21" t="s">
        <v>17</v>
      </c>
      <c r="B21" s="8">
        <v>889946</v>
      </c>
    </row>
    <row r="22" spans="1:2" x14ac:dyDescent="0.25">
      <c r="A22" t="s">
        <v>18</v>
      </c>
      <c r="B22" s="8">
        <v>265000</v>
      </c>
    </row>
    <row r="23" spans="1:2" x14ac:dyDescent="0.25">
      <c r="A23" t="s">
        <v>19</v>
      </c>
      <c r="B23" s="8">
        <v>139112</v>
      </c>
    </row>
    <row r="24" spans="1:2" x14ac:dyDescent="0.25">
      <c r="A24" t="s">
        <v>20</v>
      </c>
      <c r="B24" s="8">
        <v>0</v>
      </c>
    </row>
    <row r="25" spans="1:2" x14ac:dyDescent="0.25">
      <c r="A25" t="s">
        <v>21</v>
      </c>
      <c r="B25" s="8">
        <v>13478</v>
      </c>
    </row>
    <row r="26" spans="1:2" x14ac:dyDescent="0.25">
      <c r="A26" t="s">
        <v>22</v>
      </c>
      <c r="B26" s="8">
        <v>8210</v>
      </c>
    </row>
    <row r="27" spans="1:2" x14ac:dyDescent="0.25">
      <c r="A27" t="s">
        <v>23</v>
      </c>
      <c r="B27" s="10">
        <v>0</v>
      </c>
    </row>
    <row r="28" spans="1:2" x14ac:dyDescent="0.25">
      <c r="A28" t="s">
        <v>24</v>
      </c>
      <c r="B28" s="8">
        <f>SUM(B20:B27)</f>
        <v>1744080</v>
      </c>
    </row>
    <row r="29" spans="1:2" x14ac:dyDescent="0.25">
      <c r="B29" s="8"/>
    </row>
    <row r="30" spans="1:2" x14ac:dyDescent="0.25">
      <c r="A30" t="s">
        <v>25</v>
      </c>
      <c r="B30" s="8">
        <v>13194</v>
      </c>
    </row>
    <row r="31" spans="1:2" x14ac:dyDescent="0.25">
      <c r="A31" t="s">
        <v>26</v>
      </c>
      <c r="B31" s="8">
        <v>600000</v>
      </c>
    </row>
    <row r="32" spans="1:2" x14ac:dyDescent="0.25">
      <c r="A32" t="s">
        <v>27</v>
      </c>
      <c r="B32" s="10">
        <v>28043</v>
      </c>
    </row>
    <row r="33" spans="1:2" x14ac:dyDescent="0.25">
      <c r="A33" s="7" t="s">
        <v>28</v>
      </c>
      <c r="B33" s="11">
        <f>SUM(B30:B32)+B28</f>
        <v>2385317</v>
      </c>
    </row>
    <row r="34" spans="1:2" x14ac:dyDescent="0.25">
      <c r="B34" s="8"/>
    </row>
    <row r="35" spans="1:2" x14ac:dyDescent="0.25">
      <c r="A35" s="7" t="s">
        <v>29</v>
      </c>
      <c r="B35" s="8"/>
    </row>
    <row r="36" spans="1:2" x14ac:dyDescent="0.25">
      <c r="A36" t="s">
        <v>30</v>
      </c>
      <c r="B36" s="8">
        <v>2966</v>
      </c>
    </row>
    <row r="37" spans="1:2" x14ac:dyDescent="0.25">
      <c r="A37" s="9" t="s">
        <v>31</v>
      </c>
      <c r="B37" s="8">
        <v>0</v>
      </c>
    </row>
    <row r="38" spans="1:2" x14ac:dyDescent="0.25">
      <c r="A38" s="9" t="s">
        <v>32</v>
      </c>
      <c r="B38" s="8">
        <v>2797598</v>
      </c>
    </row>
    <row r="39" spans="1:2" x14ac:dyDescent="0.25">
      <c r="A39" s="9" t="s">
        <v>33</v>
      </c>
      <c r="B39" s="10">
        <v>-1045620</v>
      </c>
    </row>
    <row r="40" spans="1:2" x14ac:dyDescent="0.25">
      <c r="A40" s="12" t="s">
        <v>34</v>
      </c>
      <c r="B40" s="11">
        <f>SUM(B36:B39)</f>
        <v>1754944</v>
      </c>
    </row>
    <row r="41" spans="1:2" x14ac:dyDescent="0.25">
      <c r="A41" s="9"/>
      <c r="B41" s="10"/>
    </row>
    <row r="42" spans="1:2" x14ac:dyDescent="0.25">
      <c r="A42" s="12" t="s">
        <v>35</v>
      </c>
      <c r="B42" s="11">
        <f>+B40+B33</f>
        <v>4140261</v>
      </c>
    </row>
    <row r="43" spans="1:2" x14ac:dyDescent="0.25">
      <c r="A43" s="9" t="s">
        <v>36</v>
      </c>
      <c r="B43" s="8">
        <f>+B16-B42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3"/>
  <sheetViews>
    <sheetView workbookViewId="0">
      <selection activeCell="A2" sqref="A2"/>
    </sheetView>
  </sheetViews>
  <sheetFormatPr defaultColWidth="8.85546875" defaultRowHeight="15" x14ac:dyDescent="0.25"/>
  <cols>
    <col min="1" max="1" width="28.42578125" bestFit="1" customWidth="1"/>
    <col min="2" max="5" width="14.7109375" customWidth="1"/>
    <col min="7" max="7" width="10.5703125" bestFit="1" customWidth="1"/>
  </cols>
  <sheetData>
    <row r="1" spans="1:27" ht="20.25" x14ac:dyDescent="0.3">
      <c r="A1" s="1" t="s">
        <v>228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Q1" s="3"/>
      <c r="R1" s="4"/>
      <c r="S1" s="4"/>
      <c r="T1" s="4"/>
      <c r="U1" s="4"/>
      <c r="V1" s="3"/>
      <c r="W1" s="4"/>
      <c r="X1" s="4"/>
      <c r="Y1" s="4"/>
      <c r="Z1" s="4"/>
      <c r="AA1" s="3"/>
    </row>
    <row r="2" spans="1:27" ht="18" x14ac:dyDescent="0.25">
      <c r="A2" s="5" t="s">
        <v>104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6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Q3" s="3"/>
      <c r="R3" s="4"/>
      <c r="S3" s="4"/>
      <c r="T3" s="4"/>
      <c r="U3" s="4"/>
      <c r="V3" s="3"/>
      <c r="W3" s="4"/>
      <c r="X3" s="4"/>
      <c r="Y3" s="4"/>
      <c r="Z3" s="4"/>
      <c r="AA3" s="3"/>
    </row>
    <row r="4" spans="1:27" x14ac:dyDescent="0.25">
      <c r="B4" s="104" t="s">
        <v>105</v>
      </c>
      <c r="C4" s="104" t="s">
        <v>106</v>
      </c>
      <c r="D4" s="104" t="s">
        <v>107</v>
      </c>
      <c r="E4" s="104" t="s">
        <v>108</v>
      </c>
    </row>
    <row r="5" spans="1:27" x14ac:dyDescent="0.25">
      <c r="B5" s="105" t="s">
        <v>109</v>
      </c>
      <c r="C5" s="105" t="s">
        <v>110</v>
      </c>
      <c r="D5" s="105" t="s">
        <v>111</v>
      </c>
      <c r="E5" s="105" t="s">
        <v>112</v>
      </c>
    </row>
    <row r="6" spans="1:27" x14ac:dyDescent="0.25">
      <c r="A6" t="s">
        <v>113</v>
      </c>
      <c r="B6" s="106">
        <v>195000</v>
      </c>
      <c r="C6" s="107">
        <v>0.08</v>
      </c>
      <c r="D6" s="106">
        <f>+B6*C6/4</f>
        <v>3900</v>
      </c>
      <c r="E6" s="108" t="s">
        <v>114</v>
      </c>
      <c r="G6" s="111"/>
    </row>
    <row r="7" spans="1:27" x14ac:dyDescent="0.25">
      <c r="B7" s="109"/>
    </row>
    <row r="8" spans="1:27" x14ac:dyDescent="0.25">
      <c r="A8" t="s">
        <v>115</v>
      </c>
      <c r="B8" s="109">
        <v>0</v>
      </c>
    </row>
    <row r="9" spans="1:27" x14ac:dyDescent="0.25">
      <c r="B9" s="109"/>
    </row>
    <row r="10" spans="1:27" x14ac:dyDescent="0.25">
      <c r="A10" t="s">
        <v>116</v>
      </c>
      <c r="B10" s="109">
        <v>60000</v>
      </c>
      <c r="C10" s="107">
        <v>0.1</v>
      </c>
      <c r="D10" s="109">
        <f>+B10*C10/4</f>
        <v>1500</v>
      </c>
      <c r="E10" s="108" t="s">
        <v>114</v>
      </c>
      <c r="G10" s="111"/>
    </row>
    <row r="11" spans="1:27" x14ac:dyDescent="0.25">
      <c r="B11" s="109"/>
      <c r="D11" s="109"/>
    </row>
    <row r="12" spans="1:27" x14ac:dyDescent="0.25">
      <c r="A12" t="s">
        <v>117</v>
      </c>
      <c r="B12" s="109">
        <v>10000</v>
      </c>
      <c r="C12" s="107">
        <v>0.1</v>
      </c>
      <c r="D12" s="109">
        <f>+B12*C12/4</f>
        <v>250</v>
      </c>
      <c r="E12" s="108" t="s">
        <v>114</v>
      </c>
      <c r="G12" s="111"/>
    </row>
    <row r="13" spans="1:27" x14ac:dyDescent="0.25">
      <c r="B13" s="109"/>
      <c r="D13" s="109"/>
    </row>
    <row r="14" spans="1:27" x14ac:dyDescent="0.25">
      <c r="A14" t="s">
        <v>113</v>
      </c>
      <c r="B14" s="109">
        <v>300000</v>
      </c>
      <c r="C14" s="107">
        <v>0.08</v>
      </c>
      <c r="D14" s="109">
        <f>+B14*C14/4</f>
        <v>6000</v>
      </c>
      <c r="E14" s="108" t="s">
        <v>118</v>
      </c>
      <c r="G14" s="111"/>
    </row>
    <row r="15" spans="1:27" x14ac:dyDescent="0.25">
      <c r="B15" s="109"/>
      <c r="D15" s="109"/>
    </row>
    <row r="16" spans="1:27" x14ac:dyDescent="0.25">
      <c r="A16" t="s">
        <v>115</v>
      </c>
      <c r="B16" s="109">
        <v>300000</v>
      </c>
      <c r="C16" s="107">
        <v>0.08</v>
      </c>
      <c r="D16" s="109">
        <f>+B16*C16/4</f>
        <v>6000</v>
      </c>
      <c r="E16" s="108" t="s">
        <v>118</v>
      </c>
      <c r="G16" s="111"/>
    </row>
    <row r="18" spans="1:5" x14ac:dyDescent="0.25">
      <c r="A18" t="s">
        <v>119</v>
      </c>
      <c r="B18" s="109">
        <v>10316.060000000001</v>
      </c>
      <c r="D18" s="109">
        <v>100</v>
      </c>
      <c r="E18" s="108" t="s">
        <v>120</v>
      </c>
    </row>
    <row r="19" spans="1:5" x14ac:dyDescent="0.25">
      <c r="B19" s="109"/>
      <c r="D19" s="109"/>
    </row>
    <row r="20" spans="1:5" x14ac:dyDescent="0.25">
      <c r="A20" t="s">
        <v>121</v>
      </c>
      <c r="B20" s="109">
        <v>27955.550000000003</v>
      </c>
      <c r="D20" s="109">
        <v>300</v>
      </c>
      <c r="E20" s="108" t="s">
        <v>122</v>
      </c>
    </row>
    <row r="22" spans="1:5" ht="15.75" thickBot="1" x14ac:dyDescent="0.3">
      <c r="B22" s="110">
        <f>SUM(B6:B20)</f>
        <v>903271.6100000001</v>
      </c>
      <c r="D22" s="110">
        <f>SUM(D6:D20)</f>
        <v>18050</v>
      </c>
    </row>
    <row r="23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DCF</vt:lpstr>
      <vt:lpstr>WACC</vt:lpstr>
      <vt:lpstr>Valuation Graph</vt:lpstr>
      <vt:lpstr>Assumptions</vt:lpstr>
      <vt:lpstr>Projections 2016 - 2020</vt:lpstr>
      <vt:lpstr>P&amp;L 2013-2018</vt:lpstr>
      <vt:lpstr>Consolidated BS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Simangunsong</dc:creator>
  <cp:lastModifiedBy>Joshua Simangunsong</cp:lastModifiedBy>
  <cp:lastPrinted>2016-12-28T18:13:02Z</cp:lastPrinted>
  <dcterms:created xsi:type="dcterms:W3CDTF">2016-12-27T19:47:59Z</dcterms:created>
  <dcterms:modified xsi:type="dcterms:W3CDTF">2023-12-01T21:38:59Z</dcterms:modified>
</cp:coreProperties>
</file>