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eph\Desktop\resumes\"/>
    </mc:Choice>
  </mc:AlternateContent>
  <bookViews>
    <workbookView xWindow="0" yWindow="0" windowWidth="24000" windowHeight="9735" firstSheet="3" activeTab="5"/>
  </bookViews>
  <sheets>
    <sheet name="E1- Biweekly Payroll Report" sheetId="1" r:id="rId1"/>
    <sheet name="E2- What If Assumption Table" sheetId="2" r:id="rId2"/>
    <sheet name="E2 What if Chart" sheetId="4" r:id="rId3"/>
    <sheet name="E3- Amortization (PW is open)" sheetId="5" r:id="rId4"/>
    <sheet name="E4 VLOOKUP TABLE and Filters" sheetId="6" r:id="rId5"/>
    <sheet name="Pivot Table and Chart" sheetId="10" r:id="rId6"/>
    <sheet name=" Pivot  Sales Analysis Figures" sheetId="7" r:id="rId7"/>
  </sheets>
  <definedNames>
    <definedName name="_xlnm._FilterDatabase" localSheetId="4" hidden="1">'E4 VLOOKUP TABLE and Filters'!$O$19</definedName>
    <definedName name="_xlnm.Criteria" localSheetId="4">'E4 VLOOKUP TABLE and Filters'!$A$2:$J$3</definedName>
    <definedName name="Down_Pymt">'E3- Amortization (PW is open)'!$C$5</definedName>
    <definedName name="_xlnm.Extract">'E4 VLOOKUP TABLE and Filters'!$A$26:$J$26</definedName>
    <definedName name="Loan_Amount">'E3- Amortization (PW is open)'!$C$6</definedName>
    <definedName name="Monthly_Payment">'E3- Amortization (PW is open)'!$E$4</definedName>
    <definedName name="Price">'E3- Amortization (PW is open)'!$C$4</definedName>
    <definedName name="Rate">'E3- Amortization (PW is open)'!$E$2</definedName>
    <definedName name="Slicer_Location">#N/A</definedName>
    <definedName name="Slicer_Manager">#N/A</definedName>
    <definedName name="Slicer_State">#N/A</definedName>
    <definedName name="Total_Cost">'E3- Amortization (PW is open)'!$E$6</definedName>
    <definedName name="Total_Interest">'E3- Amortization (PW is open)'!$E$5</definedName>
    <definedName name="Years">'E3- Amortization (PW is open)'!$E$3</definedName>
  </definedNames>
  <calcPr calcId="152511"/>
  <pivotCaches>
    <pivotCache cacheId="4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4" i="6" l="1"/>
  <c r="R9" i="6"/>
  <c r="C22" i="6"/>
  <c r="G22" i="6"/>
  <c r="H22" i="6"/>
  <c r="I9" i="6"/>
  <c r="J9" i="6" s="1"/>
  <c r="R8" i="6" s="1"/>
  <c r="I10" i="6"/>
  <c r="J10" i="6" s="1"/>
  <c r="I11" i="6"/>
  <c r="J11" i="6" s="1"/>
  <c r="I12" i="6"/>
  <c r="J12" i="6" s="1"/>
  <c r="I13" i="6"/>
  <c r="J13" i="6" s="1"/>
  <c r="I14" i="6"/>
  <c r="J14" i="6" s="1"/>
  <c r="I15" i="6"/>
  <c r="J15" i="6" s="1"/>
  <c r="I16" i="6"/>
  <c r="J16" i="6" s="1"/>
  <c r="I17" i="6"/>
  <c r="J17" i="6" s="1"/>
  <c r="I18" i="6"/>
  <c r="J18" i="6" s="1"/>
  <c r="I19" i="6"/>
  <c r="J19" i="6" s="1"/>
  <c r="I20" i="6"/>
  <c r="J20" i="6" s="1"/>
  <c r="I21" i="6"/>
  <c r="J21" i="6" s="1"/>
  <c r="K22" i="5"/>
  <c r="E4" i="5"/>
  <c r="C9" i="5" s="1"/>
  <c r="C6" i="5"/>
  <c r="H3" i="5" s="1"/>
  <c r="C2" i="5"/>
  <c r="H21" i="2"/>
  <c r="C22" i="2"/>
  <c r="D22" i="2"/>
  <c r="E22" i="2"/>
  <c r="F22" i="2"/>
  <c r="G22" i="2"/>
  <c r="C21" i="2"/>
  <c r="D21" i="2"/>
  <c r="E21" i="2"/>
  <c r="F21" i="2"/>
  <c r="G21" i="2"/>
  <c r="B22" i="2"/>
  <c r="B21" i="2"/>
  <c r="C20" i="2"/>
  <c r="D20" i="2"/>
  <c r="E20" i="2"/>
  <c r="F20" i="2"/>
  <c r="G20" i="2"/>
  <c r="B20" i="2"/>
  <c r="C19" i="2"/>
  <c r="D19" i="2"/>
  <c r="E19" i="2"/>
  <c r="F19" i="2"/>
  <c r="G19" i="2"/>
  <c r="B19" i="2"/>
  <c r="H19" i="2" s="1"/>
  <c r="C18" i="2"/>
  <c r="D18" i="2"/>
  <c r="E18" i="2"/>
  <c r="F18" i="2"/>
  <c r="G18" i="2"/>
  <c r="B18" i="2"/>
  <c r="H15" i="2"/>
  <c r="C15" i="2"/>
  <c r="D15" i="2"/>
  <c r="E15" i="2"/>
  <c r="F15" i="2"/>
  <c r="G15" i="2"/>
  <c r="B15" i="2"/>
  <c r="H14" i="2"/>
  <c r="C14" i="2"/>
  <c r="D14" i="2"/>
  <c r="E14" i="2"/>
  <c r="F14" i="2"/>
  <c r="G14" i="2"/>
  <c r="B14" i="2"/>
  <c r="I11" i="2"/>
  <c r="H13" i="2"/>
  <c r="H6" i="1"/>
  <c r="H8" i="1"/>
  <c r="H10" i="1"/>
  <c r="H12" i="1"/>
  <c r="F5" i="1"/>
  <c r="F6" i="1"/>
  <c r="F7" i="1"/>
  <c r="F8" i="1"/>
  <c r="G8" i="1" s="1"/>
  <c r="I8" i="1" s="1"/>
  <c r="F9" i="1"/>
  <c r="F10" i="1"/>
  <c r="G10" i="1" s="1"/>
  <c r="F11" i="1"/>
  <c r="F12" i="1"/>
  <c r="F4" i="1"/>
  <c r="H4" i="1" s="1"/>
  <c r="C16" i="1"/>
  <c r="D16" i="1"/>
  <c r="E16" i="1"/>
  <c r="B16" i="1"/>
  <c r="C15" i="1"/>
  <c r="D15" i="1"/>
  <c r="E15" i="1"/>
  <c r="B15" i="1"/>
  <c r="D14" i="1"/>
  <c r="E14" i="1"/>
  <c r="C14" i="1"/>
  <c r="C13" i="1"/>
  <c r="D13" i="1"/>
  <c r="R6" i="6" l="1"/>
  <c r="H20" i="2"/>
  <c r="H18" i="2"/>
  <c r="B23" i="2"/>
  <c r="G23" i="2"/>
  <c r="G25" i="2" s="1"/>
  <c r="E23" i="2"/>
  <c r="E25" i="2" s="1"/>
  <c r="C23" i="2"/>
  <c r="C25" i="2" s="1"/>
  <c r="F23" i="2"/>
  <c r="F25" i="2" s="1"/>
  <c r="D23" i="2"/>
  <c r="D25" i="2" s="1"/>
  <c r="I3" i="5"/>
  <c r="I20" i="5"/>
  <c r="I19" i="5"/>
  <c r="I17" i="5"/>
  <c r="I16" i="5"/>
  <c r="H17" i="5" s="1"/>
  <c r="I15" i="5"/>
  <c r="I13" i="5"/>
  <c r="I12" i="5"/>
  <c r="H13" i="5" s="1"/>
  <c r="I11" i="5"/>
  <c r="I9" i="5"/>
  <c r="I8" i="5"/>
  <c r="H9" i="5" s="1"/>
  <c r="I7" i="5"/>
  <c r="I5" i="5"/>
  <c r="I4" i="5"/>
  <c r="H5" i="5" s="1"/>
  <c r="I18" i="5"/>
  <c r="H19" i="5" s="1"/>
  <c r="I14" i="5"/>
  <c r="H15" i="5" s="1"/>
  <c r="I10" i="5"/>
  <c r="H11" i="5" s="1"/>
  <c r="I6" i="5"/>
  <c r="H7" i="5" s="1"/>
  <c r="E5" i="5"/>
  <c r="H22" i="2"/>
  <c r="B25" i="2"/>
  <c r="J10" i="1"/>
  <c r="I10" i="1"/>
  <c r="G4" i="1"/>
  <c r="J4" i="1" s="1"/>
  <c r="G11" i="1"/>
  <c r="G9" i="1"/>
  <c r="G7" i="1"/>
  <c r="G5" i="1"/>
  <c r="F14" i="1"/>
  <c r="F16" i="1"/>
  <c r="G12" i="1"/>
  <c r="I12" i="1" s="1"/>
  <c r="G6" i="1"/>
  <c r="I6" i="1" s="1"/>
  <c r="H11" i="1"/>
  <c r="H9" i="1"/>
  <c r="H7" i="1"/>
  <c r="H5" i="1"/>
  <c r="J12" i="1"/>
  <c r="J8" i="1"/>
  <c r="F15" i="1"/>
  <c r="F13" i="1"/>
  <c r="I5" i="1" l="1"/>
  <c r="I9" i="1"/>
  <c r="I4" i="1"/>
  <c r="H23" i="2"/>
  <c r="H25" i="2" s="1"/>
  <c r="J5" i="5"/>
  <c r="K5" i="5" s="1"/>
  <c r="H6" i="5"/>
  <c r="J6" i="5" s="1"/>
  <c r="K6" i="5" s="1"/>
  <c r="J11" i="5"/>
  <c r="K11" i="5" s="1"/>
  <c r="H12" i="5"/>
  <c r="J13" i="5"/>
  <c r="K13" i="5" s="1"/>
  <c r="H14" i="5"/>
  <c r="J14" i="5" s="1"/>
  <c r="K14" i="5" s="1"/>
  <c r="J19" i="5"/>
  <c r="K19" i="5" s="1"/>
  <c r="H20" i="5"/>
  <c r="J7" i="5"/>
  <c r="K7" i="5" s="1"/>
  <c r="H8" i="5"/>
  <c r="J9" i="5"/>
  <c r="K9" i="5" s="1"/>
  <c r="H10" i="5"/>
  <c r="J10" i="5" s="1"/>
  <c r="K10" i="5" s="1"/>
  <c r="J15" i="5"/>
  <c r="K15" i="5" s="1"/>
  <c r="H16" i="5"/>
  <c r="J17" i="5"/>
  <c r="K17" i="5" s="1"/>
  <c r="H18" i="5"/>
  <c r="J18" i="5" s="1"/>
  <c r="K18" i="5" s="1"/>
  <c r="H4" i="5"/>
  <c r="J3" i="5"/>
  <c r="D9" i="5"/>
  <c r="E6" i="5"/>
  <c r="E9" i="5" s="1"/>
  <c r="G13" i="1"/>
  <c r="G16" i="1"/>
  <c r="J6" i="1"/>
  <c r="J7" i="1"/>
  <c r="J11" i="1"/>
  <c r="G14" i="1"/>
  <c r="G15" i="1"/>
  <c r="J5" i="1"/>
  <c r="J9" i="1"/>
  <c r="I7" i="1"/>
  <c r="I11" i="1"/>
  <c r="H15" i="1"/>
  <c r="H13" i="1"/>
  <c r="H16" i="1"/>
  <c r="H14" i="1"/>
  <c r="K3" i="5" l="1"/>
  <c r="J16" i="5"/>
  <c r="K16" i="5" s="1"/>
  <c r="J8" i="5"/>
  <c r="K8" i="5" s="1"/>
  <c r="J20" i="5"/>
  <c r="K20" i="5" s="1"/>
  <c r="J12" i="5"/>
  <c r="K12" i="5" s="1"/>
  <c r="J4" i="5"/>
  <c r="I16" i="1"/>
  <c r="I14" i="1"/>
  <c r="I15" i="1"/>
  <c r="I13" i="1"/>
  <c r="J15" i="1"/>
  <c r="J16" i="1"/>
  <c r="J14" i="1"/>
  <c r="J21" i="5" l="1"/>
  <c r="K4" i="5"/>
  <c r="K21" i="5" s="1"/>
  <c r="K23" i="5" l="1"/>
</calcChain>
</file>

<file path=xl/sharedStrings.xml><?xml version="1.0" encoding="utf-8"?>
<sst xmlns="http://schemas.openxmlformats.org/spreadsheetml/2006/main" count="298" uniqueCount="160">
  <si>
    <t>Employee</t>
  </si>
  <si>
    <t>Dependents</t>
  </si>
  <si>
    <t xml:space="preserve">Hire Date </t>
  </si>
  <si>
    <t xml:space="preserve">Gross Pay </t>
  </si>
  <si>
    <t xml:space="preserve">Federal Tax </t>
  </si>
  <si>
    <t>State Tax</t>
  </si>
  <si>
    <t>Net Pay</t>
  </si>
  <si>
    <t>Tax %</t>
  </si>
  <si>
    <t>Hours 
Worked</t>
  </si>
  <si>
    <t>Hourly 
Pay Rate</t>
  </si>
  <si>
    <t>The Mobile Masses Store
Biweekly Payroll Report</t>
  </si>
  <si>
    <t>Charvat, Emily</t>
  </si>
  <si>
    <t>Chen, Bin</t>
  </si>
  <si>
    <t>Felski, Noah</t>
  </si>
  <si>
    <t>Kersey, Jane</t>
  </si>
  <si>
    <t>Merna, Thomas</t>
  </si>
  <si>
    <t>Pollitt, Sherry</t>
  </si>
  <si>
    <t>Prasad, Rao</t>
  </si>
  <si>
    <t>Washington, Yolanda</t>
  </si>
  <si>
    <t>Zica, James</t>
  </si>
  <si>
    <t>Totals</t>
  </si>
  <si>
    <t>Average</t>
  </si>
  <si>
    <t>Lowest</t>
  </si>
  <si>
    <t>Highest</t>
  </si>
  <si>
    <t>Hire Date</t>
  </si>
  <si>
    <t>What if Assumptions</t>
  </si>
  <si>
    <t>Bonus</t>
  </si>
  <si>
    <t>Commission</t>
  </si>
  <si>
    <t>Margin</t>
  </si>
  <si>
    <t>Marketing</t>
  </si>
  <si>
    <t>Research and Development</t>
  </si>
  <si>
    <t>Sales Revenue for Bonus</t>
  </si>
  <si>
    <t>Support, General, and Administrative</t>
  </si>
  <si>
    <t>Modern Music Shops</t>
  </si>
  <si>
    <t>Six-Month Financial Projection</t>
  </si>
  <si>
    <t>Revenue</t>
  </si>
  <si>
    <t>Cost of Goods Sold</t>
  </si>
  <si>
    <t>Gross Margin</t>
  </si>
  <si>
    <t>Expenses</t>
  </si>
  <si>
    <t>Total Expenses</t>
  </si>
  <si>
    <t>Operating Income</t>
  </si>
  <si>
    <t>Federal Tax Rate</t>
  </si>
  <si>
    <t>Dependents Multiple</t>
  </si>
  <si>
    <t>State Tax Rate</t>
  </si>
  <si>
    <t>July</t>
  </si>
  <si>
    <t>August</t>
  </si>
  <si>
    <t>September</t>
  </si>
  <si>
    <t>October</t>
  </si>
  <si>
    <t>November</t>
  </si>
  <si>
    <t>December</t>
  </si>
  <si>
    <t>Total</t>
  </si>
  <si>
    <t>Chart</t>
  </si>
  <si>
    <t>Conditional Formatting Note: Hours Worked above 70 are highlighted.</t>
  </si>
  <si>
    <t>Loan Payment Calculator</t>
  </si>
  <si>
    <t>Date</t>
  </si>
  <si>
    <t>Price</t>
  </si>
  <si>
    <t>Loan Amount</t>
  </si>
  <si>
    <t>Rate</t>
  </si>
  <si>
    <t>Years</t>
  </si>
  <si>
    <t>Monthly Payment</t>
  </si>
  <si>
    <t>Total Interest</t>
  </si>
  <si>
    <t>Item</t>
  </si>
  <si>
    <t>Total Cost</t>
  </si>
  <si>
    <t>Varying Interest Rate Schedule</t>
  </si>
  <si>
    <t>Amortization Schedule</t>
  </si>
  <si>
    <t>Year</t>
  </si>
  <si>
    <t>Down Pymt</t>
  </si>
  <si>
    <t>House</t>
  </si>
  <si>
    <t xml:space="preserve">Beginning 
Balance </t>
  </si>
  <si>
    <t>Ending 
Balance</t>
  </si>
  <si>
    <t xml:space="preserve">Paid on 
Principal </t>
  </si>
  <si>
    <t>Interest 
Paid</t>
  </si>
  <si>
    <t>Subtotal</t>
  </si>
  <si>
    <t>Kenson College Scholarship Fundraiser Table</t>
  </si>
  <si>
    <t>Name</t>
  </si>
  <si>
    <t>Status</t>
  </si>
  <si>
    <t>Experience</t>
  </si>
  <si>
    <t>Region</t>
  </si>
  <si>
    <t>Type</t>
  </si>
  <si>
    <t>Quota</t>
  </si>
  <si>
    <t>% of Quota</t>
  </si>
  <si>
    <t>Grade</t>
  </si>
  <si>
    <t>Grade Table</t>
  </si>
  <si>
    <t>Criteria</t>
  </si>
  <si>
    <t xml:space="preserve">Status </t>
  </si>
  <si>
    <t>Spindys, Del</t>
  </si>
  <si>
    <t>Full Time</t>
  </si>
  <si>
    <t>North</t>
  </si>
  <si>
    <t>Inside</t>
  </si>
  <si>
    <t>Hennip, Beth</t>
  </si>
  <si>
    <t>Midwest</t>
  </si>
  <si>
    <t>Outside</t>
  </si>
  <si>
    <t>Wadzinski, Alli</t>
  </si>
  <si>
    <t>Part Time</t>
  </si>
  <si>
    <t>Niazi, Yaseer</t>
  </si>
  <si>
    <t>Southeast</t>
  </si>
  <si>
    <t>Washington, Rob</t>
  </si>
  <si>
    <t>Norteast</t>
  </si>
  <si>
    <t>Kliegl, Penny</t>
  </si>
  <si>
    <t>Harris, Diedre</t>
  </si>
  <si>
    <t>Yost, David</t>
  </si>
  <si>
    <t>Northeast</t>
  </si>
  <si>
    <t>Nulwala, Shmir</t>
  </si>
  <si>
    <t>Jordan, Oliver</t>
  </si>
  <si>
    <t>Ramirez, Al</t>
  </si>
  <si>
    <t>Day, Casimer</t>
  </si>
  <si>
    <t>Skora, Chris</t>
  </si>
  <si>
    <t>YTD  Funds Raised</t>
  </si>
  <si>
    <t>F</t>
  </si>
  <si>
    <t>D</t>
  </si>
  <si>
    <t>C</t>
  </si>
  <si>
    <t>B</t>
  </si>
  <si>
    <t>A</t>
  </si>
  <si>
    <t>Criteria Area</t>
  </si>
  <si>
    <t>&gt;3</t>
  </si>
  <si>
    <t>&gt;B</t>
  </si>
  <si>
    <t>Extract Area</t>
  </si>
  <si>
    <t>Avg. Full Time Experience==&gt;</t>
  </si>
  <si>
    <t>Avg. Part Time Experience==&gt;</t>
  </si>
  <si>
    <t>Grade A Count============&gt;</t>
  </si>
  <si>
    <t>Grade A YTD Funds Raised==&gt;</t>
  </si>
  <si>
    <t>Full Time Count===========&gt;</t>
  </si>
  <si>
    <t>Name====================&gt;</t>
  </si>
  <si>
    <t>YTD Funds Raised==========&gt;</t>
  </si>
  <si>
    <t xml:space="preserve"> </t>
  </si>
  <si>
    <t>Eckart Pet Supplies Sales Analysis</t>
  </si>
  <si>
    <t>State</t>
  </si>
  <si>
    <t>Store ID</t>
  </si>
  <si>
    <t>Manager</t>
  </si>
  <si>
    <t>Location</t>
  </si>
  <si>
    <t>Employees</t>
  </si>
  <si>
    <t>AZ</t>
  </si>
  <si>
    <t>Placek</t>
  </si>
  <si>
    <t>Mall</t>
  </si>
  <si>
    <t>CA</t>
  </si>
  <si>
    <t>NM</t>
  </si>
  <si>
    <t>NV</t>
  </si>
  <si>
    <t>UT</t>
  </si>
  <si>
    <t>Street</t>
  </si>
  <si>
    <t>Charvat</t>
  </si>
  <si>
    <t>Emily</t>
  </si>
  <si>
    <t>Felski</t>
  </si>
  <si>
    <t>Noah</t>
  </si>
  <si>
    <t>Jane</t>
  </si>
  <si>
    <t>Merna</t>
  </si>
  <si>
    <t>Sherry</t>
  </si>
  <si>
    <t>Prasad</t>
  </si>
  <si>
    <t xml:space="preserve"> Yolanda</t>
  </si>
  <si>
    <t>Coppock</t>
  </si>
  <si>
    <t>Grand Total</t>
  </si>
  <si>
    <t>Charvat Total</t>
  </si>
  <si>
    <t>Felski Total</t>
  </si>
  <si>
    <t>Merna Total</t>
  </si>
  <si>
    <t>Prasad Total</t>
  </si>
  <si>
    <t>MN</t>
  </si>
  <si>
    <t>(Multiple Items)</t>
  </si>
  <si>
    <t>2014 Sales</t>
  </si>
  <si>
    <t>2015 Sales</t>
  </si>
  <si>
    <t>Average of 2014 Sales</t>
  </si>
  <si>
    <t>Average of 2015 Sales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</si>
</sst>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0.000"/>
    <numFmt numFmtId="165" formatCode="0.000%"/>
    <numFmt numFmtId="166" formatCode="mm/dd/yy;@"/>
    <numFmt numFmtId="167" formatCode="&quot;$&quot;#,##0.00"/>
    <numFmt numFmtId="168" formatCode="0.00;[Red]0.00"/>
    <numFmt numFmtId="169" formatCode="_(* #,##0_);_(* \(#,##0\);_(* &quot;-&quot;??_);_(@_)"/>
    <numFmt numFmtId="170" formatCode="&quot;$&quot;#,##0"/>
  </numFmts>
  <fonts count="14" x14ac:knownFonts="1">
    <font>
      <sz val="11"/>
      <color theme="1"/>
      <name val="Calibri"/>
      <family val="2"/>
      <scheme val="minor"/>
    </font>
    <font>
      <sz val="11"/>
      <color theme="1"/>
      <name val="Calibri"/>
      <family val="2"/>
      <scheme val="minor"/>
    </font>
    <font>
      <b/>
      <sz val="15"/>
      <color theme="3"/>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2"/>
      <color theme="0"/>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b/>
      <sz val="36"/>
      <color theme="0"/>
      <name val="Calibri"/>
      <family val="2"/>
      <scheme val="minor"/>
    </font>
    <font>
      <b/>
      <sz val="18"/>
      <color theme="0"/>
      <name val="Calibri"/>
      <family val="2"/>
      <scheme val="minor"/>
    </font>
    <font>
      <b/>
      <u/>
      <sz val="12"/>
      <color theme="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0" tint="-0.14999847407452621"/>
        <bgColor indexed="64"/>
      </patternFill>
    </fill>
    <fill>
      <patternFill patternType="solid">
        <fgColor rgb="FF7030A0"/>
        <bgColor indexed="64"/>
      </patternFill>
    </fill>
    <fill>
      <patternFill patternType="solid">
        <fgColor theme="5"/>
        <bgColor theme="5"/>
      </patternFill>
    </fill>
  </fills>
  <borders count="36">
    <border>
      <left/>
      <right/>
      <top/>
      <bottom/>
      <diagonal/>
    </border>
    <border>
      <left/>
      <right/>
      <top/>
      <bottom style="thick">
        <color theme="4"/>
      </bottom>
      <diagonal/>
    </border>
    <border>
      <left style="medium">
        <color indexed="64"/>
      </left>
      <right/>
      <top style="medium">
        <color indexed="64"/>
      </top>
      <bottom style="thick">
        <color theme="4"/>
      </bottom>
      <diagonal/>
    </border>
    <border>
      <left/>
      <right/>
      <top style="medium">
        <color indexed="64"/>
      </top>
      <bottom style="thick">
        <color theme="4"/>
      </bottom>
      <diagonal/>
    </border>
    <border>
      <left/>
      <right style="medium">
        <color indexed="64"/>
      </right>
      <top style="medium">
        <color indexed="64"/>
      </top>
      <bottom style="thick">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double">
        <color indexed="64"/>
      </bottom>
      <diagonal/>
    </border>
    <border>
      <left/>
      <right/>
      <top style="thin">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5" tint="0.39997558519241921"/>
      </left>
      <right/>
      <top style="thick">
        <color theme="4"/>
      </top>
      <bottom style="thin">
        <color theme="5" tint="0.39997558519241921"/>
      </bottom>
      <diagonal/>
    </border>
    <border>
      <left style="thin">
        <color theme="5" tint="0.39997558519241921"/>
      </left>
      <right/>
      <top style="thin">
        <color theme="5" tint="0.39997558519241921"/>
      </top>
      <bottom style="thin">
        <color theme="5" tint="0.39997558519241921"/>
      </bottom>
      <diagonal/>
    </border>
    <border>
      <left/>
      <right/>
      <top style="thick">
        <color theme="4"/>
      </top>
      <bottom style="thin">
        <color theme="5" tint="0.39997558519241921"/>
      </bottom>
      <diagonal/>
    </border>
    <border>
      <left/>
      <right style="thin">
        <color theme="5" tint="0.39997558519241921"/>
      </right>
      <top style="thick">
        <color theme="4"/>
      </top>
      <bottom style="thin">
        <color theme="5" tint="0.39997558519241921"/>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178">
    <xf numFmtId="0" fontId="0" fillId="0" borderId="0" xfId="0"/>
    <xf numFmtId="0" fontId="0" fillId="0" borderId="0" xfId="0" applyAlignment="1">
      <alignment horizontal="center"/>
    </xf>
    <xf numFmtId="0" fontId="0" fillId="0" borderId="0" xfId="0" applyAlignment="1"/>
    <xf numFmtId="0" fontId="0" fillId="0" borderId="0" xfId="0" applyBorder="1"/>
    <xf numFmtId="0" fontId="0" fillId="0" borderId="5" xfId="0" applyBorder="1"/>
    <xf numFmtId="0" fontId="0" fillId="0" borderId="8" xfId="0" applyBorder="1"/>
    <xf numFmtId="0" fontId="4" fillId="0" borderId="0" xfId="0" applyFont="1" applyBorder="1"/>
    <xf numFmtId="0" fontId="4" fillId="0" borderId="0" xfId="0" applyFont="1" applyBorder="1" applyAlignment="1">
      <alignment horizontal="center"/>
    </xf>
    <xf numFmtId="0" fontId="4" fillId="0" borderId="5" xfId="0" applyFont="1" applyBorder="1"/>
    <xf numFmtId="0" fontId="4" fillId="0" borderId="8" xfId="0" applyFont="1" applyBorder="1"/>
    <xf numFmtId="0" fontId="4" fillId="6" borderId="12" xfId="0" applyFont="1" applyFill="1" applyBorder="1"/>
    <xf numFmtId="0" fontId="4" fillId="6" borderId="11" xfId="0" applyFont="1" applyFill="1" applyBorder="1"/>
    <xf numFmtId="0" fontId="4" fillId="6" borderId="18" xfId="0" applyFont="1" applyFill="1" applyBorder="1" applyAlignment="1">
      <alignment horizontal="center"/>
    </xf>
    <xf numFmtId="2" fontId="4" fillId="6" borderId="18" xfId="0" applyNumberFormat="1" applyFont="1" applyFill="1" applyBorder="1" applyAlignment="1">
      <alignment horizontal="center"/>
    </xf>
    <xf numFmtId="44" fontId="4" fillId="6" borderId="18" xfId="0" applyNumberFormat="1" applyFont="1" applyFill="1" applyBorder="1" applyAlignment="1">
      <alignment horizontal="center"/>
    </xf>
    <xf numFmtId="165" fontId="4" fillId="6" borderId="19" xfId="3" applyNumberFormat="1" applyFont="1" applyFill="1" applyBorder="1" applyAlignment="1">
      <alignment horizontal="center"/>
    </xf>
    <xf numFmtId="0" fontId="4" fillId="6" borderId="14" xfId="0" applyFont="1" applyFill="1" applyBorder="1"/>
    <xf numFmtId="0" fontId="4" fillId="3" borderId="14" xfId="0" applyFont="1" applyFill="1" applyBorder="1" applyAlignment="1">
      <alignment horizontal="left"/>
    </xf>
    <xf numFmtId="0" fontId="4" fillId="3" borderId="15" xfId="0" applyFont="1" applyFill="1" applyBorder="1" applyAlignment="1">
      <alignment horizontal="left"/>
    </xf>
    <xf numFmtId="0" fontId="4" fillId="3" borderId="15" xfId="0" applyFont="1" applyFill="1" applyBorder="1" applyAlignment="1">
      <alignment horizontal="center"/>
    </xf>
    <xf numFmtId="0" fontId="4" fillId="3" borderId="15" xfId="0" applyFont="1" applyFill="1" applyBorder="1" applyAlignment="1">
      <alignment horizontal="center" wrapText="1"/>
    </xf>
    <xf numFmtId="0" fontId="4" fillId="3" borderId="16" xfId="0" applyFont="1" applyFill="1" applyBorder="1" applyAlignment="1">
      <alignment horizontal="center"/>
    </xf>
    <xf numFmtId="0" fontId="4" fillId="8" borderId="12" xfId="0" applyFont="1" applyFill="1" applyBorder="1"/>
    <xf numFmtId="0" fontId="4" fillId="8" borderId="11" xfId="0" applyFont="1" applyFill="1" applyBorder="1"/>
    <xf numFmtId="1" fontId="4" fillId="8" borderId="11" xfId="0" applyNumberFormat="1" applyFont="1" applyFill="1" applyBorder="1" applyAlignment="1">
      <alignment horizontal="center"/>
    </xf>
    <xf numFmtId="2" fontId="4" fillId="8" borderId="11" xfId="0" applyNumberFormat="1" applyFont="1" applyFill="1" applyBorder="1" applyAlignment="1">
      <alignment horizontal="center"/>
    </xf>
    <xf numFmtId="44" fontId="4" fillId="8" borderId="11" xfId="2" applyFont="1" applyFill="1" applyBorder="1" applyAlignment="1">
      <alignment horizontal="center"/>
    </xf>
    <xf numFmtId="165" fontId="4" fillId="8" borderId="13" xfId="3" applyNumberFormat="1" applyFont="1" applyFill="1" applyBorder="1" applyAlignment="1">
      <alignment horizontal="center"/>
    </xf>
    <xf numFmtId="0" fontId="4" fillId="8" borderId="11" xfId="0" applyNumberFormat="1" applyFont="1" applyFill="1" applyBorder="1" applyAlignment="1">
      <alignment horizontal="center"/>
    </xf>
    <xf numFmtId="0" fontId="4" fillId="8" borderId="14" xfId="0" applyFont="1" applyFill="1" applyBorder="1"/>
    <xf numFmtId="0" fontId="4" fillId="8" borderId="15" xfId="0" applyNumberFormat="1" applyFont="1" applyFill="1" applyBorder="1" applyAlignment="1">
      <alignment horizontal="center"/>
    </xf>
    <xf numFmtId="2" fontId="4" fillId="8" borderId="15" xfId="0" applyNumberFormat="1" applyFont="1" applyFill="1" applyBorder="1" applyAlignment="1">
      <alignment horizontal="center"/>
    </xf>
    <xf numFmtId="44" fontId="4" fillId="8" borderId="15" xfId="2" applyFont="1" applyFill="1" applyBorder="1" applyAlignment="1">
      <alignment horizontal="center"/>
    </xf>
    <xf numFmtId="165" fontId="4" fillId="8" borderId="16" xfId="3" applyNumberFormat="1" applyFont="1" applyFill="1" applyBorder="1" applyAlignment="1">
      <alignment horizontal="center"/>
    </xf>
    <xf numFmtId="166" fontId="4" fillId="8" borderId="11" xfId="0" applyNumberFormat="1" applyFont="1" applyFill="1" applyBorder="1" applyAlignment="1">
      <alignment horizontal="center"/>
    </xf>
    <xf numFmtId="166" fontId="4" fillId="8" borderId="15" xfId="0" applyNumberFormat="1" applyFont="1" applyFill="1" applyBorder="1" applyAlignment="1">
      <alignment horizontal="center"/>
    </xf>
    <xf numFmtId="0" fontId="0" fillId="0" borderId="7" xfId="0" applyBorder="1"/>
    <xf numFmtId="0" fontId="4" fillId="6" borderId="24" xfId="0" applyFont="1" applyFill="1" applyBorder="1"/>
    <xf numFmtId="0" fontId="4" fillId="9" borderId="21" xfId="0" applyFont="1" applyFill="1" applyBorder="1"/>
    <xf numFmtId="166" fontId="0" fillId="9" borderId="18" xfId="0" applyNumberFormat="1" applyFill="1" applyBorder="1" applyAlignment="1">
      <alignment horizontal="left"/>
    </xf>
    <xf numFmtId="0" fontId="0" fillId="9" borderId="18" xfId="0" applyFill="1" applyBorder="1" applyAlignment="1">
      <alignment horizontal="center"/>
    </xf>
    <xf numFmtId="2" fontId="0" fillId="9" borderId="18" xfId="0" applyNumberFormat="1" applyFill="1" applyBorder="1" applyAlignment="1">
      <alignment horizontal="center"/>
    </xf>
    <xf numFmtId="44" fontId="0" fillId="9" borderId="18" xfId="2" applyFont="1" applyFill="1" applyBorder="1" applyAlignment="1">
      <alignment horizontal="center"/>
    </xf>
    <xf numFmtId="44" fontId="0" fillId="9" borderId="18" xfId="0" applyNumberFormat="1" applyFill="1" applyBorder="1" applyAlignment="1">
      <alignment horizontal="center"/>
    </xf>
    <xf numFmtId="165" fontId="0" fillId="9" borderId="19" xfId="3" applyNumberFormat="1" applyFont="1" applyFill="1" applyBorder="1" applyAlignment="1">
      <alignment horizontal="center"/>
    </xf>
    <xf numFmtId="0" fontId="4" fillId="9" borderId="12" xfId="0" applyFont="1" applyFill="1" applyBorder="1"/>
    <xf numFmtId="166" fontId="0" fillId="9" borderId="11" xfId="0" applyNumberFormat="1" applyFill="1" applyBorder="1" applyAlignment="1">
      <alignment horizontal="left"/>
    </xf>
    <xf numFmtId="0" fontId="0" fillId="9" borderId="11" xfId="0" applyFill="1" applyBorder="1" applyAlignment="1">
      <alignment horizontal="center"/>
    </xf>
    <xf numFmtId="2" fontId="0" fillId="9" borderId="11" xfId="0" applyNumberFormat="1" applyFill="1" applyBorder="1" applyAlignment="1">
      <alignment horizontal="center"/>
    </xf>
    <xf numFmtId="0" fontId="0" fillId="9" borderId="20" xfId="0" applyFill="1" applyBorder="1" applyAlignment="1">
      <alignment horizontal="center"/>
    </xf>
    <xf numFmtId="2" fontId="0" fillId="9" borderId="20" xfId="0" applyNumberFormat="1" applyFill="1" applyBorder="1" applyAlignment="1">
      <alignment horizontal="center"/>
    </xf>
    <xf numFmtId="44" fontId="0" fillId="9" borderId="20" xfId="2" applyFont="1" applyFill="1" applyBorder="1" applyAlignment="1">
      <alignment horizontal="center"/>
    </xf>
    <xf numFmtId="44" fontId="0" fillId="9" borderId="20" xfId="0" applyNumberFormat="1" applyFill="1" applyBorder="1" applyAlignment="1">
      <alignment horizontal="center"/>
    </xf>
    <xf numFmtId="165" fontId="0" fillId="9" borderId="17" xfId="3" applyNumberFormat="1" applyFont="1" applyFill="1" applyBorder="1" applyAlignment="1">
      <alignment horizontal="center"/>
    </xf>
    <xf numFmtId="10" fontId="0" fillId="0" borderId="0" xfId="3" applyNumberFormat="1" applyFont="1"/>
    <xf numFmtId="43" fontId="0" fillId="0" borderId="0" xfId="1" applyFont="1" applyBorder="1"/>
    <xf numFmtId="0" fontId="5" fillId="10" borderId="0" xfId="0" applyFont="1" applyFill="1"/>
    <xf numFmtId="0" fontId="7" fillId="10" borderId="0" xfId="0" applyFont="1" applyFill="1"/>
    <xf numFmtId="0" fontId="8" fillId="0" borderId="0" xfId="0" applyFont="1"/>
    <xf numFmtId="166" fontId="5" fillId="10" borderId="0" xfId="0" applyNumberFormat="1" applyFont="1" applyFill="1"/>
    <xf numFmtId="43" fontId="8" fillId="0" borderId="0" xfId="1" applyFont="1"/>
    <xf numFmtId="43" fontId="8" fillId="0" borderId="0" xfId="0" applyNumberFormat="1" applyFont="1"/>
    <xf numFmtId="43" fontId="8" fillId="0" borderId="0" xfId="1" applyFont="1" applyBorder="1"/>
    <xf numFmtId="43" fontId="8" fillId="0" borderId="0" xfId="0" applyNumberFormat="1" applyFont="1" applyBorder="1"/>
    <xf numFmtId="0" fontId="8" fillId="0" borderId="27" xfId="0" applyFont="1" applyBorder="1"/>
    <xf numFmtId="0" fontId="8" fillId="0" borderId="10" xfId="0" applyFont="1" applyBorder="1"/>
    <xf numFmtId="167" fontId="8" fillId="0" borderId="27" xfId="1" applyNumberFormat="1" applyFont="1" applyBorder="1"/>
    <xf numFmtId="167" fontId="8" fillId="0" borderId="0" xfId="0" applyNumberFormat="1" applyFont="1"/>
    <xf numFmtId="167" fontId="8" fillId="0" borderId="0" xfId="1" applyNumberFormat="1" applyFont="1"/>
    <xf numFmtId="0" fontId="9" fillId="10" borderId="26" xfId="0" applyFont="1" applyFill="1" applyBorder="1"/>
    <xf numFmtId="167" fontId="10" fillId="0" borderId="26" xfId="1" applyNumberFormat="1" applyFont="1" applyBorder="1"/>
    <xf numFmtId="0" fontId="9" fillId="10" borderId="27" xfId="0" applyFont="1" applyFill="1" applyBorder="1"/>
    <xf numFmtId="0" fontId="10" fillId="0" borderId="0" xfId="0" applyFont="1" applyAlignment="1">
      <alignment horizontal="left" indent="1"/>
    </xf>
    <xf numFmtId="0" fontId="10" fillId="0" borderId="0" xfId="0" applyFont="1"/>
    <xf numFmtId="0" fontId="10" fillId="0" borderId="26" xfId="0" applyFont="1" applyBorder="1"/>
    <xf numFmtId="0" fontId="9" fillId="10" borderId="0" xfId="0" applyFont="1" applyFill="1"/>
    <xf numFmtId="167" fontId="9" fillId="10" borderId="0" xfId="0" applyNumberFormat="1" applyFont="1" applyFill="1"/>
    <xf numFmtId="0" fontId="10" fillId="0" borderId="0" xfId="0" applyFont="1" applyAlignment="1">
      <alignment textRotation="45"/>
    </xf>
    <xf numFmtId="0" fontId="9" fillId="10" borderId="0" xfId="0" applyFont="1" applyFill="1" applyAlignment="1">
      <alignment horizontal="left" indent="1"/>
    </xf>
    <xf numFmtId="0" fontId="11" fillId="10" borderId="0" xfId="0" applyFont="1" applyFill="1"/>
    <xf numFmtId="0" fontId="3" fillId="10" borderId="0" xfId="0" applyFont="1" applyFill="1"/>
    <xf numFmtId="0" fontId="12" fillId="10" borderId="0" xfId="0" applyFont="1" applyFill="1"/>
    <xf numFmtId="0" fontId="13" fillId="10" borderId="0" xfId="0" applyFont="1" applyFill="1"/>
    <xf numFmtId="0" fontId="8" fillId="0" borderId="0" xfId="0" applyNumberFormat="1" applyFont="1"/>
    <xf numFmtId="0" fontId="8" fillId="0" borderId="10" xfId="0" applyNumberFormat="1" applyFont="1" applyBorder="1"/>
    <xf numFmtId="22" fontId="0" fillId="0" borderId="0" xfId="0" applyNumberFormat="1" applyBorder="1"/>
    <xf numFmtId="167" fontId="0" fillId="0" borderId="0" xfId="0" applyNumberFormat="1" applyBorder="1"/>
    <xf numFmtId="167" fontId="0" fillId="0" borderId="6" xfId="0" applyNumberFormat="1" applyBorder="1"/>
    <xf numFmtId="167" fontId="0" fillId="0" borderId="9" xfId="0" applyNumberFormat="1" applyBorder="1"/>
    <xf numFmtId="43" fontId="0" fillId="0" borderId="8" xfId="1" applyFont="1" applyBorder="1"/>
    <xf numFmtId="43" fontId="0" fillId="0" borderId="6" xfId="1" applyFont="1" applyBorder="1"/>
    <xf numFmtId="43" fontId="0" fillId="0" borderId="9" xfId="1" applyFont="1" applyBorder="1"/>
    <xf numFmtId="167" fontId="0" fillId="0" borderId="0" xfId="1" applyNumberFormat="1" applyFont="1" applyBorder="1"/>
    <xf numFmtId="167" fontId="0" fillId="0" borderId="6" xfId="1" applyNumberFormat="1" applyFont="1" applyBorder="1"/>
    <xf numFmtId="167" fontId="0" fillId="0" borderId="9" xfId="1" applyNumberFormat="1" applyFont="1" applyBorder="1"/>
    <xf numFmtId="0" fontId="4" fillId="0" borderId="7" xfId="0" applyFont="1" applyBorder="1"/>
    <xf numFmtId="0" fontId="4" fillId="0" borderId="0" xfId="0" applyFont="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10" fontId="0" fillId="0" borderId="5" xfId="3" applyNumberFormat="1" applyFont="1" applyBorder="1"/>
    <xf numFmtId="10" fontId="0" fillId="0" borderId="7" xfId="3" applyNumberFormat="1" applyFont="1" applyBorder="1"/>
    <xf numFmtId="168" fontId="0" fillId="0" borderId="0" xfId="1" applyNumberFormat="1" applyFont="1" applyBorder="1"/>
    <xf numFmtId="168" fontId="0" fillId="0" borderId="6" xfId="1" applyNumberFormat="1" applyFont="1" applyBorder="1"/>
    <xf numFmtId="168" fontId="0" fillId="0" borderId="0" xfId="0" applyNumberFormat="1" applyBorder="1"/>
    <xf numFmtId="0" fontId="4" fillId="0" borderId="22" xfId="0" applyFont="1" applyBorder="1" applyAlignment="1">
      <alignment horizontal="center"/>
    </xf>
    <xf numFmtId="0" fontId="4" fillId="0" borderId="28" xfId="0" applyFont="1" applyBorder="1" applyAlignment="1">
      <alignment horizontal="center" wrapText="1"/>
    </xf>
    <xf numFmtId="0" fontId="4" fillId="0" borderId="23" xfId="0" applyFont="1" applyBorder="1" applyAlignment="1">
      <alignment horizontal="center" wrapText="1"/>
    </xf>
    <xf numFmtId="168" fontId="0" fillId="0" borderId="8" xfId="0" applyNumberFormat="1" applyBorder="1"/>
    <xf numFmtId="168" fontId="0" fillId="0" borderId="8" xfId="1" applyNumberFormat="1" applyFont="1" applyBorder="1"/>
    <xf numFmtId="168" fontId="0" fillId="0" borderId="9" xfId="1" applyNumberFormat="1" applyFont="1" applyBorder="1"/>
    <xf numFmtId="0" fontId="4" fillId="0" borderId="22" xfId="0" applyFont="1" applyBorder="1"/>
    <xf numFmtId="167" fontId="0" fillId="0" borderId="28" xfId="1" applyNumberFormat="1" applyFont="1" applyBorder="1"/>
    <xf numFmtId="167" fontId="0" fillId="0" borderId="23" xfId="1" applyNumberFormat="1" applyFont="1" applyBorder="1"/>
    <xf numFmtId="0" fontId="0" fillId="0" borderId="0" xfId="0" applyBorder="1" applyAlignment="1" applyProtection="1">
      <alignment horizontal="right"/>
      <protection locked="0"/>
    </xf>
    <xf numFmtId="167" fontId="0" fillId="0" borderId="0" xfId="1" applyNumberFormat="1" applyFont="1" applyBorder="1" applyProtection="1">
      <protection locked="0"/>
    </xf>
    <xf numFmtId="167" fontId="0" fillId="0" borderId="8" xfId="1" applyNumberFormat="1" applyFont="1" applyBorder="1" applyProtection="1">
      <protection locked="0"/>
    </xf>
    <xf numFmtId="10" fontId="0" fillId="0" borderId="6" xfId="3" applyNumberFormat="1" applyFont="1" applyBorder="1" applyProtection="1">
      <protection locked="0"/>
    </xf>
    <xf numFmtId="0" fontId="0" fillId="0" borderId="6" xfId="0" applyBorder="1" applyProtection="1">
      <protection locked="0"/>
    </xf>
    <xf numFmtId="43" fontId="9" fillId="10" borderId="0" xfId="1" applyFont="1" applyFill="1" applyProtection="1">
      <protection locked="0"/>
    </xf>
    <xf numFmtId="10" fontId="9" fillId="10" borderId="0" xfId="3" applyNumberFormat="1" applyFont="1" applyFill="1" applyProtection="1">
      <protection locked="0"/>
    </xf>
    <xf numFmtId="165" fontId="4" fillId="7" borderId="25" xfId="3" applyNumberFormat="1" applyFont="1" applyFill="1" applyBorder="1" applyProtection="1">
      <protection locked="0"/>
    </xf>
    <xf numFmtId="0" fontId="4" fillId="7" borderId="13" xfId="0" applyFont="1" applyFill="1" applyBorder="1" applyProtection="1">
      <protection locked="0"/>
    </xf>
    <xf numFmtId="165" fontId="4" fillId="7" borderId="16" xfId="3" applyNumberFormat="1" applyFont="1" applyFill="1" applyBorder="1" applyProtection="1">
      <protection locked="0"/>
    </xf>
    <xf numFmtId="0" fontId="4" fillId="0" borderId="0" xfId="0" applyFont="1"/>
    <xf numFmtId="0" fontId="4" fillId="0" borderId="0" xfId="0" applyFont="1" applyAlignment="1">
      <alignment horizontal="left"/>
    </xf>
    <xf numFmtId="169" fontId="0" fillId="0" borderId="0" xfId="1" applyNumberFormat="1" applyFont="1" applyAlignment="1">
      <alignment horizontal="center"/>
    </xf>
    <xf numFmtId="169" fontId="4" fillId="0" borderId="0" xfId="1" applyNumberFormat="1" applyFont="1" applyAlignment="1">
      <alignment horizontal="center"/>
    </xf>
    <xf numFmtId="169" fontId="4" fillId="0" borderId="0" xfId="1" applyNumberFormat="1" applyFont="1" applyAlignment="1">
      <alignment horizontal="center" wrapText="1"/>
    </xf>
    <xf numFmtId="0" fontId="4" fillId="0" borderId="0" xfId="0" applyFont="1" applyAlignment="1"/>
    <xf numFmtId="166" fontId="0" fillId="0" borderId="0" xfId="0" applyNumberFormat="1" applyAlignment="1">
      <alignment horizontal="center"/>
    </xf>
    <xf numFmtId="166" fontId="4" fillId="0" borderId="0" xfId="0" applyNumberFormat="1" applyFont="1" applyAlignment="1">
      <alignment horizontal="center"/>
    </xf>
    <xf numFmtId="10" fontId="0" fillId="0" borderId="0" xfId="3" applyNumberFormat="1" applyFont="1" applyAlignment="1">
      <alignment horizontal="center"/>
    </xf>
    <xf numFmtId="10" fontId="4" fillId="0" borderId="0" xfId="3" applyNumberFormat="1" applyFont="1" applyAlignment="1">
      <alignment horizontal="center"/>
    </xf>
    <xf numFmtId="0" fontId="0" fillId="0" borderId="0" xfId="0" applyAlignment="1">
      <alignment horizontal="left"/>
    </xf>
    <xf numFmtId="0" fontId="4" fillId="0" borderId="33" xfId="0" applyFont="1" applyBorder="1"/>
    <xf numFmtId="0" fontId="3" fillId="11" borderId="32" xfId="0" applyFont="1" applyFill="1" applyBorder="1"/>
    <xf numFmtId="0" fontId="3" fillId="11" borderId="34" xfId="0" applyFont="1" applyFill="1" applyBorder="1" applyAlignment="1"/>
    <xf numFmtId="9" fontId="4" fillId="5" borderId="12" xfId="3" applyFont="1" applyFill="1" applyBorder="1" applyAlignment="1">
      <alignment horizontal="center"/>
    </xf>
    <xf numFmtId="0" fontId="4" fillId="5" borderId="13" xfId="0" applyFont="1" applyFill="1" applyBorder="1" applyAlignment="1">
      <alignment horizontal="center"/>
    </xf>
    <xf numFmtId="9" fontId="4" fillId="5" borderId="14" xfId="3" applyFont="1" applyFill="1" applyBorder="1" applyAlignment="1">
      <alignment horizontal="center"/>
    </xf>
    <xf numFmtId="0" fontId="4" fillId="5" borderId="16" xfId="0" applyFont="1" applyFill="1" applyBorder="1" applyAlignment="1">
      <alignment horizontal="center"/>
    </xf>
    <xf numFmtId="0" fontId="3" fillId="11" borderId="11" xfId="0" applyFont="1" applyFill="1" applyBorder="1"/>
    <xf numFmtId="0" fontId="3" fillId="11" borderId="11" xfId="0" applyFont="1" applyFill="1" applyBorder="1" applyAlignment="1"/>
    <xf numFmtId="0" fontId="4" fillId="0" borderId="0" xfId="0" applyNumberFormat="1" applyFont="1" applyAlignment="1">
      <alignment horizontal="center"/>
    </xf>
    <xf numFmtId="169" fontId="4" fillId="0" borderId="0" xfId="0" applyNumberFormat="1" applyFont="1" applyAlignment="1">
      <alignment horizontal="center"/>
    </xf>
    <xf numFmtId="164" fontId="4" fillId="0" borderId="0" xfId="0" applyNumberFormat="1" applyFont="1" applyAlignment="1">
      <alignment horizontal="center"/>
    </xf>
    <xf numFmtId="0" fontId="3" fillId="11" borderId="34" xfId="0" applyFont="1" applyFill="1" applyBorder="1" applyAlignment="1">
      <alignment horizontal="center"/>
    </xf>
    <xf numFmtId="166" fontId="3" fillId="11" borderId="34" xfId="0" applyNumberFormat="1" applyFont="1" applyFill="1" applyBorder="1" applyAlignment="1">
      <alignment horizontal="center"/>
    </xf>
    <xf numFmtId="0" fontId="3" fillId="11" borderId="34" xfId="0" applyFont="1" applyFill="1" applyBorder="1" applyAlignment="1">
      <alignment horizontal="left"/>
    </xf>
    <xf numFmtId="169" fontId="3" fillId="11" borderId="34" xfId="1" applyNumberFormat="1" applyFont="1" applyFill="1" applyBorder="1" applyAlignment="1">
      <alignment horizontal="center"/>
    </xf>
    <xf numFmtId="169" fontId="3" fillId="11" borderId="34" xfId="1" applyNumberFormat="1" applyFont="1" applyFill="1" applyBorder="1" applyAlignment="1">
      <alignment horizontal="center" wrapText="1"/>
    </xf>
    <xf numFmtId="10" fontId="3" fillId="11" borderId="34" xfId="3" applyNumberFormat="1" applyFont="1" applyFill="1" applyBorder="1" applyAlignment="1">
      <alignment horizontal="center"/>
    </xf>
    <xf numFmtId="0" fontId="3" fillId="11" borderId="35" xfId="0" applyFont="1" applyFill="1" applyBorder="1" applyAlignment="1">
      <alignment horizontal="center"/>
    </xf>
    <xf numFmtId="0" fontId="3" fillId="11" borderId="11" xfId="0" applyFont="1" applyFill="1" applyBorder="1" applyAlignment="1">
      <alignment horizontal="center"/>
    </xf>
    <xf numFmtId="2" fontId="4" fillId="0" borderId="0" xfId="0" applyNumberFormat="1" applyFont="1"/>
    <xf numFmtId="170" fontId="4" fillId="0" borderId="0" xfId="2" applyNumberFormat="1" applyFont="1"/>
    <xf numFmtId="0" fontId="2" fillId="2" borderId="2" xfId="4" applyFill="1" applyBorder="1" applyAlignment="1">
      <alignment horizontal="center" vertical="center" wrapText="1"/>
    </xf>
    <xf numFmtId="0" fontId="2" fillId="2" borderId="3" xfId="4" applyFill="1" applyBorder="1" applyAlignment="1">
      <alignment horizontal="center" vertical="center"/>
    </xf>
    <xf numFmtId="0" fontId="2" fillId="2" borderId="4" xfId="4" applyFill="1" applyBorder="1" applyAlignment="1">
      <alignment horizontal="center" vertical="center"/>
    </xf>
    <xf numFmtId="0" fontId="2" fillId="2" borderId="5" xfId="4" applyFill="1" applyBorder="1" applyAlignment="1">
      <alignment horizontal="center" vertical="center"/>
    </xf>
    <xf numFmtId="0" fontId="2" fillId="2" borderId="0" xfId="4" applyFill="1" applyBorder="1" applyAlignment="1">
      <alignment horizontal="center" vertical="center"/>
    </xf>
    <xf numFmtId="0" fontId="2" fillId="2" borderId="6" xfId="4" applyFill="1" applyBorder="1" applyAlignment="1">
      <alignment horizontal="center" vertical="center"/>
    </xf>
    <xf numFmtId="0" fontId="6" fillId="9" borderId="0" xfId="0" applyFont="1" applyFill="1" applyBorder="1" applyAlignment="1">
      <alignment horizontal="center"/>
    </xf>
    <xf numFmtId="0" fontId="2" fillId="4" borderId="29" xfId="4" applyFill="1" applyBorder="1" applyAlignment="1">
      <alignment horizontal="center"/>
    </xf>
    <xf numFmtId="0" fontId="2" fillId="4" borderId="30" xfId="4" applyFill="1" applyBorder="1" applyAlignment="1">
      <alignment horizontal="center"/>
    </xf>
    <xf numFmtId="0" fontId="2" fillId="4" borderId="31" xfId="4" applyFill="1" applyBorder="1" applyAlignment="1">
      <alignment horizontal="center"/>
    </xf>
    <xf numFmtId="0" fontId="2" fillId="4" borderId="2" xfId="4" applyFill="1" applyBorder="1" applyAlignment="1">
      <alignment horizontal="center"/>
    </xf>
    <xf numFmtId="0" fontId="2" fillId="4" borderId="3" xfId="4" applyFill="1" applyBorder="1" applyAlignment="1">
      <alignment horizontal="center"/>
    </xf>
    <xf numFmtId="0" fontId="2" fillId="4" borderId="4" xfId="4" applyFill="1" applyBorder="1" applyAlignment="1">
      <alignment horizontal="center"/>
    </xf>
    <xf numFmtId="0" fontId="2" fillId="4" borderId="22" xfId="4" applyFill="1" applyBorder="1" applyAlignment="1">
      <alignment horizontal="center"/>
    </xf>
    <xf numFmtId="0" fontId="2" fillId="4" borderId="28" xfId="4" applyFill="1" applyBorder="1" applyAlignment="1">
      <alignment horizontal="center"/>
    </xf>
    <xf numFmtId="0" fontId="2" fillId="4" borderId="23" xfId="4" applyFill="1" applyBorder="1" applyAlignment="1">
      <alignment horizontal="center"/>
    </xf>
    <xf numFmtId="0" fontId="2" fillId="4" borderId="0" xfId="4" applyFill="1" applyBorder="1" applyAlignment="1">
      <alignment horizontal="center"/>
    </xf>
    <xf numFmtId="0" fontId="2" fillId="4" borderId="1" xfId="4" applyFill="1" applyAlignment="1">
      <alignment horizontal="center"/>
    </xf>
    <xf numFmtId="0" fontId="0" fillId="0" borderId="0" xfId="0" applyFont="1" applyFill="1" applyBorder="1"/>
    <xf numFmtId="0" fontId="0" fillId="0" borderId="0" xfId="0" pivotButton="1"/>
    <xf numFmtId="43" fontId="0" fillId="0" borderId="0" xfId="1" applyFont="1"/>
    <xf numFmtId="43" fontId="0" fillId="0" borderId="0" xfId="0" applyNumberFormat="1"/>
  </cellXfs>
  <cellStyles count="5">
    <cellStyle name="Comma" xfId="1" builtinId="3"/>
    <cellStyle name="Currency" xfId="2" builtinId="4"/>
    <cellStyle name="Heading 1" xfId="4" builtinId="16"/>
    <cellStyle name="Normal" xfId="0" builtinId="0"/>
    <cellStyle name="Percent" xfId="3" builtinId="5"/>
  </cellStyles>
  <dxfs count="61">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fill>
        <patternFill>
          <bgColor rgb="FFFF0000"/>
        </patternFill>
      </fill>
    </dxf>
    <dxf>
      <fill>
        <patternFill>
          <bgColor rgb="FFFF0000"/>
        </patternFill>
      </fill>
    </dxf>
    <dxf>
      <font>
        <color rgb="FF9C0006"/>
      </font>
      <fill>
        <patternFill>
          <bgColor rgb="FFFFC7CE"/>
        </patternFill>
      </fill>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font>
      <numFmt numFmtId="0" formatCode="General"/>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numFmt numFmtId="0" formatCode="General"/>
      <alignment horizontal="center" vertical="bottom" textRotation="0" wrapText="0" indent="0" justifyLastLine="0" shrinkToFit="0" readingOrder="0"/>
    </dxf>
    <dxf>
      <font>
        <b/>
      </font>
      <numFmt numFmtId="14" formatCode="0.00%"/>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numFmt numFmtId="169" formatCode="_(* #,##0_);_(* \(#,##0\);_(* &quot;-&quot;??_);_(@_)"/>
      <alignment horizontal="center" vertical="bottom" textRotation="0" wrapText="0" indent="0" justifyLastLine="0" shrinkToFit="0" readingOrder="0"/>
    </dxf>
    <dxf>
      <font>
        <b/>
      </font>
      <numFmt numFmtId="169" formatCode="_(* #,##0_);_(* \(#,##0\);_(* &quot;-&quot;??_);_(@_)"/>
      <alignment horizontal="center" vertical="bottom" textRotation="0" indent="0" justifyLastLine="0" shrinkToFit="0" readingOrder="0"/>
    </dxf>
    <dxf>
      <font>
        <b/>
        <i val="0"/>
        <strike val="0"/>
        <condense val="0"/>
        <extend val="0"/>
        <outline val="0"/>
        <shadow val="0"/>
        <u val="none"/>
        <vertAlign val="baseline"/>
        <sz val="11"/>
        <color theme="1"/>
        <name val="Calibri"/>
        <scheme val="minor"/>
      </font>
      <numFmt numFmtId="169" formatCode="_(* #,##0_);_(* \(#,##0\);_(* &quot;-&quot;??_);_(@_)"/>
      <alignment horizontal="center" vertical="bottom" textRotation="0" wrapText="0" indent="0" justifyLastLine="0" shrinkToFit="0" readingOrder="0"/>
    </dxf>
    <dxf>
      <font>
        <b/>
      </font>
      <numFmt numFmtId="169" formatCode="_(* #,##0_);_(* \(#,##0\);_(* &quot;-&quot;??_);_(@_)"/>
      <alignment horizontal="center" vertical="bottom" textRotation="0" indent="0" justifyLastLine="0" shrinkToFit="0" readingOrder="0"/>
    </dxf>
    <dxf>
      <font>
        <b/>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font>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font>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font>
      <numFmt numFmtId="166" formatCode="mm/dd/yy;@"/>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numFmt numFmtId="164" formatCode="0.000"/>
      <alignment horizontal="center" vertical="bottom" textRotation="0" wrapText="0" indent="0" justifyLastLine="0" shrinkToFit="0" readingOrder="0"/>
    </dxf>
    <dxf>
      <font>
        <b/>
      </font>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font>
      <alignment horizontal="general" vertical="bottom" textRotation="0" indent="0" justifyLastLine="0" shrinkToFit="0" readingOrder="0"/>
    </dxf>
    <dxf>
      <font>
        <b/>
        <i val="0"/>
        <strike val="0"/>
        <condense val="0"/>
        <extend val="0"/>
        <outline val="0"/>
        <shadow val="0"/>
        <u val="none"/>
        <vertAlign val="baseline"/>
        <sz val="11"/>
        <color theme="1"/>
        <name val="Calibri"/>
        <scheme val="minor"/>
      </font>
    </dxf>
    <dxf>
      <font>
        <b/>
      </font>
    </dxf>
    <dxf>
      <border outline="0">
        <top style="thick">
          <color theme="4"/>
        </top>
      </border>
    </dxf>
    <dxf>
      <font>
        <b/>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chartsheet" Target="chartsheets/sheet1.xml"/><Relationship Id="rId7" Type="http://schemas.openxmlformats.org/officeDocument/2006/relationships/worksheet" Target="worksheets/sheet6.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11" Type="http://schemas.microsoft.com/office/2007/relationships/slicerCache" Target="slicerCaches/slicerCache3.xml"/><Relationship Id="rId5" Type="http://schemas.openxmlformats.org/officeDocument/2006/relationships/worksheet" Target="worksheets/sheet4.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3.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Six Month Income Projection</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dLbl>
              <c:idx val="1"/>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dLbl>
              <c:idx val="2"/>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dLbl>
              <c:idx val="3"/>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dLbl>
              <c:idx val="4"/>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dLbl>
              <c:idx val="5"/>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spPr>
              <a:solidFill>
                <a:schemeClr val="lt1"/>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'E2- What If Assumption Table'!$B$12:$G$12</c:f>
              <c:strCache>
                <c:ptCount val="6"/>
                <c:pt idx="0">
                  <c:v>July</c:v>
                </c:pt>
                <c:pt idx="1">
                  <c:v>August</c:v>
                </c:pt>
                <c:pt idx="2">
                  <c:v>September</c:v>
                </c:pt>
                <c:pt idx="3">
                  <c:v>October</c:v>
                </c:pt>
                <c:pt idx="4">
                  <c:v>November</c:v>
                </c:pt>
                <c:pt idx="5">
                  <c:v>December</c:v>
                </c:pt>
              </c:strCache>
            </c:strRef>
          </c:cat>
          <c:val>
            <c:numRef>
              <c:f>'E2- What If Assumption Table'!$B$25:$G$25</c:f>
              <c:numCache>
                <c:formatCode>"$"#,##0.00</c:formatCode>
                <c:ptCount val="6"/>
                <c:pt idx="0">
                  <c:v>326929.27679999988</c:v>
                </c:pt>
                <c:pt idx="1">
                  <c:v>636034.73064999934</c:v>
                </c:pt>
                <c:pt idx="2">
                  <c:v>336788.20089999959</c:v>
                </c:pt>
                <c:pt idx="3">
                  <c:v>307085.92634999985</c:v>
                </c:pt>
                <c:pt idx="4">
                  <c:v>601206.13824999984</c:v>
                </c:pt>
                <c:pt idx="5">
                  <c:v>359548.37415000005</c:v>
                </c:pt>
              </c:numCache>
            </c:numRef>
          </c:val>
        </c:ser>
        <c:dLbls>
          <c:dLblPos val="ctr"/>
          <c:showLegendKey val="0"/>
          <c:showVal val="1"/>
          <c:showCatName val="0"/>
          <c:showSerName val="0"/>
          <c:showPercent val="0"/>
          <c:showBubbleSize val="0"/>
          <c:showLeaderLines val="0"/>
        </c:dLbls>
      </c:pie3D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[joseph simien excel examples.xlsx]Pivot Table and Chart!PivotTable2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Eckart</a:t>
            </a:r>
            <a:r>
              <a:rPr lang="en-US" baseline="0"/>
              <a:t> Pet Supplies</a:t>
            </a:r>
          </a:p>
          <a:p>
            <a:pPr>
              <a:defRPr/>
            </a:pPr>
            <a:r>
              <a:rPr lang="en-US" baseline="0"/>
              <a:t>Average Sales by Manager and Location </a:t>
            </a:r>
          </a:p>
          <a:p>
            <a:pPr>
              <a:defRPr/>
            </a:pPr>
            <a:r>
              <a:rPr lang="en-US" baseline="0"/>
              <a:t>2011 and 2012</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'Pivot Table and Chart'!$C$3</c:f>
              <c:strCache>
                <c:ptCount val="1"/>
                <c:pt idx="0">
                  <c:v>Average of 2014 Sales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Table and Chart'!$A$4:$B$16</c:f>
              <c:multiLvlStrCache>
                <c:ptCount val="8"/>
                <c:lvl>
                  <c:pt idx="0">
                    <c:v>Mall</c:v>
                  </c:pt>
                  <c:pt idx="1">
                    <c:v>Street</c:v>
                  </c:pt>
                  <c:pt idx="2">
                    <c:v>Mall</c:v>
                  </c:pt>
                  <c:pt idx="3">
                    <c:v>Street</c:v>
                  </c:pt>
                  <c:pt idx="4">
                    <c:v>Mall</c:v>
                  </c:pt>
                  <c:pt idx="5">
                    <c:v>Street</c:v>
                  </c:pt>
                  <c:pt idx="6">
                    <c:v>Mall</c:v>
                  </c:pt>
                  <c:pt idx="7">
                    <c:v>Street</c:v>
                  </c:pt>
                </c:lvl>
                <c:lvl>
                  <c:pt idx="0">
                    <c:v>Charvat</c:v>
                  </c:pt>
                  <c:pt idx="2">
                    <c:v>Felski</c:v>
                  </c:pt>
                  <c:pt idx="4">
                    <c:v>Merna</c:v>
                  </c:pt>
                  <c:pt idx="6">
                    <c:v>Prasad</c:v>
                  </c:pt>
                </c:lvl>
              </c:multiLvlStrCache>
            </c:multiLvlStrRef>
          </c:cat>
          <c:val>
            <c:numRef>
              <c:f>'Pivot Table and Chart'!$C$4:$C$16</c:f>
              <c:numCache>
                <c:formatCode>_(* #,##0.00_);_(* \(#,##0.00\);_(* "-"??_);_(@_)</c:formatCode>
                <c:ptCount val="8"/>
                <c:pt idx="0">
                  <c:v>993004</c:v>
                </c:pt>
                <c:pt idx="1">
                  <c:v>696653</c:v>
                </c:pt>
                <c:pt idx="2">
                  <c:v>635201</c:v>
                </c:pt>
                <c:pt idx="3">
                  <c:v>1088097</c:v>
                </c:pt>
                <c:pt idx="4">
                  <c:v>785746</c:v>
                </c:pt>
                <c:pt idx="5">
                  <c:v>1162553</c:v>
                </c:pt>
                <c:pt idx="6">
                  <c:v>654312</c:v>
                </c:pt>
                <c:pt idx="7">
                  <c:v>659340</c:v>
                </c:pt>
              </c:numCache>
            </c:numRef>
          </c:val>
        </c:ser>
        <c:ser>
          <c:idx val="1"/>
          <c:order val="1"/>
          <c:tx>
            <c:strRef>
              <c:f>'Pivot Table and Chart'!$D$3</c:f>
              <c:strCache>
                <c:ptCount val="1"/>
                <c:pt idx="0">
                  <c:v>Average of 2015 Sales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Table and Chart'!$A$4:$B$16</c:f>
              <c:multiLvlStrCache>
                <c:ptCount val="8"/>
                <c:lvl>
                  <c:pt idx="0">
                    <c:v>Mall</c:v>
                  </c:pt>
                  <c:pt idx="1">
                    <c:v>Street</c:v>
                  </c:pt>
                  <c:pt idx="2">
                    <c:v>Mall</c:v>
                  </c:pt>
                  <c:pt idx="3">
                    <c:v>Street</c:v>
                  </c:pt>
                  <c:pt idx="4">
                    <c:v>Mall</c:v>
                  </c:pt>
                  <c:pt idx="5">
                    <c:v>Street</c:v>
                  </c:pt>
                  <c:pt idx="6">
                    <c:v>Mall</c:v>
                  </c:pt>
                  <c:pt idx="7">
                    <c:v>Street</c:v>
                  </c:pt>
                </c:lvl>
                <c:lvl>
                  <c:pt idx="0">
                    <c:v>Charvat</c:v>
                  </c:pt>
                  <c:pt idx="2">
                    <c:v>Felski</c:v>
                  </c:pt>
                  <c:pt idx="4">
                    <c:v>Merna</c:v>
                  </c:pt>
                  <c:pt idx="6">
                    <c:v>Prasad</c:v>
                  </c:pt>
                </c:lvl>
              </c:multiLvlStrCache>
            </c:multiLvlStrRef>
          </c:cat>
          <c:val>
            <c:numRef>
              <c:f>'Pivot Table and Chart'!$D$4:$D$16</c:f>
              <c:numCache>
                <c:formatCode>_(* #,##0.00_);_(* \(#,##0.00\);_(* "-"??_);_(@_)</c:formatCode>
                <c:ptCount val="8"/>
                <c:pt idx="0">
                  <c:v>1105096</c:v>
                </c:pt>
                <c:pt idx="1">
                  <c:v>1160261</c:v>
                </c:pt>
                <c:pt idx="2">
                  <c:v>835515</c:v>
                </c:pt>
                <c:pt idx="3">
                  <c:v>1190210</c:v>
                </c:pt>
                <c:pt idx="4">
                  <c:v>685820</c:v>
                </c:pt>
                <c:pt idx="5">
                  <c:v>679687</c:v>
                </c:pt>
                <c:pt idx="6">
                  <c:v>741963</c:v>
                </c:pt>
                <c:pt idx="7">
                  <c:v>721374</c:v>
                </c:pt>
              </c:numCache>
            </c:numRef>
          </c:val>
        </c:ser>
        <c:dLbls>
          <c:showLegendKey val="0"/>
          <c:showVal val="1"/>
          <c:showCatName val="0"/>
          <c:showSerName val="0"/>
          <c:showPercent val="0"/>
          <c:showBubbleSize val="0"/>
        </c:dLbls>
        <c:gapWidth val="95"/>
        <c:gapDepth val="95"/>
        <c:shape val="box"/>
        <c:axId val="397738744"/>
        <c:axId val="397738352"/>
        <c:axId val="0"/>
      </c:bar3DChart>
      <c:catAx>
        <c:axId val="397738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738352"/>
        <c:crosses val="autoZero"/>
        <c:auto val="1"/>
        <c:lblAlgn val="ctr"/>
        <c:lblOffset val="100"/>
        <c:noMultiLvlLbl val="0"/>
      </c:catAx>
      <c:valAx>
        <c:axId val="397738352"/>
        <c:scaling>
          <c:orientation val="minMax"/>
        </c:scaling>
        <c:delete val="1"/>
        <c:axPos val="l"/>
        <c:numFmt formatCode="0%" sourceLinked="1"/>
        <c:majorTickMark val="none"/>
        <c:minorTickMark val="none"/>
        <c:tickLblPos val="nextTo"/>
        <c:crossAx val="397738744"/>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tabColor theme="5" tint="-0.249977111117893"/>
  </sheetPr>
  <sheetViews>
    <sheetView zoomScale="9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64677" cy="628854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4</xdr:col>
      <xdr:colOff>85725</xdr:colOff>
      <xdr:row>0</xdr:row>
      <xdr:rowOff>161925</xdr:rowOff>
    </xdr:from>
    <xdr:to>
      <xdr:col>16</xdr:col>
      <xdr:colOff>95250</xdr:colOff>
      <xdr:row>25</xdr:row>
      <xdr:rowOff>19050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228600</xdr:colOff>
      <xdr:row>0</xdr:row>
      <xdr:rowOff>180975</xdr:rowOff>
    </xdr:from>
    <xdr:to>
      <xdr:col>19</xdr:col>
      <xdr:colOff>125730</xdr:colOff>
      <xdr:row>14</xdr:row>
      <xdr:rowOff>38100</xdr:rowOff>
    </xdr:to>
    <mc:AlternateContent xmlns:mc="http://schemas.openxmlformats.org/markup-compatibility/2006">
      <mc:Choice xmlns:a14="http://schemas.microsoft.com/office/drawing/2010/main" Requires="a14">
        <xdr:graphicFrame macro="">
          <xdr:nvGraphicFramePr>
            <xdr:cNvPr id="4"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2820650" y="180975"/>
              <a:ext cx="172593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247650</xdr:colOff>
      <xdr:row>9</xdr:row>
      <xdr:rowOff>47625</xdr:rowOff>
    </xdr:from>
    <xdr:to>
      <xdr:col>19</xdr:col>
      <xdr:colOff>171450</xdr:colOff>
      <xdr:row>22</xdr:row>
      <xdr:rowOff>95250</xdr:rowOff>
    </xdr:to>
    <mc:AlternateContent xmlns:mc="http://schemas.openxmlformats.org/markup-compatibility/2006">
      <mc:Choice xmlns:a14="http://schemas.microsoft.com/office/drawing/2010/main" Requires="a14">
        <xdr:graphicFrame macro="">
          <xdr:nvGraphicFramePr>
            <xdr:cNvPr id="5" name="Manage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12839700" y="1762125"/>
              <a:ext cx="17526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266700</xdr:colOff>
      <xdr:row>22</xdr:row>
      <xdr:rowOff>104775</xdr:rowOff>
    </xdr:from>
    <xdr:to>
      <xdr:col>19</xdr:col>
      <xdr:colOff>163830</xdr:colOff>
      <xdr:row>35</xdr:row>
      <xdr:rowOff>152400</xdr:rowOff>
    </xdr:to>
    <mc:AlternateContent xmlns:mc="http://schemas.openxmlformats.org/markup-compatibility/2006">
      <mc:Choice xmlns:a14="http://schemas.microsoft.com/office/drawing/2010/main" Requires="a14">
        <xdr:graphicFrame macro="">
          <xdr:nvGraphicFramePr>
            <xdr:cNvPr id="6" name="Location"/>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2858750" y="4295775"/>
              <a:ext cx="172593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ph Simien" refreshedDate="42605.468189236111" createdVersion="5" refreshedVersion="5" minRefreshableVersion="3" recordCount="22">
  <cacheSource type="worksheet">
    <worksheetSource ref="A2:G24" sheet=" Pivot  Sales Analysis Figures"/>
  </cacheSource>
  <cacheFields count="7">
    <cacheField name="State" numFmtId="0">
      <sharedItems count="6">
        <s v="AZ"/>
        <s v="CA"/>
        <s v="NM"/>
        <s v="MN"/>
        <s v="NV"/>
        <s v="UT"/>
      </sharedItems>
    </cacheField>
    <cacheField name="Store ID" numFmtId="0">
      <sharedItems containsSemiMixedTypes="0" containsString="0" containsNumber="1" containsInteger="1" minValue="345978" maxValue="478920"/>
    </cacheField>
    <cacheField name="Manager" numFmtId="0">
      <sharedItems count="11">
        <s v="Charvat"/>
        <s v="Felski"/>
        <s v="Merna"/>
        <s v="Prasad"/>
        <s v="Placek"/>
        <s v="Emily"/>
        <s v="Noah"/>
        <s v="Jane"/>
        <s v="Sherry"/>
        <s v=" Yolanda"/>
        <s v="Coppock"/>
      </sharedItems>
    </cacheField>
    <cacheField name="Location" numFmtId="0">
      <sharedItems count="2">
        <s v="Street"/>
        <s v="Mall"/>
      </sharedItems>
    </cacheField>
    <cacheField name="Employees" numFmtId="0">
      <sharedItems containsSemiMixedTypes="0" containsString="0" containsNumber="1" containsInteger="1" minValue="4" maxValue="8"/>
    </cacheField>
    <cacheField name="2014 Sales" numFmtId="43">
      <sharedItems containsSemiMixedTypes="0" containsString="0" containsNumber="1" containsInteger="1" minValue="114476" maxValue="1162553"/>
    </cacheField>
    <cacheField name="2015 Sales" numFmtId="43">
      <sharedItems containsSemiMixedTypes="0" containsString="0" containsNumber="1" containsInteger="1" minValue="321456" maxValue="119021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2">
  <r>
    <x v="0"/>
    <n v="476442"/>
    <x v="0"/>
    <x v="0"/>
    <n v="4"/>
    <n v="696653"/>
    <n v="1160261"/>
  </r>
  <r>
    <x v="0"/>
    <n v="476443"/>
    <x v="0"/>
    <x v="1"/>
    <n v="6"/>
    <n v="993004"/>
    <n v="1105096"/>
  </r>
  <r>
    <x v="0"/>
    <n v="476444"/>
    <x v="1"/>
    <x v="0"/>
    <n v="5"/>
    <n v="1088097"/>
    <n v="1190210"/>
  </r>
  <r>
    <x v="0"/>
    <n v="476445"/>
    <x v="1"/>
    <x v="1"/>
    <n v="4"/>
    <n v="635201"/>
    <n v="835515"/>
  </r>
  <r>
    <x v="1"/>
    <n v="476446"/>
    <x v="2"/>
    <x v="0"/>
    <n v="7"/>
    <n v="1162553"/>
    <n v="679687"/>
  </r>
  <r>
    <x v="1"/>
    <n v="476447"/>
    <x v="2"/>
    <x v="1"/>
    <n v="5"/>
    <n v="785746"/>
    <n v="685820"/>
  </r>
  <r>
    <x v="1"/>
    <n v="476448"/>
    <x v="3"/>
    <x v="0"/>
    <n v="8"/>
    <n v="659340"/>
    <n v="721374"/>
  </r>
  <r>
    <x v="1"/>
    <n v="478920"/>
    <x v="3"/>
    <x v="1"/>
    <n v="7"/>
    <n v="654312"/>
    <n v="741963"/>
  </r>
  <r>
    <x v="2"/>
    <n v="476449"/>
    <x v="4"/>
    <x v="0"/>
    <n v="5"/>
    <n v="696653"/>
    <n v="802531"/>
  </r>
  <r>
    <x v="2"/>
    <n v="476450"/>
    <x v="4"/>
    <x v="1"/>
    <n v="5"/>
    <n v="1108419"/>
    <n v="1083996"/>
  </r>
  <r>
    <x v="2"/>
    <n v="476451"/>
    <x v="5"/>
    <x v="0"/>
    <n v="6"/>
    <n v="114476"/>
    <n v="1104379"/>
  </r>
  <r>
    <x v="2"/>
    <n v="476452"/>
    <x v="5"/>
    <x v="1"/>
    <n v="8"/>
    <n v="1113393"/>
    <n v="935880"/>
  </r>
  <r>
    <x v="2"/>
    <n v="476453"/>
    <x v="6"/>
    <x v="0"/>
    <n v="7"/>
    <n v="992142"/>
    <n v="1018577"/>
  </r>
  <r>
    <x v="3"/>
    <n v="345978"/>
    <x v="6"/>
    <x v="1"/>
    <n v="6"/>
    <n v="147896"/>
    <n v="321456"/>
  </r>
  <r>
    <x v="4"/>
    <n v="476454"/>
    <x v="7"/>
    <x v="0"/>
    <n v="6"/>
    <n v="981622"/>
    <n v="738345"/>
  </r>
  <r>
    <x v="4"/>
    <n v="476455"/>
    <x v="7"/>
    <x v="1"/>
    <n v="5"/>
    <n v="797975"/>
    <n v="859487"/>
  </r>
  <r>
    <x v="4"/>
    <n v="476456"/>
    <x v="8"/>
    <x v="0"/>
    <n v="5"/>
    <n v="615421"/>
    <n v="573377"/>
  </r>
  <r>
    <x v="4"/>
    <n v="476457"/>
    <x v="8"/>
    <x v="1"/>
    <n v="6"/>
    <n v="599418"/>
    <n v="582657"/>
  </r>
  <r>
    <x v="5"/>
    <n v="476458"/>
    <x v="9"/>
    <x v="0"/>
    <n v="8"/>
    <n v="670144"/>
    <n v="642759"/>
  </r>
  <r>
    <x v="5"/>
    <n v="476459"/>
    <x v="9"/>
    <x v="1"/>
    <n v="6"/>
    <n v="623987"/>
    <n v="789421"/>
  </r>
  <r>
    <x v="5"/>
    <n v="476460"/>
    <x v="10"/>
    <x v="0"/>
    <n v="5"/>
    <n v="1148456"/>
    <n v="1071603"/>
  </r>
  <r>
    <x v="5"/>
    <n v="476461"/>
    <x v="10"/>
    <x v="1"/>
    <n v="7"/>
    <n v="668365"/>
    <n v="6235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41"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4">
  <location ref="A3:D16" firstHeaderRow="0" firstDataRow="1" firstDataCol="2" rowPageCount="1" colPageCount="1"/>
  <pivotFields count="7">
    <pivotField axis="axisPage" compact="0" outline="0" multipleItemSelectionAllowed="1" showAll="0">
      <items count="7">
        <item x="0"/>
        <item x="1"/>
        <item h="1" x="3"/>
        <item h="1" x="2"/>
        <item h="1" x="4"/>
        <item h="1" x="5"/>
        <item t="default"/>
      </items>
    </pivotField>
    <pivotField compact="0" outline="0" showAll="0"/>
    <pivotField axis="axisRow" compact="0" outline="0" showAll="0">
      <items count="12">
        <item x="9"/>
        <item x="0"/>
        <item x="10"/>
        <item x="5"/>
        <item x="1"/>
        <item x="7"/>
        <item x="2"/>
        <item x="6"/>
        <item x="4"/>
        <item x="3"/>
        <item x="8"/>
        <item t="default"/>
      </items>
    </pivotField>
    <pivotField axis="axisRow" compact="0" outline="0" showAll="0">
      <items count="3">
        <item x="1"/>
        <item x="0"/>
        <item t="default"/>
      </items>
    </pivotField>
    <pivotField compact="0" outline="0" showAll="0"/>
    <pivotField dataField="1" compact="0" numFmtId="43" outline="0" showAll="0" defaultSubtotal="0"/>
    <pivotField dataField="1" compact="0" numFmtId="43" outline="0" showAll="0" defaultSubtotal="0"/>
  </pivotFields>
  <rowFields count="2">
    <field x="2"/>
    <field x="3"/>
  </rowFields>
  <rowItems count="13">
    <i>
      <x v="1"/>
      <x/>
    </i>
    <i r="1">
      <x v="1"/>
    </i>
    <i t="default">
      <x v="1"/>
    </i>
    <i>
      <x v="4"/>
      <x/>
    </i>
    <i r="1">
      <x v="1"/>
    </i>
    <i t="default">
      <x v="4"/>
    </i>
    <i>
      <x v="6"/>
      <x/>
    </i>
    <i r="1">
      <x v="1"/>
    </i>
    <i t="default">
      <x v="6"/>
    </i>
    <i>
      <x v="9"/>
      <x/>
    </i>
    <i r="1">
      <x v="1"/>
    </i>
    <i t="default">
      <x v="9"/>
    </i>
    <i t="grand">
      <x/>
    </i>
  </rowItems>
  <colFields count="1">
    <field x="-2"/>
  </colFields>
  <colItems count="2">
    <i>
      <x/>
    </i>
    <i i="1">
      <x v="1"/>
    </i>
  </colItems>
  <pageFields count="1">
    <pageField fld="0" hier="-1"/>
  </pageFields>
  <dataFields count="2">
    <dataField name="Average of 2014 Sales" fld="5" subtotal="average" baseField="3" baseItem="1"/>
    <dataField name="Average of 2015 Sales" fld="6" subtotal="average" baseField="3" baseItem="1"/>
  </dataFields>
  <formats count="1">
    <format dxfId="20">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10" name="PivotTable2"/>
  </pivotTables>
  <data>
    <tabular pivotCacheId="1">
      <items count="6">
        <i x="0" s="1"/>
        <i x="1" s="1"/>
        <i x="3"/>
        <i x="2"/>
        <i x="4"/>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nager" sourceName="Manager">
  <pivotTables>
    <pivotTable tabId="10" name="PivotTable2"/>
  </pivotTables>
  <data>
    <tabular pivotCacheId="1">
      <items count="11">
        <i x="0" s="1"/>
        <i x="1" s="1"/>
        <i x="2" s="1"/>
        <i x="3" s="1"/>
        <i x="9" s="1" nd="1"/>
        <i x="10" s="1" nd="1"/>
        <i x="5" s="1" nd="1"/>
        <i x="7" s="1" nd="1"/>
        <i x="6" s="1" nd="1"/>
        <i x="4" s="1" nd="1"/>
        <i x="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cation" sourceName="Location">
  <pivotTables>
    <pivotTable tabId="10" name="PivotTable2"/>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rowHeight="182880"/>
  <slicer name="Manager" cache="Slicer_Manager" caption="Manager" rowHeight="182880"/>
  <slicer name="Location" cache="Slicer_Location" caption="Location" rowHeight="182880"/>
</slicers>
</file>

<file path=xl/tables/table1.xml><?xml version="1.0" encoding="utf-8"?>
<table xmlns="http://schemas.openxmlformats.org/spreadsheetml/2006/main" id="1" name="Table1" displayName="Table1" ref="A8:J22" totalsRowCount="1" headerRowDxfId="60" dataDxfId="59" tableBorderDxfId="58">
  <autoFilter ref="A8:J21"/>
  <tableColumns count="10">
    <tableColumn id="1" name="Name" totalsRowLabel="Total" dataDxfId="57" totalsRowDxfId="56"/>
    <tableColumn id="2" name="Status" dataDxfId="55" totalsRowDxfId="54"/>
    <tableColumn id="3" name="Experience" totalsRowFunction="average" dataDxfId="53" totalsRowDxfId="52"/>
    <tableColumn id="4" name="Hire Date" dataDxfId="51" totalsRowDxfId="50"/>
    <tableColumn id="5" name="Region" dataDxfId="49" totalsRowDxfId="48"/>
    <tableColumn id="6" name="Type" dataDxfId="47" totalsRowDxfId="46"/>
    <tableColumn id="7" name="Quota" totalsRowFunction="sum" dataDxfId="45" totalsRowDxfId="44" dataCellStyle="Comma"/>
    <tableColumn id="8" name="YTD  Funds Raised" totalsRowFunction="sum" dataDxfId="43" totalsRowDxfId="42" dataCellStyle="Comma"/>
    <tableColumn id="9" name="% of Quota" dataDxfId="41" totalsRowDxfId="40" dataCellStyle="Percent">
      <calculatedColumnFormula>Table1[[#This Row],[YTD  Funds Raised]]/Table1[[#This Row],[Quota]]</calculatedColumnFormula>
    </tableColumn>
    <tableColumn id="10" name="Grade" dataDxfId="39" totalsRowDxfId="38">
      <calculatedColumnFormula>VLOOKUP(Table1[[#This Row],[% of Quota]],$L$3:$M$7,2)</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K23"/>
  <sheetViews>
    <sheetView workbookViewId="0">
      <selection activeCell="F19" sqref="F19"/>
    </sheetView>
  </sheetViews>
  <sheetFormatPr defaultRowHeight="15" x14ac:dyDescent="0.25"/>
  <cols>
    <col min="1" max="1" width="19.85546875" bestFit="1" customWidth="1"/>
    <col min="2" max="2" width="9.7109375" bestFit="1" customWidth="1"/>
    <col min="3" max="3" width="11.85546875" bestFit="1" customWidth="1"/>
    <col min="4" max="4" width="8.140625" bestFit="1" customWidth="1"/>
    <col min="5" max="5" width="8.5703125" bestFit="1" customWidth="1"/>
    <col min="6" max="7" width="11.5703125" bestFit="1" customWidth="1"/>
    <col min="8" max="8" width="9" bestFit="1" customWidth="1"/>
    <col min="9" max="9" width="11.5703125" bestFit="1" customWidth="1"/>
    <col min="10" max="10" width="8.140625" bestFit="1" customWidth="1"/>
  </cols>
  <sheetData>
    <row r="1" spans="1:11" ht="15.75" thickBot="1" x14ac:dyDescent="0.3">
      <c r="A1" s="156" t="s">
        <v>10</v>
      </c>
      <c r="B1" s="157"/>
      <c r="C1" s="157"/>
      <c r="D1" s="157"/>
      <c r="E1" s="157"/>
      <c r="F1" s="157"/>
      <c r="G1" s="157"/>
      <c r="H1" s="157"/>
      <c r="I1" s="157"/>
      <c r="J1" s="158"/>
      <c r="K1" s="2"/>
    </row>
    <row r="2" spans="1:11" ht="33" customHeight="1" thickTop="1" x14ac:dyDescent="0.25">
      <c r="A2" s="159"/>
      <c r="B2" s="160"/>
      <c r="C2" s="160"/>
      <c r="D2" s="160"/>
      <c r="E2" s="160"/>
      <c r="F2" s="160"/>
      <c r="G2" s="160"/>
      <c r="H2" s="160"/>
      <c r="I2" s="160"/>
      <c r="J2" s="161"/>
    </row>
    <row r="3" spans="1:11" ht="30.75" thickBot="1" x14ac:dyDescent="0.3">
      <c r="A3" s="17" t="s">
        <v>0</v>
      </c>
      <c r="B3" s="18" t="s">
        <v>2</v>
      </c>
      <c r="C3" s="19" t="s">
        <v>1</v>
      </c>
      <c r="D3" s="20" t="s">
        <v>8</v>
      </c>
      <c r="E3" s="20" t="s">
        <v>9</v>
      </c>
      <c r="F3" s="19" t="s">
        <v>3</v>
      </c>
      <c r="G3" s="19" t="s">
        <v>4</v>
      </c>
      <c r="H3" s="19" t="s">
        <v>5</v>
      </c>
      <c r="I3" s="19" t="s">
        <v>6</v>
      </c>
      <c r="J3" s="21" t="s">
        <v>7</v>
      </c>
    </row>
    <row r="4" spans="1:11" x14ac:dyDescent="0.25">
      <c r="A4" s="38" t="s">
        <v>11</v>
      </c>
      <c r="B4" s="39">
        <v>39875</v>
      </c>
      <c r="C4" s="40">
        <v>1</v>
      </c>
      <c r="D4" s="41">
        <v>65.25</v>
      </c>
      <c r="E4" s="41">
        <v>20.5</v>
      </c>
      <c r="F4" s="42">
        <f>$D4*$E4</f>
        <v>1337.625</v>
      </c>
      <c r="G4" s="43">
        <f t="shared" ref="G4:G12" si="0">$B$19*($F4-$C4*$B$20)</f>
        <v>288.9271</v>
      </c>
      <c r="H4" s="43">
        <f t="shared" ref="H4:H12" si="1">$B$21*$F4</f>
        <v>53.505000000000003</v>
      </c>
      <c r="I4" s="43">
        <f>$F4-($G4-$H4)</f>
        <v>1102.2029</v>
      </c>
      <c r="J4" s="44">
        <f>($G4+$H4)/$F4</f>
        <v>0.25600007475936826</v>
      </c>
    </row>
    <row r="5" spans="1:11" x14ac:dyDescent="0.25">
      <c r="A5" s="45" t="s">
        <v>12</v>
      </c>
      <c r="B5" s="46">
        <v>40343</v>
      </c>
      <c r="C5" s="47">
        <v>2</v>
      </c>
      <c r="D5" s="48">
        <v>80</v>
      </c>
      <c r="E5" s="48">
        <v>25.85</v>
      </c>
      <c r="F5" s="42">
        <f t="shared" ref="F5:F12" si="2">$D5*$E5</f>
        <v>2068</v>
      </c>
      <c r="G5" s="43">
        <f t="shared" si="0"/>
        <v>444.25919999999996</v>
      </c>
      <c r="H5" s="43">
        <f t="shared" si="1"/>
        <v>82.72</v>
      </c>
      <c r="I5" s="43">
        <f t="shared" ref="I5:I12" si="3">$F5-($G5-$H5)</f>
        <v>1706.4608000000001</v>
      </c>
      <c r="J5" s="44">
        <f t="shared" ref="J5:J12" si="4">($G5+$H5)/$F5</f>
        <v>0.2548255319148936</v>
      </c>
    </row>
    <row r="6" spans="1:11" x14ac:dyDescent="0.25">
      <c r="A6" s="45" t="s">
        <v>13</v>
      </c>
      <c r="B6" s="46">
        <v>39732</v>
      </c>
      <c r="C6" s="47">
        <v>0</v>
      </c>
      <c r="D6" s="48">
        <v>64.5</v>
      </c>
      <c r="E6" s="48">
        <v>12.6</v>
      </c>
      <c r="F6" s="42">
        <f t="shared" si="2"/>
        <v>812.69999999999993</v>
      </c>
      <c r="G6" s="43">
        <f t="shared" si="0"/>
        <v>178.79399999999998</v>
      </c>
      <c r="H6" s="43">
        <f t="shared" si="1"/>
        <v>32.507999999999996</v>
      </c>
      <c r="I6" s="43">
        <f t="shared" si="3"/>
        <v>666.41399999999999</v>
      </c>
      <c r="J6" s="44">
        <f t="shared" si="4"/>
        <v>0.25999999999999995</v>
      </c>
    </row>
    <row r="7" spans="1:11" x14ac:dyDescent="0.25">
      <c r="A7" s="45" t="s">
        <v>14</v>
      </c>
      <c r="B7" s="46">
        <v>40606</v>
      </c>
      <c r="C7" s="47">
        <v>1</v>
      </c>
      <c r="D7" s="48">
        <v>68.5</v>
      </c>
      <c r="E7" s="48">
        <v>21.45</v>
      </c>
      <c r="F7" s="42">
        <f t="shared" si="2"/>
        <v>1469.325</v>
      </c>
      <c r="G7" s="43">
        <f t="shared" si="0"/>
        <v>317.90110000000004</v>
      </c>
      <c r="H7" s="43">
        <f t="shared" si="1"/>
        <v>58.773000000000003</v>
      </c>
      <c r="I7" s="43">
        <f t="shared" si="3"/>
        <v>1210.1968999999999</v>
      </c>
      <c r="J7" s="44">
        <f t="shared" si="4"/>
        <v>0.25635860003743222</v>
      </c>
    </row>
    <row r="8" spans="1:11" x14ac:dyDescent="0.25">
      <c r="A8" s="45" t="s">
        <v>15</v>
      </c>
      <c r="B8" s="46">
        <v>40193</v>
      </c>
      <c r="C8" s="47">
        <v>3</v>
      </c>
      <c r="D8" s="48">
        <v>78.25</v>
      </c>
      <c r="E8" s="48">
        <v>22.6</v>
      </c>
      <c r="F8" s="42">
        <f t="shared" si="2"/>
        <v>1768.45</v>
      </c>
      <c r="G8" s="43">
        <f t="shared" si="0"/>
        <v>373.00780000000003</v>
      </c>
      <c r="H8" s="43">
        <f t="shared" si="1"/>
        <v>70.738</v>
      </c>
      <c r="I8" s="43">
        <f t="shared" si="3"/>
        <v>1466.1802</v>
      </c>
      <c r="J8" s="44">
        <f t="shared" si="4"/>
        <v>0.25092357714382652</v>
      </c>
    </row>
    <row r="9" spans="1:11" x14ac:dyDescent="0.25">
      <c r="A9" s="45" t="s">
        <v>16</v>
      </c>
      <c r="B9" s="46">
        <v>39767</v>
      </c>
      <c r="C9" s="47">
        <v>2</v>
      </c>
      <c r="D9" s="48">
        <v>49.25</v>
      </c>
      <c r="E9" s="48">
        <v>18.25</v>
      </c>
      <c r="F9" s="42">
        <f t="shared" si="2"/>
        <v>898.8125</v>
      </c>
      <c r="G9" s="43">
        <f t="shared" si="0"/>
        <v>187.03795</v>
      </c>
      <c r="H9" s="43">
        <f t="shared" si="1"/>
        <v>35.952500000000001</v>
      </c>
      <c r="I9" s="43">
        <f t="shared" si="3"/>
        <v>747.72704999999996</v>
      </c>
      <c r="J9" s="44">
        <f t="shared" si="4"/>
        <v>0.24809451359432586</v>
      </c>
    </row>
    <row r="10" spans="1:11" x14ac:dyDescent="0.25">
      <c r="A10" s="45" t="s">
        <v>17</v>
      </c>
      <c r="B10" s="46">
        <v>39493</v>
      </c>
      <c r="C10" s="47">
        <v>0</v>
      </c>
      <c r="D10" s="48">
        <v>33.5</v>
      </c>
      <c r="E10" s="48">
        <v>9.35</v>
      </c>
      <c r="F10" s="42">
        <f t="shared" si="2"/>
        <v>313.22499999999997</v>
      </c>
      <c r="G10" s="43">
        <f t="shared" si="0"/>
        <v>68.909499999999994</v>
      </c>
      <c r="H10" s="43">
        <f t="shared" si="1"/>
        <v>12.528999999999998</v>
      </c>
      <c r="I10" s="43">
        <f t="shared" si="3"/>
        <v>256.84449999999998</v>
      </c>
      <c r="J10" s="44">
        <f t="shared" si="4"/>
        <v>0.26</v>
      </c>
    </row>
    <row r="11" spans="1:11" x14ac:dyDescent="0.25">
      <c r="A11" s="45" t="s">
        <v>18</v>
      </c>
      <c r="B11" s="46">
        <v>38848</v>
      </c>
      <c r="C11" s="47">
        <v>2</v>
      </c>
      <c r="D11" s="48">
        <v>79.25</v>
      </c>
      <c r="E11" s="48">
        <v>23.75</v>
      </c>
      <c r="F11" s="42">
        <f t="shared" si="2"/>
        <v>1882.1875</v>
      </c>
      <c r="G11" s="43">
        <f t="shared" si="0"/>
        <v>403.38045</v>
      </c>
      <c r="H11" s="43">
        <f t="shared" si="1"/>
        <v>75.287500000000009</v>
      </c>
      <c r="I11" s="43">
        <f t="shared" si="3"/>
        <v>1554.09455</v>
      </c>
      <c r="J11" s="44">
        <f t="shared" si="4"/>
        <v>0.25431470031545744</v>
      </c>
    </row>
    <row r="12" spans="1:11" ht="15.75" thickBot="1" x14ac:dyDescent="0.3">
      <c r="A12" s="45" t="s">
        <v>19</v>
      </c>
      <c r="B12" s="46">
        <v>40647</v>
      </c>
      <c r="C12" s="49">
        <v>1</v>
      </c>
      <c r="D12" s="50">
        <v>80</v>
      </c>
      <c r="E12" s="50">
        <v>19.649999999999999</v>
      </c>
      <c r="F12" s="51">
        <f t="shared" si="2"/>
        <v>1572</v>
      </c>
      <c r="G12" s="52">
        <f t="shared" si="0"/>
        <v>340.4896</v>
      </c>
      <c r="H12" s="52">
        <f t="shared" si="1"/>
        <v>62.88</v>
      </c>
      <c r="I12" s="52">
        <f t="shared" si="3"/>
        <v>1294.3904</v>
      </c>
      <c r="J12" s="53">
        <f t="shared" si="4"/>
        <v>0.25659643765903306</v>
      </c>
    </row>
    <row r="13" spans="1:11" ht="15.75" thickTop="1" x14ac:dyDescent="0.25">
      <c r="A13" s="10" t="s">
        <v>20</v>
      </c>
      <c r="B13" s="11"/>
      <c r="C13" s="12">
        <f>SUM(C4:C12)</f>
        <v>12</v>
      </c>
      <c r="D13" s="13">
        <f>SUM(D4:D12)</f>
        <v>598.5</v>
      </c>
      <c r="E13" s="13"/>
      <c r="F13" s="14">
        <f>SUM(F4:F12)</f>
        <v>12122.324999999999</v>
      </c>
      <c r="G13" s="14">
        <f>SUM(G4:G12)</f>
        <v>2602.7066999999997</v>
      </c>
      <c r="H13" s="14">
        <f>SUM(H4:H12)</f>
        <v>484.89300000000003</v>
      </c>
      <c r="I13" s="14">
        <f>SUM(I4:I12)</f>
        <v>10004.5113</v>
      </c>
      <c r="J13" s="15"/>
    </row>
    <row r="14" spans="1:11" x14ac:dyDescent="0.25">
      <c r="A14" s="22" t="s">
        <v>21</v>
      </c>
      <c r="B14" s="23"/>
      <c r="C14" s="24">
        <f>AVERAGE(C4,C12)</f>
        <v>1</v>
      </c>
      <c r="D14" s="25">
        <f t="shared" ref="D14:J14" si="5">AVERAGE(D4,D12)</f>
        <v>72.625</v>
      </c>
      <c r="E14" s="25">
        <f t="shared" si="5"/>
        <v>20.074999999999999</v>
      </c>
      <c r="F14" s="26">
        <f t="shared" si="5"/>
        <v>1454.8125</v>
      </c>
      <c r="G14" s="26">
        <f t="shared" si="5"/>
        <v>314.70835</v>
      </c>
      <c r="H14" s="26">
        <f t="shared" si="5"/>
        <v>58.192500000000003</v>
      </c>
      <c r="I14" s="26">
        <f t="shared" si="5"/>
        <v>1198.29665</v>
      </c>
      <c r="J14" s="27">
        <f t="shared" si="5"/>
        <v>0.25629825620920066</v>
      </c>
    </row>
    <row r="15" spans="1:11" x14ac:dyDescent="0.25">
      <c r="A15" s="22" t="s">
        <v>23</v>
      </c>
      <c r="B15" s="34">
        <f>MAX(B4:B12)</f>
        <v>40647</v>
      </c>
      <c r="C15" s="28">
        <f t="shared" ref="C15:J15" si="6">MAX(C4:C12)</f>
        <v>3</v>
      </c>
      <c r="D15" s="25">
        <f t="shared" si="6"/>
        <v>80</v>
      </c>
      <c r="E15" s="25">
        <f t="shared" si="6"/>
        <v>25.85</v>
      </c>
      <c r="F15" s="26">
        <f t="shared" si="6"/>
        <v>2068</v>
      </c>
      <c r="G15" s="26">
        <f t="shared" si="6"/>
        <v>444.25919999999996</v>
      </c>
      <c r="H15" s="26">
        <f t="shared" si="6"/>
        <v>82.72</v>
      </c>
      <c r="I15" s="26">
        <f t="shared" si="6"/>
        <v>1706.4608000000001</v>
      </c>
      <c r="J15" s="27">
        <f t="shared" si="6"/>
        <v>0.26</v>
      </c>
    </row>
    <row r="16" spans="1:11" ht="15.75" thickBot="1" x14ac:dyDescent="0.3">
      <c r="A16" s="29" t="s">
        <v>22</v>
      </c>
      <c r="B16" s="35">
        <f>MIN(B4:B12)</f>
        <v>38848</v>
      </c>
      <c r="C16" s="30">
        <f t="shared" ref="C16:J16" si="7">MIN(C4:C12)</f>
        <v>0</v>
      </c>
      <c r="D16" s="31">
        <f t="shared" si="7"/>
        <v>33.5</v>
      </c>
      <c r="E16" s="31">
        <f t="shared" si="7"/>
        <v>9.35</v>
      </c>
      <c r="F16" s="32">
        <f t="shared" si="7"/>
        <v>313.22499999999997</v>
      </c>
      <c r="G16" s="32">
        <f t="shared" si="7"/>
        <v>68.909499999999994</v>
      </c>
      <c r="H16" s="32">
        <f t="shared" si="7"/>
        <v>12.528999999999998</v>
      </c>
      <c r="I16" s="32">
        <f t="shared" si="7"/>
        <v>256.84449999999998</v>
      </c>
      <c r="J16" s="33">
        <f t="shared" si="7"/>
        <v>0.24809451359432586</v>
      </c>
    </row>
    <row r="18" spans="1:6" ht="15.75" thickBot="1" x14ac:dyDescent="0.3"/>
    <row r="19" spans="1:6" x14ac:dyDescent="0.25">
      <c r="A19" s="37" t="s">
        <v>41</v>
      </c>
      <c r="B19" s="120">
        <v>0.22</v>
      </c>
    </row>
    <row r="20" spans="1:6" x14ac:dyDescent="0.25">
      <c r="A20" s="10" t="s">
        <v>42</v>
      </c>
      <c r="B20" s="121">
        <v>24.32</v>
      </c>
    </row>
    <row r="21" spans="1:6" ht="15.75" thickBot="1" x14ac:dyDescent="0.3">
      <c r="A21" s="16" t="s">
        <v>43</v>
      </c>
      <c r="B21" s="122">
        <v>0.04</v>
      </c>
    </row>
    <row r="23" spans="1:6" x14ac:dyDescent="0.25">
      <c r="A23" s="162" t="s">
        <v>52</v>
      </c>
      <c r="B23" s="162"/>
      <c r="C23" s="162"/>
      <c r="D23" s="162"/>
      <c r="E23" s="162"/>
      <c r="F23" s="162"/>
    </row>
  </sheetData>
  <sheetProtection algorithmName="SHA-512" hashValue="5hsipgJZlEJFHeZuDLJxPeugBFhs2ZpyzWp7j6Rk3J3G2gi6V9mrCreHnVTpVlkmq48M7vzTn39oEmNNz0Qb2A==" saltValue="AixE1hqw6PUYUXxO02Hbbw==" spinCount="100000" sheet="1" objects="1" scenarios="1"/>
  <mergeCells count="2">
    <mergeCell ref="A1:J2"/>
    <mergeCell ref="A23:F23"/>
  </mergeCells>
  <conditionalFormatting sqref="D4:D12">
    <cfRule type="cellIs" dxfId="37" priority="1" operator="greaterThan">
      <formula>70</formula>
    </cfRule>
  </conditionalFormatting>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I25"/>
  <sheetViews>
    <sheetView zoomScale="95" zoomScaleNormal="95" workbookViewId="0">
      <selection activeCell="I7" sqref="I7"/>
    </sheetView>
  </sheetViews>
  <sheetFormatPr defaultRowHeight="15" x14ac:dyDescent="0.25"/>
  <cols>
    <col min="1" max="1" width="44.42578125" customWidth="1"/>
    <col min="2" max="2" width="14.7109375" customWidth="1"/>
    <col min="3" max="7" width="14.5703125" bestFit="1" customWidth="1"/>
    <col min="8" max="8" width="15.7109375" bestFit="1" customWidth="1"/>
    <col min="9" max="9" width="18.42578125" customWidth="1"/>
  </cols>
  <sheetData>
    <row r="1" spans="1:9" ht="15.75" x14ac:dyDescent="0.25">
      <c r="A1" s="82" t="s">
        <v>25</v>
      </c>
      <c r="B1" s="75"/>
    </row>
    <row r="2" spans="1:9" ht="15.75" x14ac:dyDescent="0.25">
      <c r="A2" s="78" t="s">
        <v>26</v>
      </c>
      <c r="B2" s="118">
        <v>200000</v>
      </c>
    </row>
    <row r="3" spans="1:9" ht="15.75" x14ac:dyDescent="0.25">
      <c r="A3" s="78" t="s">
        <v>27</v>
      </c>
      <c r="B3" s="119">
        <v>5.7500000000000002E-2</v>
      </c>
    </row>
    <row r="4" spans="1:9" ht="15.75" x14ac:dyDescent="0.25">
      <c r="A4" s="78" t="s">
        <v>28</v>
      </c>
      <c r="B4" s="119">
        <v>0.57499999999999996</v>
      </c>
    </row>
    <row r="5" spans="1:9" ht="15.75" x14ac:dyDescent="0.25">
      <c r="A5" s="78" t="s">
        <v>29</v>
      </c>
      <c r="B5" s="119">
        <v>0.15</v>
      </c>
    </row>
    <row r="6" spans="1:9" ht="15.75" x14ac:dyDescent="0.25">
      <c r="A6" s="78" t="s">
        <v>30</v>
      </c>
      <c r="B6" s="119">
        <v>7.4999999999999997E-2</v>
      </c>
    </row>
    <row r="7" spans="1:9" ht="15.75" x14ac:dyDescent="0.25">
      <c r="A7" s="78" t="s">
        <v>31</v>
      </c>
      <c r="B7" s="118">
        <v>3500000</v>
      </c>
    </row>
    <row r="8" spans="1:9" ht="15.75" x14ac:dyDescent="0.25">
      <c r="A8" s="78" t="s">
        <v>32</v>
      </c>
      <c r="B8" s="119">
        <v>0.1875</v>
      </c>
    </row>
    <row r="10" spans="1:9" ht="46.5" x14ac:dyDescent="0.7">
      <c r="A10" s="79" t="s">
        <v>33</v>
      </c>
      <c r="B10" s="80"/>
      <c r="C10" s="80"/>
      <c r="D10" s="56"/>
      <c r="E10" s="56"/>
      <c r="F10" s="56"/>
      <c r="G10" s="56"/>
      <c r="H10" s="56"/>
      <c r="I10" s="56"/>
    </row>
    <row r="11" spans="1:9" ht="23.25" x14ac:dyDescent="0.35">
      <c r="A11" s="81" t="s">
        <v>34</v>
      </c>
      <c r="B11" s="80"/>
      <c r="C11" s="80"/>
      <c r="D11" s="56"/>
      <c r="E11" s="56"/>
      <c r="F11" s="56"/>
      <c r="G11" s="56"/>
      <c r="H11" s="56"/>
      <c r="I11" s="59">
        <f ca="1">NOW()</f>
        <v>42605.473801967593</v>
      </c>
    </row>
    <row r="12" spans="1:9" ht="53.25" x14ac:dyDescent="0.25">
      <c r="A12" s="58"/>
      <c r="B12" s="77" t="s">
        <v>44</v>
      </c>
      <c r="C12" s="77" t="s">
        <v>45</v>
      </c>
      <c r="D12" s="77" t="s">
        <v>46</v>
      </c>
      <c r="E12" s="77" t="s">
        <v>47</v>
      </c>
      <c r="F12" s="77" t="s">
        <v>48</v>
      </c>
      <c r="G12" s="77" t="s">
        <v>49</v>
      </c>
      <c r="H12" s="77" t="s">
        <v>50</v>
      </c>
      <c r="I12" s="77" t="s">
        <v>51</v>
      </c>
    </row>
    <row r="13" spans="1:9" ht="15.75" x14ac:dyDescent="0.25">
      <c r="A13" s="71" t="s">
        <v>35</v>
      </c>
      <c r="B13" s="66">
        <v>3113612.16</v>
      </c>
      <c r="C13" s="66">
        <v>7962235.5300000003</v>
      </c>
      <c r="D13" s="66">
        <v>5112268.58</v>
      </c>
      <c r="E13" s="66">
        <v>2924627.87</v>
      </c>
      <c r="F13" s="66">
        <v>7630534.6500000004</v>
      </c>
      <c r="G13" s="66">
        <v>3424270.23</v>
      </c>
      <c r="H13" s="66">
        <f>SUM(B13:G13)</f>
        <v>30167549.02</v>
      </c>
      <c r="I13" s="64"/>
    </row>
    <row r="14" spans="1:9" ht="15.75" x14ac:dyDescent="0.25">
      <c r="A14" s="72" t="s">
        <v>36</v>
      </c>
      <c r="B14" s="60">
        <f>B$13*(1-$B$4)</f>
        <v>1323285.1680000003</v>
      </c>
      <c r="C14" s="60">
        <f t="shared" ref="C14:G14" si="0">C$13*(1-$B$4)</f>
        <v>3383950.1002500006</v>
      </c>
      <c r="D14" s="60">
        <f t="shared" si="0"/>
        <v>2172714.1465000003</v>
      </c>
      <c r="E14" s="60">
        <f t="shared" si="0"/>
        <v>1242966.8447500002</v>
      </c>
      <c r="F14" s="60">
        <f t="shared" si="0"/>
        <v>3242977.2262500003</v>
      </c>
      <c r="G14" s="60">
        <f t="shared" si="0"/>
        <v>1455314.8477500002</v>
      </c>
      <c r="H14" s="60">
        <f>SUM(B14:G14)</f>
        <v>12821208.333500002</v>
      </c>
      <c r="I14" s="58"/>
    </row>
    <row r="15" spans="1:9" ht="16.5" thickBot="1" x14ac:dyDescent="0.3">
      <c r="A15" s="69" t="s">
        <v>37</v>
      </c>
      <c r="B15" s="70">
        <f>B$13-B$14</f>
        <v>1790326.9919999999</v>
      </c>
      <c r="C15" s="70">
        <f t="shared" ref="C15:G15" si="1">C$13-C$14</f>
        <v>4578285.4297499992</v>
      </c>
      <c r="D15" s="70">
        <f t="shared" si="1"/>
        <v>2939554.4334999998</v>
      </c>
      <c r="E15" s="70">
        <f t="shared" si="1"/>
        <v>1681661.0252499999</v>
      </c>
      <c r="F15" s="70">
        <f t="shared" si="1"/>
        <v>4387557.4237500001</v>
      </c>
      <c r="G15" s="70">
        <f t="shared" si="1"/>
        <v>1968955.3822499998</v>
      </c>
      <c r="H15" s="70">
        <f>SUM(B15:G15)</f>
        <v>17346340.686499998</v>
      </c>
      <c r="I15" s="65"/>
    </row>
    <row r="16" spans="1:9" ht="16.5" thickTop="1" x14ac:dyDescent="0.25">
      <c r="A16" s="73"/>
      <c r="B16" s="58"/>
      <c r="C16" s="58"/>
      <c r="D16" s="58"/>
      <c r="E16" s="58"/>
      <c r="F16" s="58"/>
      <c r="G16" s="58"/>
      <c r="H16" s="58"/>
      <c r="I16" s="58"/>
    </row>
    <row r="17" spans="1:9" ht="15.75" x14ac:dyDescent="0.25">
      <c r="A17" s="73" t="s">
        <v>38</v>
      </c>
      <c r="B17" s="58"/>
      <c r="C17" s="58"/>
      <c r="D17" s="58"/>
      <c r="E17" s="58"/>
      <c r="F17" s="58"/>
      <c r="G17" s="58"/>
      <c r="H17" s="58"/>
      <c r="I17" s="58"/>
    </row>
    <row r="18" spans="1:9" ht="15.75" x14ac:dyDescent="0.25">
      <c r="A18" s="72" t="s">
        <v>26</v>
      </c>
      <c r="B18" s="67">
        <f>IF(B$13&gt;=$B$7,$B$2,0)</f>
        <v>0</v>
      </c>
      <c r="C18" s="67">
        <f t="shared" ref="C18:G18" si="2">IF(C$13&gt;=$B$7,$B$2,0)</f>
        <v>200000</v>
      </c>
      <c r="D18" s="67">
        <f t="shared" si="2"/>
        <v>200000</v>
      </c>
      <c r="E18" s="67">
        <f t="shared" si="2"/>
        <v>0</v>
      </c>
      <c r="F18" s="67">
        <f t="shared" si="2"/>
        <v>200000</v>
      </c>
      <c r="G18" s="67">
        <f t="shared" si="2"/>
        <v>0</v>
      </c>
      <c r="H18" s="68">
        <f t="shared" ref="H18:H23" si="3">SUM(B18:G18)</f>
        <v>600000</v>
      </c>
      <c r="I18" s="83"/>
    </row>
    <row r="19" spans="1:9" ht="15.75" x14ac:dyDescent="0.25">
      <c r="A19" s="72" t="s">
        <v>27</v>
      </c>
      <c r="B19" s="61">
        <f>B$13*$B$3</f>
        <v>179032.6992</v>
      </c>
      <c r="C19" s="61">
        <f t="shared" ref="C19:G19" si="4">C$13*$B$3</f>
        <v>457828.54297500005</v>
      </c>
      <c r="D19" s="61">
        <f t="shared" si="4"/>
        <v>293955.44335000002</v>
      </c>
      <c r="E19" s="61">
        <f t="shared" si="4"/>
        <v>168166.10252500002</v>
      </c>
      <c r="F19" s="61">
        <f t="shared" si="4"/>
        <v>438755.74237500003</v>
      </c>
      <c r="G19" s="61">
        <f t="shared" si="4"/>
        <v>196895.538225</v>
      </c>
      <c r="H19" s="60">
        <f t="shared" si="3"/>
        <v>1734634.06865</v>
      </c>
      <c r="I19" s="83"/>
    </row>
    <row r="20" spans="1:9" ht="15.75" x14ac:dyDescent="0.25">
      <c r="A20" s="72" t="s">
        <v>29</v>
      </c>
      <c r="B20" s="61">
        <f>B$13*$B$5</f>
        <v>467041.82400000002</v>
      </c>
      <c r="C20" s="61">
        <f t="shared" ref="C20:G20" si="5">C$13*$B$5</f>
        <v>1194335.3295</v>
      </c>
      <c r="D20" s="61">
        <f t="shared" si="5"/>
        <v>766840.28700000001</v>
      </c>
      <c r="E20" s="61">
        <f t="shared" si="5"/>
        <v>438694.18050000002</v>
      </c>
      <c r="F20" s="61">
        <f t="shared" si="5"/>
        <v>1144580.1975</v>
      </c>
      <c r="G20" s="61">
        <f t="shared" si="5"/>
        <v>513640.53449999995</v>
      </c>
      <c r="H20" s="60">
        <f t="shared" si="3"/>
        <v>4525132.3530000001</v>
      </c>
      <c r="I20" s="83"/>
    </row>
    <row r="21" spans="1:9" ht="15.75" x14ac:dyDescent="0.25">
      <c r="A21" s="72" t="s">
        <v>30</v>
      </c>
      <c r="B21" s="61">
        <f>B$13*$B$6</f>
        <v>233520.91200000001</v>
      </c>
      <c r="C21" s="61">
        <f t="shared" ref="C21:G21" si="6">C$13*$B$6</f>
        <v>597167.66475</v>
      </c>
      <c r="D21" s="61">
        <f t="shared" si="6"/>
        <v>383420.14350000001</v>
      </c>
      <c r="E21" s="61">
        <f t="shared" si="6"/>
        <v>219347.09025000001</v>
      </c>
      <c r="F21" s="61">
        <f t="shared" si="6"/>
        <v>572290.09875</v>
      </c>
      <c r="G21" s="61">
        <f t="shared" si="6"/>
        <v>256820.26724999998</v>
      </c>
      <c r="H21" s="60">
        <f t="shared" si="3"/>
        <v>2262566.1765000001</v>
      </c>
      <c r="I21" s="83"/>
    </row>
    <row r="22" spans="1:9" ht="15.75" x14ac:dyDescent="0.25">
      <c r="A22" s="72" t="s">
        <v>32</v>
      </c>
      <c r="B22" s="63">
        <f>B$13*$B$8</f>
        <v>583802.28</v>
      </c>
      <c r="C22" s="63">
        <f t="shared" ref="C22:G22" si="7">C$13*$B$8</f>
        <v>1492919.161875</v>
      </c>
      <c r="D22" s="63">
        <f t="shared" si="7"/>
        <v>958550.35875000001</v>
      </c>
      <c r="E22" s="63">
        <f t="shared" si="7"/>
        <v>548367.72562499996</v>
      </c>
      <c r="F22" s="63">
        <f t="shared" si="7"/>
        <v>1430725.2468750002</v>
      </c>
      <c r="G22" s="63">
        <f t="shared" si="7"/>
        <v>642050.66812499997</v>
      </c>
      <c r="H22" s="62">
        <f t="shared" si="3"/>
        <v>5656415.4412500001</v>
      </c>
      <c r="I22" s="83"/>
    </row>
    <row r="23" spans="1:9" ht="16.5" thickBot="1" x14ac:dyDescent="0.3">
      <c r="A23" s="74" t="s">
        <v>39</v>
      </c>
      <c r="B23" s="70">
        <f t="shared" ref="B23:G23" si="8">SUM(B18:B22)</f>
        <v>1463397.7152</v>
      </c>
      <c r="C23" s="70">
        <f t="shared" si="8"/>
        <v>3942250.6990999999</v>
      </c>
      <c r="D23" s="70">
        <f t="shared" si="8"/>
        <v>2602766.2326000002</v>
      </c>
      <c r="E23" s="70">
        <f t="shared" si="8"/>
        <v>1374575.0989000001</v>
      </c>
      <c r="F23" s="70">
        <f t="shared" si="8"/>
        <v>3786351.2855000002</v>
      </c>
      <c r="G23" s="70">
        <f t="shared" si="8"/>
        <v>1609407.0080999997</v>
      </c>
      <c r="H23" s="70">
        <f t="shared" si="3"/>
        <v>14778748.0394</v>
      </c>
      <c r="I23" s="84"/>
    </row>
    <row r="24" spans="1:9" ht="16.5" thickTop="1" x14ac:dyDescent="0.25">
      <c r="A24" s="73"/>
      <c r="B24" s="58"/>
      <c r="C24" s="58"/>
      <c r="D24" s="58"/>
      <c r="E24" s="58"/>
      <c r="F24" s="58"/>
      <c r="G24" s="58"/>
      <c r="H24" s="58"/>
      <c r="I24" s="58"/>
    </row>
    <row r="25" spans="1:9" ht="15.75" x14ac:dyDescent="0.25">
      <c r="A25" s="75" t="s">
        <v>40</v>
      </c>
      <c r="B25" s="76">
        <f>B$15-B$23</f>
        <v>326929.27679999988</v>
      </c>
      <c r="C25" s="76">
        <f t="shared" ref="C25:H25" si="9">C$15-C$23</f>
        <v>636034.73064999934</v>
      </c>
      <c r="D25" s="76">
        <f t="shared" si="9"/>
        <v>336788.20089999959</v>
      </c>
      <c r="E25" s="76">
        <f t="shared" si="9"/>
        <v>307085.92634999985</v>
      </c>
      <c r="F25" s="76">
        <f t="shared" si="9"/>
        <v>601206.13824999984</v>
      </c>
      <c r="G25" s="76">
        <f t="shared" si="9"/>
        <v>359548.37415000005</v>
      </c>
      <c r="H25" s="76">
        <f t="shared" si="9"/>
        <v>2567592.6470999978</v>
      </c>
      <c r="I25" s="57"/>
    </row>
  </sheetData>
  <sheetProtection algorithmName="SHA-512" hashValue="GB/RzSlJu/87sQ+iAv4UcNT0BRPoxn+lMgKNW8QkwXNqjpUFLC/suPWSa0D0ch2eR4fIf7raeHkiB6/2Qqxdag==" saltValue="EWylUFNuvEmt82XhMAd4BQ==" spinCount="100000" sheet="1" objects="1" scenarios="1"/>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'E2- What If Assumption Table'!B15:G15</xm:f>
              <xm:sqref>I15</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'E2- What If Assumption Table'!B22:G22</xm:f>
              <xm:sqref>I23</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'E2- What If Assumption Table'!B22:G22</xm:f>
              <xm:sqref>I22</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'E2- What If Assumption Table'!B21:G21</xm:f>
              <xm:sqref>I21</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'E2- What If Assumption Table'!B20:G20</xm:f>
              <xm:sqref>I20</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'E2- What If Assumption Table'!B19:G19</xm:f>
              <xm:sqref>I19</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'E2- What If Assumption Table'!B14:G14</xm:f>
              <xm:sqref>I14</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'E2- What If Assumption Table'!B18:G18</xm:f>
              <xm:sqref>I18</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'E2- What If Assumption Table'!B13:G13</xm:f>
              <xm:sqref>I13</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K28"/>
  <sheetViews>
    <sheetView workbookViewId="0">
      <selection activeCell="L27" sqref="L27"/>
    </sheetView>
  </sheetViews>
  <sheetFormatPr defaultRowHeight="15" x14ac:dyDescent="0.25"/>
  <cols>
    <col min="1" max="1" width="2.42578125" customWidth="1"/>
    <col min="2" max="2" width="13" customWidth="1"/>
    <col min="3" max="3" width="17.7109375" customWidth="1"/>
    <col min="4" max="4" width="17" bestFit="1" customWidth="1"/>
    <col min="5" max="5" width="11.5703125" bestFit="1" customWidth="1"/>
    <col min="8" max="8" width="17.85546875" bestFit="1" customWidth="1"/>
    <col min="9" max="9" width="14.42578125" bestFit="1" customWidth="1"/>
    <col min="10" max="10" width="16.28515625" bestFit="1" customWidth="1"/>
    <col min="11" max="11" width="13.5703125" bestFit="1" customWidth="1"/>
  </cols>
  <sheetData>
    <row r="1" spans="2:11" ht="20.25" thickBot="1" x14ac:dyDescent="0.35">
      <c r="B1" s="163" t="s">
        <v>53</v>
      </c>
      <c r="C1" s="164"/>
      <c r="D1" s="164"/>
      <c r="E1" s="165"/>
      <c r="G1" s="169" t="s">
        <v>64</v>
      </c>
      <c r="H1" s="170"/>
      <c r="I1" s="170"/>
      <c r="J1" s="170"/>
      <c r="K1" s="171"/>
    </row>
    <row r="2" spans="2:11" ht="30" x14ac:dyDescent="0.25">
      <c r="B2" s="8" t="s">
        <v>54</v>
      </c>
      <c r="C2" s="85">
        <f ca="1">NOW()</f>
        <v>42605.473801967593</v>
      </c>
      <c r="D2" s="6" t="s">
        <v>57</v>
      </c>
      <c r="E2" s="116">
        <v>4.4999999999999998E-2</v>
      </c>
      <c r="G2" s="104" t="s">
        <v>65</v>
      </c>
      <c r="H2" s="105" t="s">
        <v>68</v>
      </c>
      <c r="I2" s="105" t="s">
        <v>69</v>
      </c>
      <c r="J2" s="105" t="s">
        <v>70</v>
      </c>
      <c r="K2" s="106" t="s">
        <v>71</v>
      </c>
    </row>
    <row r="3" spans="2:11" x14ac:dyDescent="0.25">
      <c r="B3" s="8" t="s">
        <v>61</v>
      </c>
      <c r="C3" s="113" t="s">
        <v>67</v>
      </c>
      <c r="D3" s="6" t="s">
        <v>58</v>
      </c>
      <c r="E3" s="117">
        <v>18</v>
      </c>
      <c r="G3" s="4">
        <v>1</v>
      </c>
      <c r="H3" s="92">
        <f>Loan_Amount</f>
        <v>242600</v>
      </c>
      <c r="I3" s="101">
        <f t="shared" ref="I3:I20" si="0">IF(G3&lt;=Years,PV(Rate/12,12*(Years-G3),-Monthly_Payment),0)</f>
        <v>233644.63142740002</v>
      </c>
      <c r="J3" s="101">
        <f>H3-I3</f>
        <v>8955.3685725999821</v>
      </c>
      <c r="K3" s="102">
        <f t="shared" ref="K3:K20" si="1">IF(H3&gt;0,12*Monthly_Payment-J3,0)</f>
        <v>10733.793389505663</v>
      </c>
    </row>
    <row r="4" spans="2:11" x14ac:dyDescent="0.25">
      <c r="B4" s="8" t="s">
        <v>55</v>
      </c>
      <c r="C4" s="114">
        <v>305600</v>
      </c>
      <c r="D4" s="6" t="s">
        <v>59</v>
      </c>
      <c r="E4" s="93">
        <f>-PMT(Rate/12,12*Years,Loan_Amount)</f>
        <v>1640.7634968421371</v>
      </c>
      <c r="G4" s="4">
        <v>2</v>
      </c>
      <c r="H4" s="103">
        <f>$I3</f>
        <v>233644.63142740002</v>
      </c>
      <c r="I4" s="101">
        <f t="shared" si="0"/>
        <v>224277.85478940411</v>
      </c>
      <c r="J4" s="101">
        <f t="shared" ref="J4:J20" si="2">H4-I4</f>
        <v>9366.7766379959066</v>
      </c>
      <c r="K4" s="102">
        <f t="shared" si="1"/>
        <v>10322.385324109739</v>
      </c>
    </row>
    <row r="5" spans="2:11" x14ac:dyDescent="0.25">
      <c r="B5" s="8" t="s">
        <v>66</v>
      </c>
      <c r="C5" s="114">
        <v>63000</v>
      </c>
      <c r="D5" s="6" t="s">
        <v>60</v>
      </c>
      <c r="E5" s="93">
        <f>12*Years*Monthly_Payment-Loan_Amount</f>
        <v>111804.91531790164</v>
      </c>
      <c r="G5" s="4">
        <v>3</v>
      </c>
      <c r="H5" s="103">
        <f t="shared" ref="H5:H20" si="3">$I4</f>
        <v>224277.85478940411</v>
      </c>
      <c r="I5" s="101">
        <f t="shared" si="0"/>
        <v>214480.77007146442</v>
      </c>
      <c r="J5" s="101">
        <f t="shared" si="2"/>
        <v>9797.0847179396951</v>
      </c>
      <c r="K5" s="102">
        <f t="shared" si="1"/>
        <v>9892.0772441659501</v>
      </c>
    </row>
    <row r="6" spans="2:11" ht="15.75" thickBot="1" x14ac:dyDescent="0.3">
      <c r="B6" s="95" t="s">
        <v>56</v>
      </c>
      <c r="C6" s="115">
        <f>Price-Down_Pymt</f>
        <v>242600</v>
      </c>
      <c r="D6" s="9" t="s">
        <v>62</v>
      </c>
      <c r="E6" s="94">
        <f>Price+Total_Interest</f>
        <v>417404.91531790164</v>
      </c>
      <c r="G6" s="4">
        <v>4</v>
      </c>
      <c r="H6" s="103">
        <f t="shared" si="3"/>
        <v>214480.77007146442</v>
      </c>
      <c r="I6" s="101">
        <f t="shared" si="0"/>
        <v>204233.60899567479</v>
      </c>
      <c r="J6" s="101">
        <f t="shared" si="2"/>
        <v>10247.161075789627</v>
      </c>
      <c r="K6" s="102">
        <f t="shared" si="1"/>
        <v>9442.0008863160183</v>
      </c>
    </row>
    <row r="7" spans="2:11" ht="20.25" thickBot="1" x14ac:dyDescent="0.35">
      <c r="B7" s="166" t="s">
        <v>63</v>
      </c>
      <c r="C7" s="167"/>
      <c r="D7" s="167"/>
      <c r="E7" s="168"/>
      <c r="G7" s="4">
        <v>5</v>
      </c>
      <c r="H7" s="103">
        <f t="shared" si="3"/>
        <v>204233.60899567479</v>
      </c>
      <c r="I7" s="101">
        <f t="shared" si="0"/>
        <v>193515.69513290064</v>
      </c>
      <c r="J7" s="101">
        <f t="shared" si="2"/>
        <v>10717.913862774149</v>
      </c>
      <c r="K7" s="102">
        <f t="shared" si="1"/>
        <v>8971.2480993314966</v>
      </c>
    </row>
    <row r="8" spans="2:11" ht="15.75" thickTop="1" x14ac:dyDescent="0.25">
      <c r="B8" s="97" t="s">
        <v>57</v>
      </c>
      <c r="C8" s="7" t="s">
        <v>59</v>
      </c>
      <c r="D8" s="7" t="s">
        <v>60</v>
      </c>
      <c r="E8" s="98" t="s">
        <v>62</v>
      </c>
      <c r="G8" s="4">
        <v>6</v>
      </c>
      <c r="H8" s="103">
        <f t="shared" si="3"/>
        <v>193515.69513290064</v>
      </c>
      <c r="I8" s="101">
        <f t="shared" si="0"/>
        <v>182305.40218247048</v>
      </c>
      <c r="J8" s="101">
        <f t="shared" si="2"/>
        <v>11210.292950430157</v>
      </c>
      <c r="K8" s="102">
        <f t="shared" si="1"/>
        <v>8478.8690116754879</v>
      </c>
    </row>
    <row r="9" spans="2:11" x14ac:dyDescent="0.25">
      <c r="B9" s="4"/>
      <c r="C9" s="86">
        <f>Monthly_Payment</f>
        <v>1640.7634968421371</v>
      </c>
      <c r="D9" s="86">
        <f>Total_Interest</f>
        <v>111804.91531790164</v>
      </c>
      <c r="E9" s="87">
        <f>Total_Cost</f>
        <v>417404.91531790164</v>
      </c>
      <c r="G9" s="4">
        <v>7</v>
      </c>
      <c r="H9" s="103">
        <f t="shared" si="3"/>
        <v>182305.40218247048</v>
      </c>
      <c r="I9" s="101">
        <f t="shared" si="0"/>
        <v>170580.11033524381</v>
      </c>
      <c r="J9" s="101">
        <f t="shared" si="2"/>
        <v>11725.291847226676</v>
      </c>
      <c r="K9" s="102">
        <f t="shared" si="1"/>
        <v>7963.8701148789696</v>
      </c>
    </row>
    <row r="10" spans="2:11" x14ac:dyDescent="0.25">
      <c r="B10" s="99">
        <v>0.04</v>
      </c>
      <c r="C10" s="55">
        <f t="dataTable" ref="C10:E23" dt2D="0" dtr="0" r1="E2"/>
        <v>1577.3796105447373</v>
      </c>
      <c r="D10" s="55">
        <v>98113.995877663256</v>
      </c>
      <c r="E10" s="90">
        <v>403713.99587766326</v>
      </c>
      <c r="G10" s="4">
        <v>8</v>
      </c>
      <c r="H10" s="103">
        <f t="shared" si="3"/>
        <v>170580.11033524381</v>
      </c>
      <c r="I10" s="101">
        <f t="shared" si="0"/>
        <v>158316.16063200575</v>
      </c>
      <c r="J10" s="101">
        <f t="shared" si="2"/>
        <v>12263.94970323806</v>
      </c>
      <c r="K10" s="102">
        <f t="shared" si="1"/>
        <v>7425.2122588675848</v>
      </c>
    </row>
    <row r="11" spans="2:11" x14ac:dyDescent="0.25">
      <c r="B11" s="99">
        <v>4.2500000000000003E-2</v>
      </c>
      <c r="C11" s="55">
        <v>1608.8936563909017</v>
      </c>
      <c r="D11" s="55">
        <v>104921.02978043479</v>
      </c>
      <c r="E11" s="90">
        <v>410521.02978043479</v>
      </c>
      <c r="G11" s="4">
        <v>9</v>
      </c>
      <c r="H11" s="103">
        <f t="shared" si="3"/>
        <v>158316.16063200575</v>
      </c>
      <c r="I11" s="101">
        <f t="shared" si="0"/>
        <v>145488.80722509429</v>
      </c>
      <c r="J11" s="101">
        <f t="shared" si="2"/>
        <v>12827.353406911454</v>
      </c>
      <c r="K11" s="102">
        <f t="shared" si="1"/>
        <v>6861.8085551941913</v>
      </c>
    </row>
    <row r="12" spans="2:11" x14ac:dyDescent="0.25">
      <c r="B12" s="99">
        <v>4.4999999999999998E-2</v>
      </c>
      <c r="C12" s="55">
        <v>1640.7634968421371</v>
      </c>
      <c r="D12" s="55">
        <v>111804.91531790164</v>
      </c>
      <c r="E12" s="90">
        <v>417404.91531790164</v>
      </c>
      <c r="G12" s="4">
        <v>10</v>
      </c>
      <c r="H12" s="103">
        <f t="shared" si="3"/>
        <v>145488.80722509429</v>
      </c>
      <c r="I12" s="101">
        <f t="shared" si="0"/>
        <v>132072.16744693555</v>
      </c>
      <c r="J12" s="101">
        <f t="shared" si="2"/>
        <v>13416.639778158744</v>
      </c>
      <c r="K12" s="102">
        <f t="shared" si="1"/>
        <v>6272.5221839469014</v>
      </c>
    </row>
    <row r="13" spans="2:11" x14ac:dyDescent="0.25">
      <c r="B13" s="99">
        <v>4.7500000000000001E-2</v>
      </c>
      <c r="C13" s="55">
        <v>1672.9865518798103</v>
      </c>
      <c r="D13" s="55">
        <v>118765.09520603903</v>
      </c>
      <c r="E13" s="90">
        <v>424365.09520603903</v>
      </c>
      <c r="G13" s="4">
        <v>11</v>
      </c>
      <c r="H13" s="103">
        <f t="shared" si="3"/>
        <v>132072.16744693555</v>
      </c>
      <c r="I13" s="101">
        <f t="shared" si="0"/>
        <v>118039.16958473554</v>
      </c>
      <c r="J13" s="101">
        <f t="shared" si="2"/>
        <v>14032.997862200005</v>
      </c>
      <c r="K13" s="102">
        <f t="shared" si="1"/>
        <v>5656.1640999056399</v>
      </c>
    </row>
    <row r="14" spans="2:11" x14ac:dyDescent="0.25">
      <c r="B14" s="99">
        <v>0.05</v>
      </c>
      <c r="C14" s="55">
        <v>1705.5601249464255</v>
      </c>
      <c r="D14" s="55">
        <v>125800.98698842793</v>
      </c>
      <c r="E14" s="90">
        <v>431400.98698842793</v>
      </c>
      <c r="G14" s="4">
        <v>12</v>
      </c>
      <c r="H14" s="103">
        <f t="shared" si="3"/>
        <v>118039.16958473554</v>
      </c>
      <c r="I14" s="101">
        <f t="shared" si="0"/>
        <v>103361.49825595113</v>
      </c>
      <c r="J14" s="101">
        <f t="shared" si="2"/>
        <v>14677.671328784418</v>
      </c>
      <c r="K14" s="102">
        <f t="shared" si="1"/>
        <v>5011.4906333212275</v>
      </c>
    </row>
    <row r="15" spans="2:11" x14ac:dyDescent="0.25">
      <c r="B15" s="99">
        <v>5.2499999999999998E-2</v>
      </c>
      <c r="C15" s="55">
        <v>1738.4814065525375</v>
      </c>
      <c r="D15" s="55">
        <v>132911.98381534807</v>
      </c>
      <c r="E15" s="90">
        <v>438511.98381534807</v>
      </c>
      <c r="G15" s="4">
        <v>13</v>
      </c>
      <c r="H15" s="103">
        <f t="shared" si="3"/>
        <v>103361.49825595113</v>
      </c>
      <c r="I15" s="101">
        <f t="shared" si="0"/>
        <v>88009.537274319111</v>
      </c>
      <c r="J15" s="101">
        <f t="shared" si="2"/>
        <v>15351.960981632015</v>
      </c>
      <c r="K15" s="102">
        <f t="shared" si="1"/>
        <v>4337.2009804736299</v>
      </c>
    </row>
    <row r="16" spans="2:11" x14ac:dyDescent="0.25">
      <c r="B16" s="99">
        <v>5.5E-2</v>
      </c>
      <c r="C16" s="55">
        <v>1771.7474779953229</v>
      </c>
      <c r="D16" s="55">
        <v>140097.45524698973</v>
      </c>
      <c r="E16" s="90">
        <v>445697.45524698973</v>
      </c>
      <c r="G16" s="4">
        <v>14</v>
      </c>
      <c r="H16" s="103">
        <f t="shared" si="3"/>
        <v>88009.537274319111</v>
      </c>
      <c r="I16" s="101">
        <f t="shared" si="0"/>
        <v>71952.309891160825</v>
      </c>
      <c r="J16" s="101">
        <f t="shared" si="2"/>
        <v>16057.227383158286</v>
      </c>
      <c r="K16" s="102">
        <f t="shared" si="1"/>
        <v>3631.9345789473591</v>
      </c>
    </row>
    <row r="17" spans="2:11" x14ac:dyDescent="0.25">
      <c r="B17" s="99">
        <v>5.7500000000000002E-2</v>
      </c>
      <c r="C17" s="55">
        <v>1805.355315179539</v>
      </c>
      <c r="D17" s="55">
        <v>147356.74807878042</v>
      </c>
      <c r="E17" s="90">
        <v>452956.74807878042</v>
      </c>
      <c r="G17" s="4">
        <v>15</v>
      </c>
      <c r="H17" s="103">
        <f t="shared" si="3"/>
        <v>71952.309891160825</v>
      </c>
      <c r="I17" s="101">
        <f t="shared" si="0"/>
        <v>55157.416291383401</v>
      </c>
      <c r="J17" s="101">
        <f t="shared" si="2"/>
        <v>16794.893599777424</v>
      </c>
      <c r="K17" s="102">
        <f t="shared" si="1"/>
        <v>2894.268362328221</v>
      </c>
    </row>
    <row r="18" spans="2:11" x14ac:dyDescent="0.25">
      <c r="B18" s="99">
        <v>0.06</v>
      </c>
      <c r="C18" s="55">
        <v>1839.3017925314916</v>
      </c>
      <c r="D18" s="55">
        <v>154689.18718680221</v>
      </c>
      <c r="E18" s="90">
        <v>460289.18718680221</v>
      </c>
      <c r="G18" s="4">
        <v>16</v>
      </c>
      <c r="H18" s="103">
        <f t="shared" si="3"/>
        <v>55157.416291383401</v>
      </c>
      <c r="I18" s="101">
        <f t="shared" si="0"/>
        <v>37590.968218056849</v>
      </c>
      <c r="J18" s="101">
        <f t="shared" si="2"/>
        <v>17566.448073326552</v>
      </c>
      <c r="K18" s="102">
        <f t="shared" si="1"/>
        <v>2122.7138887790934</v>
      </c>
    </row>
    <row r="19" spans="2:11" x14ac:dyDescent="0.25">
      <c r="B19" s="99">
        <v>6.25E-2</v>
      </c>
      <c r="C19" s="55">
        <v>1873.5836869965399</v>
      </c>
      <c r="D19" s="55">
        <v>162094.07639125263</v>
      </c>
      <c r="E19" s="90">
        <v>467694.07639125263</v>
      </c>
      <c r="G19" s="4">
        <v>17</v>
      </c>
      <c r="H19" s="103">
        <f t="shared" si="3"/>
        <v>37590.968218056849</v>
      </c>
      <c r="I19" s="101">
        <f t="shared" si="0"/>
        <v>19217.520593657126</v>
      </c>
      <c r="J19" s="101">
        <f t="shared" si="2"/>
        <v>18373.447624399723</v>
      </c>
      <c r="K19" s="102">
        <f t="shared" si="1"/>
        <v>1315.7143377059219</v>
      </c>
    </row>
    <row r="20" spans="2:11" ht="15.75" thickBot="1" x14ac:dyDescent="0.3">
      <c r="B20" s="99">
        <v>6.5000000000000002E-2</v>
      </c>
      <c r="C20" s="55">
        <v>1908.1976821106275</v>
      </c>
      <c r="D20" s="55">
        <v>169570.69933589554</v>
      </c>
      <c r="E20" s="90">
        <v>475170.69933589554</v>
      </c>
      <c r="G20" s="36">
        <v>18</v>
      </c>
      <c r="H20" s="107">
        <f t="shared" si="3"/>
        <v>19217.520593657126</v>
      </c>
      <c r="I20" s="108">
        <f t="shared" si="0"/>
        <v>0</v>
      </c>
      <c r="J20" s="108">
        <f t="shared" si="2"/>
        <v>19217.520593657126</v>
      </c>
      <c r="K20" s="109">
        <f t="shared" si="1"/>
        <v>471.64136844851964</v>
      </c>
    </row>
    <row r="21" spans="2:11" x14ac:dyDescent="0.25">
      <c r="B21" s="99">
        <v>6.7500000000000004E-2</v>
      </c>
      <c r="C21" s="55">
        <v>1943.1403721363276</v>
      </c>
      <c r="D21" s="55">
        <v>177118.32038144674</v>
      </c>
      <c r="E21" s="90">
        <v>482718.32038144674</v>
      </c>
      <c r="G21" s="4"/>
      <c r="H21" s="3"/>
      <c r="I21" s="110" t="s">
        <v>72</v>
      </c>
      <c r="J21" s="111">
        <f>SUM(J3:J20)</f>
        <v>242600.00000000003</v>
      </c>
      <c r="K21" s="112">
        <f>SUM(K3:K20)</f>
        <v>111804.91531790161</v>
      </c>
    </row>
    <row r="22" spans="2:11" x14ac:dyDescent="0.25">
      <c r="B22" s="99">
        <v>7.0000000000000007E-2</v>
      </c>
      <c r="C22" s="55">
        <v>1978.4082662538817</v>
      </c>
      <c r="D22" s="55">
        <v>184736.18551083846</v>
      </c>
      <c r="E22" s="90">
        <v>490336.18551083846</v>
      </c>
      <c r="G22" s="4"/>
      <c r="H22" s="3"/>
      <c r="I22" s="8" t="s">
        <v>66</v>
      </c>
      <c r="J22" s="3"/>
      <c r="K22" s="87">
        <f>Down_Pymt</f>
        <v>63000</v>
      </c>
    </row>
    <row r="23" spans="2:11" ht="15.75" thickBot="1" x14ac:dyDescent="0.3">
      <c r="B23" s="100">
        <v>7.2499999999999995E-2</v>
      </c>
      <c r="C23" s="89">
        <v>2013.9977927978089</v>
      </c>
      <c r="D23" s="89">
        <v>192423.5232443267</v>
      </c>
      <c r="E23" s="91">
        <v>498023.5232443267</v>
      </c>
      <c r="G23" s="36"/>
      <c r="H23" s="5"/>
      <c r="I23" s="95" t="s">
        <v>62</v>
      </c>
      <c r="J23" s="5"/>
      <c r="K23" s="88">
        <f>J21+K21+K22</f>
        <v>417404.91531790164</v>
      </c>
    </row>
    <row r="24" spans="2:11" x14ac:dyDescent="0.25">
      <c r="B24" s="54"/>
    </row>
    <row r="25" spans="2:11" x14ac:dyDescent="0.25">
      <c r="B25" s="54"/>
    </row>
    <row r="26" spans="2:11" x14ac:dyDescent="0.25">
      <c r="B26" s="54"/>
    </row>
    <row r="27" spans="2:11" x14ac:dyDescent="0.25">
      <c r="B27" s="54"/>
    </row>
    <row r="28" spans="2:11" x14ac:dyDescent="0.25">
      <c r="B28" s="54"/>
    </row>
  </sheetData>
  <sheetProtection algorithmName="SHA-512" hashValue="nfQ7ZFcGWvitCoe5X+BqXaNN5Plq35/lK620zvwcnU2pZIxg++m/+ZyMq8AaJyBKuXJa3K5YMOkH2OLMC9fusQ==" saltValue="M4h7toqwlTsoVhbkKVtkeA==" spinCount="100000" sheet="1" objects="1" scenarios="1"/>
  <mergeCells count="3">
    <mergeCell ref="B1:E1"/>
    <mergeCell ref="B7:E7"/>
    <mergeCell ref="G1:K1"/>
  </mergeCells>
  <conditionalFormatting sqref="I23">
    <cfRule type="cellIs" dxfId="36" priority="2" operator="equal">
      <formula>$E$2</formula>
    </cfRule>
  </conditionalFormatting>
  <conditionalFormatting sqref="B10:B23">
    <cfRule type="cellIs" dxfId="35" priority="1" operator="equal">
      <formula>$E$2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R27"/>
  <sheetViews>
    <sheetView workbookViewId="0">
      <selection activeCell="R5" sqref="R5"/>
    </sheetView>
  </sheetViews>
  <sheetFormatPr defaultRowHeight="15" x14ac:dyDescent="0.25"/>
  <cols>
    <col min="1" max="1" width="16.140625" bestFit="1" customWidth="1"/>
    <col min="2" max="2" width="10.42578125" style="2" customWidth="1"/>
    <col min="3" max="3" width="14.140625" style="1" customWidth="1"/>
    <col min="4" max="4" width="13.28515625" style="129" customWidth="1"/>
    <col min="5" max="5" width="10.7109375" style="133" customWidth="1"/>
    <col min="6" max="6" width="10.5703125" style="133" customWidth="1"/>
    <col min="7" max="7" width="12.85546875" style="125" customWidth="1"/>
    <col min="8" max="8" width="14.28515625" style="125" customWidth="1"/>
    <col min="9" max="9" width="14.28515625" style="131" customWidth="1"/>
    <col min="10" max="10" width="12.42578125" style="1" customWidth="1"/>
    <col min="12" max="12" width="10.7109375" bestFit="1" customWidth="1"/>
    <col min="13" max="13" width="6.42578125" bestFit="1" customWidth="1"/>
    <col min="15" max="15" width="9.140625" bestFit="1" customWidth="1"/>
    <col min="16" max="16" width="9.42578125" bestFit="1" customWidth="1"/>
    <col min="17" max="17" width="8.140625" style="1" customWidth="1"/>
    <col min="18" max="18" width="14.28515625" bestFit="1" customWidth="1"/>
  </cols>
  <sheetData>
    <row r="1" spans="1:18" ht="20.25" thickBot="1" x14ac:dyDescent="0.35">
      <c r="A1" s="173" t="s">
        <v>113</v>
      </c>
      <c r="B1" s="173"/>
      <c r="C1" s="173"/>
      <c r="D1" s="173"/>
      <c r="E1" s="173"/>
      <c r="F1" s="173"/>
      <c r="G1" s="173"/>
      <c r="H1" s="173"/>
      <c r="I1" s="173"/>
      <c r="J1" s="173"/>
      <c r="L1" s="169" t="s">
        <v>82</v>
      </c>
      <c r="M1" s="171"/>
      <c r="O1" s="172" t="s">
        <v>83</v>
      </c>
      <c r="P1" s="172"/>
      <c r="Q1" s="172"/>
    </row>
    <row r="2" spans="1:18" ht="30.75" thickTop="1" x14ac:dyDescent="0.25">
      <c r="A2" s="135" t="s">
        <v>74</v>
      </c>
      <c r="B2" s="136" t="s">
        <v>75</v>
      </c>
      <c r="C2" s="146" t="s">
        <v>76</v>
      </c>
      <c r="D2" s="147" t="s">
        <v>24</v>
      </c>
      <c r="E2" s="148" t="s">
        <v>77</v>
      </c>
      <c r="F2" s="148" t="s">
        <v>78</v>
      </c>
      <c r="G2" s="149" t="s">
        <v>79</v>
      </c>
      <c r="H2" s="150" t="s">
        <v>107</v>
      </c>
      <c r="I2" s="151" t="s">
        <v>80</v>
      </c>
      <c r="J2" s="152" t="s">
        <v>81</v>
      </c>
      <c r="L2" s="141" t="s">
        <v>80</v>
      </c>
      <c r="M2" s="142" t="s">
        <v>81</v>
      </c>
      <c r="O2" s="141" t="s">
        <v>75</v>
      </c>
      <c r="P2" s="142" t="s">
        <v>84</v>
      </c>
      <c r="Q2" s="153" t="s">
        <v>81</v>
      </c>
    </row>
    <row r="3" spans="1:18" x14ac:dyDescent="0.25">
      <c r="B3" s="2" t="s">
        <v>93</v>
      </c>
      <c r="C3" s="1" t="s">
        <v>114</v>
      </c>
      <c r="J3" s="1" t="s">
        <v>115</v>
      </c>
      <c r="L3" s="137">
        <v>0</v>
      </c>
      <c r="M3" s="138" t="s">
        <v>108</v>
      </c>
      <c r="O3" s="123" t="s">
        <v>86</v>
      </c>
      <c r="P3" s="123" t="s">
        <v>93</v>
      </c>
      <c r="Q3" s="96" t="s">
        <v>112</v>
      </c>
    </row>
    <row r="4" spans="1:18" x14ac:dyDescent="0.25">
      <c r="L4" s="137">
        <v>0.6</v>
      </c>
      <c r="M4" s="138" t="s">
        <v>109</v>
      </c>
      <c r="O4" s="123" t="s">
        <v>117</v>
      </c>
      <c r="P4" s="123"/>
      <c r="Q4" s="96"/>
      <c r="R4" s="154">
        <f>DAVERAGE(Table1[[#Headers],[#Data]],Table1[[#Headers],[Experience]],O2:O3)</f>
        <v>4.4285714285714288</v>
      </c>
    </row>
    <row r="5" spans="1:18" x14ac:dyDescent="0.25">
      <c r="L5" s="137">
        <v>0.7</v>
      </c>
      <c r="M5" s="138" t="s">
        <v>110</v>
      </c>
      <c r="O5" s="123" t="s">
        <v>118</v>
      </c>
      <c r="P5" s="123"/>
      <c r="Q5" s="96"/>
      <c r="R5" s="123">
        <v>0</v>
      </c>
    </row>
    <row r="6" spans="1:18" x14ac:dyDescent="0.25">
      <c r="L6" s="137">
        <v>0.8</v>
      </c>
      <c r="M6" s="138" t="s">
        <v>111</v>
      </c>
      <c r="O6" s="123" t="s">
        <v>119</v>
      </c>
      <c r="P6" s="123"/>
      <c r="Q6" s="96"/>
      <c r="R6" s="154">
        <f>DCOUNT(Table1[[#Headers],[#Data]],Table1[[#Headers],[Experience]],Q2:Q3)</f>
        <v>3</v>
      </c>
    </row>
    <row r="7" spans="1:18" ht="20.25" thickBot="1" x14ac:dyDescent="0.35">
      <c r="A7" s="172" t="s">
        <v>73</v>
      </c>
      <c r="B7" s="172"/>
      <c r="C7" s="172"/>
      <c r="D7" s="172"/>
      <c r="E7" s="172"/>
      <c r="F7" s="172"/>
      <c r="G7" s="172"/>
      <c r="H7" s="172"/>
      <c r="I7" s="172"/>
      <c r="J7" s="172"/>
      <c r="L7" s="139">
        <v>0.9</v>
      </c>
      <c r="M7" s="140" t="s">
        <v>112</v>
      </c>
      <c r="O7" s="123"/>
      <c r="P7" s="123"/>
      <c r="Q7" s="96"/>
      <c r="R7" s="123"/>
    </row>
    <row r="8" spans="1:18" ht="30" x14ac:dyDescent="0.25">
      <c r="A8" s="123" t="s">
        <v>74</v>
      </c>
      <c r="B8" s="128" t="s">
        <v>75</v>
      </c>
      <c r="C8" s="96" t="s">
        <v>76</v>
      </c>
      <c r="D8" s="130" t="s">
        <v>24</v>
      </c>
      <c r="E8" s="124" t="s">
        <v>77</v>
      </c>
      <c r="F8" s="124" t="s">
        <v>78</v>
      </c>
      <c r="G8" s="126" t="s">
        <v>79</v>
      </c>
      <c r="H8" s="127" t="s">
        <v>107</v>
      </c>
      <c r="I8" s="132" t="s">
        <v>80</v>
      </c>
      <c r="J8" s="96" t="s">
        <v>81</v>
      </c>
      <c r="O8" s="123" t="s">
        <v>120</v>
      </c>
      <c r="P8" s="123"/>
      <c r="Q8" s="96"/>
      <c r="R8" s="155">
        <f>SUMIF(Table1[Grade],"A",Table1[YTD  Funds Raised])</f>
        <v>9775361</v>
      </c>
    </row>
    <row r="9" spans="1:18" x14ac:dyDescent="0.25">
      <c r="A9" s="123" t="s">
        <v>85</v>
      </c>
      <c r="B9" s="128" t="s">
        <v>86</v>
      </c>
      <c r="C9" s="96">
        <v>2</v>
      </c>
      <c r="D9" s="130">
        <v>37526</v>
      </c>
      <c r="E9" s="124" t="s">
        <v>87</v>
      </c>
      <c r="F9" s="124" t="s">
        <v>88</v>
      </c>
      <c r="G9" s="126">
        <v>2112696</v>
      </c>
      <c r="H9" s="126">
        <v>1780578</v>
      </c>
      <c r="I9" s="132">
        <f>Table1[[#This Row],[YTD  Funds Raised]]/Table1[[#This Row],[Quota]]</f>
        <v>0.84279896397778009</v>
      </c>
      <c r="J9" s="96" t="str">
        <f>VLOOKUP(Table1[[#This Row],[% of Quota]],$L$3:$M$7,2)</f>
        <v>B</v>
      </c>
      <c r="O9" s="123" t="s">
        <v>121</v>
      </c>
      <c r="P9" s="123"/>
      <c r="Q9" s="96"/>
      <c r="R9" s="123">
        <f>COUNTIF(Table1[Status],"Full Time")</f>
        <v>7</v>
      </c>
    </row>
    <row r="10" spans="1:18" x14ac:dyDescent="0.25">
      <c r="A10" s="123" t="s">
        <v>89</v>
      </c>
      <c r="B10" s="128" t="s">
        <v>86</v>
      </c>
      <c r="C10" s="96">
        <v>5</v>
      </c>
      <c r="D10" s="130">
        <v>37559</v>
      </c>
      <c r="E10" s="124" t="s">
        <v>90</v>
      </c>
      <c r="F10" s="124" t="s">
        <v>91</v>
      </c>
      <c r="G10" s="126">
        <v>2119656</v>
      </c>
      <c r="H10" s="126">
        <v>2074903</v>
      </c>
      <c r="I10" s="132">
        <f>Table1[[#This Row],[YTD  Funds Raised]]/Table1[[#This Row],[Quota]]</f>
        <v>0.97888666840279748</v>
      </c>
      <c r="J10" s="96" t="str">
        <f>VLOOKUP(Table1[[#This Row],[% of Quota]],$L$3:$M$7,2)</f>
        <v>A</v>
      </c>
      <c r="O10" s="123"/>
      <c r="P10" s="123"/>
      <c r="Q10" s="96"/>
      <c r="R10" s="123"/>
    </row>
    <row r="11" spans="1:18" x14ac:dyDescent="0.25">
      <c r="A11" s="123" t="s">
        <v>92</v>
      </c>
      <c r="B11" s="128" t="s">
        <v>93</v>
      </c>
      <c r="C11" s="96">
        <v>3</v>
      </c>
      <c r="D11" s="130">
        <v>37804</v>
      </c>
      <c r="E11" s="124" t="s">
        <v>87</v>
      </c>
      <c r="F11" s="124" t="s">
        <v>88</v>
      </c>
      <c r="G11" s="126">
        <v>3799318</v>
      </c>
      <c r="H11" s="126">
        <v>3023103</v>
      </c>
      <c r="I11" s="132">
        <f>Table1[[#This Row],[YTD  Funds Raised]]/Table1[[#This Row],[Quota]]</f>
        <v>0.79569622758610892</v>
      </c>
      <c r="J11" s="96" t="str">
        <f>VLOOKUP(Table1[[#This Row],[% of Quota]],$L$3:$M$7,2)</f>
        <v>C</v>
      </c>
      <c r="O11" s="123" t="s">
        <v>122</v>
      </c>
      <c r="P11" s="123"/>
      <c r="Q11" s="96"/>
      <c r="R11" s="134" t="s">
        <v>94</v>
      </c>
    </row>
    <row r="12" spans="1:18" x14ac:dyDescent="0.25">
      <c r="A12" s="123" t="s">
        <v>94</v>
      </c>
      <c r="B12" s="128" t="s">
        <v>86</v>
      </c>
      <c r="C12" s="96">
        <v>7</v>
      </c>
      <c r="D12" s="130">
        <v>38092</v>
      </c>
      <c r="E12" s="124" t="s">
        <v>95</v>
      </c>
      <c r="F12" s="124" t="s">
        <v>88</v>
      </c>
      <c r="G12" s="126">
        <v>3168559</v>
      </c>
      <c r="H12" s="126">
        <v>2597820</v>
      </c>
      <c r="I12" s="132">
        <f>Table1[[#This Row],[YTD  Funds Raised]]/Table1[[#This Row],[Quota]]</f>
        <v>0.81987427092252341</v>
      </c>
      <c r="J12" s="96" t="str">
        <f>VLOOKUP(Table1[[#This Row],[% of Quota]],$L$3:$M$7,2)</f>
        <v>B</v>
      </c>
      <c r="O12" s="123" t="s">
        <v>123</v>
      </c>
      <c r="P12" s="123"/>
      <c r="Q12" s="96"/>
      <c r="R12" s="123">
        <v>0</v>
      </c>
    </row>
    <row r="13" spans="1:18" x14ac:dyDescent="0.25">
      <c r="A13" s="123" t="s">
        <v>96</v>
      </c>
      <c r="B13" s="128" t="s">
        <v>93</v>
      </c>
      <c r="C13" s="96">
        <v>4</v>
      </c>
      <c r="D13" s="130">
        <v>38120</v>
      </c>
      <c r="E13" s="124" t="s">
        <v>97</v>
      </c>
      <c r="F13" s="124" t="s">
        <v>91</v>
      </c>
      <c r="G13" s="126">
        <v>3539262</v>
      </c>
      <c r="H13" s="126">
        <v>3867802</v>
      </c>
      <c r="I13" s="132">
        <f>Table1[[#This Row],[YTD  Funds Raised]]/Table1[[#This Row],[Quota]]</f>
        <v>1.092827261728575</v>
      </c>
      <c r="J13" s="96" t="str">
        <f>VLOOKUP(Table1[[#This Row],[% of Quota]],$L$3:$M$7,2)</f>
        <v>A</v>
      </c>
    </row>
    <row r="14" spans="1:18" x14ac:dyDescent="0.25">
      <c r="A14" s="123" t="s">
        <v>98</v>
      </c>
      <c r="B14" s="128" t="s">
        <v>93</v>
      </c>
      <c r="C14" s="96">
        <v>1</v>
      </c>
      <c r="D14" s="130">
        <v>38160</v>
      </c>
      <c r="E14" s="124" t="s">
        <v>90</v>
      </c>
      <c r="F14" s="124" t="s">
        <v>91</v>
      </c>
      <c r="G14" s="126">
        <v>4091220</v>
      </c>
      <c r="H14" s="126">
        <v>3059639</v>
      </c>
      <c r="I14" s="132">
        <f>Table1[[#This Row],[YTD  Funds Raised]]/Table1[[#This Row],[Quota]]</f>
        <v>0.74785491858174336</v>
      </c>
      <c r="J14" s="96" t="str">
        <f>VLOOKUP(Table1[[#This Row],[% of Quota]],$L$3:$M$7,2)</f>
        <v>C</v>
      </c>
    </row>
    <row r="15" spans="1:18" x14ac:dyDescent="0.25">
      <c r="A15" s="123" t="s">
        <v>99</v>
      </c>
      <c r="B15" s="128" t="s">
        <v>86</v>
      </c>
      <c r="C15" s="96">
        <v>2</v>
      </c>
      <c r="D15" s="130">
        <v>38293</v>
      </c>
      <c r="E15" s="124" t="s">
        <v>87</v>
      </c>
      <c r="F15" s="124" t="s">
        <v>88</v>
      </c>
      <c r="G15" s="126">
        <v>2130800</v>
      </c>
      <c r="H15" s="126">
        <v>1867427</v>
      </c>
      <c r="I15" s="132">
        <f>Table1[[#This Row],[YTD  Funds Raised]]/Table1[[#This Row],[Quota]]</f>
        <v>0.87639712783930923</v>
      </c>
      <c r="J15" s="96" t="str">
        <f>VLOOKUP(Table1[[#This Row],[% of Quota]],$L$3:$M$7,2)</f>
        <v>B</v>
      </c>
    </row>
    <row r="16" spans="1:18" x14ac:dyDescent="0.25">
      <c r="A16" s="123" t="s">
        <v>100</v>
      </c>
      <c r="B16" s="128" t="s">
        <v>93</v>
      </c>
      <c r="C16" s="96">
        <v>4</v>
      </c>
      <c r="D16" s="130">
        <v>38308</v>
      </c>
      <c r="E16" s="124" t="s">
        <v>101</v>
      </c>
      <c r="F16" s="124" t="s">
        <v>91</v>
      </c>
      <c r="G16" s="126">
        <v>2113471</v>
      </c>
      <c r="H16" s="126">
        <v>1693260</v>
      </c>
      <c r="I16" s="132">
        <f>Table1[[#This Row],[YTD  Funds Raised]]/Table1[[#This Row],[Quota]]</f>
        <v>0.80117493923503091</v>
      </c>
      <c r="J16" s="96" t="str">
        <f>VLOOKUP(Table1[[#This Row],[% of Quota]],$L$3:$M$7,2)</f>
        <v>B</v>
      </c>
    </row>
    <row r="17" spans="1:15" x14ac:dyDescent="0.25">
      <c r="A17" s="123" t="s">
        <v>102</v>
      </c>
      <c r="B17" s="128" t="s">
        <v>86</v>
      </c>
      <c r="C17" s="96">
        <v>2</v>
      </c>
      <c r="D17" s="130">
        <v>38692</v>
      </c>
      <c r="E17" s="124" t="s">
        <v>95</v>
      </c>
      <c r="F17" s="124" t="s">
        <v>88</v>
      </c>
      <c r="G17" s="126">
        <v>3355143</v>
      </c>
      <c r="H17" s="126">
        <v>2084477</v>
      </c>
      <c r="I17" s="132">
        <f>Table1[[#This Row],[YTD  Funds Raised]]/Table1[[#This Row],[Quota]]</f>
        <v>0.62127813926261866</v>
      </c>
      <c r="J17" s="96" t="str">
        <f>VLOOKUP(Table1[[#This Row],[% of Quota]],$L$3:$M$7,2)</f>
        <v>D</v>
      </c>
    </row>
    <row r="18" spans="1:15" x14ac:dyDescent="0.25">
      <c r="A18" s="123" t="s">
        <v>103</v>
      </c>
      <c r="B18" s="128" t="s">
        <v>86</v>
      </c>
      <c r="C18" s="96">
        <v>8</v>
      </c>
      <c r="D18" s="130">
        <v>39184</v>
      </c>
      <c r="E18" s="124" t="s">
        <v>90</v>
      </c>
      <c r="F18" s="124" t="s">
        <v>91</v>
      </c>
      <c r="G18" s="126">
        <v>2122683</v>
      </c>
      <c r="H18" s="126">
        <v>1548949</v>
      </c>
      <c r="I18" s="132">
        <f>Table1[[#This Row],[YTD  Funds Raised]]/Table1[[#This Row],[Quota]]</f>
        <v>0.72971282099117019</v>
      </c>
      <c r="J18" s="96" t="str">
        <f>VLOOKUP(Table1[[#This Row],[% of Quota]],$L$3:$M$7,2)</f>
        <v>C</v>
      </c>
    </row>
    <row r="19" spans="1:15" x14ac:dyDescent="0.25">
      <c r="A19" s="123" t="s">
        <v>104</v>
      </c>
      <c r="B19" s="128" t="s">
        <v>93</v>
      </c>
      <c r="C19" s="96">
        <v>4</v>
      </c>
      <c r="D19" s="130">
        <v>39745</v>
      </c>
      <c r="E19" s="124" t="s">
        <v>101</v>
      </c>
      <c r="F19" s="124" t="s">
        <v>88</v>
      </c>
      <c r="G19" s="126">
        <v>1350599</v>
      </c>
      <c r="H19" s="126">
        <v>903908</v>
      </c>
      <c r="I19" s="132">
        <f>Table1[[#This Row],[YTD  Funds Raised]]/Table1[[#This Row],[Quota]]</f>
        <v>0.66926452633239031</v>
      </c>
      <c r="J19" s="96" t="str">
        <f>VLOOKUP(Table1[[#This Row],[% of Quota]],$L$3:$M$7,2)</f>
        <v>D</v>
      </c>
      <c r="O19" t="s">
        <v>124</v>
      </c>
    </row>
    <row r="20" spans="1:15" x14ac:dyDescent="0.25">
      <c r="A20" s="123" t="s">
        <v>105</v>
      </c>
      <c r="B20" s="128" t="s">
        <v>93</v>
      </c>
      <c r="C20" s="96">
        <v>6</v>
      </c>
      <c r="D20" s="130">
        <v>39750</v>
      </c>
      <c r="E20" s="124" t="s">
        <v>90</v>
      </c>
      <c r="F20" s="124" t="s">
        <v>91</v>
      </c>
      <c r="G20" s="126">
        <v>3425945</v>
      </c>
      <c r="H20" s="126">
        <v>2996251</v>
      </c>
      <c r="I20" s="132">
        <f>Table1[[#This Row],[YTD  Funds Raised]]/Table1[[#This Row],[Quota]]</f>
        <v>0.8745765037091956</v>
      </c>
      <c r="J20" s="96" t="str">
        <f>VLOOKUP(Table1[[#This Row],[% of Quota]],$L$3:$M$7,2)</f>
        <v>B</v>
      </c>
    </row>
    <row r="21" spans="1:15" x14ac:dyDescent="0.25">
      <c r="A21" s="123" t="s">
        <v>106</v>
      </c>
      <c r="B21" s="128" t="s">
        <v>86</v>
      </c>
      <c r="C21" s="96">
        <v>5</v>
      </c>
      <c r="D21" s="130">
        <v>40157</v>
      </c>
      <c r="E21" s="124" t="s">
        <v>95</v>
      </c>
      <c r="F21" s="124" t="s">
        <v>88</v>
      </c>
      <c r="G21" s="126">
        <v>3916009</v>
      </c>
      <c r="H21" s="126">
        <v>3832656</v>
      </c>
      <c r="I21" s="132">
        <f>Table1[[#This Row],[YTD  Funds Raised]]/Table1[[#This Row],[Quota]]</f>
        <v>0.97871480887812057</v>
      </c>
      <c r="J21" s="96" t="str">
        <f>VLOOKUP(Table1[[#This Row],[% of Quota]],$L$3:$M$7,2)</f>
        <v>A</v>
      </c>
    </row>
    <row r="22" spans="1:15" x14ac:dyDescent="0.25">
      <c r="A22" s="123" t="s">
        <v>50</v>
      </c>
      <c r="B22" s="128"/>
      <c r="C22" s="145">
        <f>SUBTOTAL(101,Table1[Experience])</f>
        <v>4.0769230769230766</v>
      </c>
      <c r="D22" s="96"/>
      <c r="E22" s="124"/>
      <c r="F22" s="124"/>
      <c r="G22" s="144">
        <f>SUBTOTAL(109,Table1[Quota])</f>
        <v>37245361</v>
      </c>
      <c r="H22" s="144">
        <f>SUBTOTAL(109,Table1[YTD  Funds Raised])</f>
        <v>31330773</v>
      </c>
      <c r="I22" s="143"/>
      <c r="J22" s="96"/>
      <c r="O22">
        <v>0</v>
      </c>
    </row>
    <row r="25" spans="1:15" ht="20.25" thickBot="1" x14ac:dyDescent="0.35">
      <c r="A25" s="173" t="s">
        <v>116</v>
      </c>
      <c r="B25" s="173"/>
      <c r="C25" s="173"/>
      <c r="D25" s="173"/>
      <c r="E25" s="173"/>
      <c r="F25" s="173"/>
      <c r="G25" s="173"/>
      <c r="H25" s="173"/>
      <c r="I25" s="173"/>
      <c r="J25" s="173"/>
    </row>
    <row r="26" spans="1:15" ht="30.75" thickTop="1" x14ac:dyDescent="0.25">
      <c r="A26" s="135" t="s">
        <v>74</v>
      </c>
      <c r="B26" s="136" t="s">
        <v>75</v>
      </c>
      <c r="C26" s="146" t="s">
        <v>76</v>
      </c>
      <c r="D26" s="147" t="s">
        <v>24</v>
      </c>
      <c r="E26" s="148" t="s">
        <v>77</v>
      </c>
      <c r="F26" s="148" t="s">
        <v>78</v>
      </c>
      <c r="G26" s="149" t="s">
        <v>79</v>
      </c>
      <c r="H26" s="150" t="s">
        <v>107</v>
      </c>
      <c r="I26" s="151" t="s">
        <v>80</v>
      </c>
      <c r="J26" s="152" t="s">
        <v>81</v>
      </c>
    </row>
    <row r="27" spans="1:15" x14ac:dyDescent="0.25">
      <c r="A27" s="123" t="s">
        <v>104</v>
      </c>
      <c r="B27" s="128" t="s">
        <v>93</v>
      </c>
      <c r="C27" s="96">
        <v>4</v>
      </c>
      <c r="D27" s="130">
        <v>39745</v>
      </c>
      <c r="E27" s="124" t="s">
        <v>101</v>
      </c>
      <c r="F27" s="124" t="s">
        <v>88</v>
      </c>
      <c r="G27" s="126">
        <v>1350599</v>
      </c>
      <c r="H27" s="126">
        <v>903908</v>
      </c>
      <c r="I27" s="132">
        <v>0.66926452633239031</v>
      </c>
      <c r="J27" s="96" t="s">
        <v>109</v>
      </c>
    </row>
  </sheetData>
  <mergeCells count="5">
    <mergeCell ref="A7:J7"/>
    <mergeCell ref="L1:M1"/>
    <mergeCell ref="O1:Q1"/>
    <mergeCell ref="A1:J1"/>
    <mergeCell ref="A25:J25"/>
  </mergeCells>
  <conditionalFormatting sqref="I9:I21">
    <cfRule type="iconSet" priority="1">
      <iconSet iconSet="5Arrows">
        <cfvo type="percent" val="0"/>
        <cfvo type="num" val="0.6"/>
        <cfvo type="num" val="0.7"/>
        <cfvo type="num" val="0.8"/>
        <cfvo type="num" val="0.9"/>
      </iconSet>
    </cfRule>
    <cfRule type="iconSet" priority="2">
      <iconSet iconSet="5Arrows">
        <cfvo type="percent" val="0"/>
        <cfvo type="num" val="0"/>
        <cfvo type="num" val="0"/>
        <cfvo type="num" val="0"/>
        <cfvo type="num" val="0.9"/>
      </iconSet>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6"/>
  <sheetViews>
    <sheetView tabSelected="1" workbookViewId="0">
      <selection activeCell="B23" sqref="B23"/>
    </sheetView>
  </sheetViews>
  <sheetFormatPr defaultRowHeight="15" x14ac:dyDescent="0.25"/>
  <cols>
    <col min="1" max="1" width="13.140625" bestFit="1" customWidth="1"/>
    <col min="2" max="2" width="17.85546875" bestFit="1" customWidth="1"/>
    <col min="3" max="4" width="20.28515625" bestFit="1" customWidth="1"/>
    <col min="5" max="5" width="16.7109375" bestFit="1" customWidth="1"/>
  </cols>
  <sheetData>
    <row r="1" spans="1:4" x14ac:dyDescent="0.25">
      <c r="A1" s="175" t="s">
        <v>126</v>
      </c>
      <c r="B1" t="s">
        <v>155</v>
      </c>
    </row>
    <row r="3" spans="1:4" x14ac:dyDescent="0.25">
      <c r="A3" s="175" t="s">
        <v>128</v>
      </c>
      <c r="B3" s="175" t="s">
        <v>129</v>
      </c>
      <c r="C3" t="s">
        <v>158</v>
      </c>
      <c r="D3" t="s">
        <v>159</v>
      </c>
    </row>
    <row r="4" spans="1:4" x14ac:dyDescent="0.25">
      <c r="A4" t="s">
        <v>139</v>
      </c>
      <c r="B4" t="s">
        <v>133</v>
      </c>
      <c r="C4" s="177">
        <v>993004</v>
      </c>
      <c r="D4" s="177">
        <v>1105096</v>
      </c>
    </row>
    <row r="5" spans="1:4" x14ac:dyDescent="0.25">
      <c r="B5" t="s">
        <v>138</v>
      </c>
      <c r="C5" s="177">
        <v>696653</v>
      </c>
      <c r="D5" s="177">
        <v>1160261</v>
      </c>
    </row>
    <row r="6" spans="1:4" x14ac:dyDescent="0.25">
      <c r="A6" t="s">
        <v>150</v>
      </c>
      <c r="C6" s="177">
        <v>844828.5</v>
      </c>
      <c r="D6" s="177">
        <v>1132678.5</v>
      </c>
    </row>
    <row r="7" spans="1:4" x14ac:dyDescent="0.25">
      <c r="A7" t="s">
        <v>141</v>
      </c>
      <c r="B7" t="s">
        <v>133</v>
      </c>
      <c r="C7" s="177">
        <v>635201</v>
      </c>
      <c r="D7" s="177">
        <v>835515</v>
      </c>
    </row>
    <row r="8" spans="1:4" x14ac:dyDescent="0.25">
      <c r="B8" t="s">
        <v>138</v>
      </c>
      <c r="C8" s="177">
        <v>1088097</v>
      </c>
      <c r="D8" s="177">
        <v>1190210</v>
      </c>
    </row>
    <row r="9" spans="1:4" x14ac:dyDescent="0.25">
      <c r="A9" t="s">
        <v>151</v>
      </c>
      <c r="C9" s="177">
        <v>861649</v>
      </c>
      <c r="D9" s="177">
        <v>1012862.5</v>
      </c>
    </row>
    <row r="10" spans="1:4" x14ac:dyDescent="0.25">
      <c r="A10" t="s">
        <v>144</v>
      </c>
      <c r="B10" t="s">
        <v>133</v>
      </c>
      <c r="C10" s="177">
        <v>785746</v>
      </c>
      <c r="D10" s="177">
        <v>685820</v>
      </c>
    </row>
    <row r="11" spans="1:4" x14ac:dyDescent="0.25">
      <c r="B11" t="s">
        <v>138</v>
      </c>
      <c r="C11" s="177">
        <v>1162553</v>
      </c>
      <c r="D11" s="177">
        <v>679687</v>
      </c>
    </row>
    <row r="12" spans="1:4" x14ac:dyDescent="0.25">
      <c r="A12" t="s">
        <v>152</v>
      </c>
      <c r="C12" s="177">
        <v>974149.5</v>
      </c>
      <c r="D12" s="177">
        <v>682753.5</v>
      </c>
    </row>
    <row r="13" spans="1:4" x14ac:dyDescent="0.25">
      <c r="A13" t="s">
        <v>146</v>
      </c>
      <c r="B13" t="s">
        <v>133</v>
      </c>
      <c r="C13" s="177">
        <v>654312</v>
      </c>
      <c r="D13" s="177">
        <v>741963</v>
      </c>
    </row>
    <row r="14" spans="1:4" x14ac:dyDescent="0.25">
      <c r="B14" t="s">
        <v>138</v>
      </c>
      <c r="C14" s="177">
        <v>659340</v>
      </c>
      <c r="D14" s="177">
        <v>721374</v>
      </c>
    </row>
    <row r="15" spans="1:4" x14ac:dyDescent="0.25">
      <c r="A15" t="s">
        <v>153</v>
      </c>
      <c r="C15" s="177">
        <v>656826</v>
      </c>
      <c r="D15" s="177">
        <v>731668.5</v>
      </c>
    </row>
    <row r="16" spans="1:4" x14ac:dyDescent="0.25">
      <c r="A16" t="s">
        <v>149</v>
      </c>
      <c r="C16" s="177">
        <v>834363.25</v>
      </c>
      <c r="D16" s="177">
        <v>889990.75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24"/>
  <sheetViews>
    <sheetView workbookViewId="0">
      <selection activeCell="J7" sqref="J7"/>
    </sheetView>
  </sheetViews>
  <sheetFormatPr defaultRowHeight="15" x14ac:dyDescent="0.25"/>
  <cols>
    <col min="1" max="1" width="5.85546875" customWidth="1"/>
    <col min="2" max="2" width="8" bestFit="1" customWidth="1"/>
    <col min="3" max="3" width="8.7109375" bestFit="1" customWidth="1"/>
    <col min="4" max="4" width="8.42578125" bestFit="1" customWidth="1"/>
    <col min="5" max="5" width="10.7109375" bestFit="1" customWidth="1"/>
    <col min="6" max="7" width="13.28515625" bestFit="1" customWidth="1"/>
  </cols>
  <sheetData>
    <row r="1" spans="1:7" x14ac:dyDescent="0.25">
      <c r="A1" t="s">
        <v>125</v>
      </c>
    </row>
    <row r="2" spans="1:7" x14ac:dyDescent="0.25">
      <c r="A2" t="s">
        <v>126</v>
      </c>
      <c r="B2" t="s">
        <v>127</v>
      </c>
      <c r="C2" t="s">
        <v>128</v>
      </c>
      <c r="D2" t="s">
        <v>129</v>
      </c>
      <c r="E2" t="s">
        <v>130</v>
      </c>
      <c r="F2" s="1" t="s">
        <v>156</v>
      </c>
      <c r="G2" s="1" t="s">
        <v>157</v>
      </c>
    </row>
    <row r="3" spans="1:7" x14ac:dyDescent="0.25">
      <c r="A3" t="s">
        <v>131</v>
      </c>
      <c r="B3">
        <v>476442</v>
      </c>
      <c r="C3" s="174" t="s">
        <v>139</v>
      </c>
      <c r="D3" t="s">
        <v>138</v>
      </c>
      <c r="E3">
        <v>4</v>
      </c>
      <c r="F3" s="176">
        <v>696653</v>
      </c>
      <c r="G3" s="176">
        <v>1160261</v>
      </c>
    </row>
    <row r="4" spans="1:7" x14ac:dyDescent="0.25">
      <c r="A4" t="s">
        <v>131</v>
      </c>
      <c r="B4">
        <v>476443</v>
      </c>
      <c r="C4" s="174" t="s">
        <v>139</v>
      </c>
      <c r="D4" t="s">
        <v>133</v>
      </c>
      <c r="E4">
        <v>6</v>
      </c>
      <c r="F4" s="176">
        <v>993004</v>
      </c>
      <c r="G4" s="176">
        <v>1105096</v>
      </c>
    </row>
    <row r="5" spans="1:7" x14ac:dyDescent="0.25">
      <c r="A5" t="s">
        <v>131</v>
      </c>
      <c r="B5">
        <v>476444</v>
      </c>
      <c r="C5" s="174" t="s">
        <v>141</v>
      </c>
      <c r="D5" t="s">
        <v>138</v>
      </c>
      <c r="E5">
        <v>5</v>
      </c>
      <c r="F5" s="176">
        <v>1088097</v>
      </c>
      <c r="G5" s="176">
        <v>1190210</v>
      </c>
    </row>
    <row r="6" spans="1:7" x14ac:dyDescent="0.25">
      <c r="A6" t="s">
        <v>131</v>
      </c>
      <c r="B6">
        <v>476445</v>
      </c>
      <c r="C6" s="174" t="s">
        <v>141</v>
      </c>
      <c r="D6" t="s">
        <v>133</v>
      </c>
      <c r="E6">
        <v>4</v>
      </c>
      <c r="F6" s="176">
        <v>635201</v>
      </c>
      <c r="G6" s="176">
        <v>835515</v>
      </c>
    </row>
    <row r="7" spans="1:7" x14ac:dyDescent="0.25">
      <c r="A7" t="s">
        <v>134</v>
      </c>
      <c r="B7">
        <v>476446</v>
      </c>
      <c r="C7" s="174" t="s">
        <v>144</v>
      </c>
      <c r="D7" t="s">
        <v>138</v>
      </c>
      <c r="E7">
        <v>7</v>
      </c>
      <c r="F7" s="176">
        <v>1162553</v>
      </c>
      <c r="G7" s="176">
        <v>679687</v>
      </c>
    </row>
    <row r="8" spans="1:7" x14ac:dyDescent="0.25">
      <c r="A8" t="s">
        <v>134</v>
      </c>
      <c r="B8">
        <v>476447</v>
      </c>
      <c r="C8" s="174" t="s">
        <v>144</v>
      </c>
      <c r="D8" t="s">
        <v>133</v>
      </c>
      <c r="E8">
        <v>5</v>
      </c>
      <c r="F8" s="176">
        <v>785746</v>
      </c>
      <c r="G8" s="176">
        <v>685820</v>
      </c>
    </row>
    <row r="9" spans="1:7" x14ac:dyDescent="0.25">
      <c r="A9" t="s">
        <v>134</v>
      </c>
      <c r="B9">
        <v>476448</v>
      </c>
      <c r="C9" s="174" t="s">
        <v>146</v>
      </c>
      <c r="D9" t="s">
        <v>138</v>
      </c>
      <c r="E9">
        <v>8</v>
      </c>
      <c r="F9" s="176">
        <v>659340</v>
      </c>
      <c r="G9" s="176">
        <v>721374</v>
      </c>
    </row>
    <row r="10" spans="1:7" x14ac:dyDescent="0.25">
      <c r="A10" t="s">
        <v>134</v>
      </c>
      <c r="B10">
        <v>478920</v>
      </c>
      <c r="C10" s="174" t="s">
        <v>146</v>
      </c>
      <c r="D10" t="s">
        <v>133</v>
      </c>
      <c r="E10">
        <v>7</v>
      </c>
      <c r="F10" s="176">
        <v>654312</v>
      </c>
      <c r="G10" s="176">
        <v>741963</v>
      </c>
    </row>
    <row r="11" spans="1:7" x14ac:dyDescent="0.25">
      <c r="A11" t="s">
        <v>135</v>
      </c>
      <c r="B11">
        <v>476449</v>
      </c>
      <c r="C11" s="174" t="s">
        <v>132</v>
      </c>
      <c r="D11" t="s">
        <v>138</v>
      </c>
      <c r="E11">
        <v>5</v>
      </c>
      <c r="F11" s="176">
        <v>696653</v>
      </c>
      <c r="G11" s="176">
        <v>802531</v>
      </c>
    </row>
    <row r="12" spans="1:7" x14ac:dyDescent="0.25">
      <c r="A12" t="s">
        <v>135</v>
      </c>
      <c r="B12">
        <v>476450</v>
      </c>
      <c r="C12" s="174" t="s">
        <v>132</v>
      </c>
      <c r="D12" t="s">
        <v>133</v>
      </c>
      <c r="E12">
        <v>5</v>
      </c>
      <c r="F12" s="176">
        <v>1108419</v>
      </c>
      <c r="G12" s="176">
        <v>1083996</v>
      </c>
    </row>
    <row r="13" spans="1:7" x14ac:dyDescent="0.25">
      <c r="A13" t="s">
        <v>135</v>
      </c>
      <c r="B13">
        <v>476451</v>
      </c>
      <c r="C13" s="174" t="s">
        <v>140</v>
      </c>
      <c r="D13" t="s">
        <v>138</v>
      </c>
      <c r="E13">
        <v>6</v>
      </c>
      <c r="F13" s="176">
        <v>114476</v>
      </c>
      <c r="G13" s="176">
        <v>1104379</v>
      </c>
    </row>
    <row r="14" spans="1:7" x14ac:dyDescent="0.25">
      <c r="A14" t="s">
        <v>135</v>
      </c>
      <c r="B14">
        <v>476452</v>
      </c>
      <c r="C14" s="174" t="s">
        <v>140</v>
      </c>
      <c r="D14" t="s">
        <v>133</v>
      </c>
      <c r="E14">
        <v>8</v>
      </c>
      <c r="F14" s="176">
        <v>1113393</v>
      </c>
      <c r="G14" s="176">
        <v>935880</v>
      </c>
    </row>
    <row r="15" spans="1:7" x14ac:dyDescent="0.25">
      <c r="A15" t="s">
        <v>135</v>
      </c>
      <c r="B15">
        <v>476453</v>
      </c>
      <c r="C15" t="s">
        <v>142</v>
      </c>
      <c r="D15" t="s">
        <v>138</v>
      </c>
      <c r="E15">
        <v>7</v>
      </c>
      <c r="F15" s="176">
        <v>992142</v>
      </c>
      <c r="G15" s="176">
        <v>1018577</v>
      </c>
    </row>
    <row r="16" spans="1:7" x14ac:dyDescent="0.25">
      <c r="A16" t="s">
        <v>154</v>
      </c>
      <c r="B16">
        <v>345978</v>
      </c>
      <c r="C16" t="s">
        <v>142</v>
      </c>
      <c r="D16" t="s">
        <v>133</v>
      </c>
      <c r="E16">
        <v>6</v>
      </c>
      <c r="F16" s="176">
        <v>147896</v>
      </c>
      <c r="G16" s="176">
        <v>321456</v>
      </c>
    </row>
    <row r="17" spans="1:7" x14ac:dyDescent="0.25">
      <c r="A17" t="s">
        <v>136</v>
      </c>
      <c r="B17">
        <v>476454</v>
      </c>
      <c r="C17" t="s">
        <v>143</v>
      </c>
      <c r="D17" t="s">
        <v>138</v>
      </c>
      <c r="E17">
        <v>6</v>
      </c>
      <c r="F17" s="176">
        <v>981622</v>
      </c>
      <c r="G17" s="176">
        <v>738345</v>
      </c>
    </row>
    <row r="18" spans="1:7" x14ac:dyDescent="0.25">
      <c r="A18" t="s">
        <v>136</v>
      </c>
      <c r="B18">
        <v>476455</v>
      </c>
      <c r="C18" t="s">
        <v>143</v>
      </c>
      <c r="D18" t="s">
        <v>133</v>
      </c>
      <c r="E18">
        <v>5</v>
      </c>
      <c r="F18" s="176">
        <v>797975</v>
      </c>
      <c r="G18" s="176">
        <v>859487</v>
      </c>
    </row>
    <row r="19" spans="1:7" x14ac:dyDescent="0.25">
      <c r="A19" t="s">
        <v>136</v>
      </c>
      <c r="B19">
        <v>476456</v>
      </c>
      <c r="C19" t="s">
        <v>145</v>
      </c>
      <c r="D19" t="s">
        <v>138</v>
      </c>
      <c r="E19">
        <v>5</v>
      </c>
      <c r="F19" s="176">
        <v>615421</v>
      </c>
      <c r="G19" s="176">
        <v>573377</v>
      </c>
    </row>
    <row r="20" spans="1:7" x14ac:dyDescent="0.25">
      <c r="A20" t="s">
        <v>136</v>
      </c>
      <c r="B20">
        <v>476457</v>
      </c>
      <c r="C20" t="s">
        <v>145</v>
      </c>
      <c r="D20" t="s">
        <v>133</v>
      </c>
      <c r="E20">
        <v>6</v>
      </c>
      <c r="F20" s="176">
        <v>599418</v>
      </c>
      <c r="G20" s="176">
        <v>582657</v>
      </c>
    </row>
    <row r="21" spans="1:7" x14ac:dyDescent="0.25">
      <c r="A21" t="s">
        <v>137</v>
      </c>
      <c r="B21">
        <v>476458</v>
      </c>
      <c r="C21" t="s">
        <v>147</v>
      </c>
      <c r="D21" t="s">
        <v>138</v>
      </c>
      <c r="E21">
        <v>8</v>
      </c>
      <c r="F21" s="176">
        <v>670144</v>
      </c>
      <c r="G21" s="176">
        <v>642759</v>
      </c>
    </row>
    <row r="22" spans="1:7" x14ac:dyDescent="0.25">
      <c r="A22" t="s">
        <v>137</v>
      </c>
      <c r="B22">
        <v>476459</v>
      </c>
      <c r="C22" t="s">
        <v>147</v>
      </c>
      <c r="D22" t="s">
        <v>133</v>
      </c>
      <c r="E22">
        <v>6</v>
      </c>
      <c r="F22" s="176">
        <v>623987</v>
      </c>
      <c r="G22" s="176">
        <v>789421</v>
      </c>
    </row>
    <row r="23" spans="1:7" x14ac:dyDescent="0.25">
      <c r="A23" t="s">
        <v>137</v>
      </c>
      <c r="B23">
        <v>476460</v>
      </c>
      <c r="C23" t="s">
        <v>148</v>
      </c>
      <c r="D23" t="s">
        <v>138</v>
      </c>
      <c r="E23">
        <v>5</v>
      </c>
      <c r="F23" s="176">
        <v>1148456</v>
      </c>
      <c r="G23" s="176">
        <v>1071603</v>
      </c>
    </row>
    <row r="24" spans="1:7" x14ac:dyDescent="0.25">
      <c r="A24" t="s">
        <v>137</v>
      </c>
      <c r="B24">
        <v>476461</v>
      </c>
      <c r="C24" t="s">
        <v>148</v>
      </c>
      <c r="D24" t="s">
        <v>133</v>
      </c>
      <c r="E24">
        <v>7</v>
      </c>
      <c r="F24" s="176">
        <v>668365</v>
      </c>
      <c r="G24" s="176">
        <v>623507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6</vt:i4>
      </vt:variant>
      <vt:variant>
        <vt:lpstr>Charts</vt:lpstr>
      </vt:variant>
      <vt:variant>
        <vt:i4>1</vt:i4>
      </vt:variant>
      <vt:variant>
        <vt:lpstr>Named Ranges</vt:lpstr>
      </vt:variant>
      <vt:variant>
        <vt:i4>10</vt:i4>
      </vt:variant>
    </vt:vector>
  </HeadingPairs>
  <TitlesOfParts>
    <vt:vector size="17" baseType="lpstr">
      <vt:lpstr>E1- Biweekly Payroll Report</vt:lpstr>
      <vt:lpstr>E2- What If Assumption Table</vt:lpstr>
      <vt:lpstr>E3- Amortization (PW is open)</vt:lpstr>
      <vt:lpstr>E4 VLOOKUP TABLE and Filters</vt:lpstr>
      <vt:lpstr>Pivot Table and Chart</vt:lpstr>
      <vt:lpstr> Pivot  Sales Analysis Figures</vt:lpstr>
      <vt:lpstr>E2 What if Chart</vt:lpstr>
      <vt:lpstr>'E4 VLOOKUP TABLE and Filters'!Criteria</vt:lpstr>
      <vt:lpstr>Down_Pymt</vt:lpstr>
      <vt:lpstr>Extract</vt:lpstr>
      <vt:lpstr>Loan_Amount</vt:lpstr>
      <vt:lpstr>Monthly_Payment</vt:lpstr>
      <vt:lpstr>Price</vt:lpstr>
      <vt:lpstr>Rate</vt:lpstr>
      <vt:lpstr>Total_Cost</vt:lpstr>
      <vt:lpstr>Total_Interest</vt:lpstr>
      <vt:lpstr>Years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Simien</dc:creator>
  <cp:lastModifiedBy>Joseph Simien</cp:lastModifiedBy>
  <dcterms:created xsi:type="dcterms:W3CDTF">2016-08-06T17:18:44Z</dcterms:created>
  <dcterms:modified xsi:type="dcterms:W3CDTF">2016-08-23T18:24:00Z</dcterms:modified>
</cp:coreProperties>
</file>