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jenniferskerker/Documents/GradSchool/Research/Project1/Code/Models/Fletcher_2019_Learning_Climate/"/>
    </mc:Choice>
  </mc:AlternateContent>
  <xr:revisionPtr revIDLastSave="0" documentId="13_ncr:1_{E42BFA92-4C54-4C4D-972C-A65A82F46AFC}" xr6:coauthVersionLast="45" xr6:coauthVersionMax="45" xr10:uidLastSave="{00000000-0000-0000-0000-000000000000}"/>
  <bookViews>
    <workbookView xWindow="380" yWindow="460" windowWidth="25600" windowHeight="14820" activeTab="2" xr2:uid="{00000000-000D-0000-FFFF-FFFF00000000}"/>
  </bookViews>
  <sheets>
    <sheet name="Stage_Storage" sheetId="4" r:id="rId1"/>
    <sheet name="Upstream face dimensions" sheetId="1" r:id="rId2"/>
    <sheet name="I_O" sheetId="3" r:id="rId3"/>
  </sheets>
  <definedNames>
    <definedName name="_xlnm._FilterDatabase" localSheetId="1" hidden="1">'Upstream face dimensions'!#REF!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4" i="3" l="1"/>
  <c r="X4" i="3"/>
  <c r="Y4" i="3"/>
  <c r="Z4" i="3"/>
  <c r="W5" i="3"/>
  <c r="X5" i="3"/>
  <c r="Y5" i="3"/>
  <c r="Z5" i="3"/>
  <c r="W6" i="3"/>
  <c r="X6" i="3"/>
  <c r="Y6" i="3"/>
  <c r="Z6" i="3"/>
  <c r="W7" i="3"/>
  <c r="X7" i="3"/>
  <c r="Y7" i="3"/>
  <c r="Z7" i="3"/>
  <c r="W8" i="3"/>
  <c r="X8" i="3"/>
  <c r="Y8" i="3"/>
  <c r="Z8" i="3"/>
  <c r="W9" i="3"/>
  <c r="X9" i="3"/>
  <c r="Y9" i="3"/>
  <c r="Z9" i="3"/>
  <c r="W10" i="3"/>
  <c r="X10" i="3"/>
  <c r="Y10" i="3"/>
  <c r="Z10" i="3"/>
  <c r="W11" i="3"/>
  <c r="X11" i="3"/>
  <c r="Y11" i="3"/>
  <c r="Z11" i="3"/>
  <c r="W12" i="3"/>
  <c r="X12" i="3"/>
  <c r="Y12" i="3"/>
  <c r="Z12" i="3"/>
  <c r="W13" i="3"/>
  <c r="X13" i="3"/>
  <c r="Y13" i="3"/>
  <c r="Z13" i="3"/>
  <c r="W14" i="3"/>
  <c r="X14" i="3"/>
  <c r="Y14" i="3"/>
  <c r="Z14" i="3"/>
  <c r="W15" i="3"/>
  <c r="X15" i="3"/>
  <c r="Y15" i="3"/>
  <c r="Z15" i="3"/>
  <c r="W16" i="3"/>
  <c r="X16" i="3"/>
  <c r="Y16" i="3"/>
  <c r="Z16" i="3"/>
  <c r="W17" i="3"/>
  <c r="X17" i="3"/>
  <c r="Y17" i="3"/>
  <c r="Z17" i="3"/>
  <c r="W18" i="3"/>
  <c r="X18" i="3"/>
  <c r="Y18" i="3"/>
  <c r="Z18" i="3"/>
  <c r="W19" i="3"/>
  <c r="X19" i="3"/>
  <c r="Y19" i="3"/>
  <c r="Z19" i="3"/>
  <c r="W20" i="3"/>
  <c r="X20" i="3"/>
  <c r="Y20" i="3"/>
  <c r="Z20" i="3"/>
  <c r="W21" i="3"/>
  <c r="X21" i="3"/>
  <c r="Y21" i="3"/>
  <c r="Z21" i="3"/>
  <c r="W22" i="3"/>
  <c r="X22" i="3"/>
  <c r="Y22" i="3"/>
  <c r="Z22" i="3"/>
  <c r="W23" i="3"/>
  <c r="X23" i="3"/>
  <c r="Y23" i="3"/>
  <c r="Z23" i="3"/>
  <c r="W24" i="3"/>
  <c r="X24" i="3"/>
  <c r="Y24" i="3"/>
  <c r="Z2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4" i="3"/>
  <c r="C5" i="3" l="1"/>
  <c r="C7" i="3" s="1"/>
  <c r="K42" i="1" s="1"/>
  <c r="K46" i="1" s="1"/>
  <c r="M33" i="1" s="1"/>
  <c r="N33" i="1" s="1"/>
  <c r="M4" i="1" s="1"/>
  <c r="I23" i="1"/>
  <c r="I14" i="1"/>
  <c r="H77" i="1"/>
  <c r="I77" i="1" s="1"/>
  <c r="K77" i="1" s="1"/>
  <c r="I78" i="1"/>
  <c r="K78" i="1" s="1"/>
  <c r="D88" i="1"/>
  <c r="F72" i="1"/>
  <c r="J70" i="1"/>
  <c r="J71" i="1"/>
  <c r="J72" i="1"/>
  <c r="J73" i="1"/>
  <c r="J74" i="1"/>
  <c r="J75" i="1"/>
  <c r="J76" i="1"/>
  <c r="J78" i="1"/>
  <c r="J69" i="1"/>
  <c r="F74" i="1"/>
  <c r="D5" i="1"/>
  <c r="D6" i="1"/>
  <c r="F17" i="1" s="1"/>
  <c r="F6" i="1"/>
  <c r="H5" i="1" s="1"/>
  <c r="F4" i="1"/>
  <c r="F5" i="1"/>
  <c r="D7" i="1"/>
  <c r="D8" i="1"/>
  <c r="F8" i="1"/>
  <c r="H7" i="1" s="1"/>
  <c r="F7" i="1"/>
  <c r="I29" i="1"/>
  <c r="D9" i="1"/>
  <c r="D10" i="1"/>
  <c r="D11" i="1"/>
  <c r="F11" i="1"/>
  <c r="I28" i="1"/>
  <c r="I13" i="1"/>
  <c r="I30" i="1"/>
  <c r="I12" i="1"/>
  <c r="F73" i="1"/>
  <c r="R33" i="1"/>
  <c r="D29" i="1"/>
  <c r="D30" i="1"/>
  <c r="I17" i="1"/>
  <c r="D17" i="1"/>
  <c r="I16" i="1"/>
  <c r="U16" i="1" s="1"/>
  <c r="D16" i="1"/>
  <c r="D23" i="1"/>
  <c r="D14" i="1"/>
  <c r="D13" i="1"/>
  <c r="F16" i="1" s="1"/>
  <c r="D12" i="1"/>
  <c r="D28" i="1"/>
  <c r="I19" i="1"/>
  <c r="U19" i="1" s="1"/>
  <c r="D19" i="1"/>
  <c r="F22" i="1" s="1"/>
  <c r="I26" i="1"/>
  <c r="U26" i="1" s="1"/>
  <c r="D26" i="1"/>
  <c r="I24" i="1"/>
  <c r="D24" i="1"/>
  <c r="X24" i="1" s="1"/>
  <c r="I15" i="1"/>
  <c r="U15" i="1" s="1"/>
  <c r="D15" i="1"/>
  <c r="I22" i="1"/>
  <c r="D22" i="1"/>
  <c r="U22" i="1" s="1"/>
  <c r="I25" i="1"/>
  <c r="D25" i="1"/>
  <c r="I21" i="1"/>
  <c r="D21" i="1"/>
  <c r="X21" i="1" s="1"/>
  <c r="I20" i="1"/>
  <c r="U20" i="1" s="1"/>
  <c r="D20" i="1"/>
  <c r="I27" i="1"/>
  <c r="D27" i="1"/>
  <c r="I18" i="1"/>
  <c r="D18" i="1"/>
  <c r="U17" i="1"/>
  <c r="U18" i="1"/>
  <c r="X22" i="1"/>
  <c r="X26" i="1"/>
  <c r="X19" i="1"/>
  <c r="X15" i="1"/>
  <c r="X20" i="1"/>
  <c r="X16" i="1"/>
  <c r="X25" i="1"/>
  <c r="X17" i="1"/>
  <c r="X18" i="1"/>
  <c r="U23" i="1"/>
  <c r="U25" i="1"/>
  <c r="U24" i="1"/>
  <c r="X23" i="1"/>
  <c r="F25" i="1"/>
  <c r="F28" i="1"/>
  <c r="F12" i="1"/>
  <c r="F15" i="1"/>
  <c r="F18" i="1"/>
  <c r="K4" i="3" l="1"/>
  <c r="I8" i="1"/>
  <c r="I7" i="1"/>
  <c r="U31" i="1"/>
  <c r="X31" i="1"/>
  <c r="I6" i="1"/>
  <c r="I5" i="1"/>
  <c r="F19" i="1"/>
  <c r="F29" i="1"/>
  <c r="F14" i="1"/>
  <c r="F30" i="1"/>
  <c r="F27" i="1"/>
  <c r="F24" i="1"/>
  <c r="F21" i="1"/>
  <c r="J77" i="1"/>
  <c r="F9" i="1"/>
  <c r="F10" i="1"/>
  <c r="H10" i="1" s="1"/>
  <c r="I11" i="1" s="1"/>
  <c r="F13" i="1"/>
  <c r="U21" i="1"/>
  <c r="F26" i="1"/>
  <c r="F23" i="1"/>
  <c r="F20" i="1"/>
  <c r="H9" i="1"/>
  <c r="M34" i="1"/>
  <c r="N34" i="1" s="1"/>
  <c r="M5" i="1" s="1"/>
  <c r="N5" i="1" s="1"/>
  <c r="Y5" i="1" s="1"/>
  <c r="Z5" i="1" s="1"/>
  <c r="M36" i="1"/>
  <c r="N36" i="1" s="1"/>
  <c r="M7" i="1" s="1"/>
  <c r="M38" i="1"/>
  <c r="N38" i="1" s="1"/>
  <c r="M9" i="1" s="1"/>
  <c r="M40" i="1"/>
  <c r="N40" i="1" s="1"/>
  <c r="M11" i="1" s="1"/>
  <c r="M42" i="1"/>
  <c r="N42" i="1" s="1"/>
  <c r="M13" i="1" s="1"/>
  <c r="M44" i="1"/>
  <c r="N44" i="1" s="1"/>
  <c r="M15" i="1" s="1"/>
  <c r="M46" i="1"/>
  <c r="N46" i="1" s="1"/>
  <c r="M17" i="1" s="1"/>
  <c r="M48" i="1"/>
  <c r="N48" i="1" s="1"/>
  <c r="M19" i="1" s="1"/>
  <c r="M50" i="1"/>
  <c r="N50" i="1" s="1"/>
  <c r="M21" i="1" s="1"/>
  <c r="M52" i="1"/>
  <c r="N52" i="1" s="1"/>
  <c r="M23" i="1" s="1"/>
  <c r="M54" i="1"/>
  <c r="N54" i="1" s="1"/>
  <c r="M25" i="1" s="1"/>
  <c r="M56" i="1"/>
  <c r="N56" i="1" s="1"/>
  <c r="M27" i="1" s="1"/>
  <c r="M58" i="1"/>
  <c r="N58" i="1" s="1"/>
  <c r="M29" i="1" s="1"/>
  <c r="M35" i="1"/>
  <c r="N35" i="1" s="1"/>
  <c r="M6" i="1" s="1"/>
  <c r="N7" i="1" s="1"/>
  <c r="Y7" i="1" s="1"/>
  <c r="Z7" i="1" s="1"/>
  <c r="M37" i="1"/>
  <c r="N37" i="1" s="1"/>
  <c r="M8" i="1" s="1"/>
  <c r="N9" i="1" s="1"/>
  <c r="Y9" i="1" s="1"/>
  <c r="Z9" i="1" s="1"/>
  <c r="M39" i="1"/>
  <c r="N39" i="1" s="1"/>
  <c r="M10" i="1" s="1"/>
  <c r="N11" i="1" s="1"/>
  <c r="Y11" i="1" s="1"/>
  <c r="Z11" i="1" s="1"/>
  <c r="M41" i="1"/>
  <c r="N41" i="1" s="1"/>
  <c r="M12" i="1" s="1"/>
  <c r="N13" i="1" s="1"/>
  <c r="Y13" i="1" s="1"/>
  <c r="Z13" i="1" s="1"/>
  <c r="M43" i="1"/>
  <c r="N43" i="1" s="1"/>
  <c r="M14" i="1" s="1"/>
  <c r="N15" i="1" s="1"/>
  <c r="Y15" i="1" s="1"/>
  <c r="Z15" i="1" s="1"/>
  <c r="M45" i="1"/>
  <c r="N45" i="1" s="1"/>
  <c r="M16" i="1" s="1"/>
  <c r="N17" i="1" s="1"/>
  <c r="Y17" i="1" s="1"/>
  <c r="Z17" i="1" s="1"/>
  <c r="M47" i="1"/>
  <c r="N47" i="1" s="1"/>
  <c r="M18" i="1" s="1"/>
  <c r="N19" i="1" s="1"/>
  <c r="Y19" i="1" s="1"/>
  <c r="Z19" i="1" s="1"/>
  <c r="M49" i="1"/>
  <c r="N49" i="1" s="1"/>
  <c r="M20" i="1" s="1"/>
  <c r="N21" i="1" s="1"/>
  <c r="Y21" i="1" s="1"/>
  <c r="Z21" i="1" s="1"/>
  <c r="M51" i="1"/>
  <c r="N51" i="1" s="1"/>
  <c r="M22" i="1" s="1"/>
  <c r="N23" i="1" s="1"/>
  <c r="Y23" i="1" s="1"/>
  <c r="Z23" i="1" s="1"/>
  <c r="M53" i="1"/>
  <c r="N53" i="1" s="1"/>
  <c r="M24" i="1" s="1"/>
  <c r="N25" i="1" s="1"/>
  <c r="Y25" i="1" s="1"/>
  <c r="Z25" i="1" s="1"/>
  <c r="M55" i="1"/>
  <c r="N55" i="1" s="1"/>
  <c r="M26" i="1" s="1"/>
  <c r="N27" i="1" s="1"/>
  <c r="Y27" i="1" s="1"/>
  <c r="Z27" i="1" s="1"/>
  <c r="M57" i="1"/>
  <c r="N57" i="1" s="1"/>
  <c r="M28" i="1" s="1"/>
  <c r="N29" i="1" s="1"/>
  <c r="Y29" i="1" s="1"/>
  <c r="Z29" i="1" s="1"/>
  <c r="M59" i="1"/>
  <c r="N59" i="1" s="1"/>
  <c r="M30" i="1" s="1"/>
  <c r="C6" i="3"/>
  <c r="J4" i="1" s="1"/>
  <c r="K29" i="1" s="1"/>
  <c r="N24" i="1" l="1"/>
  <c r="Y24" i="1" s="1"/>
  <c r="Z24" i="1" s="1"/>
  <c r="N16" i="1"/>
  <c r="Y16" i="1" s="1"/>
  <c r="Z16" i="1" s="1"/>
  <c r="N8" i="1"/>
  <c r="Y8" i="1" s="1"/>
  <c r="Z8" i="1" s="1"/>
  <c r="K11" i="1"/>
  <c r="K8" i="1"/>
  <c r="N30" i="1"/>
  <c r="Y30" i="1" s="1"/>
  <c r="Z30" i="1" s="1"/>
  <c r="N22" i="1"/>
  <c r="Y22" i="1" s="1"/>
  <c r="Z22" i="1" s="1"/>
  <c r="N14" i="1"/>
  <c r="Y14" i="1" s="1"/>
  <c r="Z14" i="1" s="1"/>
  <c r="N6" i="1"/>
  <c r="Y6" i="1" s="1"/>
  <c r="Z6" i="1" s="1"/>
  <c r="K28" i="1"/>
  <c r="K5" i="1"/>
  <c r="K30" i="1"/>
  <c r="N28" i="1"/>
  <c r="Y28" i="1" s="1"/>
  <c r="Z28" i="1" s="1"/>
  <c r="N20" i="1"/>
  <c r="Y20" i="1" s="1"/>
  <c r="Z20" i="1" s="1"/>
  <c r="N12" i="1"/>
  <c r="Y12" i="1" s="1"/>
  <c r="Z12" i="1" s="1"/>
  <c r="I10" i="1"/>
  <c r="K10" i="1" s="1"/>
  <c r="I9" i="1"/>
  <c r="K9" i="1" s="1"/>
  <c r="K14" i="1"/>
  <c r="K6" i="1"/>
  <c r="J7" i="1"/>
  <c r="J11" i="1"/>
  <c r="J15" i="1"/>
  <c r="J19" i="1"/>
  <c r="J23" i="1"/>
  <c r="J27" i="1"/>
  <c r="J29" i="1"/>
  <c r="J14" i="1"/>
  <c r="J20" i="1"/>
  <c r="J21" i="1"/>
  <c r="J22" i="1"/>
  <c r="J5" i="1"/>
  <c r="J8" i="1"/>
  <c r="K13" i="1"/>
  <c r="J16" i="1"/>
  <c r="J17" i="1"/>
  <c r="J18" i="1"/>
  <c r="J30" i="1"/>
  <c r="J6" i="1"/>
  <c r="J9" i="1"/>
  <c r="J12" i="1"/>
  <c r="J28" i="1"/>
  <c r="J10" i="1"/>
  <c r="J13" i="1"/>
  <c r="J24" i="1"/>
  <c r="J25" i="1"/>
  <c r="J26" i="1"/>
  <c r="L4" i="1"/>
  <c r="N26" i="1"/>
  <c r="Y26" i="1" s="1"/>
  <c r="Z26" i="1" s="1"/>
  <c r="N18" i="1"/>
  <c r="Y18" i="1" s="1"/>
  <c r="Z18" i="1" s="1"/>
  <c r="N10" i="1"/>
  <c r="Y10" i="1" s="1"/>
  <c r="Z10" i="1" s="1"/>
  <c r="K7" i="1"/>
  <c r="K12" i="1"/>
  <c r="Z31" i="1" l="1"/>
  <c r="G69" i="1" s="1"/>
  <c r="I69" i="1" s="1"/>
  <c r="G71" i="1"/>
  <c r="L9" i="1"/>
  <c r="E9" i="1"/>
  <c r="P9" i="1" s="1"/>
  <c r="Q9" i="1" s="1"/>
  <c r="L16" i="1"/>
  <c r="E16" i="1"/>
  <c r="L15" i="1"/>
  <c r="E15" i="1"/>
  <c r="E13" i="1"/>
  <c r="P13" i="1" s="1"/>
  <c r="Q13" i="1" s="1"/>
  <c r="L13" i="1"/>
  <c r="P5" i="1"/>
  <c r="Q5" i="1" s="1"/>
  <c r="E5" i="1"/>
  <c r="O5" i="1" s="1"/>
  <c r="L5" i="1"/>
  <c r="L19" i="1"/>
  <c r="E19" i="1"/>
  <c r="L26" i="1"/>
  <c r="O26" i="1" s="1"/>
  <c r="R26" i="1" s="1"/>
  <c r="E26" i="1"/>
  <c r="L22" i="1"/>
  <c r="E22" i="1"/>
  <c r="E25" i="1"/>
  <c r="L25" i="1"/>
  <c r="E28" i="1"/>
  <c r="O28" i="1" s="1"/>
  <c r="L28" i="1"/>
  <c r="E30" i="1"/>
  <c r="P30" i="1" s="1"/>
  <c r="Q30" i="1" s="1"/>
  <c r="L30" i="1"/>
  <c r="E21" i="1"/>
  <c r="L21" i="1"/>
  <c r="P11" i="1"/>
  <c r="Q11" i="1" s="1"/>
  <c r="E11" i="1"/>
  <c r="O11" i="1" s="1"/>
  <c r="L11" i="1"/>
  <c r="E17" i="1"/>
  <c r="L17" i="1"/>
  <c r="E14" i="1"/>
  <c r="O14" i="1" s="1"/>
  <c r="R14" i="1" s="1"/>
  <c r="L14" i="1"/>
  <c r="P14" i="1"/>
  <c r="Q14" i="1" s="1"/>
  <c r="E10" i="1"/>
  <c r="O10" i="1" s="1"/>
  <c r="R10" i="1" s="1"/>
  <c r="L10" i="1"/>
  <c r="P10" i="1"/>
  <c r="Q10" i="1" s="1"/>
  <c r="E6" i="1"/>
  <c r="O6" i="1" s="1"/>
  <c r="L6" i="1"/>
  <c r="E29" i="1"/>
  <c r="O29" i="1" s="1"/>
  <c r="L29" i="1"/>
  <c r="E27" i="1"/>
  <c r="L27" i="1"/>
  <c r="L24" i="1"/>
  <c r="E24" i="1"/>
  <c r="E12" i="1"/>
  <c r="P12" i="1" s="1"/>
  <c r="Q12" i="1" s="1"/>
  <c r="L12" i="1"/>
  <c r="O12" i="1"/>
  <c r="L18" i="1"/>
  <c r="E18" i="1"/>
  <c r="E8" i="1"/>
  <c r="P8" i="1" s="1"/>
  <c r="Q8" i="1" s="1"/>
  <c r="L8" i="1"/>
  <c r="L20" i="1"/>
  <c r="O20" i="1" s="1"/>
  <c r="R20" i="1" s="1"/>
  <c r="E20" i="1"/>
  <c r="L23" i="1"/>
  <c r="E23" i="1"/>
  <c r="P7" i="1"/>
  <c r="Q7" i="1" s="1"/>
  <c r="E7" i="1"/>
  <c r="L7" i="1"/>
  <c r="O7" i="1"/>
  <c r="R11" i="1" l="1"/>
  <c r="O30" i="1"/>
  <c r="O24" i="1"/>
  <c r="R24" i="1" s="1"/>
  <c r="O21" i="1"/>
  <c r="R21" i="1" s="1"/>
  <c r="O27" i="1"/>
  <c r="R27" i="1" s="1"/>
  <c r="R5" i="1"/>
  <c r="R29" i="1"/>
  <c r="P28" i="1"/>
  <c r="Q28" i="1" s="1"/>
  <c r="P6" i="1"/>
  <c r="Q6" i="1" s="1"/>
  <c r="O23" i="1"/>
  <c r="R23" i="1" s="1"/>
  <c r="O8" i="1"/>
  <c r="R8" i="1" s="1"/>
  <c r="O18" i="1"/>
  <c r="R18" i="1" s="1"/>
  <c r="P29" i="1"/>
  <c r="Q29" i="1" s="1"/>
  <c r="O22" i="1"/>
  <c r="R22" i="1" s="1"/>
  <c r="O19" i="1"/>
  <c r="R19" i="1" s="1"/>
  <c r="O13" i="1"/>
  <c r="R13" i="1" s="1"/>
  <c r="O16" i="1"/>
  <c r="R16" i="1" s="1"/>
  <c r="O9" i="1"/>
  <c r="R9" i="1" s="1"/>
  <c r="R7" i="1"/>
  <c r="R12" i="1"/>
  <c r="O17" i="1"/>
  <c r="R17" i="1" s="1"/>
  <c r="R30" i="1"/>
  <c r="O25" i="1"/>
  <c r="R25" i="1" s="1"/>
  <c r="G70" i="1"/>
  <c r="I70" i="1" s="1"/>
  <c r="K70" i="1" s="1"/>
  <c r="I71" i="1"/>
  <c r="K71" i="1" s="1"/>
  <c r="O15" i="1"/>
  <c r="R15" i="1" s="1"/>
  <c r="K69" i="1"/>
  <c r="R28" i="1" l="1"/>
  <c r="R6" i="1"/>
  <c r="R31" i="1" s="1"/>
  <c r="R32" i="1" s="1"/>
  <c r="G72" i="1" l="1"/>
  <c r="G73" i="1"/>
  <c r="I73" i="1" s="1"/>
  <c r="K73" i="1" s="1"/>
  <c r="R34" i="1"/>
  <c r="G74" i="1"/>
  <c r="I74" i="1" s="1"/>
  <c r="K74" i="1" s="1"/>
  <c r="I72" i="1" l="1"/>
  <c r="G76" i="1"/>
  <c r="I76" i="1" s="1"/>
  <c r="K76" i="1" s="1"/>
  <c r="G75" i="1"/>
  <c r="I75" i="1" s="1"/>
  <c r="K75" i="1" s="1"/>
  <c r="K72" i="1" l="1"/>
  <c r="K79" i="1" s="1"/>
  <c r="C8" i="3" s="1"/>
  <c r="I79" i="1"/>
  <c r="C9" i="3" l="1"/>
  <c r="M4" i="3" s="1"/>
  <c r="N4" i="3" s="1"/>
  <c r="L4" i="3"/>
  <c r="F8" i="3"/>
</calcChain>
</file>

<file path=xl/sharedStrings.xml><?xml version="1.0" encoding="utf-8"?>
<sst xmlns="http://schemas.openxmlformats.org/spreadsheetml/2006/main" count="108" uniqueCount="92">
  <si>
    <t>Distance (m)</t>
  </si>
  <si>
    <t>Elevation (m)</t>
  </si>
  <si>
    <t>Natural Surface Level</t>
  </si>
  <si>
    <t>Section Width (mm)</t>
  </si>
  <si>
    <t>Section Width (m)</t>
  </si>
  <si>
    <t>Section Number</t>
  </si>
  <si>
    <t>Elevations (m)</t>
  </si>
  <si>
    <t>Full reservoir level/ spillway crest</t>
  </si>
  <si>
    <t>Bottom of rectangular section</t>
  </si>
  <si>
    <t>Non-overflow</t>
  </si>
  <si>
    <t>Overflow</t>
  </si>
  <si>
    <t>Depth (right)</t>
  </si>
  <si>
    <t>Average Section Depth</t>
  </si>
  <si>
    <t>Depths (m)</t>
  </si>
  <si>
    <t>NOF</t>
  </si>
  <si>
    <t>OF</t>
  </si>
  <si>
    <r>
      <t>Triangular Section Volume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</si>
  <si>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Rectangular Section Volume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</si>
  <si>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Triangular Overlap Volume (m3)</t>
  </si>
  <si>
    <t>Apron</t>
  </si>
  <si>
    <t>Bucket</t>
  </si>
  <si>
    <t>Depth (m)</t>
  </si>
  <si>
    <t>Top elevation (m)</t>
  </si>
  <si>
    <r>
      <t>Volume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</si>
  <si>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M10 Concrete</t>
  </si>
  <si>
    <t>M20 Concrete</t>
  </si>
  <si>
    <t>M15 Concrete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</si>
  <si>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</si>
  <si>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 xml:space="preserve">Explicit Foundation Elevation, m </t>
  </si>
  <si>
    <t xml:space="preserve">Interpolated Foundation Elevation, m </t>
  </si>
  <si>
    <t>Average Section Foundation Elevation, m</t>
  </si>
  <si>
    <t>Volumes (m3)</t>
  </si>
  <si>
    <t>Distance of right section boundary from left US side (m)</t>
  </si>
  <si>
    <t>SUM</t>
  </si>
  <si>
    <t>FrontFaceDepth</t>
  </si>
  <si>
    <t>Total Core/Shell Volume (m3)</t>
  </si>
  <si>
    <t>Depth Adjustment =</t>
  </si>
  <si>
    <t>Qty</t>
  </si>
  <si>
    <t>Earthfilling with Compaction</t>
  </si>
  <si>
    <t>Exacavation in overburden</t>
  </si>
  <si>
    <t>Exacavation in hardrock</t>
  </si>
  <si>
    <t>Section Area (m2)</t>
  </si>
  <si>
    <t>Excavation
(m3)</t>
  </si>
  <si>
    <t>Avg Excavation Depth --&gt;</t>
  </si>
  <si>
    <t>Reinforcement</t>
  </si>
  <si>
    <t>Drainage Holes</t>
  </si>
  <si>
    <t>Instrumentation</t>
  </si>
  <si>
    <t>Sluice Gates</t>
  </si>
  <si>
    <t>Unit Cost</t>
  </si>
  <si>
    <t>KSH/Unit</t>
  </si>
  <si>
    <t>Cost</t>
  </si>
  <si>
    <t>KSH</t>
  </si>
  <si>
    <t>USD</t>
  </si>
  <si>
    <t>KSH to USD =</t>
  </si>
  <si>
    <t>Reference Data</t>
  </si>
  <si>
    <t>Dam Height =</t>
  </si>
  <si>
    <t>Input</t>
  </si>
  <si>
    <t>Output</t>
  </si>
  <si>
    <t>Water Elevation =</t>
  </si>
  <si>
    <t>Mwache Resevoir Volume =</t>
  </si>
  <si>
    <t>Meters</t>
  </si>
  <si>
    <t>Dam Cost =</t>
  </si>
  <si>
    <t>USD 2013 -----------&gt;</t>
  </si>
  <si>
    <t>Elevation starting from river bed (m)</t>
  </si>
  <si>
    <t>Capacity (million m3)</t>
  </si>
  <si>
    <r>
      <t xml:space="preserve">million m3 &lt; Enter range between </t>
    </r>
    <r>
      <rPr>
        <sz val="11"/>
        <rFont val="Calibri"/>
        <family val="2"/>
        <scheme val="minor"/>
      </rPr>
      <t>20 a</t>
    </r>
    <r>
      <rPr>
        <sz val="11"/>
        <color theme="1"/>
        <rFont val="Calibri"/>
        <family val="2"/>
        <scheme val="minor"/>
      </rPr>
      <t>nd 115</t>
    </r>
  </si>
  <si>
    <t>Top of Dam =</t>
  </si>
  <si>
    <t xml:space="preserve">Height of </t>
  </si>
  <si>
    <t>Rectangular</t>
  </si>
  <si>
    <t>Section =</t>
  </si>
  <si>
    <t>Height of Dam</t>
  </si>
  <si>
    <t>Reduced</t>
  </si>
  <si>
    <t xml:space="preserve">Width of Dam </t>
  </si>
  <si>
    <t>Dynamic Section Width (m)</t>
  </si>
  <si>
    <t>% Error</t>
  </si>
  <si>
    <t>Top of section</t>
  </si>
  <si>
    <t>From feasibility report:</t>
  </si>
  <si>
    <t>Elevation(m)</t>
  </si>
  <si>
    <t>Area (sq km)</t>
  </si>
  <si>
    <t>Capacity (Mm3)</t>
  </si>
  <si>
    <t>Storage</t>
  </si>
  <si>
    <t>Height</t>
  </si>
  <si>
    <t>Dam Cost</t>
  </si>
  <si>
    <t>Cost per cubic meter</t>
  </si>
  <si>
    <t>Expansion cubic meter cost</t>
  </si>
  <si>
    <t>un</t>
  </si>
  <si>
    <t>Dam Cost per million cubic meter =</t>
  </si>
  <si>
    <t>From MATLAB</t>
  </si>
  <si>
    <t>Diff</t>
  </si>
  <si>
    <t>Hgt</t>
  </si>
  <si>
    <t>Cost/m^3</t>
  </si>
  <si>
    <t>Exp_unit_cost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</si>
</sst>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"/>
    <numFmt numFmtId="166" formatCode="&quot;$&quot;#,##0&quot; KSH&quot;"/>
    <numFmt numFmtId="167" formatCode="0.0%"/>
    <numFmt numFmtId="168" formatCode="&quot;$&quot;#,##0.00"/>
    <numFmt numFmtId="169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9"/>
      <color rgb="FF59595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0F52B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4">
    <xf numFmtId="0" fontId="0" fillId="0" borderId="0" xfId="0"/>
    <xf numFmtId="2" fontId="0" fillId="0" borderId="0" xfId="0" applyNumberFormat="1" applyAlignment="1">
      <alignment horizontal="centerContinuous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wrapText="1"/>
    </xf>
    <xf numFmtId="3" fontId="0" fillId="0" borderId="0" xfId="1" applyNumberFormat="1" applyFont="1"/>
    <xf numFmtId="3" fontId="2" fillId="0" borderId="0" xfId="1" applyNumberFormat="1" applyFont="1" applyAlignment="1">
      <alignment wrapText="1"/>
    </xf>
    <xf numFmtId="164" fontId="0" fillId="0" borderId="0" xfId="0" applyNumberFormat="1"/>
    <xf numFmtId="0" fontId="0" fillId="0" borderId="0" xfId="0" applyNumberFormat="1"/>
    <xf numFmtId="0" fontId="0" fillId="0" borderId="2" xfId="0" applyNumberFormat="1" applyBorder="1" applyAlignment="1">
      <alignment horizontal="centerContinuous"/>
    </xf>
    <xf numFmtId="164" fontId="0" fillId="0" borderId="3" xfId="0" applyNumberForma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2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/>
    </xf>
    <xf numFmtId="3" fontId="0" fillId="3" borderId="1" xfId="1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/>
    <xf numFmtId="3" fontId="2" fillId="0" borderId="0" xfId="0" applyNumberFormat="1" applyFont="1" applyAlignment="1">
      <alignment wrapText="1"/>
    </xf>
    <xf numFmtId="3" fontId="0" fillId="3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4" borderId="1" xfId="1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0" fontId="0" fillId="0" borderId="0" xfId="0" applyNumberFormat="1" applyAlignment="1">
      <alignment horizontal="centerContinuous"/>
    </xf>
    <xf numFmtId="3" fontId="0" fillId="5" borderId="6" xfId="0" applyNumberFormat="1" applyFont="1" applyFill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5" xfId="0" applyNumberFormat="1" applyFont="1" applyBorder="1" applyAlignment="1">
      <alignment horizontal="center" wrapText="1"/>
    </xf>
    <xf numFmtId="3" fontId="0" fillId="6" borderId="5" xfId="0" applyNumberFormat="1" applyFont="1" applyFill="1" applyBorder="1" applyAlignment="1">
      <alignment horizontal="center" wrapText="1"/>
    </xf>
    <xf numFmtId="3" fontId="0" fillId="0" borderId="11" xfId="0" applyNumberFormat="1" applyFont="1" applyBorder="1" applyAlignment="1">
      <alignment horizontal="center" wrapText="1"/>
    </xf>
    <xf numFmtId="3" fontId="0" fillId="6" borderId="1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3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right"/>
    </xf>
    <xf numFmtId="0" fontId="0" fillId="0" borderId="0" xfId="0" quotePrefix="1" applyAlignment="1">
      <alignment horizontal="right"/>
    </xf>
    <xf numFmtId="1" fontId="0" fillId="0" borderId="0" xfId="0" applyNumberFormat="1" applyFont="1" applyBorder="1" applyAlignment="1">
      <alignment horizontal="center" wrapText="1"/>
    </xf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8" xfId="0" applyBorder="1"/>
    <xf numFmtId="3" fontId="0" fillId="0" borderId="18" xfId="1" applyNumberFormat="1" applyFont="1" applyBorder="1"/>
    <xf numFmtId="3" fontId="0" fillId="0" borderId="18" xfId="1" applyNumberFormat="1" applyFont="1" applyBorder="1" applyAlignment="1">
      <alignment horizontal="right"/>
    </xf>
    <xf numFmtId="0" fontId="0" fillId="0" borderId="18" xfId="0" applyNumberFormat="1" applyBorder="1"/>
    <xf numFmtId="3" fontId="0" fillId="0" borderId="18" xfId="0" applyNumberFormat="1" applyBorder="1"/>
    <xf numFmtId="165" fontId="0" fillId="0" borderId="0" xfId="0" applyNumberFormat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  <xf numFmtId="165" fontId="0" fillId="8" borderId="0" xfId="0" applyNumberFormat="1" applyFill="1"/>
    <xf numFmtId="0" fontId="0" fillId="0" borderId="0" xfId="0" quotePrefix="1"/>
    <xf numFmtId="166" fontId="0" fillId="0" borderId="0" xfId="0" applyNumberFormat="1" applyAlignment="1">
      <alignment horizontal="left"/>
    </xf>
    <xf numFmtId="164" fontId="4" fillId="8" borderId="0" xfId="0" quotePrefix="1" applyNumberFormat="1" applyFont="1" applyFill="1" applyAlignment="1">
      <alignment horizontal="right" readingOrder="1"/>
    </xf>
    <xf numFmtId="164" fontId="4" fillId="8" borderId="0" xfId="0" applyNumberFormat="1" applyFont="1" applyFill="1" applyAlignment="1">
      <alignment horizontal="right" readingOrder="1"/>
    </xf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2" fontId="0" fillId="4" borderId="1" xfId="0" applyNumberFormat="1" applyFill="1" applyBorder="1" applyAlignment="1">
      <alignment horizontal="center"/>
    </xf>
    <xf numFmtId="3" fontId="0" fillId="0" borderId="0" xfId="0" applyNumberFormat="1" applyBorder="1"/>
    <xf numFmtId="167" fontId="0" fillId="0" borderId="0" xfId="2" applyNumberFormat="1" applyFont="1"/>
    <xf numFmtId="165" fontId="0" fillId="0" borderId="18" xfId="0" applyNumberFormat="1" applyBorder="1"/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168" fontId="0" fillId="0" borderId="0" xfId="0" applyNumberFormat="1"/>
    <xf numFmtId="169" fontId="0" fillId="0" borderId="0" xfId="3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169" fontId="0" fillId="0" borderId="0" xfId="0" applyNumberFormat="1"/>
  </cellXfs>
  <cellStyles count="6">
    <cellStyle name="Comma" xfId="1" builtinId="3"/>
    <cellStyle name="Currency" xfId="3" builtinId="4"/>
    <cellStyle name="Followed Hyperlink" xfId="5" builtinId="9" hidden="1"/>
    <cellStyle name="Hyperlink" xfId="4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Stage_Storage!$D$29</c:f>
              <c:strCache>
                <c:ptCount val="1"/>
                <c:pt idx="0">
                  <c:v>Capacity (Mm3)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86167705818198"/>
                  <c:y val="-2.37539554051071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Stage_Storage!$D$35:$D$48</c:f>
              <c:numCache>
                <c:formatCode>General</c:formatCode>
                <c:ptCount val="14"/>
                <c:pt idx="0">
                  <c:v>4.5599999999999996</c:v>
                </c:pt>
                <c:pt idx="1">
                  <c:v>8.218</c:v>
                </c:pt>
                <c:pt idx="2">
                  <c:v>13.192</c:v>
                </c:pt>
                <c:pt idx="3">
                  <c:v>19.417000000000002</c:v>
                </c:pt>
                <c:pt idx="4">
                  <c:v>27.173999999999999</c:v>
                </c:pt>
                <c:pt idx="5">
                  <c:v>36.747999999999998</c:v>
                </c:pt>
                <c:pt idx="6">
                  <c:v>48.430999999999997</c:v>
                </c:pt>
                <c:pt idx="7">
                  <c:v>62.43</c:v>
                </c:pt>
                <c:pt idx="8">
                  <c:v>78.900000000000006</c:v>
                </c:pt>
                <c:pt idx="9">
                  <c:v>98.418999999999997</c:v>
                </c:pt>
                <c:pt idx="10">
                  <c:v>124.01600000000001</c:v>
                </c:pt>
                <c:pt idx="11">
                  <c:v>159.43799999999999</c:v>
                </c:pt>
                <c:pt idx="12">
                  <c:v>207.44</c:v>
                </c:pt>
                <c:pt idx="13">
                  <c:v>271.71300000000002</c:v>
                </c:pt>
              </c:numCache>
            </c:numRef>
          </c:xVal>
          <c:yVal>
            <c:numRef>
              <c:f>Stage_Storage!$C$35:$C$48</c:f>
              <c:numCache>
                <c:formatCode>General</c:formatCode>
                <c:ptCount val="14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25-B646-91D0-81CDA3970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10933024"/>
        <c:axId val="-1552360080"/>
      </c:scatterChart>
      <c:valAx>
        <c:axId val="-151093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(MCM)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2360080"/>
        <c:crosses val="autoZero"/>
        <c:crossBetween val="midCat"/>
      </c:valAx>
      <c:valAx>
        <c:axId val="-15523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093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Natural Surface Level</c:v>
          </c:tx>
          <c:marker>
            <c:symbol val="none"/>
          </c:marker>
          <c:xVal>
            <c:numRef>
              <c:f>'Upstream face dimensions'!$AB$4:$AB$36</c:f>
              <c:numCache>
                <c:formatCode>General</c:formatCode>
                <c:ptCount val="33"/>
                <c:pt idx="0">
                  <c:v>0</c:v>
                </c:pt>
                <c:pt idx="1">
                  <c:v>19.309999999999999</c:v>
                </c:pt>
                <c:pt idx="2">
                  <c:v>44.95</c:v>
                </c:pt>
                <c:pt idx="3">
                  <c:v>59.65</c:v>
                </c:pt>
                <c:pt idx="4">
                  <c:v>74.41</c:v>
                </c:pt>
                <c:pt idx="5">
                  <c:v>93.76</c:v>
                </c:pt>
                <c:pt idx="6">
                  <c:v>109.12</c:v>
                </c:pt>
                <c:pt idx="7">
                  <c:v>126.89</c:v>
                </c:pt>
                <c:pt idx="8">
                  <c:v>150.02000000000001</c:v>
                </c:pt>
                <c:pt idx="9">
                  <c:v>165.34</c:v>
                </c:pt>
                <c:pt idx="10">
                  <c:v>173.6</c:v>
                </c:pt>
                <c:pt idx="11">
                  <c:v>184.65</c:v>
                </c:pt>
                <c:pt idx="12">
                  <c:v>194.39</c:v>
                </c:pt>
                <c:pt idx="13">
                  <c:v>203.93</c:v>
                </c:pt>
                <c:pt idx="14">
                  <c:v>216.82</c:v>
                </c:pt>
                <c:pt idx="15">
                  <c:v>246.61</c:v>
                </c:pt>
                <c:pt idx="16">
                  <c:v>268.62</c:v>
                </c:pt>
                <c:pt idx="17">
                  <c:v>280.99</c:v>
                </c:pt>
                <c:pt idx="18">
                  <c:v>289.39999999999998</c:v>
                </c:pt>
                <c:pt idx="19">
                  <c:v>308.98</c:v>
                </c:pt>
                <c:pt idx="20">
                  <c:v>322.16000000000003</c:v>
                </c:pt>
                <c:pt idx="21">
                  <c:v>332.12</c:v>
                </c:pt>
                <c:pt idx="22">
                  <c:v>341.72</c:v>
                </c:pt>
                <c:pt idx="23">
                  <c:v>351.02</c:v>
                </c:pt>
                <c:pt idx="24">
                  <c:v>361.93</c:v>
                </c:pt>
                <c:pt idx="25">
                  <c:v>376.79</c:v>
                </c:pt>
                <c:pt idx="26">
                  <c:v>399.25</c:v>
                </c:pt>
                <c:pt idx="27">
                  <c:v>414.86</c:v>
                </c:pt>
                <c:pt idx="28">
                  <c:v>423.75</c:v>
                </c:pt>
                <c:pt idx="29">
                  <c:v>431.14</c:v>
                </c:pt>
                <c:pt idx="30">
                  <c:v>438.14</c:v>
                </c:pt>
                <c:pt idx="31">
                  <c:v>444.45</c:v>
                </c:pt>
                <c:pt idx="32">
                  <c:v>452</c:v>
                </c:pt>
              </c:numCache>
            </c:numRef>
          </c:xVal>
          <c:yVal>
            <c:numRef>
              <c:f>'Upstream face dimensions'!$AC$4:$AC$36</c:f>
              <c:numCache>
                <c:formatCode>General</c:formatCode>
                <c:ptCount val="33"/>
                <c:pt idx="0">
                  <c:v>87.5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20</c:v>
                </c:pt>
                <c:pt idx="20">
                  <c:v>25</c:v>
                </c:pt>
                <c:pt idx="21">
                  <c:v>30</c:v>
                </c:pt>
                <c:pt idx="22">
                  <c:v>35</c:v>
                </c:pt>
                <c:pt idx="23">
                  <c:v>40</c:v>
                </c:pt>
                <c:pt idx="24">
                  <c:v>45</c:v>
                </c:pt>
                <c:pt idx="25">
                  <c:v>50</c:v>
                </c:pt>
                <c:pt idx="26">
                  <c:v>55</c:v>
                </c:pt>
                <c:pt idx="27">
                  <c:v>60</c:v>
                </c:pt>
                <c:pt idx="28">
                  <c:v>65</c:v>
                </c:pt>
                <c:pt idx="29">
                  <c:v>70</c:v>
                </c:pt>
                <c:pt idx="30">
                  <c:v>75</c:v>
                </c:pt>
                <c:pt idx="31">
                  <c:v>80</c:v>
                </c:pt>
                <c:pt idx="32">
                  <c:v>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A-734F-8652-EF3617A36DB6}"/>
            </c:ext>
          </c:extLst>
        </c:ser>
        <c:ser>
          <c:idx val="1"/>
          <c:order val="1"/>
          <c:tx>
            <c:v>Foundation</c:v>
          </c:tx>
          <c:marker>
            <c:symbol val="none"/>
          </c:marker>
          <c:xVal>
            <c:numRef>
              <c:f>'Upstream face dimensions'!$F$4:$F$30</c:f>
              <c:numCache>
                <c:formatCode>General</c:formatCode>
                <c:ptCount val="27"/>
                <c:pt idx="0">
                  <c:v>0</c:v>
                </c:pt>
                <c:pt idx="1">
                  <c:v>18.2</c:v>
                </c:pt>
                <c:pt idx="2">
                  <c:v>38.200000000000003</c:v>
                </c:pt>
                <c:pt idx="3">
                  <c:v>58.2</c:v>
                </c:pt>
                <c:pt idx="4">
                  <c:v>78.2</c:v>
                </c:pt>
                <c:pt idx="5">
                  <c:v>98.2</c:v>
                </c:pt>
                <c:pt idx="6">
                  <c:v>118.2</c:v>
                </c:pt>
                <c:pt idx="7">
                  <c:v>138.19999999999999</c:v>
                </c:pt>
                <c:pt idx="8">
                  <c:v>158.19999999999999</c:v>
                </c:pt>
                <c:pt idx="9">
                  <c:v>178.2</c:v>
                </c:pt>
                <c:pt idx="10">
                  <c:v>198.2</c:v>
                </c:pt>
                <c:pt idx="11">
                  <c:v>213.2</c:v>
                </c:pt>
                <c:pt idx="12">
                  <c:v>228.2</c:v>
                </c:pt>
                <c:pt idx="13">
                  <c:v>243.2</c:v>
                </c:pt>
                <c:pt idx="14">
                  <c:v>258.2</c:v>
                </c:pt>
                <c:pt idx="15">
                  <c:v>273.2</c:v>
                </c:pt>
                <c:pt idx="16">
                  <c:v>288.2</c:v>
                </c:pt>
                <c:pt idx="17">
                  <c:v>303.2</c:v>
                </c:pt>
                <c:pt idx="18">
                  <c:v>318.2</c:v>
                </c:pt>
                <c:pt idx="19">
                  <c:v>333.2</c:v>
                </c:pt>
                <c:pt idx="20">
                  <c:v>348.2</c:v>
                </c:pt>
                <c:pt idx="21">
                  <c:v>363.2</c:v>
                </c:pt>
                <c:pt idx="22">
                  <c:v>378.2</c:v>
                </c:pt>
                <c:pt idx="23">
                  <c:v>398.2</c:v>
                </c:pt>
                <c:pt idx="24">
                  <c:v>418.2</c:v>
                </c:pt>
                <c:pt idx="25">
                  <c:v>438.2</c:v>
                </c:pt>
                <c:pt idx="26">
                  <c:v>452</c:v>
                </c:pt>
              </c:numCache>
            </c:numRef>
          </c:xVal>
          <c:yVal>
            <c:numRef>
              <c:f>'Upstream face dimensions'!$H$4:$H$30</c:f>
              <c:numCache>
                <c:formatCode>0.0</c:formatCode>
                <c:ptCount val="27"/>
                <c:pt idx="0">
                  <c:v>87.5</c:v>
                </c:pt>
                <c:pt idx="1">
                  <c:v>83.574136125654448</c:v>
                </c:pt>
                <c:pt idx="2">
                  <c:v>79.260000000000005</c:v>
                </c:pt>
                <c:pt idx="3">
                  <c:v>72.63</c:v>
                </c:pt>
                <c:pt idx="4">
                  <c:v>66</c:v>
                </c:pt>
                <c:pt idx="5">
                  <c:v>60</c:v>
                </c:pt>
                <c:pt idx="6">
                  <c:v>54</c:v>
                </c:pt>
                <c:pt idx="7">
                  <c:v>48</c:v>
                </c:pt>
                <c:pt idx="8">
                  <c:v>44.5</c:v>
                </c:pt>
                <c:pt idx="9">
                  <c:v>30.07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26.52</c:v>
                </c:pt>
                <c:pt idx="24">
                  <c:v>39</c:v>
                </c:pt>
                <c:pt idx="25">
                  <c:v>66</c:v>
                </c:pt>
                <c:pt idx="26">
                  <c:v>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FA-734F-8652-EF3617A36DB6}"/>
            </c:ext>
          </c:extLst>
        </c:ser>
        <c:ser>
          <c:idx val="2"/>
          <c:order val="2"/>
          <c:tx>
            <c:v>Dam crest</c:v>
          </c:tx>
          <c:marker>
            <c:symbol val="none"/>
          </c:marker>
          <c:xVal>
            <c:numRef>
              <c:f>'Upstream face dimensions'!$F$4:$F$30</c:f>
              <c:numCache>
                <c:formatCode>General</c:formatCode>
                <c:ptCount val="27"/>
                <c:pt idx="0">
                  <c:v>0</c:v>
                </c:pt>
                <c:pt idx="1">
                  <c:v>18.2</c:v>
                </c:pt>
                <c:pt idx="2">
                  <c:v>38.200000000000003</c:v>
                </c:pt>
                <c:pt idx="3">
                  <c:v>58.2</c:v>
                </c:pt>
                <c:pt idx="4">
                  <c:v>78.2</c:v>
                </c:pt>
                <c:pt idx="5">
                  <c:v>98.2</c:v>
                </c:pt>
                <c:pt idx="6">
                  <c:v>118.2</c:v>
                </c:pt>
                <c:pt idx="7">
                  <c:v>138.19999999999999</c:v>
                </c:pt>
                <c:pt idx="8">
                  <c:v>158.19999999999999</c:v>
                </c:pt>
                <c:pt idx="9">
                  <c:v>178.2</c:v>
                </c:pt>
                <c:pt idx="10">
                  <c:v>198.2</c:v>
                </c:pt>
                <c:pt idx="11">
                  <c:v>213.2</c:v>
                </c:pt>
                <c:pt idx="12">
                  <c:v>228.2</c:v>
                </c:pt>
                <c:pt idx="13">
                  <c:v>243.2</c:v>
                </c:pt>
                <c:pt idx="14">
                  <c:v>258.2</c:v>
                </c:pt>
                <c:pt idx="15">
                  <c:v>273.2</c:v>
                </c:pt>
                <c:pt idx="16">
                  <c:v>288.2</c:v>
                </c:pt>
                <c:pt idx="17">
                  <c:v>303.2</c:v>
                </c:pt>
                <c:pt idx="18">
                  <c:v>318.2</c:v>
                </c:pt>
                <c:pt idx="19">
                  <c:v>333.2</c:v>
                </c:pt>
                <c:pt idx="20">
                  <c:v>348.2</c:v>
                </c:pt>
                <c:pt idx="21">
                  <c:v>363.2</c:v>
                </c:pt>
                <c:pt idx="22">
                  <c:v>378.2</c:v>
                </c:pt>
                <c:pt idx="23">
                  <c:v>398.2</c:v>
                </c:pt>
                <c:pt idx="24">
                  <c:v>418.2</c:v>
                </c:pt>
                <c:pt idx="25">
                  <c:v>438.2</c:v>
                </c:pt>
                <c:pt idx="26">
                  <c:v>452</c:v>
                </c:pt>
              </c:numCache>
            </c:numRef>
          </c:xVal>
          <c:yVal>
            <c:numRef>
              <c:f>'Upstream face dimensions'!$J$4:$J$30</c:f>
              <c:numCache>
                <c:formatCode>0.0</c:formatCode>
                <c:ptCount val="27"/>
                <c:pt idx="0" formatCode="General">
                  <c:v>56.543215100404851</c:v>
                </c:pt>
                <c:pt idx="1">
                  <c:v>56.543215100404851</c:v>
                </c:pt>
                <c:pt idx="2">
                  <c:v>56.543215100404851</c:v>
                </c:pt>
                <c:pt idx="3">
                  <c:v>56.543215100404851</c:v>
                </c:pt>
                <c:pt idx="4">
                  <c:v>56.543215100404851</c:v>
                </c:pt>
                <c:pt idx="5">
                  <c:v>56.543215100404851</c:v>
                </c:pt>
                <c:pt idx="6">
                  <c:v>56.543215100404851</c:v>
                </c:pt>
                <c:pt idx="7">
                  <c:v>56.543215100404851</c:v>
                </c:pt>
                <c:pt idx="8">
                  <c:v>56.543215100404851</c:v>
                </c:pt>
                <c:pt idx="9">
                  <c:v>56.543215100404851</c:v>
                </c:pt>
                <c:pt idx="10">
                  <c:v>56.543215100404851</c:v>
                </c:pt>
                <c:pt idx="11">
                  <c:v>56.543215100404851</c:v>
                </c:pt>
                <c:pt idx="12">
                  <c:v>56.543215100404851</c:v>
                </c:pt>
                <c:pt idx="13">
                  <c:v>56.543215100404851</c:v>
                </c:pt>
                <c:pt idx="14">
                  <c:v>56.543215100404851</c:v>
                </c:pt>
                <c:pt idx="15">
                  <c:v>56.543215100404851</c:v>
                </c:pt>
                <c:pt idx="16">
                  <c:v>56.543215100404851</c:v>
                </c:pt>
                <c:pt idx="17">
                  <c:v>56.543215100404851</c:v>
                </c:pt>
                <c:pt idx="18">
                  <c:v>56.543215100404851</c:v>
                </c:pt>
                <c:pt idx="19">
                  <c:v>56.543215100404851</c:v>
                </c:pt>
                <c:pt idx="20">
                  <c:v>56.543215100404851</c:v>
                </c:pt>
                <c:pt idx="21">
                  <c:v>56.543215100404851</c:v>
                </c:pt>
                <c:pt idx="22">
                  <c:v>56.543215100404851</c:v>
                </c:pt>
                <c:pt idx="23">
                  <c:v>56.543215100404851</c:v>
                </c:pt>
                <c:pt idx="24">
                  <c:v>56.543215100404851</c:v>
                </c:pt>
                <c:pt idx="25">
                  <c:v>56.543215100404851</c:v>
                </c:pt>
                <c:pt idx="26">
                  <c:v>56.543215100404851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FA-734F-8652-EF3617A36DB6}"/>
            </c:ext>
          </c:extLst>
        </c:ser>
        <c:ser>
          <c:idx val="3"/>
          <c:order val="3"/>
          <c:tx>
            <c:v>Parapet Bottom</c:v>
          </c:tx>
          <c:spPr>
            <a:ln w="12700">
              <a:prstDash val="dash"/>
            </a:ln>
          </c:spPr>
          <c:marker>
            <c:symbol val="none"/>
          </c:marker>
          <c:xVal>
            <c:numRef>
              <c:f>'Upstream face dimensions'!$F$4:$F$30</c:f>
              <c:numCache>
                <c:formatCode>General</c:formatCode>
                <c:ptCount val="27"/>
                <c:pt idx="0">
                  <c:v>0</c:v>
                </c:pt>
                <c:pt idx="1">
                  <c:v>18.2</c:v>
                </c:pt>
                <c:pt idx="2">
                  <c:v>38.200000000000003</c:v>
                </c:pt>
                <c:pt idx="3">
                  <c:v>58.2</c:v>
                </c:pt>
                <c:pt idx="4">
                  <c:v>78.2</c:v>
                </c:pt>
                <c:pt idx="5">
                  <c:v>98.2</c:v>
                </c:pt>
                <c:pt idx="6">
                  <c:v>118.2</c:v>
                </c:pt>
                <c:pt idx="7">
                  <c:v>138.19999999999999</c:v>
                </c:pt>
                <c:pt idx="8">
                  <c:v>158.19999999999999</c:v>
                </c:pt>
                <c:pt idx="9">
                  <c:v>178.2</c:v>
                </c:pt>
                <c:pt idx="10">
                  <c:v>198.2</c:v>
                </c:pt>
                <c:pt idx="11">
                  <c:v>213.2</c:v>
                </c:pt>
                <c:pt idx="12">
                  <c:v>228.2</c:v>
                </c:pt>
                <c:pt idx="13">
                  <c:v>243.2</c:v>
                </c:pt>
                <c:pt idx="14">
                  <c:v>258.2</c:v>
                </c:pt>
                <c:pt idx="15">
                  <c:v>273.2</c:v>
                </c:pt>
                <c:pt idx="16">
                  <c:v>288.2</c:v>
                </c:pt>
                <c:pt idx="17">
                  <c:v>303.2</c:v>
                </c:pt>
                <c:pt idx="18">
                  <c:v>318.2</c:v>
                </c:pt>
                <c:pt idx="19">
                  <c:v>333.2</c:v>
                </c:pt>
                <c:pt idx="20">
                  <c:v>348.2</c:v>
                </c:pt>
                <c:pt idx="21">
                  <c:v>363.2</c:v>
                </c:pt>
                <c:pt idx="22">
                  <c:v>378.2</c:v>
                </c:pt>
                <c:pt idx="23">
                  <c:v>398.2</c:v>
                </c:pt>
                <c:pt idx="24">
                  <c:v>418.2</c:v>
                </c:pt>
                <c:pt idx="25">
                  <c:v>438.2</c:v>
                </c:pt>
                <c:pt idx="26">
                  <c:v>452</c:v>
                </c:pt>
              </c:numCache>
            </c:numRef>
          </c:xVal>
          <c:yVal>
            <c:numRef>
              <c:f>'Upstream face dimensions'!$K$4:$K$30</c:f>
              <c:numCache>
                <c:formatCode>0.0</c:formatCode>
                <c:ptCount val="27"/>
                <c:pt idx="1">
                  <c:v>85.537068062827217</c:v>
                </c:pt>
                <c:pt idx="2">
                  <c:v>81.417068062827227</c:v>
                </c:pt>
                <c:pt idx="3">
                  <c:v>75.944999999999993</c:v>
                </c:pt>
                <c:pt idx="4">
                  <c:v>69.314999999999998</c:v>
                </c:pt>
                <c:pt idx="5">
                  <c:v>63</c:v>
                </c:pt>
                <c:pt idx="6">
                  <c:v>57</c:v>
                </c:pt>
                <c:pt idx="7">
                  <c:v>51</c:v>
                </c:pt>
                <c:pt idx="8">
                  <c:v>46.25</c:v>
                </c:pt>
                <c:pt idx="9">
                  <c:v>42.043215100404851</c:v>
                </c:pt>
                <c:pt idx="10">
                  <c:v>42.043215100404851</c:v>
                </c:pt>
                <c:pt idx="24">
                  <c:v>42.043215100404851</c:v>
                </c:pt>
                <c:pt idx="25">
                  <c:v>52.5</c:v>
                </c:pt>
                <c:pt idx="26">
                  <c:v>76.75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FA-734F-8652-EF3617A36DB6}"/>
            </c:ext>
          </c:extLst>
        </c:ser>
        <c:ser>
          <c:idx val="4"/>
          <c:order val="4"/>
          <c:tx>
            <c:v>Spillway crest</c:v>
          </c:tx>
          <c:spPr>
            <a:ln w="12700">
              <a:prstDash val="sysDash"/>
            </a:ln>
          </c:spPr>
          <c:marker>
            <c:symbol val="none"/>
          </c:marker>
          <c:xVal>
            <c:numRef>
              <c:f>'Upstream face dimensions'!$F$4:$F$30</c:f>
              <c:numCache>
                <c:formatCode>General</c:formatCode>
                <c:ptCount val="27"/>
                <c:pt idx="0">
                  <c:v>0</c:v>
                </c:pt>
                <c:pt idx="1">
                  <c:v>18.2</c:v>
                </c:pt>
                <c:pt idx="2">
                  <c:v>38.200000000000003</c:v>
                </c:pt>
                <c:pt idx="3">
                  <c:v>58.2</c:v>
                </c:pt>
                <c:pt idx="4">
                  <c:v>78.2</c:v>
                </c:pt>
                <c:pt idx="5">
                  <c:v>98.2</c:v>
                </c:pt>
                <c:pt idx="6">
                  <c:v>118.2</c:v>
                </c:pt>
                <c:pt idx="7">
                  <c:v>138.19999999999999</c:v>
                </c:pt>
                <c:pt idx="8">
                  <c:v>158.19999999999999</c:v>
                </c:pt>
                <c:pt idx="9">
                  <c:v>178.2</c:v>
                </c:pt>
                <c:pt idx="10">
                  <c:v>198.2</c:v>
                </c:pt>
                <c:pt idx="11">
                  <c:v>213.2</c:v>
                </c:pt>
                <c:pt idx="12">
                  <c:v>228.2</c:v>
                </c:pt>
                <c:pt idx="13">
                  <c:v>243.2</c:v>
                </c:pt>
                <c:pt idx="14">
                  <c:v>258.2</c:v>
                </c:pt>
                <c:pt idx="15">
                  <c:v>273.2</c:v>
                </c:pt>
                <c:pt idx="16">
                  <c:v>288.2</c:v>
                </c:pt>
                <c:pt idx="17">
                  <c:v>303.2</c:v>
                </c:pt>
                <c:pt idx="18">
                  <c:v>318.2</c:v>
                </c:pt>
                <c:pt idx="19">
                  <c:v>333.2</c:v>
                </c:pt>
                <c:pt idx="20">
                  <c:v>348.2</c:v>
                </c:pt>
                <c:pt idx="21">
                  <c:v>363.2</c:v>
                </c:pt>
                <c:pt idx="22">
                  <c:v>378.2</c:v>
                </c:pt>
                <c:pt idx="23">
                  <c:v>398.2</c:v>
                </c:pt>
                <c:pt idx="24">
                  <c:v>418.2</c:v>
                </c:pt>
                <c:pt idx="25">
                  <c:v>438.2</c:v>
                </c:pt>
                <c:pt idx="26">
                  <c:v>452</c:v>
                </c:pt>
              </c:numCache>
            </c:numRef>
          </c:xVal>
          <c:yVal>
            <c:numRef>
              <c:f>'Upstream face dimensions'!$L$4:$L$30</c:f>
              <c:numCache>
                <c:formatCode>0.0</c:formatCode>
                <c:ptCount val="27"/>
                <c:pt idx="0">
                  <c:v>51.543215100404851</c:v>
                </c:pt>
                <c:pt idx="1">
                  <c:v>51.543215100404851</c:v>
                </c:pt>
                <c:pt idx="2">
                  <c:v>51.543215100404851</c:v>
                </c:pt>
                <c:pt idx="3">
                  <c:v>51.543215100404851</c:v>
                </c:pt>
                <c:pt idx="4">
                  <c:v>51.543215100404851</c:v>
                </c:pt>
                <c:pt idx="5">
                  <c:v>51.543215100404851</c:v>
                </c:pt>
                <c:pt idx="6">
                  <c:v>51.543215100404851</c:v>
                </c:pt>
                <c:pt idx="7">
                  <c:v>51.543215100404851</c:v>
                </c:pt>
                <c:pt idx="8">
                  <c:v>51.543215100404851</c:v>
                </c:pt>
                <c:pt idx="9">
                  <c:v>51.543215100404851</c:v>
                </c:pt>
                <c:pt idx="10">
                  <c:v>51.543215100404851</c:v>
                </c:pt>
                <c:pt idx="11">
                  <c:v>51.543215100404851</c:v>
                </c:pt>
                <c:pt idx="12">
                  <c:v>51.543215100404851</c:v>
                </c:pt>
                <c:pt idx="13">
                  <c:v>51.543215100404851</c:v>
                </c:pt>
                <c:pt idx="14">
                  <c:v>51.543215100404851</c:v>
                </c:pt>
                <c:pt idx="15">
                  <c:v>51.543215100404851</c:v>
                </c:pt>
                <c:pt idx="16">
                  <c:v>51.543215100404851</c:v>
                </c:pt>
                <c:pt idx="17">
                  <c:v>51.543215100404851</c:v>
                </c:pt>
                <c:pt idx="18">
                  <c:v>51.543215100404851</c:v>
                </c:pt>
                <c:pt idx="19">
                  <c:v>51.543215100404851</c:v>
                </c:pt>
                <c:pt idx="20">
                  <c:v>51.543215100404851</c:v>
                </c:pt>
                <c:pt idx="21">
                  <c:v>51.543215100404851</c:v>
                </c:pt>
                <c:pt idx="22">
                  <c:v>51.543215100404851</c:v>
                </c:pt>
                <c:pt idx="23">
                  <c:v>51.543215100404851</c:v>
                </c:pt>
                <c:pt idx="24">
                  <c:v>51.543215100404851</c:v>
                </c:pt>
                <c:pt idx="25">
                  <c:v>51.543215100404851</c:v>
                </c:pt>
                <c:pt idx="26">
                  <c:v>51.543215100404851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FA-734F-8652-EF3617A3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2647472"/>
        <c:axId val="-1492645424"/>
      </c:scatterChart>
      <c:valAx>
        <c:axId val="-149264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492645424"/>
        <c:crosses val="autoZero"/>
        <c:crossBetween val="midCat"/>
      </c:valAx>
      <c:valAx>
        <c:axId val="-149264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92647472"/>
        <c:crosses val="autoZero"/>
        <c:crossBetween val="midCat"/>
      </c:valAx>
    </c:plotArea>
    <c:legend>
      <c:legendPos val="b"/>
      <c:overlay val="0"/>
    </c:legend>
    <c:plotVisOnly val="1"/>
    <c:dispBlanksAs val="span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7</xdr:row>
      <xdr:rowOff>177800</xdr:rowOff>
    </xdr:from>
    <xdr:to>
      <xdr:col>20</xdr:col>
      <xdr:colOff>444500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17</xdr:row>
      <xdr:rowOff>0</xdr:rowOff>
    </xdr:from>
    <xdr:to>
      <xdr:col>46</xdr:col>
      <xdr:colOff>489026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3</xdr:row>
      <xdr:rowOff>0</xdr:rowOff>
    </xdr:from>
    <xdr:to>
      <xdr:col>40</xdr:col>
      <xdr:colOff>342900</xdr:colOff>
      <xdr:row>16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220700" y="1104900"/>
          <a:ext cx="6438900" cy="2392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Nonoverflow rectangular</a:t>
          </a:r>
          <a:r>
            <a:rPr lang="en-US" sz="1100" baseline="0"/>
            <a:t> section = Rectangular prism: Volume = Width * depth * height</a:t>
          </a:r>
        </a:p>
        <a:p>
          <a:r>
            <a:rPr lang="en-US" sz="1100"/>
            <a:t>Dam core/shell = Triangular prism: Volume =</a:t>
          </a:r>
          <a:r>
            <a:rPr lang="en-US" sz="1100" baseline="0"/>
            <a:t> 1/3 * base * height</a:t>
          </a:r>
        </a:p>
        <a:p>
          <a:r>
            <a:rPr lang="en-US" sz="1100" baseline="0"/>
            <a:t>	Base of triangular prism = rectangle, therefore Volume = 1/3 * width * depth * height</a:t>
          </a:r>
        </a:p>
        <a:p>
          <a:r>
            <a:rPr lang="en-US" sz="1100" baseline="0"/>
            <a:t>Overlap between solids calculated by rectangular and triangular portions of nonoverflow sections of dam 	core/shell = Triangular prism with width, depth, and height of rectangular section but formula 	for triangular prism</a:t>
          </a:r>
        </a:p>
        <a:p>
          <a:r>
            <a:rPr lang="en-US" sz="1100" baseline="0"/>
            <a:t>	</a:t>
          </a:r>
        </a:p>
        <a:p>
          <a:r>
            <a:rPr lang="en-US" sz="1100" baseline="0"/>
            <a:t>Left out of Phase 1 volume calculations  - training wall, bucket, apron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E48"/>
  <sheetViews>
    <sheetView topLeftCell="A21" workbookViewId="0">
      <selection activeCell="G32" sqref="G32"/>
    </sheetView>
  </sheetViews>
  <sheetFormatPr baseColWidth="10" defaultColWidth="8.83203125" defaultRowHeight="15" x14ac:dyDescent="0.2"/>
  <sheetData>
    <row r="13" spans="2:3" x14ac:dyDescent="0.2">
      <c r="B13" t="s">
        <v>63</v>
      </c>
      <c r="C13" t="s">
        <v>64</v>
      </c>
    </row>
    <row r="14" spans="2:3" x14ac:dyDescent="0.2">
      <c r="B14">
        <v>49</v>
      </c>
      <c r="C14">
        <v>20</v>
      </c>
    </row>
    <row r="15" spans="2:3" x14ac:dyDescent="0.2">
      <c r="B15">
        <v>61</v>
      </c>
      <c r="C15">
        <v>40</v>
      </c>
    </row>
    <row r="16" spans="2:3" x14ac:dyDescent="0.2">
      <c r="B16">
        <v>67</v>
      </c>
      <c r="C16">
        <v>60</v>
      </c>
    </row>
    <row r="17" spans="2:5" x14ac:dyDescent="0.2">
      <c r="B17">
        <v>73</v>
      </c>
      <c r="C17">
        <v>80</v>
      </c>
    </row>
    <row r="18" spans="2:5" x14ac:dyDescent="0.2">
      <c r="B18">
        <v>79</v>
      </c>
      <c r="C18">
        <v>100</v>
      </c>
    </row>
    <row r="19" spans="2:5" x14ac:dyDescent="0.2">
      <c r="B19">
        <v>82</v>
      </c>
      <c r="C19">
        <v>120</v>
      </c>
    </row>
    <row r="20" spans="2:5" x14ac:dyDescent="0.2">
      <c r="B20">
        <v>86</v>
      </c>
      <c r="C20">
        <v>140</v>
      </c>
    </row>
    <row r="21" spans="2:5" x14ac:dyDescent="0.2">
      <c r="B21">
        <v>89</v>
      </c>
      <c r="C21">
        <v>160</v>
      </c>
    </row>
    <row r="27" spans="2:5" x14ac:dyDescent="0.2">
      <c r="C27" t="s">
        <v>76</v>
      </c>
    </row>
    <row r="29" spans="2:5" x14ac:dyDescent="0.2">
      <c r="C29" t="s">
        <v>77</v>
      </c>
      <c r="D29" t="s">
        <v>79</v>
      </c>
      <c r="E29" t="s">
        <v>78</v>
      </c>
    </row>
    <row r="30" spans="2:5" ht="16" thickBot="1" x14ac:dyDescent="0.25">
      <c r="C30" s="96">
        <v>14</v>
      </c>
      <c r="D30" s="97">
        <v>0</v>
      </c>
      <c r="E30" s="97">
        <v>0</v>
      </c>
    </row>
    <row r="31" spans="2:5" ht="16" thickBot="1" x14ac:dyDescent="0.25">
      <c r="C31" s="96">
        <v>15</v>
      </c>
      <c r="D31" s="97">
        <v>4.0000000000000001E-3</v>
      </c>
      <c r="E31" s="97">
        <v>1.0999999999999999E-2</v>
      </c>
    </row>
    <row r="32" spans="2:5" ht="16" thickBot="1" x14ac:dyDescent="0.25">
      <c r="C32" s="96">
        <v>20</v>
      </c>
      <c r="D32" s="97">
        <v>0.248</v>
      </c>
      <c r="E32" s="97">
        <v>0.10199999999999999</v>
      </c>
    </row>
    <row r="33" spans="3:5" ht="16" thickBot="1" x14ac:dyDescent="0.25">
      <c r="C33" s="96">
        <v>25</v>
      </c>
      <c r="D33" s="97">
        <v>0.96899999999999997</v>
      </c>
      <c r="E33" s="97">
        <v>0.191</v>
      </c>
    </row>
    <row r="34" spans="3:5" ht="16" thickBot="1" x14ac:dyDescent="0.25">
      <c r="C34" s="96">
        <v>30</v>
      </c>
      <c r="D34" s="97">
        <v>2.2719999999999998</v>
      </c>
      <c r="E34" s="97">
        <v>0.33700000000000002</v>
      </c>
    </row>
    <row r="35" spans="3:5" ht="16" thickBot="1" x14ac:dyDescent="0.25">
      <c r="C35" s="96">
        <v>35</v>
      </c>
      <c r="D35" s="97">
        <v>4.5599999999999996</v>
      </c>
      <c r="E35" s="97">
        <v>0.59</v>
      </c>
    </row>
    <row r="36" spans="3:5" ht="16" thickBot="1" x14ac:dyDescent="0.25">
      <c r="C36" s="96">
        <v>40</v>
      </c>
      <c r="D36" s="97">
        <v>8.218</v>
      </c>
      <c r="E36" s="97">
        <v>0.88300000000000001</v>
      </c>
    </row>
    <row r="37" spans="3:5" ht="16" thickBot="1" x14ac:dyDescent="0.25">
      <c r="C37" s="96">
        <v>45</v>
      </c>
      <c r="D37" s="97">
        <v>13.192</v>
      </c>
      <c r="E37" s="97">
        <v>1.111</v>
      </c>
    </row>
    <row r="38" spans="3:5" ht="16" thickBot="1" x14ac:dyDescent="0.25">
      <c r="C38" s="96">
        <v>50</v>
      </c>
      <c r="D38" s="97">
        <v>19.417000000000002</v>
      </c>
      <c r="E38" s="97">
        <v>1.3839999999999999</v>
      </c>
    </row>
    <row r="39" spans="3:5" ht="16" thickBot="1" x14ac:dyDescent="0.25">
      <c r="C39" s="96">
        <v>55</v>
      </c>
      <c r="D39" s="97">
        <v>27.173999999999999</v>
      </c>
      <c r="E39" s="97">
        <v>1.7250000000000001</v>
      </c>
    </row>
    <row r="40" spans="3:5" ht="16" thickBot="1" x14ac:dyDescent="0.25">
      <c r="C40" s="96">
        <v>60</v>
      </c>
      <c r="D40" s="97">
        <v>36.747999999999998</v>
      </c>
      <c r="E40" s="97">
        <v>2.1110000000000002</v>
      </c>
    </row>
    <row r="41" spans="3:5" ht="16" thickBot="1" x14ac:dyDescent="0.25">
      <c r="C41" s="96">
        <v>65</v>
      </c>
      <c r="D41" s="97">
        <v>48.430999999999997</v>
      </c>
      <c r="E41" s="97">
        <v>2.57</v>
      </c>
    </row>
    <row r="42" spans="3:5" ht="16" thickBot="1" x14ac:dyDescent="0.25">
      <c r="C42" s="96">
        <v>70</v>
      </c>
      <c r="D42" s="97">
        <v>62.43</v>
      </c>
      <c r="E42" s="97">
        <v>3.036</v>
      </c>
    </row>
    <row r="43" spans="3:5" ht="16" thickBot="1" x14ac:dyDescent="0.25">
      <c r="C43" s="96">
        <v>75</v>
      </c>
      <c r="D43" s="97">
        <v>78.900000000000006</v>
      </c>
      <c r="E43" s="97">
        <v>3.5590000000000002</v>
      </c>
    </row>
    <row r="44" spans="3:5" ht="16" thickBot="1" x14ac:dyDescent="0.25">
      <c r="C44" s="96">
        <v>80</v>
      </c>
      <c r="D44" s="97">
        <v>98.418999999999997</v>
      </c>
      <c r="E44" s="97">
        <v>4.2590000000000003</v>
      </c>
    </row>
    <row r="45" spans="3:5" ht="16" thickBot="1" x14ac:dyDescent="0.25">
      <c r="C45" s="96">
        <v>85</v>
      </c>
      <c r="D45" s="97">
        <v>124.01600000000001</v>
      </c>
      <c r="E45" s="97">
        <v>6.0309999999999997</v>
      </c>
    </row>
    <row r="46" spans="3:5" ht="16" thickBot="1" x14ac:dyDescent="0.25">
      <c r="C46" s="96">
        <v>90</v>
      </c>
      <c r="D46" s="97">
        <v>159.43799999999999</v>
      </c>
      <c r="E46" s="97">
        <v>8.1929999999999996</v>
      </c>
    </row>
    <row r="47" spans="3:5" ht="16" thickBot="1" x14ac:dyDescent="0.25">
      <c r="C47" s="96">
        <v>95</v>
      </c>
      <c r="D47" s="97">
        <v>207.44</v>
      </c>
      <c r="E47" s="97">
        <v>11.08</v>
      </c>
    </row>
    <row r="48" spans="3:5" ht="16" thickBot="1" x14ac:dyDescent="0.25">
      <c r="C48" s="96">
        <v>100</v>
      </c>
      <c r="D48" s="97">
        <v>271.71300000000002</v>
      </c>
      <c r="E48" s="97">
        <v>14.715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8"/>
  <sheetViews>
    <sheetView topLeftCell="Z1" zoomScale="85" zoomScaleNormal="85" zoomScalePageLayoutView="85" workbookViewId="0">
      <selection activeCell="AA23" sqref="AA23"/>
    </sheetView>
  </sheetViews>
  <sheetFormatPr baseColWidth="10" defaultColWidth="8.83203125" defaultRowHeight="15" x14ac:dyDescent="0.2"/>
  <cols>
    <col min="3" max="3" width="13" style="4" customWidth="1"/>
    <col min="4" max="5" width="12.5" customWidth="1"/>
    <col min="6" max="6" width="12.1640625" customWidth="1"/>
    <col min="7" max="7" width="18.5" style="7" customWidth="1"/>
    <col min="8" max="9" width="18" style="6" customWidth="1"/>
    <col min="10" max="10" width="12.6640625" customWidth="1"/>
    <col min="11" max="11" width="12.33203125" customWidth="1"/>
    <col min="12" max="13" width="14.33203125" customWidth="1"/>
    <col min="14" max="14" width="14.83203125" customWidth="1"/>
    <col min="15" max="15" width="14.83203125" style="29" customWidth="1"/>
    <col min="16" max="16" width="14.33203125" customWidth="1"/>
    <col min="17" max="26" width="12.5" customWidth="1"/>
    <col min="27" max="27" width="10.5" customWidth="1"/>
    <col min="28" max="29" width="12.1640625" customWidth="1"/>
  </cols>
  <sheetData>
    <row r="1" spans="1:29" ht="16" thickBot="1" x14ac:dyDescent="0.25">
      <c r="G1" s="8" t="s">
        <v>6</v>
      </c>
      <c r="H1" s="9"/>
      <c r="I1" s="9"/>
      <c r="J1" s="10"/>
      <c r="K1" s="10"/>
      <c r="L1" s="11"/>
      <c r="M1" s="16" t="s">
        <v>13</v>
      </c>
      <c r="N1" s="17"/>
      <c r="O1" s="28" t="s">
        <v>31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" t="s">
        <v>2</v>
      </c>
      <c r="AC1" s="1"/>
    </row>
    <row r="2" spans="1:29" x14ac:dyDescent="0.2">
      <c r="C2"/>
      <c r="G2"/>
      <c r="H2"/>
      <c r="I2"/>
      <c r="J2" t="s">
        <v>9</v>
      </c>
      <c r="L2" t="s">
        <v>10</v>
      </c>
      <c r="S2" s="39" t="s">
        <v>19</v>
      </c>
      <c r="T2" s="39"/>
      <c r="U2" s="39"/>
      <c r="V2" s="39" t="s">
        <v>20</v>
      </c>
      <c r="W2" s="39"/>
      <c r="X2" s="39"/>
      <c r="Y2" s="39"/>
      <c r="Z2" s="39"/>
    </row>
    <row r="3" spans="1:29" ht="81" thickBot="1" x14ac:dyDescent="0.25">
      <c r="B3" s="3" t="s">
        <v>5</v>
      </c>
      <c r="C3" s="5" t="s">
        <v>3</v>
      </c>
      <c r="D3" s="3" t="s">
        <v>4</v>
      </c>
      <c r="E3" s="3" t="s">
        <v>73</v>
      </c>
      <c r="F3" s="13" t="s">
        <v>32</v>
      </c>
      <c r="G3" s="14" t="s">
        <v>28</v>
      </c>
      <c r="H3" s="15" t="s">
        <v>29</v>
      </c>
      <c r="I3" s="15" t="s">
        <v>30</v>
      </c>
      <c r="J3" s="13" t="s">
        <v>75</v>
      </c>
      <c r="K3" s="13" t="s">
        <v>8</v>
      </c>
      <c r="L3" s="13" t="s">
        <v>7</v>
      </c>
      <c r="M3" s="3" t="s">
        <v>11</v>
      </c>
      <c r="N3" s="3" t="s">
        <v>12</v>
      </c>
      <c r="O3" s="30" t="s">
        <v>16</v>
      </c>
      <c r="P3" s="3" t="s">
        <v>17</v>
      </c>
      <c r="Q3" s="3" t="s">
        <v>18</v>
      </c>
      <c r="R3" s="3" t="s">
        <v>35</v>
      </c>
      <c r="S3" s="3" t="s">
        <v>22</v>
      </c>
      <c r="T3" s="3" t="s">
        <v>21</v>
      </c>
      <c r="U3" s="3" t="s">
        <v>23</v>
      </c>
      <c r="V3" s="3" t="s">
        <v>22</v>
      </c>
      <c r="W3" s="3" t="s">
        <v>21</v>
      </c>
      <c r="X3" s="3" t="s">
        <v>23</v>
      </c>
      <c r="Y3" s="3" t="s">
        <v>41</v>
      </c>
      <c r="Z3" s="3" t="s">
        <v>42</v>
      </c>
      <c r="AA3" s="3"/>
      <c r="AB3" s="3" t="s">
        <v>0</v>
      </c>
      <c r="AC3" s="3" t="s">
        <v>1</v>
      </c>
    </row>
    <row r="4" spans="1:29" ht="16" thickBot="1" x14ac:dyDescent="0.25">
      <c r="B4" s="33">
        <v>0</v>
      </c>
      <c r="C4" s="34">
        <v>0</v>
      </c>
      <c r="D4" s="33">
        <v>0</v>
      </c>
      <c r="E4" s="33"/>
      <c r="F4" s="33">
        <f>SUM($D$4:D4)</f>
        <v>0</v>
      </c>
      <c r="G4" s="35">
        <v>87.5</v>
      </c>
      <c r="H4" s="36">
        <v>87.5</v>
      </c>
      <c r="I4" s="36"/>
      <c r="J4" s="33">
        <f>I_O!C6</f>
        <v>56.543215100404851</v>
      </c>
      <c r="K4" s="33"/>
      <c r="L4" s="36">
        <f>J4-5</f>
        <v>51.543215100404851</v>
      </c>
      <c r="M4" s="92">
        <f>N33</f>
        <v>0</v>
      </c>
      <c r="N4" s="33"/>
      <c r="O4" s="37"/>
      <c r="P4" s="3"/>
      <c r="Q4" s="3"/>
      <c r="R4" s="3"/>
      <c r="S4" s="41"/>
      <c r="T4" s="42"/>
      <c r="U4" s="51"/>
      <c r="V4" s="41"/>
      <c r="W4" s="42"/>
      <c r="X4" s="43"/>
      <c r="Y4" s="62"/>
      <c r="Z4" s="62"/>
      <c r="AA4" s="3"/>
      <c r="AB4" s="2">
        <v>0</v>
      </c>
      <c r="AC4" s="2">
        <v>87.5</v>
      </c>
    </row>
    <row r="5" spans="1:29" ht="16" thickBot="1" x14ac:dyDescent="0.25">
      <c r="A5" s="19"/>
      <c r="B5" s="20">
        <v>1</v>
      </c>
      <c r="C5" s="21">
        <v>18200</v>
      </c>
      <c r="D5" s="20">
        <f>C5/1000</f>
        <v>18.2</v>
      </c>
      <c r="E5" s="20">
        <f>IF(J5&lt;I5,0,D5)</f>
        <v>0</v>
      </c>
      <c r="F5" s="20">
        <f>SUM($D$4:D5)</f>
        <v>18.2</v>
      </c>
      <c r="G5" s="22"/>
      <c r="H5" s="23">
        <f>G4+((G6-G4)/(F6-F4)*(F5-F4))</f>
        <v>83.574136125654448</v>
      </c>
      <c r="I5" s="23">
        <f>AVERAGE(H4:H5)</f>
        <v>85.537068062827217</v>
      </c>
      <c r="J5" s="23">
        <f>J$4</f>
        <v>56.543215100404851</v>
      </c>
      <c r="K5" s="23">
        <f>IF(I5&gt;(J$4-K$37),I5,(J$4-K$37))</f>
        <v>85.537068062827217</v>
      </c>
      <c r="L5" s="23">
        <f t="shared" ref="L5:L30" si="0">J5-5</f>
        <v>51.543215100404851</v>
      </c>
      <c r="M5" s="89">
        <f t="shared" ref="M5:M30" si="1">N34</f>
        <v>0</v>
      </c>
      <c r="N5" s="20">
        <f>AVERAGE(M4:M5)</f>
        <v>0</v>
      </c>
      <c r="O5" s="31">
        <f>0.5*(J5-H5)*E5*M5</f>
        <v>0</v>
      </c>
      <c r="P5" s="31">
        <f>(J5-K5)*E5*M5</f>
        <v>0</v>
      </c>
      <c r="Q5" s="38">
        <f>P5*0.5</f>
        <v>0</v>
      </c>
      <c r="R5" s="40">
        <f>O5+P5-Q5</f>
        <v>0</v>
      </c>
      <c r="S5" s="44"/>
      <c r="T5" s="45"/>
      <c r="U5" s="52"/>
      <c r="V5" s="44"/>
      <c r="W5" s="45"/>
      <c r="X5" s="46"/>
      <c r="Y5" s="70">
        <f t="shared" ref="Y5:Y30" si="2">N5*D5</f>
        <v>0</v>
      </c>
      <c r="Z5" s="70">
        <f>Y5*Z$33</f>
        <v>0</v>
      </c>
      <c r="AA5" s="3"/>
      <c r="AB5" s="2">
        <v>19.309999999999999</v>
      </c>
      <c r="AC5" s="2">
        <v>85</v>
      </c>
    </row>
    <row r="6" spans="1:29" ht="16" thickBot="1" x14ac:dyDescent="0.25">
      <c r="A6" s="19"/>
      <c r="B6" s="20">
        <v>2</v>
      </c>
      <c r="C6" s="21">
        <v>20000</v>
      </c>
      <c r="D6" s="20">
        <f t="shared" ref="D6:D30" si="3">C6/1000</f>
        <v>20</v>
      </c>
      <c r="E6" s="20">
        <f t="shared" ref="E6:E30" si="4">IF(J6&lt;I6,0,D6)</f>
        <v>0</v>
      </c>
      <c r="F6" s="20">
        <f>SUM($D$4:D6)</f>
        <v>38.200000000000003</v>
      </c>
      <c r="G6" s="22">
        <v>79.260000000000005</v>
      </c>
      <c r="H6" s="23">
        <v>79.260000000000005</v>
      </c>
      <c r="I6" s="23">
        <f t="shared" ref="I6:I30" si="5">AVERAGE(H5:H6)</f>
        <v>81.417068062827227</v>
      </c>
      <c r="J6" s="23">
        <f t="shared" ref="J6:J30" si="6">J$4</f>
        <v>56.543215100404851</v>
      </c>
      <c r="K6" s="23">
        <f t="shared" ref="K6:K14" si="7">IF(I6&gt;(J$4-K$37),I6,(J$4-K$37))</f>
        <v>81.417068062827227</v>
      </c>
      <c r="L6" s="23">
        <f t="shared" si="0"/>
        <v>51.543215100404851</v>
      </c>
      <c r="M6" s="89">
        <f t="shared" si="1"/>
        <v>0</v>
      </c>
      <c r="N6" s="20">
        <f t="shared" ref="N6:N30" si="8">AVERAGE(M5:M6)</f>
        <v>0</v>
      </c>
      <c r="O6" s="31">
        <f t="shared" ref="O6:O30" si="9">0.5*(J6-H6)*E6*M6</f>
        <v>0</v>
      </c>
      <c r="P6" s="31">
        <f t="shared" ref="P6:P14" si="10">(J6-K6)*E6*M6</f>
        <v>0</v>
      </c>
      <c r="Q6" s="38">
        <f t="shared" ref="Q6:Q14" si="11">P6*0.5</f>
        <v>0</v>
      </c>
      <c r="R6" s="40">
        <f t="shared" ref="R6:R30" si="12">O6+P6-Q6</f>
        <v>0</v>
      </c>
      <c r="S6" s="44"/>
      <c r="T6" s="45"/>
      <c r="U6" s="52"/>
      <c r="V6" s="44"/>
      <c r="W6" s="45"/>
      <c r="X6" s="46"/>
      <c r="Y6" s="70">
        <f t="shared" si="2"/>
        <v>0</v>
      </c>
      <c r="Z6" s="70">
        <f t="shared" ref="Z6:Z30" si="13">Y6*Z$33</f>
        <v>0</v>
      </c>
      <c r="AA6" s="3"/>
      <c r="AB6" s="2">
        <v>44.95</v>
      </c>
      <c r="AC6" s="2">
        <v>80</v>
      </c>
    </row>
    <row r="7" spans="1:29" ht="16" thickBot="1" x14ac:dyDescent="0.25">
      <c r="A7" s="19"/>
      <c r="B7" s="20">
        <v>3</v>
      </c>
      <c r="C7" s="21">
        <v>20000</v>
      </c>
      <c r="D7" s="20">
        <f t="shared" si="3"/>
        <v>20</v>
      </c>
      <c r="E7" s="20">
        <f t="shared" si="4"/>
        <v>0</v>
      </c>
      <c r="F7" s="20">
        <f>SUM($D$4:D7)</f>
        <v>58.2</v>
      </c>
      <c r="G7" s="22"/>
      <c r="H7" s="23">
        <f>G6+((G8-G6)/(F8-F6)*(F7-F6))</f>
        <v>72.63</v>
      </c>
      <c r="I7" s="23">
        <f t="shared" si="5"/>
        <v>75.944999999999993</v>
      </c>
      <c r="J7" s="23">
        <f t="shared" si="6"/>
        <v>56.543215100404851</v>
      </c>
      <c r="K7" s="23">
        <f t="shared" si="7"/>
        <v>75.944999999999993</v>
      </c>
      <c r="L7" s="23">
        <f t="shared" si="0"/>
        <v>51.543215100404851</v>
      </c>
      <c r="M7" s="89">
        <f t="shared" si="1"/>
        <v>0</v>
      </c>
      <c r="N7" s="20">
        <f t="shared" si="8"/>
        <v>0</v>
      </c>
      <c r="O7" s="31">
        <f t="shared" si="9"/>
        <v>0</v>
      </c>
      <c r="P7" s="31">
        <f t="shared" si="10"/>
        <v>0</v>
      </c>
      <c r="Q7" s="38">
        <f t="shared" si="11"/>
        <v>0</v>
      </c>
      <c r="R7" s="40">
        <f t="shared" si="12"/>
        <v>0</v>
      </c>
      <c r="S7" s="44"/>
      <c r="T7" s="45"/>
      <c r="U7" s="52"/>
      <c r="V7" s="44"/>
      <c r="W7" s="45"/>
      <c r="X7" s="46"/>
      <c r="Y7" s="70">
        <f t="shared" si="2"/>
        <v>0</v>
      </c>
      <c r="Z7" s="70">
        <f t="shared" si="13"/>
        <v>0</v>
      </c>
      <c r="AA7" s="3"/>
      <c r="AB7" s="2">
        <v>59.65</v>
      </c>
      <c r="AC7" s="2">
        <v>75</v>
      </c>
    </row>
    <row r="8" spans="1:29" ht="16" thickBot="1" x14ac:dyDescent="0.25">
      <c r="A8" s="19"/>
      <c r="B8" s="20">
        <v>4</v>
      </c>
      <c r="C8" s="21">
        <v>20000</v>
      </c>
      <c r="D8" s="20">
        <f t="shared" si="3"/>
        <v>20</v>
      </c>
      <c r="E8" s="20">
        <f t="shared" si="4"/>
        <v>0</v>
      </c>
      <c r="F8" s="20">
        <f>SUM($D$4:D8)</f>
        <v>78.2</v>
      </c>
      <c r="G8" s="22">
        <v>66</v>
      </c>
      <c r="H8" s="23">
        <v>66</v>
      </c>
      <c r="I8" s="23">
        <f t="shared" si="5"/>
        <v>69.314999999999998</v>
      </c>
      <c r="J8" s="23">
        <f t="shared" si="6"/>
        <v>56.543215100404851</v>
      </c>
      <c r="K8" s="23">
        <f t="shared" si="7"/>
        <v>69.314999999999998</v>
      </c>
      <c r="L8" s="23">
        <f t="shared" si="0"/>
        <v>51.543215100404851</v>
      </c>
      <c r="M8" s="89">
        <f t="shared" si="1"/>
        <v>0</v>
      </c>
      <c r="N8" s="20">
        <f t="shared" si="8"/>
        <v>0</v>
      </c>
      <c r="O8" s="31">
        <f t="shared" si="9"/>
        <v>0</v>
      </c>
      <c r="P8" s="31">
        <f t="shared" si="10"/>
        <v>0</v>
      </c>
      <c r="Q8" s="38">
        <f t="shared" si="11"/>
        <v>0</v>
      </c>
      <c r="R8" s="40">
        <f t="shared" si="12"/>
        <v>0</v>
      </c>
      <c r="S8" s="44"/>
      <c r="T8" s="45"/>
      <c r="U8" s="52"/>
      <c r="V8" s="44"/>
      <c r="W8" s="45"/>
      <c r="X8" s="46"/>
      <c r="Y8" s="70">
        <f t="shared" si="2"/>
        <v>0</v>
      </c>
      <c r="Z8" s="70">
        <f t="shared" si="13"/>
        <v>0</v>
      </c>
      <c r="AA8" s="3"/>
      <c r="AB8" s="2">
        <v>74.41</v>
      </c>
      <c r="AC8" s="2">
        <v>70</v>
      </c>
    </row>
    <row r="9" spans="1:29" ht="16" thickBot="1" x14ac:dyDescent="0.25">
      <c r="A9" s="19"/>
      <c r="B9" s="20">
        <v>5</v>
      </c>
      <c r="C9" s="21">
        <v>20000</v>
      </c>
      <c r="D9" s="20">
        <f t="shared" si="3"/>
        <v>20</v>
      </c>
      <c r="E9" s="20">
        <f t="shared" si="4"/>
        <v>0</v>
      </c>
      <c r="F9" s="20">
        <f>SUM($D$4:D9)</f>
        <v>98.2</v>
      </c>
      <c r="G9" s="22"/>
      <c r="H9" s="23">
        <f>G8+(G11-G8)/(F11-F8)*(F9-F8)</f>
        <v>60</v>
      </c>
      <c r="I9" s="23">
        <f t="shared" si="5"/>
        <v>63</v>
      </c>
      <c r="J9" s="23">
        <f t="shared" si="6"/>
        <v>56.543215100404851</v>
      </c>
      <c r="K9" s="23">
        <f t="shared" si="7"/>
        <v>63</v>
      </c>
      <c r="L9" s="23">
        <f t="shared" si="0"/>
        <v>51.543215100404851</v>
      </c>
      <c r="M9" s="89">
        <f t="shared" si="1"/>
        <v>0</v>
      </c>
      <c r="N9" s="20">
        <f t="shared" si="8"/>
        <v>0</v>
      </c>
      <c r="O9" s="31">
        <f t="shared" si="9"/>
        <v>0</v>
      </c>
      <c r="P9" s="31">
        <f t="shared" si="10"/>
        <v>0</v>
      </c>
      <c r="Q9" s="38">
        <f t="shared" si="11"/>
        <v>0</v>
      </c>
      <c r="R9" s="40">
        <f t="shared" si="12"/>
        <v>0</v>
      </c>
      <c r="S9" s="44"/>
      <c r="T9" s="45"/>
      <c r="U9" s="52"/>
      <c r="V9" s="44"/>
      <c r="W9" s="45"/>
      <c r="X9" s="46"/>
      <c r="Y9" s="70">
        <f t="shared" si="2"/>
        <v>0</v>
      </c>
      <c r="Z9" s="70">
        <f t="shared" si="13"/>
        <v>0</v>
      </c>
      <c r="AA9" s="3"/>
      <c r="AB9" s="2">
        <v>93.76</v>
      </c>
      <c r="AC9" s="2">
        <v>65</v>
      </c>
    </row>
    <row r="10" spans="1:29" ht="16" thickBot="1" x14ac:dyDescent="0.25">
      <c r="A10" s="19"/>
      <c r="B10" s="20">
        <v>6</v>
      </c>
      <c r="C10" s="21">
        <v>20000</v>
      </c>
      <c r="D10" s="20">
        <f t="shared" si="3"/>
        <v>20</v>
      </c>
      <c r="E10" s="20">
        <f t="shared" si="4"/>
        <v>0</v>
      </c>
      <c r="F10" s="20">
        <f>SUM($D$4:D10)</f>
        <v>118.2</v>
      </c>
      <c r="G10" s="22"/>
      <c r="H10" s="23">
        <f>G8+(G11-G8)/(F11-F8)*(F10-F8)</f>
        <v>54</v>
      </c>
      <c r="I10" s="23">
        <f t="shared" si="5"/>
        <v>57</v>
      </c>
      <c r="J10" s="23">
        <f t="shared" si="6"/>
        <v>56.543215100404851</v>
      </c>
      <c r="K10" s="23">
        <f t="shared" si="7"/>
        <v>57</v>
      </c>
      <c r="L10" s="23">
        <f t="shared" si="0"/>
        <v>51.543215100404851</v>
      </c>
      <c r="M10" s="89">
        <f>N39</f>
        <v>0</v>
      </c>
      <c r="N10" s="20">
        <f t="shared" si="8"/>
        <v>0</v>
      </c>
      <c r="O10" s="31">
        <f t="shared" si="9"/>
        <v>0</v>
      </c>
      <c r="P10" s="31">
        <f t="shared" si="10"/>
        <v>0</v>
      </c>
      <c r="Q10" s="38">
        <f t="shared" si="11"/>
        <v>0</v>
      </c>
      <c r="R10" s="40">
        <f t="shared" si="12"/>
        <v>0</v>
      </c>
      <c r="S10" s="44"/>
      <c r="T10" s="45"/>
      <c r="U10" s="52"/>
      <c r="V10" s="44"/>
      <c r="W10" s="45"/>
      <c r="X10" s="46"/>
      <c r="Y10" s="70">
        <f t="shared" si="2"/>
        <v>0</v>
      </c>
      <c r="Z10" s="70">
        <f t="shared" si="13"/>
        <v>0</v>
      </c>
      <c r="AA10" s="3"/>
      <c r="AB10" s="2">
        <v>109.12</v>
      </c>
      <c r="AC10" s="2">
        <v>60</v>
      </c>
    </row>
    <row r="11" spans="1:29" ht="16" thickBot="1" x14ac:dyDescent="0.25">
      <c r="A11" s="19"/>
      <c r="B11" s="20">
        <v>7</v>
      </c>
      <c r="C11" s="21">
        <v>20000</v>
      </c>
      <c r="D11" s="20">
        <f t="shared" si="3"/>
        <v>20</v>
      </c>
      <c r="E11" s="20">
        <f t="shared" si="4"/>
        <v>20</v>
      </c>
      <c r="F11" s="20">
        <f>SUM($D$4:D11)</f>
        <v>138.19999999999999</v>
      </c>
      <c r="G11" s="22">
        <v>48</v>
      </c>
      <c r="H11" s="23">
        <v>48</v>
      </c>
      <c r="I11" s="23">
        <f t="shared" si="5"/>
        <v>51</v>
      </c>
      <c r="J11" s="23">
        <f t="shared" si="6"/>
        <v>56.543215100404851</v>
      </c>
      <c r="K11" s="23">
        <f t="shared" si="7"/>
        <v>51</v>
      </c>
      <c r="L11" s="23">
        <f>J11-5</f>
        <v>51.543215100404851</v>
      </c>
      <c r="M11" s="89">
        <f t="shared" si="1"/>
        <v>4.4529334596700512</v>
      </c>
      <c r="N11" s="20">
        <f t="shared" si="8"/>
        <v>2.2264667298350256</v>
      </c>
      <c r="O11" s="31">
        <f t="shared" si="9"/>
        <v>380.42368373751196</v>
      </c>
      <c r="P11" s="31">
        <f t="shared" si="10"/>
        <v>493.67135989482085</v>
      </c>
      <c r="Q11" s="38">
        <f t="shared" si="11"/>
        <v>246.83567994741043</v>
      </c>
      <c r="R11" s="40">
        <f t="shared" si="12"/>
        <v>627.25936368492239</v>
      </c>
      <c r="S11" s="44"/>
      <c r="T11" s="45"/>
      <c r="U11" s="52"/>
      <c r="V11" s="44"/>
      <c r="W11" s="45"/>
      <c r="X11" s="46"/>
      <c r="Y11" s="70">
        <f t="shared" si="2"/>
        <v>44.529334596700508</v>
      </c>
      <c r="Z11" s="70">
        <f t="shared" si="13"/>
        <v>277.49782874733199</v>
      </c>
      <c r="AA11" s="3"/>
      <c r="AB11" s="2">
        <v>126.89</v>
      </c>
      <c r="AC11" s="2">
        <v>55</v>
      </c>
    </row>
    <row r="12" spans="1:29" ht="16" thickBot="1" x14ac:dyDescent="0.25">
      <c r="A12" s="19"/>
      <c r="B12" s="20">
        <v>8</v>
      </c>
      <c r="C12" s="21">
        <v>20000</v>
      </c>
      <c r="D12" s="20">
        <f t="shared" si="3"/>
        <v>20</v>
      </c>
      <c r="E12" s="20">
        <f t="shared" si="4"/>
        <v>20</v>
      </c>
      <c r="F12" s="20">
        <f>SUM($D$4:D12)</f>
        <v>158.19999999999999</v>
      </c>
      <c r="G12" s="22">
        <v>44.5</v>
      </c>
      <c r="H12" s="23">
        <v>44.5</v>
      </c>
      <c r="I12" s="23">
        <f t="shared" si="5"/>
        <v>46.25</v>
      </c>
      <c r="J12" s="23">
        <f t="shared" si="6"/>
        <v>56.543215100404851</v>
      </c>
      <c r="K12" s="23">
        <f t="shared" si="7"/>
        <v>46.25</v>
      </c>
      <c r="L12" s="23">
        <f t="shared" si="0"/>
        <v>51.543215100404851</v>
      </c>
      <c r="M12" s="89">
        <f t="shared" si="1"/>
        <v>7.4798958711836843</v>
      </c>
      <c r="N12" s="20">
        <f t="shared" si="8"/>
        <v>5.9664146654268677</v>
      </c>
      <c r="O12" s="31">
        <f t="shared" si="9"/>
        <v>900.81994905295244</v>
      </c>
      <c r="P12" s="31">
        <f t="shared" si="10"/>
        <v>1539.8435426144758</v>
      </c>
      <c r="Q12" s="38">
        <f t="shared" si="11"/>
        <v>769.92177130723792</v>
      </c>
      <c r="R12" s="40">
        <f t="shared" si="12"/>
        <v>1670.7417203601904</v>
      </c>
      <c r="S12" s="44"/>
      <c r="T12" s="45"/>
      <c r="U12" s="52"/>
      <c r="V12" s="44"/>
      <c r="W12" s="45"/>
      <c r="X12" s="46"/>
      <c r="Y12" s="70">
        <f t="shared" si="2"/>
        <v>119.32829330853735</v>
      </c>
      <c r="Z12" s="70">
        <f t="shared" si="13"/>
        <v>743.62984763076838</v>
      </c>
      <c r="AA12" s="3"/>
      <c r="AB12" s="2">
        <v>150.02000000000001</v>
      </c>
      <c r="AC12" s="2">
        <v>50</v>
      </c>
    </row>
    <row r="13" spans="1:29" ht="16" thickBot="1" x14ac:dyDescent="0.25">
      <c r="A13" s="19"/>
      <c r="B13" s="20">
        <v>9</v>
      </c>
      <c r="C13" s="21">
        <v>20000</v>
      </c>
      <c r="D13" s="20">
        <f t="shared" si="3"/>
        <v>20</v>
      </c>
      <c r="E13" s="20">
        <f t="shared" si="4"/>
        <v>20</v>
      </c>
      <c r="F13" s="20">
        <f>SUM($D$4:D13)</f>
        <v>178.2</v>
      </c>
      <c r="G13" s="22">
        <v>30.07</v>
      </c>
      <c r="H13" s="23">
        <v>30.07</v>
      </c>
      <c r="I13" s="23">
        <f t="shared" si="5"/>
        <v>37.284999999999997</v>
      </c>
      <c r="J13" s="23">
        <f t="shared" si="6"/>
        <v>56.543215100404851</v>
      </c>
      <c r="K13" s="23">
        <f t="shared" si="7"/>
        <v>42.043215100404851</v>
      </c>
      <c r="L13" s="23">
        <f t="shared" si="0"/>
        <v>51.543215100404851</v>
      </c>
      <c r="M13" s="89">
        <f t="shared" si="1"/>
        <v>17.425629509014179</v>
      </c>
      <c r="N13" s="20">
        <f t="shared" si="8"/>
        <v>12.452762690098933</v>
      </c>
      <c r="O13" s="31">
        <f t="shared" si="9"/>
        <v>4613.1243825209449</v>
      </c>
      <c r="P13" s="31">
        <f t="shared" si="10"/>
        <v>5053.4325576141118</v>
      </c>
      <c r="Q13" s="38">
        <f t="shared" si="11"/>
        <v>2526.7162788070559</v>
      </c>
      <c r="R13" s="40">
        <f t="shared" si="12"/>
        <v>7139.8406613280004</v>
      </c>
      <c r="S13" s="44"/>
      <c r="T13" s="45"/>
      <c r="U13" s="52"/>
      <c r="V13" s="44"/>
      <c r="W13" s="45"/>
      <c r="X13" s="46"/>
      <c r="Y13" s="70">
        <f t="shared" si="2"/>
        <v>249.05525380197867</v>
      </c>
      <c r="Z13" s="70">
        <f t="shared" si="13"/>
        <v>1552.062091071215</v>
      </c>
      <c r="AA13" s="3"/>
      <c r="AB13" s="2">
        <v>165.34</v>
      </c>
      <c r="AC13" s="2">
        <v>45</v>
      </c>
    </row>
    <row r="14" spans="1:29" ht="16" thickBot="1" x14ac:dyDescent="0.25">
      <c r="A14" s="19" t="s">
        <v>14</v>
      </c>
      <c r="B14" s="20">
        <v>10</v>
      </c>
      <c r="C14" s="21">
        <v>20000</v>
      </c>
      <c r="D14" s="20">
        <f t="shared" si="3"/>
        <v>20</v>
      </c>
      <c r="E14" s="20">
        <f t="shared" si="4"/>
        <v>20</v>
      </c>
      <c r="F14" s="20">
        <f>SUM($D$4:D14)</f>
        <v>198.2</v>
      </c>
      <c r="G14" s="22">
        <v>11</v>
      </c>
      <c r="H14" s="23">
        <v>11</v>
      </c>
      <c r="I14" s="23">
        <f>AVERAGE(H13:H14)</f>
        <v>20.535</v>
      </c>
      <c r="J14" s="23">
        <f t="shared" si="6"/>
        <v>56.543215100404851</v>
      </c>
      <c r="K14" s="23">
        <f t="shared" si="7"/>
        <v>42.043215100404851</v>
      </c>
      <c r="L14" s="23">
        <f t="shared" si="0"/>
        <v>51.543215100404851</v>
      </c>
      <c r="M14" s="89">
        <f t="shared" si="1"/>
        <v>39.565697433228145</v>
      </c>
      <c r="N14" s="20">
        <f t="shared" si="8"/>
        <v>28.495663471121162</v>
      </c>
      <c r="O14" s="31">
        <f t="shared" si="9"/>
        <v>18019.490687990456</v>
      </c>
      <c r="P14" s="31">
        <f t="shared" si="10"/>
        <v>11474.052255636163</v>
      </c>
      <c r="Q14" s="38">
        <f t="shared" si="11"/>
        <v>5737.0261278180815</v>
      </c>
      <c r="R14" s="40">
        <f t="shared" si="12"/>
        <v>23756.51681580854</v>
      </c>
      <c r="S14" s="44"/>
      <c r="T14" s="45"/>
      <c r="U14" s="52"/>
      <c r="V14" s="44"/>
      <c r="W14" s="45"/>
      <c r="X14" s="46"/>
      <c r="Y14" s="70">
        <f t="shared" si="2"/>
        <v>569.91326942242324</v>
      </c>
      <c r="Z14" s="70">
        <f t="shared" si="13"/>
        <v>3551.5845065139179</v>
      </c>
      <c r="AA14" s="3"/>
      <c r="AB14" s="2">
        <v>173.6</v>
      </c>
      <c r="AC14" s="2">
        <v>40</v>
      </c>
    </row>
    <row r="15" spans="1:29" ht="16" thickBot="1" x14ac:dyDescent="0.25">
      <c r="A15" s="18"/>
      <c r="B15" s="24">
        <v>11</v>
      </c>
      <c r="C15" s="25">
        <v>15000</v>
      </c>
      <c r="D15" s="24">
        <f t="shared" si="3"/>
        <v>15</v>
      </c>
      <c r="E15" s="24">
        <f t="shared" si="4"/>
        <v>15</v>
      </c>
      <c r="F15" s="24">
        <f>SUM($D$4:D15)</f>
        <v>213.2</v>
      </c>
      <c r="G15" s="26">
        <v>11</v>
      </c>
      <c r="H15" s="27">
        <v>11</v>
      </c>
      <c r="I15" s="27">
        <f t="shared" si="5"/>
        <v>11</v>
      </c>
      <c r="J15" s="27">
        <f>J$4</f>
        <v>56.543215100404851</v>
      </c>
      <c r="K15" s="24"/>
      <c r="L15" s="27">
        <f t="shared" si="0"/>
        <v>51.543215100404851</v>
      </c>
      <c r="M15" s="90">
        <f t="shared" si="1"/>
        <v>39.565697433228145</v>
      </c>
      <c r="N15" s="24">
        <f t="shared" si="8"/>
        <v>39.565697433228145</v>
      </c>
      <c r="O15" s="32">
        <f>0.5*(L15-H15)*E15*M15</f>
        <v>12030.904362246785</v>
      </c>
      <c r="P15" s="3"/>
      <c r="Q15" s="3"/>
      <c r="R15" s="40">
        <f t="shared" si="12"/>
        <v>12030.904362246785</v>
      </c>
      <c r="S15" s="44">
        <v>14.5</v>
      </c>
      <c r="T15" s="45">
        <v>25</v>
      </c>
      <c r="U15" s="55">
        <f t="shared" ref="U15:U26" si="14">(S15-I15)*T15*D15</f>
        <v>1312.5</v>
      </c>
      <c r="V15" s="44">
        <v>15.6</v>
      </c>
      <c r="W15" s="45">
        <v>10.6</v>
      </c>
      <c r="X15" s="57">
        <f t="shared" ref="X15:X26" si="15">(V15-H15)*D15*W15</f>
        <v>731.4</v>
      </c>
      <c r="Y15" s="70">
        <f t="shared" si="2"/>
        <v>593.48546149842218</v>
      </c>
      <c r="Z15" s="70">
        <f t="shared" si="13"/>
        <v>3698.4816514892091</v>
      </c>
      <c r="AA15" s="3"/>
      <c r="AB15" s="2">
        <v>184.65</v>
      </c>
      <c r="AC15" s="2">
        <v>35</v>
      </c>
    </row>
    <row r="16" spans="1:29" ht="16" thickBot="1" x14ac:dyDescent="0.25">
      <c r="A16" s="18"/>
      <c r="B16" s="24">
        <v>12</v>
      </c>
      <c r="C16" s="25">
        <v>15000</v>
      </c>
      <c r="D16" s="24">
        <f t="shared" si="3"/>
        <v>15</v>
      </c>
      <c r="E16" s="24">
        <f t="shared" si="4"/>
        <v>15</v>
      </c>
      <c r="F16" s="24">
        <f>SUM($D$4:D16)</f>
        <v>228.2</v>
      </c>
      <c r="G16" s="26">
        <v>11</v>
      </c>
      <c r="H16" s="27">
        <v>11</v>
      </c>
      <c r="I16" s="27">
        <f t="shared" si="5"/>
        <v>11</v>
      </c>
      <c r="J16" s="27">
        <f t="shared" si="6"/>
        <v>56.543215100404851</v>
      </c>
      <c r="K16" s="24"/>
      <c r="L16" s="27">
        <f t="shared" si="0"/>
        <v>51.543215100404851</v>
      </c>
      <c r="M16" s="90">
        <f t="shared" si="1"/>
        <v>39.565697433228145</v>
      </c>
      <c r="N16" s="24">
        <f t="shared" si="8"/>
        <v>39.565697433228145</v>
      </c>
      <c r="O16" s="32">
        <f t="shared" ref="O16:O27" si="16">0.5*(L16-H16)*E16*M16</f>
        <v>12030.904362246785</v>
      </c>
      <c r="P16" s="3"/>
      <c r="Q16" s="3"/>
      <c r="R16" s="40">
        <f t="shared" si="12"/>
        <v>12030.904362246785</v>
      </c>
      <c r="S16" s="44">
        <v>14.5</v>
      </c>
      <c r="T16" s="45">
        <v>25</v>
      </c>
      <c r="U16" s="55">
        <f t="shared" si="14"/>
        <v>1312.5</v>
      </c>
      <c r="V16" s="44">
        <v>15.6</v>
      </c>
      <c r="W16" s="45">
        <v>10.6</v>
      </c>
      <c r="X16" s="57">
        <f t="shared" si="15"/>
        <v>731.4</v>
      </c>
      <c r="Y16" s="70">
        <f t="shared" si="2"/>
        <v>593.48546149842218</v>
      </c>
      <c r="Z16" s="70">
        <f t="shared" si="13"/>
        <v>3698.4816514892091</v>
      </c>
      <c r="AA16" s="3"/>
      <c r="AB16" s="2">
        <v>194.39</v>
      </c>
      <c r="AC16" s="2">
        <v>30</v>
      </c>
    </row>
    <row r="17" spans="1:29" ht="16" thickBot="1" x14ac:dyDescent="0.25">
      <c r="A17" s="18"/>
      <c r="B17" s="24">
        <v>13</v>
      </c>
      <c r="C17" s="25">
        <v>15000</v>
      </c>
      <c r="D17" s="24">
        <f t="shared" si="3"/>
        <v>15</v>
      </c>
      <c r="E17" s="24">
        <f t="shared" si="4"/>
        <v>15</v>
      </c>
      <c r="F17" s="24">
        <f>SUM($D$4:D17)</f>
        <v>243.2</v>
      </c>
      <c r="G17" s="26">
        <v>11</v>
      </c>
      <c r="H17" s="27">
        <v>11</v>
      </c>
      <c r="I17" s="27">
        <f t="shared" si="5"/>
        <v>11</v>
      </c>
      <c r="J17" s="27">
        <f t="shared" si="6"/>
        <v>56.543215100404851</v>
      </c>
      <c r="K17" s="24"/>
      <c r="L17" s="27">
        <f t="shared" si="0"/>
        <v>51.543215100404851</v>
      </c>
      <c r="M17" s="90">
        <f t="shared" si="1"/>
        <v>39.565697433228145</v>
      </c>
      <c r="N17" s="24">
        <f t="shared" si="8"/>
        <v>39.565697433228145</v>
      </c>
      <c r="O17" s="32">
        <f t="shared" si="16"/>
        <v>12030.904362246785</v>
      </c>
      <c r="P17" s="3"/>
      <c r="Q17" s="3"/>
      <c r="R17" s="40">
        <f t="shared" si="12"/>
        <v>12030.904362246785</v>
      </c>
      <c r="S17" s="44">
        <v>14.5</v>
      </c>
      <c r="T17" s="45">
        <v>25</v>
      </c>
      <c r="U17" s="55">
        <f t="shared" si="14"/>
        <v>1312.5</v>
      </c>
      <c r="V17" s="44">
        <v>15.6</v>
      </c>
      <c r="W17" s="45">
        <v>10.6</v>
      </c>
      <c r="X17" s="57">
        <f t="shared" si="15"/>
        <v>731.4</v>
      </c>
      <c r="Y17" s="70">
        <f t="shared" si="2"/>
        <v>593.48546149842218</v>
      </c>
      <c r="Z17" s="70">
        <f t="shared" si="13"/>
        <v>3698.4816514892091</v>
      </c>
      <c r="AA17" s="3"/>
      <c r="AB17" s="2">
        <v>203.93</v>
      </c>
      <c r="AC17" s="2">
        <v>25</v>
      </c>
    </row>
    <row r="18" spans="1:29" ht="16" thickBot="1" x14ac:dyDescent="0.25">
      <c r="A18" s="18"/>
      <c r="B18" s="24">
        <v>14</v>
      </c>
      <c r="C18" s="25">
        <v>15000</v>
      </c>
      <c r="D18" s="24">
        <f t="shared" si="3"/>
        <v>15</v>
      </c>
      <c r="E18" s="24">
        <f t="shared" si="4"/>
        <v>15</v>
      </c>
      <c r="F18" s="24">
        <f>SUM($D$4:D18)</f>
        <v>258.2</v>
      </c>
      <c r="G18" s="26">
        <v>11</v>
      </c>
      <c r="H18" s="27">
        <v>11</v>
      </c>
      <c r="I18" s="27">
        <f t="shared" si="5"/>
        <v>11</v>
      </c>
      <c r="J18" s="27">
        <f t="shared" si="6"/>
        <v>56.543215100404851</v>
      </c>
      <c r="K18" s="24"/>
      <c r="L18" s="27">
        <f t="shared" si="0"/>
        <v>51.543215100404851</v>
      </c>
      <c r="M18" s="90">
        <f t="shared" si="1"/>
        <v>39.565697433228145</v>
      </c>
      <c r="N18" s="24">
        <f t="shared" si="8"/>
        <v>39.565697433228145</v>
      </c>
      <c r="O18" s="32">
        <f t="shared" si="16"/>
        <v>12030.904362246785</v>
      </c>
      <c r="P18" s="3"/>
      <c r="Q18" s="3"/>
      <c r="R18" s="40">
        <f t="shared" si="12"/>
        <v>12030.904362246785</v>
      </c>
      <c r="S18" s="44">
        <v>14.5</v>
      </c>
      <c r="T18" s="45">
        <v>25</v>
      </c>
      <c r="U18" s="55">
        <f t="shared" si="14"/>
        <v>1312.5</v>
      </c>
      <c r="V18" s="44">
        <v>15.6</v>
      </c>
      <c r="W18" s="45">
        <v>10.6</v>
      </c>
      <c r="X18" s="57">
        <f t="shared" si="15"/>
        <v>731.4</v>
      </c>
      <c r="Y18" s="70">
        <f t="shared" si="2"/>
        <v>593.48546149842218</v>
      </c>
      <c r="Z18" s="70">
        <f t="shared" si="13"/>
        <v>3698.4816514892091</v>
      </c>
      <c r="AA18" s="3"/>
      <c r="AB18" s="2">
        <v>216.82</v>
      </c>
      <c r="AC18" s="2">
        <v>20</v>
      </c>
    </row>
    <row r="19" spans="1:29" ht="16" thickBot="1" x14ac:dyDescent="0.25">
      <c r="A19" s="18"/>
      <c r="B19" s="24">
        <v>15</v>
      </c>
      <c r="C19" s="25">
        <v>15000</v>
      </c>
      <c r="D19" s="24">
        <f t="shared" si="3"/>
        <v>15</v>
      </c>
      <c r="E19" s="24">
        <f t="shared" si="4"/>
        <v>15</v>
      </c>
      <c r="F19" s="24">
        <f>SUM($D$4:D19)</f>
        <v>273.2</v>
      </c>
      <c r="G19" s="26">
        <v>11</v>
      </c>
      <c r="H19" s="27">
        <v>11</v>
      </c>
      <c r="I19" s="27">
        <f t="shared" si="5"/>
        <v>11</v>
      </c>
      <c r="J19" s="27">
        <f t="shared" si="6"/>
        <v>56.543215100404851</v>
      </c>
      <c r="K19" s="24"/>
      <c r="L19" s="27">
        <f t="shared" si="0"/>
        <v>51.543215100404851</v>
      </c>
      <c r="M19" s="90">
        <f t="shared" si="1"/>
        <v>39.565697433228145</v>
      </c>
      <c r="N19" s="24">
        <f t="shared" si="8"/>
        <v>39.565697433228145</v>
      </c>
      <c r="O19" s="32">
        <f t="shared" si="16"/>
        <v>12030.904362246785</v>
      </c>
      <c r="P19" s="3"/>
      <c r="Q19" s="3"/>
      <c r="R19" s="40">
        <f t="shared" si="12"/>
        <v>12030.904362246785</v>
      </c>
      <c r="S19" s="44">
        <v>14.5</v>
      </c>
      <c r="T19" s="45">
        <v>25</v>
      </c>
      <c r="U19" s="55">
        <f t="shared" si="14"/>
        <v>1312.5</v>
      </c>
      <c r="V19" s="44">
        <v>15.6</v>
      </c>
      <c r="W19" s="45">
        <v>10.6</v>
      </c>
      <c r="X19" s="57">
        <f t="shared" si="15"/>
        <v>731.4</v>
      </c>
      <c r="Y19" s="70">
        <f t="shared" si="2"/>
        <v>593.48546149842218</v>
      </c>
      <c r="Z19" s="70">
        <f t="shared" si="13"/>
        <v>3698.4816514892091</v>
      </c>
      <c r="AA19" s="3"/>
      <c r="AB19" s="2">
        <v>246.61</v>
      </c>
      <c r="AC19" s="2">
        <v>15</v>
      </c>
    </row>
    <row r="20" spans="1:29" ht="16" thickBot="1" x14ac:dyDescent="0.25">
      <c r="A20" s="18"/>
      <c r="B20" s="24">
        <v>16</v>
      </c>
      <c r="C20" s="25">
        <v>15000</v>
      </c>
      <c r="D20" s="24">
        <f t="shared" si="3"/>
        <v>15</v>
      </c>
      <c r="E20" s="24">
        <f t="shared" si="4"/>
        <v>15</v>
      </c>
      <c r="F20" s="24">
        <f>SUM($D$4:D20)</f>
        <v>288.2</v>
      </c>
      <c r="G20" s="26">
        <v>11</v>
      </c>
      <c r="H20" s="27">
        <v>11</v>
      </c>
      <c r="I20" s="27">
        <f t="shared" si="5"/>
        <v>11</v>
      </c>
      <c r="J20" s="27">
        <f t="shared" si="6"/>
        <v>56.543215100404851</v>
      </c>
      <c r="K20" s="24"/>
      <c r="L20" s="27">
        <f t="shared" si="0"/>
        <v>51.543215100404851</v>
      </c>
      <c r="M20" s="90">
        <f t="shared" si="1"/>
        <v>39.565697433228145</v>
      </c>
      <c r="N20" s="24">
        <f t="shared" si="8"/>
        <v>39.565697433228145</v>
      </c>
      <c r="O20" s="32">
        <f t="shared" si="16"/>
        <v>12030.904362246785</v>
      </c>
      <c r="P20" s="3"/>
      <c r="Q20" s="3"/>
      <c r="R20" s="40">
        <f t="shared" si="12"/>
        <v>12030.904362246785</v>
      </c>
      <c r="S20" s="44">
        <v>14.5</v>
      </c>
      <c r="T20" s="45">
        <v>25</v>
      </c>
      <c r="U20" s="55">
        <f t="shared" si="14"/>
        <v>1312.5</v>
      </c>
      <c r="V20" s="44">
        <v>15.6</v>
      </c>
      <c r="W20" s="45">
        <v>10.6</v>
      </c>
      <c r="X20" s="57">
        <f t="shared" si="15"/>
        <v>731.4</v>
      </c>
      <c r="Y20" s="70">
        <f t="shared" si="2"/>
        <v>593.48546149842218</v>
      </c>
      <c r="Z20" s="70">
        <f t="shared" si="13"/>
        <v>3698.4816514892091</v>
      </c>
      <c r="AA20" s="3"/>
      <c r="AB20" s="2">
        <v>268.62</v>
      </c>
      <c r="AC20" s="2">
        <v>14</v>
      </c>
    </row>
    <row r="21" spans="1:29" ht="16" thickBot="1" x14ac:dyDescent="0.25">
      <c r="A21" s="18"/>
      <c r="B21" s="24">
        <v>17</v>
      </c>
      <c r="C21" s="25">
        <v>15000</v>
      </c>
      <c r="D21" s="24">
        <f t="shared" si="3"/>
        <v>15</v>
      </c>
      <c r="E21" s="24">
        <f t="shared" si="4"/>
        <v>15</v>
      </c>
      <c r="F21" s="24">
        <f>SUM($D$4:D21)</f>
        <v>303.2</v>
      </c>
      <c r="G21" s="26">
        <v>11</v>
      </c>
      <c r="H21" s="27">
        <v>11</v>
      </c>
      <c r="I21" s="27">
        <f t="shared" si="5"/>
        <v>11</v>
      </c>
      <c r="J21" s="27">
        <f t="shared" si="6"/>
        <v>56.543215100404851</v>
      </c>
      <c r="K21" s="24"/>
      <c r="L21" s="27">
        <f t="shared" si="0"/>
        <v>51.543215100404851</v>
      </c>
      <c r="M21" s="90">
        <f t="shared" si="1"/>
        <v>39.565697433228145</v>
      </c>
      <c r="N21" s="24">
        <f t="shared" si="8"/>
        <v>39.565697433228145</v>
      </c>
      <c r="O21" s="32">
        <f t="shared" si="16"/>
        <v>12030.904362246785</v>
      </c>
      <c r="P21" s="3"/>
      <c r="Q21" s="3"/>
      <c r="R21" s="40">
        <f t="shared" si="12"/>
        <v>12030.904362246785</v>
      </c>
      <c r="S21" s="44">
        <v>14.5</v>
      </c>
      <c r="T21" s="45">
        <v>25</v>
      </c>
      <c r="U21" s="55">
        <f t="shared" si="14"/>
        <v>1312.5</v>
      </c>
      <c r="V21" s="44">
        <v>15.6</v>
      </c>
      <c r="W21" s="45">
        <v>10.6</v>
      </c>
      <c r="X21" s="57">
        <f t="shared" si="15"/>
        <v>731.4</v>
      </c>
      <c r="Y21" s="70">
        <f t="shared" si="2"/>
        <v>593.48546149842218</v>
      </c>
      <c r="Z21" s="70">
        <f t="shared" si="13"/>
        <v>3698.4816514892091</v>
      </c>
      <c r="AA21" s="3"/>
      <c r="AB21" s="2">
        <v>280.99</v>
      </c>
      <c r="AC21" s="2">
        <v>14</v>
      </c>
    </row>
    <row r="22" spans="1:29" ht="16" thickBot="1" x14ac:dyDescent="0.25">
      <c r="A22" s="18"/>
      <c r="B22" s="24">
        <v>18</v>
      </c>
      <c r="C22" s="25">
        <v>15000</v>
      </c>
      <c r="D22" s="24">
        <f t="shared" si="3"/>
        <v>15</v>
      </c>
      <c r="E22" s="24">
        <f t="shared" si="4"/>
        <v>15</v>
      </c>
      <c r="F22" s="24">
        <f>SUM($D$4:D22)</f>
        <v>318.2</v>
      </c>
      <c r="G22" s="26">
        <v>11</v>
      </c>
      <c r="H22" s="27">
        <v>11</v>
      </c>
      <c r="I22" s="27">
        <f t="shared" si="5"/>
        <v>11</v>
      </c>
      <c r="J22" s="27">
        <f t="shared" si="6"/>
        <v>56.543215100404851</v>
      </c>
      <c r="K22" s="24"/>
      <c r="L22" s="27">
        <f t="shared" si="0"/>
        <v>51.543215100404851</v>
      </c>
      <c r="M22" s="90">
        <f t="shared" si="1"/>
        <v>39.565697433228145</v>
      </c>
      <c r="N22" s="24">
        <f t="shared" si="8"/>
        <v>39.565697433228145</v>
      </c>
      <c r="O22" s="32">
        <f t="shared" si="16"/>
        <v>12030.904362246785</v>
      </c>
      <c r="P22" s="3"/>
      <c r="Q22" s="3"/>
      <c r="R22" s="40">
        <f t="shared" si="12"/>
        <v>12030.904362246785</v>
      </c>
      <c r="S22" s="44">
        <v>14.5</v>
      </c>
      <c r="T22" s="45">
        <v>25</v>
      </c>
      <c r="U22" s="55">
        <f t="shared" si="14"/>
        <v>1312.5</v>
      </c>
      <c r="V22" s="44">
        <v>15.6</v>
      </c>
      <c r="W22" s="45">
        <v>10.6</v>
      </c>
      <c r="X22" s="57">
        <f t="shared" si="15"/>
        <v>731.4</v>
      </c>
      <c r="Y22" s="70">
        <f t="shared" si="2"/>
        <v>593.48546149842218</v>
      </c>
      <c r="Z22" s="70">
        <f t="shared" si="13"/>
        <v>3698.4816514892091</v>
      </c>
      <c r="AA22" s="3"/>
      <c r="AB22" s="2">
        <v>289.39999999999998</v>
      </c>
      <c r="AC22" s="2">
        <v>15</v>
      </c>
    </row>
    <row r="23" spans="1:29" ht="16" thickBot="1" x14ac:dyDescent="0.25">
      <c r="A23" s="18"/>
      <c r="B23" s="24">
        <v>19</v>
      </c>
      <c r="C23" s="25">
        <v>15000</v>
      </c>
      <c r="D23" s="24">
        <f t="shared" si="3"/>
        <v>15</v>
      </c>
      <c r="E23" s="24">
        <f t="shared" si="4"/>
        <v>15</v>
      </c>
      <c r="F23" s="24">
        <f>SUM($D$4:D23)</f>
        <v>333.2</v>
      </c>
      <c r="G23" s="26">
        <v>11</v>
      </c>
      <c r="H23" s="27">
        <v>11</v>
      </c>
      <c r="I23" s="27">
        <f>AVERAGE(H22:H23)</f>
        <v>11</v>
      </c>
      <c r="J23" s="27">
        <f t="shared" si="6"/>
        <v>56.543215100404851</v>
      </c>
      <c r="K23" s="24"/>
      <c r="L23" s="27">
        <f t="shared" si="0"/>
        <v>51.543215100404851</v>
      </c>
      <c r="M23" s="90">
        <f t="shared" si="1"/>
        <v>39.565697433228145</v>
      </c>
      <c r="N23" s="24">
        <f t="shared" si="8"/>
        <v>39.565697433228145</v>
      </c>
      <c r="O23" s="32">
        <f t="shared" si="16"/>
        <v>12030.904362246785</v>
      </c>
      <c r="P23" s="3"/>
      <c r="Q23" s="3"/>
      <c r="R23" s="40">
        <f t="shared" si="12"/>
        <v>12030.904362246785</v>
      </c>
      <c r="S23" s="44">
        <v>14.5</v>
      </c>
      <c r="T23" s="45">
        <v>25</v>
      </c>
      <c r="U23" s="55">
        <f t="shared" si="14"/>
        <v>1312.5</v>
      </c>
      <c r="V23" s="44">
        <v>15.6</v>
      </c>
      <c r="W23" s="45">
        <v>10.6</v>
      </c>
      <c r="X23" s="57">
        <f t="shared" si="15"/>
        <v>731.4</v>
      </c>
      <c r="Y23" s="70">
        <f t="shared" si="2"/>
        <v>593.48546149842218</v>
      </c>
      <c r="Z23" s="70">
        <f t="shared" si="13"/>
        <v>3698.4816514892091</v>
      </c>
      <c r="AA23" s="3"/>
      <c r="AB23" s="2">
        <v>308.98</v>
      </c>
      <c r="AC23" s="2">
        <v>20</v>
      </c>
    </row>
    <row r="24" spans="1:29" ht="16" thickBot="1" x14ac:dyDescent="0.25">
      <c r="A24" s="18"/>
      <c r="B24" s="24">
        <v>20</v>
      </c>
      <c r="C24" s="25">
        <v>15000</v>
      </c>
      <c r="D24" s="24">
        <f t="shared" si="3"/>
        <v>15</v>
      </c>
      <c r="E24" s="24">
        <f t="shared" si="4"/>
        <v>15</v>
      </c>
      <c r="F24" s="24">
        <f>SUM($D$4:D24)</f>
        <v>348.2</v>
      </c>
      <c r="G24" s="26">
        <v>11</v>
      </c>
      <c r="H24" s="27">
        <v>11</v>
      </c>
      <c r="I24" s="27">
        <f t="shared" si="5"/>
        <v>11</v>
      </c>
      <c r="J24" s="27">
        <f t="shared" si="6"/>
        <v>56.543215100404851</v>
      </c>
      <c r="K24" s="24"/>
      <c r="L24" s="27">
        <f t="shared" si="0"/>
        <v>51.543215100404851</v>
      </c>
      <c r="M24" s="90">
        <f t="shared" si="1"/>
        <v>39.565697433228145</v>
      </c>
      <c r="N24" s="24">
        <f t="shared" si="8"/>
        <v>39.565697433228145</v>
      </c>
      <c r="O24" s="32">
        <f t="shared" si="16"/>
        <v>12030.904362246785</v>
      </c>
      <c r="P24" s="3"/>
      <c r="Q24" s="3"/>
      <c r="R24" s="40">
        <f t="shared" si="12"/>
        <v>12030.904362246785</v>
      </c>
      <c r="S24" s="44">
        <v>14.5</v>
      </c>
      <c r="T24" s="45">
        <v>25</v>
      </c>
      <c r="U24" s="55">
        <f t="shared" si="14"/>
        <v>1312.5</v>
      </c>
      <c r="V24" s="44">
        <v>15.6</v>
      </c>
      <c r="W24" s="45">
        <v>10.6</v>
      </c>
      <c r="X24" s="57">
        <f t="shared" si="15"/>
        <v>731.4</v>
      </c>
      <c r="Y24" s="70">
        <f t="shared" si="2"/>
        <v>593.48546149842218</v>
      </c>
      <c r="Z24" s="70">
        <f t="shared" si="13"/>
        <v>3698.4816514892091</v>
      </c>
      <c r="AA24" s="3"/>
      <c r="AB24" s="2">
        <v>322.16000000000003</v>
      </c>
      <c r="AC24" s="2">
        <v>25</v>
      </c>
    </row>
    <row r="25" spans="1:29" ht="16" thickBot="1" x14ac:dyDescent="0.25">
      <c r="A25" s="18"/>
      <c r="B25" s="24">
        <v>21</v>
      </c>
      <c r="C25" s="25">
        <v>15000</v>
      </c>
      <c r="D25" s="24">
        <f t="shared" si="3"/>
        <v>15</v>
      </c>
      <c r="E25" s="24">
        <f t="shared" si="4"/>
        <v>15</v>
      </c>
      <c r="F25" s="24">
        <f>SUM($D$4:D25)</f>
        <v>363.2</v>
      </c>
      <c r="G25" s="26">
        <v>11</v>
      </c>
      <c r="H25" s="27">
        <v>11</v>
      </c>
      <c r="I25" s="27">
        <f t="shared" si="5"/>
        <v>11</v>
      </c>
      <c r="J25" s="27">
        <f t="shared" si="6"/>
        <v>56.543215100404851</v>
      </c>
      <c r="K25" s="24"/>
      <c r="L25" s="27">
        <f t="shared" si="0"/>
        <v>51.543215100404851</v>
      </c>
      <c r="M25" s="90">
        <f t="shared" si="1"/>
        <v>39.565697433228145</v>
      </c>
      <c r="N25" s="24">
        <f t="shared" si="8"/>
        <v>39.565697433228145</v>
      </c>
      <c r="O25" s="32">
        <f t="shared" si="16"/>
        <v>12030.904362246785</v>
      </c>
      <c r="P25" s="3"/>
      <c r="Q25" s="3"/>
      <c r="R25" s="40">
        <f t="shared" si="12"/>
        <v>12030.904362246785</v>
      </c>
      <c r="S25" s="44">
        <v>14.5</v>
      </c>
      <c r="T25" s="45">
        <v>25</v>
      </c>
      <c r="U25" s="55">
        <f t="shared" si="14"/>
        <v>1312.5</v>
      </c>
      <c r="V25" s="44">
        <v>15.6</v>
      </c>
      <c r="W25" s="45">
        <v>10.6</v>
      </c>
      <c r="X25" s="57">
        <f t="shared" si="15"/>
        <v>731.4</v>
      </c>
      <c r="Y25" s="70">
        <f t="shared" si="2"/>
        <v>593.48546149842218</v>
      </c>
      <c r="Z25" s="70">
        <f t="shared" si="13"/>
        <v>3698.4816514892091</v>
      </c>
      <c r="AA25" s="3"/>
      <c r="AB25" s="2">
        <v>332.12</v>
      </c>
      <c r="AC25" s="2">
        <v>30</v>
      </c>
    </row>
    <row r="26" spans="1:29" ht="16" thickBot="1" x14ac:dyDescent="0.25">
      <c r="A26" s="18"/>
      <c r="B26" s="24">
        <v>22</v>
      </c>
      <c r="C26" s="25">
        <v>15000</v>
      </c>
      <c r="D26" s="24">
        <f t="shared" si="3"/>
        <v>15</v>
      </c>
      <c r="E26" s="24">
        <f t="shared" si="4"/>
        <v>15</v>
      </c>
      <c r="F26" s="24">
        <f>SUM($D$4:D26)</f>
        <v>378.2</v>
      </c>
      <c r="G26" s="26">
        <v>11</v>
      </c>
      <c r="H26" s="27">
        <v>11</v>
      </c>
      <c r="I26" s="27">
        <f t="shared" si="5"/>
        <v>11</v>
      </c>
      <c r="J26" s="27">
        <f t="shared" si="6"/>
        <v>56.543215100404851</v>
      </c>
      <c r="K26" s="24"/>
      <c r="L26" s="27">
        <f t="shared" si="0"/>
        <v>51.543215100404851</v>
      </c>
      <c r="M26" s="90">
        <f t="shared" si="1"/>
        <v>39.565697433228145</v>
      </c>
      <c r="N26" s="24">
        <f t="shared" si="8"/>
        <v>39.565697433228145</v>
      </c>
      <c r="O26" s="32">
        <f t="shared" si="16"/>
        <v>12030.904362246785</v>
      </c>
      <c r="P26" s="3"/>
      <c r="Q26" s="3"/>
      <c r="R26" s="40">
        <f t="shared" si="12"/>
        <v>12030.904362246785</v>
      </c>
      <c r="S26" s="44">
        <v>14.5</v>
      </c>
      <c r="T26" s="45">
        <v>25</v>
      </c>
      <c r="U26" s="55">
        <f t="shared" si="14"/>
        <v>1312.5</v>
      </c>
      <c r="V26" s="44">
        <v>15.6</v>
      </c>
      <c r="W26" s="45">
        <v>10.6</v>
      </c>
      <c r="X26" s="57">
        <f t="shared" si="15"/>
        <v>731.4</v>
      </c>
      <c r="Y26" s="70">
        <f t="shared" si="2"/>
        <v>593.48546149842218</v>
      </c>
      <c r="Z26" s="70">
        <f t="shared" si="13"/>
        <v>3698.4816514892091</v>
      </c>
      <c r="AA26" s="3"/>
      <c r="AB26" s="2">
        <v>341.72</v>
      </c>
      <c r="AC26" s="2">
        <v>35</v>
      </c>
    </row>
    <row r="27" spans="1:29" ht="16" thickBot="1" x14ac:dyDescent="0.25">
      <c r="A27" s="18" t="s">
        <v>15</v>
      </c>
      <c r="B27" s="24">
        <v>23</v>
      </c>
      <c r="C27" s="25">
        <v>20000</v>
      </c>
      <c r="D27" s="24">
        <f t="shared" si="3"/>
        <v>20</v>
      </c>
      <c r="E27" s="24">
        <f t="shared" si="4"/>
        <v>20</v>
      </c>
      <c r="F27" s="24">
        <f>SUM($D$4:D27)</f>
        <v>398.2</v>
      </c>
      <c r="G27" s="26">
        <v>26.52</v>
      </c>
      <c r="H27" s="27">
        <v>26.52</v>
      </c>
      <c r="I27" s="27">
        <f t="shared" si="5"/>
        <v>18.759999999999998</v>
      </c>
      <c r="J27" s="27">
        <f t="shared" si="6"/>
        <v>56.543215100404851</v>
      </c>
      <c r="K27" s="24"/>
      <c r="L27" s="27">
        <f t="shared" si="0"/>
        <v>51.543215100404851</v>
      </c>
      <c r="M27" s="90">
        <f t="shared" si="1"/>
        <v>19.847199438225083</v>
      </c>
      <c r="N27" s="24">
        <f t="shared" si="8"/>
        <v>29.706448435726614</v>
      </c>
      <c r="O27" s="32">
        <f t="shared" si="16"/>
        <v>4966.4074068334057</v>
      </c>
      <c r="P27" s="3"/>
      <c r="Q27" s="3"/>
      <c r="R27" s="40">
        <f t="shared" si="12"/>
        <v>4966.4074068334057</v>
      </c>
      <c r="S27" s="44">
        <v>14.5</v>
      </c>
      <c r="T27" s="45">
        <v>25</v>
      </c>
      <c r="U27" s="56">
        <v>1312.5</v>
      </c>
      <c r="V27" s="44">
        <v>15.6</v>
      </c>
      <c r="W27" s="45">
        <v>10.6</v>
      </c>
      <c r="X27" s="58">
        <v>731.4</v>
      </c>
      <c r="Y27" s="70">
        <f t="shared" si="2"/>
        <v>594.12896871453222</v>
      </c>
      <c r="Z27" s="70">
        <f t="shared" si="13"/>
        <v>3702.4918586228005</v>
      </c>
      <c r="AA27" s="3"/>
      <c r="AB27" s="2">
        <v>351.02</v>
      </c>
      <c r="AC27" s="2">
        <v>40</v>
      </c>
    </row>
    <row r="28" spans="1:29" ht="16" thickBot="1" x14ac:dyDescent="0.25">
      <c r="A28" s="19"/>
      <c r="B28" s="20">
        <v>24</v>
      </c>
      <c r="C28" s="21">
        <v>20000</v>
      </c>
      <c r="D28" s="20">
        <f t="shared" si="3"/>
        <v>20</v>
      </c>
      <c r="E28" s="20">
        <f t="shared" si="4"/>
        <v>20</v>
      </c>
      <c r="F28" s="20">
        <f>SUM($D$4:D28)</f>
        <v>418.2</v>
      </c>
      <c r="G28" s="22">
        <v>39</v>
      </c>
      <c r="H28" s="23">
        <v>39</v>
      </c>
      <c r="I28" s="23">
        <f t="shared" si="5"/>
        <v>32.76</v>
      </c>
      <c r="J28" s="23">
        <f t="shared" si="6"/>
        <v>56.543215100404851</v>
      </c>
      <c r="K28" s="23">
        <f t="shared" ref="K28:K30" si="17">IF(I28&gt;(J$4-K$37),I28,(J$4-K$37))</f>
        <v>42.043215100404851</v>
      </c>
      <c r="L28" s="23">
        <f t="shared" si="0"/>
        <v>51.543215100404851</v>
      </c>
      <c r="M28" s="89">
        <f t="shared" si="1"/>
        <v>11.285220045657956</v>
      </c>
      <c r="N28" s="20">
        <f t="shared" si="8"/>
        <v>15.56620974194152</v>
      </c>
      <c r="O28" s="31">
        <f t="shared" si="9"/>
        <v>1979.7904271637817</v>
      </c>
      <c r="P28" s="31">
        <f t="shared" ref="P28:P30" si="18">(J28-K28)*E28*M28</f>
        <v>3272.7138132408072</v>
      </c>
      <c r="Q28" s="38">
        <f t="shared" ref="Q28:Q30" si="19">P28*0.5</f>
        <v>1636.3569066204036</v>
      </c>
      <c r="R28" s="40">
        <f t="shared" si="12"/>
        <v>3616.1473337841853</v>
      </c>
      <c r="S28" s="44"/>
      <c r="T28" s="45"/>
      <c r="U28" s="53"/>
      <c r="V28" s="44"/>
      <c r="W28" s="45"/>
      <c r="X28" s="47"/>
      <c r="Y28" s="70">
        <f t="shared" si="2"/>
        <v>311.32419483883041</v>
      </c>
      <c r="Z28" s="70">
        <f t="shared" si="13"/>
        <v>1940.1095679226287</v>
      </c>
      <c r="AA28" s="3"/>
      <c r="AB28" s="2">
        <v>361.93</v>
      </c>
      <c r="AC28" s="2">
        <v>45</v>
      </c>
    </row>
    <row r="29" spans="1:29" ht="16" thickBot="1" x14ac:dyDescent="0.25">
      <c r="A29" s="19"/>
      <c r="B29" s="20">
        <v>25</v>
      </c>
      <c r="C29" s="21">
        <v>20000</v>
      </c>
      <c r="D29" s="20">
        <f t="shared" si="3"/>
        <v>20</v>
      </c>
      <c r="E29" s="20">
        <f t="shared" si="4"/>
        <v>20</v>
      </c>
      <c r="F29" s="20">
        <f>SUM($D$4:D29)</f>
        <v>438.2</v>
      </c>
      <c r="G29" s="22">
        <v>66</v>
      </c>
      <c r="H29" s="23">
        <v>66</v>
      </c>
      <c r="I29" s="23">
        <f t="shared" si="5"/>
        <v>52.5</v>
      </c>
      <c r="J29" s="23">
        <f t="shared" si="6"/>
        <v>56.543215100404851</v>
      </c>
      <c r="K29" s="23">
        <f t="shared" si="17"/>
        <v>52.5</v>
      </c>
      <c r="L29" s="23">
        <f t="shared" si="0"/>
        <v>51.543215100404851</v>
      </c>
      <c r="M29" s="89">
        <f t="shared" si="1"/>
        <v>0</v>
      </c>
      <c r="N29" s="20">
        <f t="shared" si="8"/>
        <v>5.6426100228289782</v>
      </c>
      <c r="O29" s="31">
        <f t="shared" si="9"/>
        <v>0</v>
      </c>
      <c r="P29" s="31">
        <f t="shared" si="18"/>
        <v>0</v>
      </c>
      <c r="Q29" s="38">
        <f t="shared" si="19"/>
        <v>0</v>
      </c>
      <c r="R29" s="40">
        <f t="shared" si="12"/>
        <v>0</v>
      </c>
      <c r="S29" s="44"/>
      <c r="T29" s="45"/>
      <c r="U29" s="53"/>
      <c r="V29" s="44"/>
      <c r="W29" s="45"/>
      <c r="X29" s="47"/>
      <c r="Y29" s="70">
        <f t="shared" si="2"/>
        <v>112.85220045657957</v>
      </c>
      <c r="Z29" s="70">
        <f t="shared" si="13"/>
        <v>703.27214362596703</v>
      </c>
      <c r="AA29" s="3"/>
      <c r="AB29" s="2">
        <v>376.79</v>
      </c>
      <c r="AC29" s="2">
        <v>50</v>
      </c>
    </row>
    <row r="30" spans="1:29" ht="16" thickBot="1" x14ac:dyDescent="0.25">
      <c r="A30" s="19" t="s">
        <v>14</v>
      </c>
      <c r="B30" s="20">
        <v>26</v>
      </c>
      <c r="C30" s="21">
        <v>13800</v>
      </c>
      <c r="D30" s="20">
        <f t="shared" si="3"/>
        <v>13.8</v>
      </c>
      <c r="E30" s="20">
        <f t="shared" si="4"/>
        <v>0</v>
      </c>
      <c r="F30" s="20">
        <f>SUM($D$4:D30)</f>
        <v>452</v>
      </c>
      <c r="G30" s="22">
        <v>87.5</v>
      </c>
      <c r="H30" s="23">
        <v>87.5</v>
      </c>
      <c r="I30" s="23">
        <f t="shared" si="5"/>
        <v>76.75</v>
      </c>
      <c r="J30" s="23">
        <f t="shared" si="6"/>
        <v>56.543215100404851</v>
      </c>
      <c r="K30" s="23">
        <f t="shared" si="17"/>
        <v>76.75</v>
      </c>
      <c r="L30" s="23">
        <f t="shared" si="0"/>
        <v>51.543215100404851</v>
      </c>
      <c r="M30" s="89">
        <f t="shared" si="1"/>
        <v>0</v>
      </c>
      <c r="N30" s="20">
        <f t="shared" si="8"/>
        <v>0</v>
      </c>
      <c r="O30" s="31">
        <f t="shared" si="9"/>
        <v>0</v>
      </c>
      <c r="P30" s="31">
        <f t="shared" si="18"/>
        <v>0</v>
      </c>
      <c r="Q30" s="38">
        <f t="shared" si="19"/>
        <v>0</v>
      </c>
      <c r="R30" s="40">
        <f t="shared" si="12"/>
        <v>0</v>
      </c>
      <c r="S30" s="48"/>
      <c r="T30" s="49"/>
      <c r="U30" s="54"/>
      <c r="V30" s="48"/>
      <c r="W30" s="49"/>
      <c r="X30" s="50"/>
      <c r="Y30" s="70">
        <f t="shared" si="2"/>
        <v>0</v>
      </c>
      <c r="Z30" s="70">
        <f t="shared" si="13"/>
        <v>0</v>
      </c>
      <c r="AA30" s="3"/>
      <c r="AB30" s="2">
        <v>399.25</v>
      </c>
      <c r="AC30" s="2">
        <v>55</v>
      </c>
    </row>
    <row r="31" spans="1:29" x14ac:dyDescent="0.2">
      <c r="L31" t="s">
        <v>34</v>
      </c>
      <c r="M31" s="63">
        <v>3.1</v>
      </c>
      <c r="P31" s="3"/>
      <c r="Q31" s="3"/>
      <c r="R31" s="30">
        <f>SUM(R5:R30)</f>
        <v>186147.76564876063</v>
      </c>
      <c r="S31" s="3"/>
      <c r="T31" s="3"/>
      <c r="U31" s="30">
        <f>SUM(U15:U27)</f>
        <v>17062.5</v>
      </c>
      <c r="V31" s="3"/>
      <c r="W31" s="3"/>
      <c r="X31" s="30">
        <f>SUM(X15:X27)</f>
        <v>9508.1999999999971</v>
      </c>
      <c r="Y31" s="71"/>
      <c r="Z31" s="72">
        <f>SUM(Z5:Z30)</f>
        <v>56852.427662005131</v>
      </c>
      <c r="AA31" s="3"/>
      <c r="AB31" s="2">
        <v>414.86</v>
      </c>
      <c r="AC31" s="2">
        <v>60</v>
      </c>
    </row>
    <row r="32" spans="1:29" ht="16" x14ac:dyDescent="0.2">
      <c r="M32" s="3" t="s">
        <v>11</v>
      </c>
      <c r="N32" s="3" t="s">
        <v>11</v>
      </c>
      <c r="P32" s="3"/>
      <c r="Q32" s="3" t="s">
        <v>33</v>
      </c>
      <c r="R32" s="30">
        <f>R31+U31+X31</f>
        <v>212718.46564876061</v>
      </c>
      <c r="S32" s="3"/>
      <c r="T32" s="3"/>
      <c r="U32" s="3"/>
      <c r="V32" s="3"/>
      <c r="W32" s="3"/>
      <c r="X32" s="3"/>
      <c r="Y32" s="3"/>
      <c r="Z32" s="3"/>
      <c r="AA32" s="3"/>
      <c r="AB32" s="2">
        <v>423.75</v>
      </c>
      <c r="AC32" s="2">
        <v>65</v>
      </c>
    </row>
    <row r="33" spans="11:29" x14ac:dyDescent="0.2">
      <c r="M33" s="33">
        <f>11*M62-K46</f>
        <v>-15.252117483490425</v>
      </c>
      <c r="N33" s="91">
        <f>IF(M33&lt;0,0,M33+M$31)</f>
        <v>0</v>
      </c>
      <c r="R33" s="29">
        <f>'Upstream face dimensions'!D88</f>
        <v>650811</v>
      </c>
      <c r="Y33" s="69" t="s">
        <v>43</v>
      </c>
      <c r="Z33" s="67">
        <v>6.2317982350424295</v>
      </c>
      <c r="AB33" s="2">
        <v>431.14</v>
      </c>
      <c r="AC33" s="2">
        <v>70</v>
      </c>
    </row>
    <row r="34" spans="11:29" x14ac:dyDescent="0.2">
      <c r="K34" t="s">
        <v>67</v>
      </c>
      <c r="M34" s="20">
        <f>11*M62-K46</f>
        <v>-15.252117483490425</v>
      </c>
      <c r="N34" s="91">
        <f t="shared" ref="N34:N59" si="20">IF(M34&lt;0,0,M34+M$31)</f>
        <v>0</v>
      </c>
      <c r="Q34" s="69" t="s">
        <v>74</v>
      </c>
      <c r="R34" s="94">
        <f>(R32-R33)/R33</f>
        <v>-0.67314863201642161</v>
      </c>
      <c r="AB34" s="2">
        <v>438.14</v>
      </c>
      <c r="AC34" s="2">
        <v>75</v>
      </c>
    </row>
    <row r="35" spans="11:29" x14ac:dyDescent="0.2">
      <c r="K35" t="s">
        <v>68</v>
      </c>
      <c r="M35" s="20">
        <f>11*M62-K46</f>
        <v>-15.252117483490425</v>
      </c>
      <c r="N35" s="91">
        <f t="shared" si="20"/>
        <v>0</v>
      </c>
      <c r="AB35" s="2">
        <v>444.45</v>
      </c>
      <c r="AC35" s="2">
        <v>80</v>
      </c>
    </row>
    <row r="36" spans="11:29" x14ac:dyDescent="0.2">
      <c r="K36" t="s">
        <v>69</v>
      </c>
      <c r="M36" s="20">
        <f>11.9*M62-K46</f>
        <v>-14.473755720529777</v>
      </c>
      <c r="N36" s="91">
        <f t="shared" si="20"/>
        <v>0</v>
      </c>
      <c r="AB36" s="2">
        <v>452</v>
      </c>
      <c r="AC36" s="2">
        <v>87.5</v>
      </c>
    </row>
    <row r="37" spans="11:29" x14ac:dyDescent="0.2">
      <c r="K37" s="67">
        <v>14.5</v>
      </c>
      <c r="M37" s="20">
        <f>16.5*M62-K46</f>
        <v>-10.495462265397579</v>
      </c>
      <c r="N37" s="91">
        <f t="shared" si="20"/>
        <v>0</v>
      </c>
    </row>
    <row r="38" spans="11:29" x14ac:dyDescent="0.2">
      <c r="M38" s="20">
        <f>21.1*M62-K46</f>
        <v>-6.5171688102653818</v>
      </c>
      <c r="N38" s="91">
        <f t="shared" si="20"/>
        <v>0</v>
      </c>
    </row>
    <row r="39" spans="11:29" x14ac:dyDescent="0.2">
      <c r="M39" s="20">
        <f>25.6*M62-K46</f>
        <v>-2.6253599954621443</v>
      </c>
      <c r="N39" s="91">
        <f t="shared" si="20"/>
        <v>0</v>
      </c>
    </row>
    <row r="40" spans="11:29" x14ac:dyDescent="0.2">
      <c r="K40" t="s">
        <v>70</v>
      </c>
      <c r="M40" s="20">
        <f>30.2*M62-K46</f>
        <v>1.3529334596700515</v>
      </c>
      <c r="N40" s="91">
        <f t="shared" si="20"/>
        <v>4.4529334596700512</v>
      </c>
    </row>
    <row r="41" spans="11:29" x14ac:dyDescent="0.2">
      <c r="K41" t="s">
        <v>71</v>
      </c>
      <c r="M41" s="20">
        <f>33.7*M62-K46</f>
        <v>4.3798958711836846</v>
      </c>
      <c r="N41" s="91">
        <f t="shared" si="20"/>
        <v>7.4798958711836843</v>
      </c>
    </row>
    <row r="42" spans="11:29" x14ac:dyDescent="0.2">
      <c r="K42">
        <f>78.1-I_O!C7</f>
        <v>30.956784899595142</v>
      </c>
      <c r="M42" s="20">
        <f>45.2*M62-K46</f>
        <v>14.325629509014178</v>
      </c>
      <c r="N42" s="91">
        <f t="shared" si="20"/>
        <v>17.425629509014179</v>
      </c>
    </row>
    <row r="43" spans="11:29" x14ac:dyDescent="0.2">
      <c r="M43" s="20">
        <f>70.8*M62-K46</f>
        <v>36.465697433228144</v>
      </c>
      <c r="N43" s="91">
        <f t="shared" si="20"/>
        <v>39.565697433228145</v>
      </c>
    </row>
    <row r="44" spans="11:29" x14ac:dyDescent="0.2">
      <c r="K44" t="s">
        <v>72</v>
      </c>
      <c r="M44" s="24">
        <f>70.8*M62-K46</f>
        <v>36.465697433228144</v>
      </c>
      <c r="N44" s="91">
        <f>IF(M44&lt;0,0,M44+M$31)</f>
        <v>39.565697433228145</v>
      </c>
    </row>
    <row r="45" spans="11:29" x14ac:dyDescent="0.2">
      <c r="K45" t="s">
        <v>71</v>
      </c>
      <c r="M45" s="24">
        <f>70.8*M62-K46</f>
        <v>36.465697433228144</v>
      </c>
      <c r="N45" s="91">
        <f t="shared" si="20"/>
        <v>39.565697433228145</v>
      </c>
    </row>
    <row r="46" spans="11:29" x14ac:dyDescent="0.2">
      <c r="K46">
        <f>K42*0.8</f>
        <v>24.765427919676114</v>
      </c>
      <c r="M46" s="24">
        <f>70.8*M62-K46</f>
        <v>36.465697433228144</v>
      </c>
      <c r="N46" s="91">
        <f t="shared" si="20"/>
        <v>39.565697433228145</v>
      </c>
    </row>
    <row r="47" spans="11:29" x14ac:dyDescent="0.2">
      <c r="M47" s="24">
        <f>70.8*M62-K46</f>
        <v>36.465697433228144</v>
      </c>
      <c r="N47" s="91">
        <f t="shared" si="20"/>
        <v>39.565697433228145</v>
      </c>
    </row>
    <row r="48" spans="11:29" x14ac:dyDescent="0.2">
      <c r="M48" s="24">
        <f>70.8*M62-K46</f>
        <v>36.465697433228144</v>
      </c>
      <c r="N48" s="91">
        <f t="shared" si="20"/>
        <v>39.565697433228145</v>
      </c>
    </row>
    <row r="49" spans="3:14" x14ac:dyDescent="0.2">
      <c r="M49" s="24">
        <f>70.8*M62-K46</f>
        <v>36.465697433228144</v>
      </c>
      <c r="N49" s="91">
        <f t="shared" si="20"/>
        <v>39.565697433228145</v>
      </c>
    </row>
    <row r="50" spans="3:14" x14ac:dyDescent="0.2">
      <c r="M50" s="24">
        <f>70.8*M62-K46</f>
        <v>36.465697433228144</v>
      </c>
      <c r="N50" s="91">
        <f t="shared" si="20"/>
        <v>39.565697433228145</v>
      </c>
    </row>
    <row r="51" spans="3:14" x14ac:dyDescent="0.2">
      <c r="M51" s="24">
        <f>70.8*M62-K46</f>
        <v>36.465697433228144</v>
      </c>
      <c r="N51" s="91">
        <f t="shared" si="20"/>
        <v>39.565697433228145</v>
      </c>
    </row>
    <row r="52" spans="3:14" x14ac:dyDescent="0.2">
      <c r="M52" s="24">
        <f>70.8*M62-K46</f>
        <v>36.465697433228144</v>
      </c>
      <c r="N52" s="91">
        <f t="shared" si="20"/>
        <v>39.565697433228145</v>
      </c>
    </row>
    <row r="53" spans="3:14" x14ac:dyDescent="0.2">
      <c r="M53" s="24">
        <f>70.8*M62-K46</f>
        <v>36.465697433228144</v>
      </c>
      <c r="N53" s="91">
        <f t="shared" si="20"/>
        <v>39.565697433228145</v>
      </c>
    </row>
    <row r="54" spans="3:14" x14ac:dyDescent="0.2">
      <c r="M54" s="24">
        <f>70.8*M62-K46</f>
        <v>36.465697433228144</v>
      </c>
      <c r="N54" s="91">
        <f t="shared" si="20"/>
        <v>39.565697433228145</v>
      </c>
    </row>
    <row r="55" spans="3:14" x14ac:dyDescent="0.2">
      <c r="M55" s="24">
        <f>70.8*M62-K46</f>
        <v>36.465697433228144</v>
      </c>
      <c r="N55" s="91">
        <f t="shared" si="20"/>
        <v>39.565697433228145</v>
      </c>
    </row>
    <row r="56" spans="3:14" x14ac:dyDescent="0.2">
      <c r="M56" s="24">
        <f>48*M62-K46</f>
        <v>16.747199438225081</v>
      </c>
      <c r="N56" s="91">
        <f t="shared" si="20"/>
        <v>19.847199438225083</v>
      </c>
    </row>
    <row r="57" spans="3:14" x14ac:dyDescent="0.2">
      <c r="M57" s="20">
        <f>38.1*M62-K46</f>
        <v>8.1852200456579567</v>
      </c>
      <c r="N57" s="91">
        <f t="shared" si="20"/>
        <v>11.285220045657956</v>
      </c>
    </row>
    <row r="58" spans="3:14" x14ac:dyDescent="0.2">
      <c r="M58" s="20">
        <f>13.9*M62-K46</f>
        <v>-12.744062913950559</v>
      </c>
      <c r="N58" s="91">
        <f t="shared" si="20"/>
        <v>0</v>
      </c>
    </row>
    <row r="59" spans="3:14" x14ac:dyDescent="0.2">
      <c r="M59" s="20">
        <f>11*M62-K46</f>
        <v>-15.252117483490425</v>
      </c>
      <c r="N59" s="91">
        <f t="shared" si="20"/>
        <v>0</v>
      </c>
    </row>
    <row r="62" spans="3:14" x14ac:dyDescent="0.2">
      <c r="C62" s="4" t="s">
        <v>53</v>
      </c>
      <c r="D62">
        <v>1.15768E-2</v>
      </c>
      <c r="L62" s="64" t="s">
        <v>36</v>
      </c>
      <c r="M62" s="65">
        <v>0.86484640328960816</v>
      </c>
    </row>
    <row r="67" spans="2:11" x14ac:dyDescent="0.2">
      <c r="H67" s="74" t="s">
        <v>48</v>
      </c>
      <c r="I67" s="74" t="s">
        <v>50</v>
      </c>
      <c r="J67" s="67" t="s">
        <v>48</v>
      </c>
      <c r="K67" t="s">
        <v>50</v>
      </c>
    </row>
    <row r="68" spans="2:11" x14ac:dyDescent="0.2">
      <c r="G68" s="73" t="s">
        <v>37</v>
      </c>
      <c r="H68" s="74" t="s">
        <v>49</v>
      </c>
      <c r="I68" s="74" t="s">
        <v>51</v>
      </c>
      <c r="J68" s="67" t="s">
        <v>52</v>
      </c>
      <c r="K68" s="67" t="s">
        <v>52</v>
      </c>
    </row>
    <row r="69" spans="2:11" x14ac:dyDescent="0.2">
      <c r="B69">
        <v>1</v>
      </c>
      <c r="D69" s="68" t="s">
        <v>40</v>
      </c>
      <c r="E69" s="68"/>
      <c r="G69" s="29">
        <f>Z31</f>
        <v>56852.427662005131</v>
      </c>
      <c r="H69" s="29">
        <v>1500</v>
      </c>
      <c r="I69" s="29">
        <f>H69*G69</f>
        <v>85278641.49300769</v>
      </c>
      <c r="J69" s="80">
        <f t="shared" ref="J69:J78" si="21">H69*D$62</f>
        <v>17.365200000000002</v>
      </c>
      <c r="K69" s="80">
        <f>I69*D$62</f>
        <v>987253.77683625137</v>
      </c>
    </row>
    <row r="70" spans="2:11" x14ac:dyDescent="0.2">
      <c r="B70">
        <v>2</v>
      </c>
      <c r="D70" s="68" t="s">
        <v>39</v>
      </c>
      <c r="E70" s="68"/>
      <c r="G70" s="29">
        <f>(555936/231526)*G71</f>
        <v>266324.3724485531</v>
      </c>
      <c r="H70" s="29">
        <v>350</v>
      </c>
      <c r="I70" s="29">
        <f t="shared" ref="I70:I78" si="22">H70*G70</f>
        <v>93213530.356993586</v>
      </c>
      <c r="J70" s="80">
        <f t="shared" si="21"/>
        <v>4.0518799999999997</v>
      </c>
      <c r="K70" s="80">
        <f t="shared" ref="K70:K78" si="23">I70*D$62</f>
        <v>1079114.3982368433</v>
      </c>
    </row>
    <row r="71" spans="2:11" x14ac:dyDescent="0.2">
      <c r="B71">
        <v>3</v>
      </c>
      <c r="D71" s="68" t="s">
        <v>38</v>
      </c>
      <c r="E71" s="68"/>
      <c r="G71" s="29">
        <f>(231526/118676)*G69</f>
        <v>110913.87615754998</v>
      </c>
      <c r="H71" s="29">
        <v>500</v>
      </c>
      <c r="I71" s="29">
        <f t="shared" si="22"/>
        <v>55456938.078774989</v>
      </c>
      <c r="J71" s="80">
        <f t="shared" si="21"/>
        <v>5.7884000000000002</v>
      </c>
      <c r="K71" s="80">
        <f t="shared" si="23"/>
        <v>642013.8807503623</v>
      </c>
    </row>
    <row r="72" spans="2:11" x14ac:dyDescent="0.2">
      <c r="B72">
        <v>4</v>
      </c>
      <c r="D72" s="4" t="s">
        <v>24</v>
      </c>
      <c r="E72" s="4"/>
      <c r="F72" s="66">
        <f>(6934/'Upstream face dimensions'!D88)</f>
        <v>1.06543988961465E-2</v>
      </c>
      <c r="G72" s="29">
        <f>R32*F72</f>
        <v>2266.3873855981324</v>
      </c>
      <c r="H72" s="29">
        <v>7500</v>
      </c>
      <c r="I72" s="29">
        <f t="shared" si="22"/>
        <v>16997905.391985994</v>
      </c>
      <c r="J72" s="80">
        <f t="shared" si="21"/>
        <v>86.825999999999993</v>
      </c>
      <c r="K72" s="80">
        <f t="shared" si="23"/>
        <v>196781.35114194345</v>
      </c>
    </row>
    <row r="73" spans="2:11" x14ac:dyDescent="0.2">
      <c r="B73">
        <v>5</v>
      </c>
      <c r="D73" s="4" t="s">
        <v>26</v>
      </c>
      <c r="E73" s="4"/>
      <c r="F73" s="66">
        <f>(515235/'Upstream face dimensions'!D88)</f>
        <v>0.79168145590655348</v>
      </c>
      <c r="G73" s="29">
        <f>R32*F73</f>
        <v>168405.26458301899</v>
      </c>
      <c r="H73" s="29">
        <v>8000</v>
      </c>
      <c r="I73" s="29">
        <f t="shared" si="22"/>
        <v>1347242116.6641519</v>
      </c>
      <c r="J73" s="80">
        <f t="shared" si="21"/>
        <v>92.614400000000003</v>
      </c>
      <c r="K73" s="80">
        <f t="shared" si="23"/>
        <v>15596752.536197554</v>
      </c>
    </row>
    <row r="74" spans="2:11" x14ac:dyDescent="0.2">
      <c r="B74">
        <v>6</v>
      </c>
      <c r="D74" s="4" t="s">
        <v>25</v>
      </c>
      <c r="E74" s="4"/>
      <c r="F74" s="66">
        <f>(128642/'Upstream face dimensions'!D88)</f>
        <v>0.1976641451973</v>
      </c>
      <c r="G74" s="29">
        <f>F74*R32</f>
        <v>42046.813680143488</v>
      </c>
      <c r="H74" s="29">
        <v>11800</v>
      </c>
      <c r="I74" s="29">
        <f t="shared" si="22"/>
        <v>496152401.42569315</v>
      </c>
      <c r="J74" s="80">
        <f t="shared" si="21"/>
        <v>136.60623999999999</v>
      </c>
      <c r="K74" s="80">
        <f t="shared" si="23"/>
        <v>5743857.1208249647</v>
      </c>
    </row>
    <row r="75" spans="2:11" x14ac:dyDescent="0.2">
      <c r="B75">
        <v>7</v>
      </c>
      <c r="D75" s="68" t="s">
        <v>44</v>
      </c>
      <c r="E75" s="68"/>
      <c r="G75" s="29">
        <f>15167/'Upstream face dimensions'!D88*SUM(G72:G74)</f>
        <v>4957.3546982069329</v>
      </c>
      <c r="H75" s="29">
        <v>135000</v>
      </c>
      <c r="I75" s="29">
        <f t="shared" si="22"/>
        <v>669242884.25793588</v>
      </c>
      <c r="J75" s="80">
        <f t="shared" si="21"/>
        <v>1562.8679999999999</v>
      </c>
      <c r="K75" s="80">
        <f t="shared" si="23"/>
        <v>7747691.022477272</v>
      </c>
    </row>
    <row r="76" spans="2:11" x14ac:dyDescent="0.2">
      <c r="B76">
        <v>8</v>
      </c>
      <c r="D76" s="68" t="s">
        <v>45</v>
      </c>
      <c r="E76" s="68"/>
      <c r="G76" s="7">
        <f>(2250/'Upstream face dimensions'!D88)*SUM(G72:G74)</f>
        <v>735.41557796305131</v>
      </c>
      <c r="H76" s="29">
        <v>20000</v>
      </c>
      <c r="I76" s="29">
        <f t="shared" si="22"/>
        <v>14708311.559261026</v>
      </c>
      <c r="J76" s="80">
        <f t="shared" si="21"/>
        <v>231.536</v>
      </c>
      <c r="K76" s="80">
        <f t="shared" si="23"/>
        <v>170275.18125925303</v>
      </c>
    </row>
    <row r="77" spans="2:11" x14ac:dyDescent="0.2">
      <c r="B77">
        <v>9</v>
      </c>
      <c r="D77" s="4" t="s">
        <v>47</v>
      </c>
      <c r="E77" s="4"/>
      <c r="G77" s="7">
        <v>4</v>
      </c>
      <c r="H77" s="29">
        <f>13871000/4</f>
        <v>3467750</v>
      </c>
      <c r="I77" s="29">
        <f t="shared" si="22"/>
        <v>13871000</v>
      </c>
      <c r="J77" s="80">
        <f t="shared" si="21"/>
        <v>40145.448199999999</v>
      </c>
      <c r="K77" s="80">
        <f t="shared" si="23"/>
        <v>160581.7928</v>
      </c>
    </row>
    <row r="78" spans="2:11" ht="16" thickBot="1" x14ac:dyDescent="0.25">
      <c r="B78" s="75">
        <v>10</v>
      </c>
      <c r="C78" s="76"/>
      <c r="D78" s="77" t="s">
        <v>46</v>
      </c>
      <c r="E78" s="77"/>
      <c r="F78" s="75"/>
      <c r="G78" s="78">
        <v>1</v>
      </c>
      <c r="H78" s="79">
        <v>124299081</v>
      </c>
      <c r="I78" s="79">
        <f t="shared" si="22"/>
        <v>124299081</v>
      </c>
      <c r="J78" s="95">
        <f t="shared" si="21"/>
        <v>1438985.6009207999</v>
      </c>
      <c r="K78" s="95">
        <f t="shared" si="23"/>
        <v>1438985.6009207999</v>
      </c>
    </row>
    <row r="79" spans="2:11" ht="16" thickTop="1" x14ac:dyDescent="0.2">
      <c r="H79" s="29"/>
      <c r="I79" s="80">
        <f>SUM(I69:I78)</f>
        <v>2916462810.2278042</v>
      </c>
      <c r="J79" s="80"/>
      <c r="K79" s="80">
        <f>SUM(K69:K78)</f>
        <v>33763306.661445245</v>
      </c>
    </row>
    <row r="83" spans="3:5" x14ac:dyDescent="0.2">
      <c r="C83" s="4" t="s">
        <v>54</v>
      </c>
    </row>
    <row r="84" spans="3:5" ht="17" x14ac:dyDescent="0.2">
      <c r="C84"/>
      <c r="D84" s="61" t="s">
        <v>27</v>
      </c>
      <c r="E84" s="61"/>
    </row>
    <row r="85" spans="3:5" x14ac:dyDescent="0.2">
      <c r="C85" s="59" t="s">
        <v>24</v>
      </c>
      <c r="D85" s="60">
        <v>6934</v>
      </c>
      <c r="E85" s="93"/>
    </row>
    <row r="86" spans="3:5" x14ac:dyDescent="0.2">
      <c r="C86" s="59" t="s">
        <v>26</v>
      </c>
      <c r="D86" s="60">
        <v>515235</v>
      </c>
      <c r="E86" s="93"/>
    </row>
    <row r="87" spans="3:5" x14ac:dyDescent="0.2">
      <c r="C87" s="59" t="s">
        <v>25</v>
      </c>
      <c r="D87" s="60">
        <v>128642</v>
      </c>
      <c r="E87" s="93"/>
    </row>
    <row r="88" spans="3:5" x14ac:dyDescent="0.2">
      <c r="C88"/>
      <c r="D88" s="29">
        <f>SUM(D85:D87)</f>
        <v>650811</v>
      </c>
      <c r="E88" s="2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37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2" max="2" width="24.83203125" customWidth="1"/>
    <col min="3" max="3" width="15.33203125" customWidth="1"/>
    <col min="6" max="6" width="17.83203125" bestFit="1" customWidth="1"/>
    <col min="10" max="10" width="16.83203125" customWidth="1"/>
    <col min="11" max="11" width="15.5" customWidth="1"/>
    <col min="12" max="12" width="16.1640625" customWidth="1"/>
    <col min="13" max="13" width="17.1640625" customWidth="1"/>
    <col min="14" max="14" width="14.1640625" customWidth="1"/>
    <col min="22" max="23" width="9" bestFit="1" customWidth="1"/>
    <col min="24" max="24" width="11.6640625" bestFit="1" customWidth="1"/>
    <col min="25" max="26" width="10.1640625" bestFit="1" customWidth="1"/>
  </cols>
  <sheetData>
    <row r="1" spans="2:26" x14ac:dyDescent="0.2">
      <c r="B1" s="81" t="s">
        <v>56</v>
      </c>
    </row>
    <row r="2" spans="2:26" x14ac:dyDescent="0.2">
      <c r="B2" s="82" t="s">
        <v>57</v>
      </c>
    </row>
    <row r="3" spans="2:26" x14ac:dyDescent="0.2">
      <c r="J3" t="s">
        <v>80</v>
      </c>
      <c r="K3" t="s">
        <v>81</v>
      </c>
      <c r="L3" t="s">
        <v>82</v>
      </c>
      <c r="M3" t="s">
        <v>83</v>
      </c>
      <c r="N3" t="s">
        <v>84</v>
      </c>
      <c r="P3" t="s">
        <v>87</v>
      </c>
      <c r="Q3" t="s">
        <v>89</v>
      </c>
      <c r="R3" t="s">
        <v>82</v>
      </c>
      <c r="S3" t="s">
        <v>90</v>
      </c>
      <c r="T3" t="s">
        <v>91</v>
      </c>
      <c r="V3" t="s">
        <v>88</v>
      </c>
    </row>
    <row r="4" spans="2:26" x14ac:dyDescent="0.2">
      <c r="B4" s="64" t="s">
        <v>59</v>
      </c>
      <c r="C4" s="83">
        <v>20</v>
      </c>
      <c r="D4" t="s">
        <v>65</v>
      </c>
      <c r="J4">
        <v>50</v>
      </c>
      <c r="K4" s="101">
        <f>C7</f>
        <v>47.143215100404852</v>
      </c>
      <c r="L4" s="100">
        <f>C8</f>
        <v>33763306.661445245</v>
      </c>
      <c r="M4" s="100">
        <f>C9</f>
        <v>1688165.3330722624</v>
      </c>
      <c r="N4" s="103">
        <f>M4*1.7</f>
        <v>2869881.066222846</v>
      </c>
      <c r="P4">
        <v>50</v>
      </c>
      <c r="Q4">
        <v>61.396624230000498</v>
      </c>
      <c r="R4">
        <v>57182114.7883505</v>
      </c>
      <c r="S4">
        <v>1143642.29576701</v>
      </c>
      <c r="T4">
        <v>1944191.90280392</v>
      </c>
      <c r="V4" s="91">
        <f>P4-J4</f>
        <v>0</v>
      </c>
      <c r="W4" s="91">
        <f t="shared" ref="W4:Z19" si="0">Q4-K4</f>
        <v>14.253409129595646</v>
      </c>
      <c r="X4" s="91">
        <f t="shared" si="0"/>
        <v>23418808.126905255</v>
      </c>
      <c r="Y4" s="91">
        <f t="shared" si="0"/>
        <v>-544523.03730525239</v>
      </c>
      <c r="Z4" s="91">
        <f t="shared" si="0"/>
        <v>-925689.16341892607</v>
      </c>
    </row>
    <row r="5" spans="2:26" x14ac:dyDescent="0.2">
      <c r="B5" s="64" t="s">
        <v>58</v>
      </c>
      <c r="C5" s="87">
        <f xml:space="preserve"> 22.894*C4^0.2683</f>
        <v>51.143215100404852</v>
      </c>
      <c r="D5" t="s">
        <v>60</v>
      </c>
      <c r="J5">
        <v>55</v>
      </c>
      <c r="K5" s="101">
        <f t="dataTable" ref="K5:N24" dt2D="0" dtr="0" r1="C4"/>
        <v>63.09049375197074</v>
      </c>
      <c r="L5" s="100">
        <v>60644335.948389925</v>
      </c>
      <c r="M5" s="100">
        <v>1102624.289970726</v>
      </c>
      <c r="N5" s="103">
        <v>1874461.2929502341</v>
      </c>
      <c r="P5">
        <v>55</v>
      </c>
      <c r="Q5">
        <v>63.090493751970698</v>
      </c>
      <c r="R5">
        <v>60644335.948389903</v>
      </c>
      <c r="S5">
        <v>1102624.28997073</v>
      </c>
      <c r="T5">
        <v>1874461.29295023</v>
      </c>
      <c r="V5" s="91">
        <f t="shared" ref="V5:V24" si="1">P5-J5</f>
        <v>0</v>
      </c>
      <c r="W5" s="91">
        <f t="shared" si="0"/>
        <v>0</v>
      </c>
      <c r="X5" s="91">
        <f t="shared" si="0"/>
        <v>0</v>
      </c>
      <c r="Y5" s="91">
        <f t="shared" si="0"/>
        <v>3.9581209421157837E-9</v>
      </c>
      <c r="Z5" s="91">
        <f t="shared" si="0"/>
        <v>-4.1909515857696533E-9</v>
      </c>
    </row>
    <row r="6" spans="2:26" x14ac:dyDescent="0.2">
      <c r="B6" s="64" t="s">
        <v>66</v>
      </c>
      <c r="C6" s="87">
        <f>C5+5.4</f>
        <v>56.543215100404851</v>
      </c>
      <c r="D6" t="s">
        <v>60</v>
      </c>
      <c r="J6">
        <v>60</v>
      </c>
      <c r="K6" s="101">
        <v>64.675156686252436</v>
      </c>
      <c r="L6" s="100">
        <v>63941163.164591871</v>
      </c>
      <c r="M6" s="100">
        <v>1065686.0527431979</v>
      </c>
      <c r="N6" s="103">
        <v>1811666.2896634364</v>
      </c>
      <c r="P6">
        <v>60</v>
      </c>
      <c r="Q6">
        <v>64.675156686252393</v>
      </c>
      <c r="R6">
        <v>63941163.164591901</v>
      </c>
      <c r="S6">
        <v>1065686.0527432</v>
      </c>
      <c r="T6">
        <v>1811666.2896634401</v>
      </c>
      <c r="V6" s="91">
        <f t="shared" si="1"/>
        <v>0</v>
      </c>
      <c r="W6" s="91">
        <f t="shared" si="0"/>
        <v>0</v>
      </c>
      <c r="X6" s="91">
        <f t="shared" si="0"/>
        <v>0</v>
      </c>
      <c r="Y6" s="91">
        <f t="shared" si="0"/>
        <v>2.0954757928848267E-9</v>
      </c>
      <c r="Z6" s="91">
        <f t="shared" si="0"/>
        <v>3.7252902984619141E-9</v>
      </c>
    </row>
    <row r="7" spans="2:26" x14ac:dyDescent="0.2">
      <c r="B7" s="64" t="s">
        <v>55</v>
      </c>
      <c r="C7" s="88">
        <f>C5-11+7</f>
        <v>47.143215100404852</v>
      </c>
      <c r="D7" t="s">
        <v>60</v>
      </c>
      <c r="J7">
        <v>65</v>
      </c>
      <c r="K7" s="101">
        <v>66.165937467228602</v>
      </c>
      <c r="L7" s="100">
        <v>67172155.789984912</v>
      </c>
      <c r="M7" s="100">
        <v>1033417.7813843832</v>
      </c>
      <c r="N7" s="103">
        <v>1756810.2283534515</v>
      </c>
      <c r="P7">
        <v>65</v>
      </c>
      <c r="Q7">
        <v>66.165937467228602</v>
      </c>
      <c r="R7">
        <v>67172155.789984897</v>
      </c>
      <c r="S7">
        <v>1033417.78138438</v>
      </c>
      <c r="T7">
        <v>1756810.2283534501</v>
      </c>
      <c r="V7" s="91">
        <f t="shared" si="1"/>
        <v>0</v>
      </c>
      <c r="W7" s="91">
        <f t="shared" si="0"/>
        <v>0</v>
      </c>
      <c r="X7" s="91">
        <f t="shared" si="0"/>
        <v>0</v>
      </c>
      <c r="Y7" s="91">
        <f t="shared" si="0"/>
        <v>-3.2596290111541748E-9</v>
      </c>
      <c r="Z7" s="91">
        <f t="shared" si="0"/>
        <v>0</v>
      </c>
    </row>
    <row r="8" spans="2:26" x14ac:dyDescent="0.2">
      <c r="B8" s="64" t="s">
        <v>61</v>
      </c>
      <c r="C8" s="84">
        <f>'Upstream face dimensions'!K79</f>
        <v>33763306.661445245</v>
      </c>
      <c r="D8" s="85" t="s">
        <v>62</v>
      </c>
      <c r="F8" s="86">
        <f>C8/'Upstream face dimensions'!D62</f>
        <v>2916462810.2278042</v>
      </c>
      <c r="J8">
        <v>70</v>
      </c>
      <c r="K8" s="101">
        <v>67.575020753456883</v>
      </c>
      <c r="L8" s="100">
        <v>70370589.112678304</v>
      </c>
      <c r="M8" s="100">
        <v>1005294.1301811186</v>
      </c>
      <c r="N8" s="103">
        <v>1709000.0213079017</v>
      </c>
      <c r="P8">
        <v>70</v>
      </c>
      <c r="Q8">
        <v>67.575020753456897</v>
      </c>
      <c r="R8">
        <v>70370589.112678304</v>
      </c>
      <c r="S8">
        <v>1005294.13018112</v>
      </c>
      <c r="T8">
        <v>1709000.0213079001</v>
      </c>
      <c r="V8" s="91">
        <f t="shared" si="1"/>
        <v>0</v>
      </c>
      <c r="W8" s="91">
        <f t="shared" si="0"/>
        <v>0</v>
      </c>
      <c r="X8" s="91">
        <f t="shared" si="0"/>
        <v>0</v>
      </c>
      <c r="Y8" s="91">
        <f t="shared" si="0"/>
        <v>1.3969838619232178E-9</v>
      </c>
      <c r="Z8" s="91">
        <f t="shared" si="0"/>
        <v>0</v>
      </c>
    </row>
    <row r="9" spans="2:26" x14ac:dyDescent="0.2">
      <c r="B9" s="64" t="s">
        <v>86</v>
      </c>
      <c r="C9" s="99">
        <f>C8/C4</f>
        <v>1688165.3330722624</v>
      </c>
      <c r="J9">
        <v>75</v>
      </c>
      <c r="K9" s="101">
        <v>68.912269325507921</v>
      </c>
      <c r="L9" s="100">
        <v>73465363.456742927</v>
      </c>
      <c r="M9" s="100">
        <v>979538.17942323908</v>
      </c>
      <c r="N9" s="103">
        <v>1665214.9050195063</v>
      </c>
      <c r="P9">
        <v>75</v>
      </c>
      <c r="Q9">
        <v>68.912269325507907</v>
      </c>
      <c r="R9">
        <v>73465363.456742898</v>
      </c>
      <c r="S9">
        <v>979538.17942323897</v>
      </c>
      <c r="T9">
        <v>1665214.9050195101</v>
      </c>
      <c r="V9" s="91">
        <f t="shared" si="1"/>
        <v>0</v>
      </c>
      <c r="W9" s="91">
        <f t="shared" si="0"/>
        <v>0</v>
      </c>
      <c r="X9" s="91">
        <f t="shared" si="0"/>
        <v>0</v>
      </c>
      <c r="Y9" s="91">
        <f t="shared" si="0"/>
        <v>0</v>
      </c>
      <c r="Z9" s="91">
        <f t="shared" si="0"/>
        <v>3.7252902984619141E-9</v>
      </c>
    </row>
    <row r="10" spans="2:26" x14ac:dyDescent="0.2">
      <c r="J10">
        <v>80</v>
      </c>
      <c r="K10" s="101">
        <v>70.185789345695255</v>
      </c>
      <c r="L10" s="100">
        <v>76489814.319399297</v>
      </c>
      <c r="M10" s="100">
        <v>956122.67899249122</v>
      </c>
      <c r="N10" s="103">
        <v>1625408.554287235</v>
      </c>
      <c r="P10">
        <v>80</v>
      </c>
      <c r="Q10">
        <v>70.185789345695298</v>
      </c>
      <c r="R10">
        <v>76489814.319399297</v>
      </c>
      <c r="S10">
        <v>956122.67899249098</v>
      </c>
      <c r="T10">
        <v>1625408.5542872399</v>
      </c>
      <c r="V10" s="91">
        <f t="shared" si="1"/>
        <v>0</v>
      </c>
      <c r="W10" s="91">
        <f t="shared" si="0"/>
        <v>0</v>
      </c>
      <c r="X10" s="91">
        <f t="shared" si="0"/>
        <v>0</v>
      </c>
      <c r="Y10" s="91">
        <f t="shared" si="0"/>
        <v>0</v>
      </c>
      <c r="Z10" s="91">
        <f t="shared" si="0"/>
        <v>4.8894435167312622E-9</v>
      </c>
    </row>
    <row r="11" spans="2:26" x14ac:dyDescent="0.2">
      <c r="J11">
        <v>85</v>
      </c>
      <c r="K11" s="101">
        <v>71.402331750797984</v>
      </c>
      <c r="L11" s="100">
        <v>79457407.357092187</v>
      </c>
      <c r="M11" s="100">
        <v>934793.02773049637</v>
      </c>
      <c r="N11" s="103">
        <v>1589148.1471418438</v>
      </c>
      <c r="P11">
        <v>85</v>
      </c>
      <c r="Q11">
        <v>71.402331750797998</v>
      </c>
      <c r="R11">
        <v>79457407.357092202</v>
      </c>
      <c r="S11">
        <v>934793.02773049602</v>
      </c>
      <c r="T11">
        <v>1589148.1471418401</v>
      </c>
      <c r="V11" s="91">
        <f t="shared" si="1"/>
        <v>0</v>
      </c>
      <c r="W11" s="91">
        <f t="shared" si="0"/>
        <v>0</v>
      </c>
      <c r="X11" s="91">
        <f t="shared" si="0"/>
        <v>0</v>
      </c>
      <c r="Y11" s="91">
        <f t="shared" si="0"/>
        <v>0</v>
      </c>
      <c r="Z11" s="91">
        <f t="shared" si="0"/>
        <v>-3.7252902984619141E-9</v>
      </c>
    </row>
    <row r="12" spans="2:26" x14ac:dyDescent="0.2">
      <c r="J12">
        <v>90</v>
      </c>
      <c r="K12" s="101">
        <v>72.56758401884646</v>
      </c>
      <c r="L12" s="100">
        <v>82408704.135769188</v>
      </c>
      <c r="M12" s="100">
        <v>915652.26817521325</v>
      </c>
      <c r="N12" s="103">
        <v>1556608.8558978625</v>
      </c>
      <c r="P12">
        <v>90</v>
      </c>
      <c r="Q12">
        <v>72.567584018846503</v>
      </c>
      <c r="R12">
        <v>82408704.135769203</v>
      </c>
      <c r="S12">
        <v>915652.26817521302</v>
      </c>
      <c r="T12">
        <v>1556608.8558978599</v>
      </c>
      <c r="V12" s="91">
        <f t="shared" si="1"/>
        <v>0</v>
      </c>
      <c r="W12" s="91">
        <f t="shared" si="0"/>
        <v>0</v>
      </c>
      <c r="X12" s="91">
        <f t="shared" si="0"/>
        <v>0</v>
      </c>
      <c r="Y12" s="91">
        <f t="shared" si="0"/>
        <v>0</v>
      </c>
      <c r="Z12" s="91">
        <f t="shared" si="0"/>
        <v>-2.5611370801925659E-9</v>
      </c>
    </row>
    <row r="13" spans="2:26" x14ac:dyDescent="0.2">
      <c r="J13">
        <v>95</v>
      </c>
      <c r="K13" s="102">
        <v>73.686386609511686</v>
      </c>
      <c r="L13" s="100">
        <v>85305253.570141211</v>
      </c>
      <c r="M13" s="100">
        <v>897950.03758043377</v>
      </c>
      <c r="N13" s="103">
        <v>1526515.0638867375</v>
      </c>
      <c r="P13">
        <v>95</v>
      </c>
      <c r="Q13">
        <v>73.6863866095117</v>
      </c>
      <c r="R13">
        <v>85305253.570141196</v>
      </c>
      <c r="S13">
        <v>897950.037580434</v>
      </c>
      <c r="T13">
        <v>1526515.06388674</v>
      </c>
      <c r="V13" s="91">
        <f t="shared" si="1"/>
        <v>0</v>
      </c>
      <c r="W13" s="91">
        <f t="shared" si="0"/>
        <v>0</v>
      </c>
      <c r="X13" s="91">
        <f t="shared" si="0"/>
        <v>0</v>
      </c>
      <c r="Y13" s="91">
        <f t="shared" si="0"/>
        <v>0</v>
      </c>
      <c r="Z13" s="91">
        <f t="shared" si="0"/>
        <v>2.5611370801925659E-9</v>
      </c>
    </row>
    <row r="14" spans="2:26" x14ac:dyDescent="0.2">
      <c r="J14">
        <v>100</v>
      </c>
      <c r="K14" s="101">
        <v>74.762896422798079</v>
      </c>
      <c r="L14" s="100">
        <v>88151670.388029635</v>
      </c>
      <c r="M14" s="100">
        <v>881516.70388029632</v>
      </c>
      <c r="N14" s="103">
        <v>1498578.3965965037</v>
      </c>
      <c r="P14">
        <v>100</v>
      </c>
      <c r="Q14">
        <v>74.762896422798093</v>
      </c>
      <c r="R14">
        <v>88151670.388029605</v>
      </c>
      <c r="S14">
        <v>881516.70388029597</v>
      </c>
      <c r="T14">
        <v>1498578.3965965</v>
      </c>
      <c r="V14" s="91">
        <f t="shared" si="1"/>
        <v>0</v>
      </c>
      <c r="W14" s="91">
        <f t="shared" si="0"/>
        <v>0</v>
      </c>
      <c r="X14" s="91">
        <f t="shared" si="0"/>
        <v>0</v>
      </c>
      <c r="Y14" s="91">
        <f t="shared" si="0"/>
        <v>0</v>
      </c>
      <c r="Z14" s="91">
        <f t="shared" si="0"/>
        <v>-3.7252902984619141E-9</v>
      </c>
    </row>
    <row r="15" spans="2:26" x14ac:dyDescent="0.2">
      <c r="J15">
        <v>105</v>
      </c>
      <c r="K15" s="101">
        <v>75.800712217203483</v>
      </c>
      <c r="L15" s="100">
        <v>90941576.908501208</v>
      </c>
      <c r="M15" s="100">
        <v>866110.25627144007</v>
      </c>
      <c r="N15" s="103">
        <v>1472387.4356614482</v>
      </c>
      <c r="P15">
        <v>105</v>
      </c>
      <c r="Q15">
        <v>75.800712217203497</v>
      </c>
      <c r="R15">
        <v>90941576.908501193</v>
      </c>
      <c r="S15">
        <v>866110.25627143995</v>
      </c>
      <c r="T15">
        <v>1472387.43566145</v>
      </c>
      <c r="V15" s="91">
        <f t="shared" si="1"/>
        <v>0</v>
      </c>
      <c r="W15" s="91">
        <f t="shared" si="0"/>
        <v>0</v>
      </c>
      <c r="X15" s="91">
        <f t="shared" si="0"/>
        <v>0</v>
      </c>
      <c r="Y15" s="91">
        <f t="shared" si="0"/>
        <v>0</v>
      </c>
      <c r="Z15" s="91">
        <f t="shared" si="0"/>
        <v>1.862645149230957E-9</v>
      </c>
    </row>
    <row r="16" spans="2:26" x14ac:dyDescent="0.2">
      <c r="J16">
        <v>110</v>
      </c>
      <c r="K16" s="101">
        <v>76.802972210861014</v>
      </c>
      <c r="L16" s="100">
        <v>93739180.582632691</v>
      </c>
      <c r="M16" s="100">
        <v>852174.36893302447</v>
      </c>
      <c r="N16" s="103">
        <v>1448696.4271861415</v>
      </c>
      <c r="P16">
        <v>110</v>
      </c>
      <c r="Q16">
        <v>76.802972210861</v>
      </c>
      <c r="R16">
        <v>93739180.582632706</v>
      </c>
      <c r="S16">
        <v>852174.36893302505</v>
      </c>
      <c r="T16">
        <v>1448696.4271861401</v>
      </c>
      <c r="V16" s="91">
        <f t="shared" si="1"/>
        <v>0</v>
      </c>
      <c r="W16" s="91">
        <f t="shared" si="0"/>
        <v>0</v>
      </c>
      <c r="X16" s="91">
        <f t="shared" si="0"/>
        <v>0</v>
      </c>
      <c r="Y16" s="91">
        <f t="shared" si="0"/>
        <v>0</v>
      </c>
      <c r="Z16" s="91">
        <f t="shared" si="0"/>
        <v>0</v>
      </c>
    </row>
    <row r="17" spans="4:26" x14ac:dyDescent="0.2">
      <c r="D17" s="98"/>
      <c r="J17">
        <v>115</v>
      </c>
      <c r="K17" s="101">
        <v>77.772431006087842</v>
      </c>
      <c r="L17" s="100">
        <v>96483762.113322124</v>
      </c>
      <c r="M17" s="100">
        <v>838989.23576801852</v>
      </c>
      <c r="N17" s="103">
        <v>1426281.7008056315</v>
      </c>
      <c r="P17">
        <v>115</v>
      </c>
      <c r="Q17">
        <v>77.7724310060878</v>
      </c>
      <c r="R17">
        <v>96483762.113322094</v>
      </c>
      <c r="S17">
        <v>838989.23576801899</v>
      </c>
      <c r="T17">
        <v>1426281.7008056301</v>
      </c>
      <c r="V17" s="91">
        <f t="shared" si="1"/>
        <v>0</v>
      </c>
      <c r="W17" s="91">
        <f t="shared" si="0"/>
        <v>0</v>
      </c>
      <c r="X17" s="91">
        <f t="shared" si="0"/>
        <v>0</v>
      </c>
      <c r="Y17" s="91">
        <f t="shared" si="0"/>
        <v>0</v>
      </c>
      <c r="Z17" s="91">
        <f t="shared" si="0"/>
        <v>0</v>
      </c>
    </row>
    <row r="18" spans="4:26" x14ac:dyDescent="0.2">
      <c r="J18">
        <v>120</v>
      </c>
      <c r="K18" s="101">
        <v>78.711520916967146</v>
      </c>
      <c r="L18" s="100">
        <v>99194386.820777744</v>
      </c>
      <c r="M18" s="100">
        <v>826619.8901731479</v>
      </c>
      <c r="N18" s="103">
        <v>1405253.8132943513</v>
      </c>
      <c r="P18">
        <v>120</v>
      </c>
      <c r="Q18">
        <v>78.711520916967203</v>
      </c>
      <c r="R18">
        <v>99194386.820777699</v>
      </c>
      <c r="S18">
        <v>826619.89017314801</v>
      </c>
      <c r="T18">
        <v>1405253.8132943499</v>
      </c>
      <c r="V18" s="91">
        <f t="shared" si="1"/>
        <v>0</v>
      </c>
      <c r="W18" s="91">
        <f t="shared" si="0"/>
        <v>0</v>
      </c>
      <c r="X18" s="91">
        <f t="shared" si="0"/>
        <v>0</v>
      </c>
      <c r="Y18" s="91">
        <f t="shared" si="0"/>
        <v>0</v>
      </c>
      <c r="Z18" s="91">
        <f t="shared" si="0"/>
        <v>0</v>
      </c>
    </row>
    <row r="19" spans="4:26" x14ac:dyDescent="0.2">
      <c r="J19">
        <v>125</v>
      </c>
      <c r="K19" s="101">
        <v>79.622401373941713</v>
      </c>
      <c r="L19" s="100">
        <v>101872494.3122972</v>
      </c>
      <c r="M19" s="100">
        <v>814979.95449837751</v>
      </c>
      <c r="N19" s="103">
        <v>1385465.9226472417</v>
      </c>
      <c r="P19">
        <v>125</v>
      </c>
      <c r="Q19">
        <v>79.622401373941699</v>
      </c>
      <c r="R19">
        <v>101872494.312297</v>
      </c>
      <c r="S19">
        <v>814979.95449837798</v>
      </c>
      <c r="T19">
        <v>1385465.9226472401</v>
      </c>
      <c r="V19" s="91">
        <f t="shared" si="1"/>
        <v>0</v>
      </c>
      <c r="W19" s="91">
        <f t="shared" si="0"/>
        <v>0</v>
      </c>
      <c r="X19" s="91">
        <f t="shared" si="0"/>
        <v>-1.9371509552001953E-7</v>
      </c>
      <c r="Y19" s="91">
        <f t="shared" si="0"/>
        <v>0</v>
      </c>
      <c r="Z19" s="91">
        <f t="shared" si="0"/>
        <v>0</v>
      </c>
    </row>
    <row r="20" spans="4:26" x14ac:dyDescent="0.2">
      <c r="J20">
        <v>130</v>
      </c>
      <c r="K20" s="101">
        <v>80.506999102938394</v>
      </c>
      <c r="L20" s="100">
        <v>104519424.54108866</v>
      </c>
      <c r="M20" s="100">
        <v>803995.5733929897</v>
      </c>
      <c r="N20" s="103">
        <v>1366792.4747680824</v>
      </c>
      <c r="P20">
        <v>130</v>
      </c>
      <c r="Q20">
        <v>80.506999102938394</v>
      </c>
      <c r="R20">
        <v>104519424.541089</v>
      </c>
      <c r="S20">
        <v>803995.57339299005</v>
      </c>
      <c r="T20">
        <v>1366792.4747680801</v>
      </c>
      <c r="V20" s="91">
        <f t="shared" si="1"/>
        <v>0</v>
      </c>
      <c r="W20" s="91">
        <f t="shared" ref="W20:W24" si="2">Q20-K20</f>
        <v>0</v>
      </c>
      <c r="X20" s="91">
        <f t="shared" ref="X20:X24" si="3">R20-L20</f>
        <v>3.4272670745849609E-7</v>
      </c>
      <c r="Y20" s="91">
        <f t="shared" ref="Y20:Y24" si="4">S20-M20</f>
        <v>0</v>
      </c>
      <c r="Z20" s="91">
        <f t="shared" ref="Z20:Z24" si="5">T20-N20</f>
        <v>-2.3283064365386963E-9</v>
      </c>
    </row>
    <row r="21" spans="4:26" x14ac:dyDescent="0.2">
      <c r="J21">
        <v>135</v>
      </c>
      <c r="K21" s="101">
        <v>81.367041086878231</v>
      </c>
      <c r="L21" s="100">
        <v>107129289.49800603</v>
      </c>
      <c r="M21" s="100">
        <v>793550.29257782246</v>
      </c>
      <c r="N21" s="103">
        <v>1349035.4973822981</v>
      </c>
      <c r="P21">
        <v>135</v>
      </c>
      <c r="Q21">
        <v>81.367041086878203</v>
      </c>
      <c r="R21">
        <v>107129289.498006</v>
      </c>
      <c r="S21">
        <v>793550.29257782304</v>
      </c>
      <c r="T21">
        <v>1349035.4973823</v>
      </c>
      <c r="V21" s="91">
        <f t="shared" si="1"/>
        <v>0</v>
      </c>
      <c r="W21" s="91">
        <f t="shared" si="2"/>
        <v>0</v>
      </c>
      <c r="X21" s="91">
        <f t="shared" si="3"/>
        <v>0</v>
      </c>
      <c r="Y21" s="91">
        <f t="shared" si="4"/>
        <v>0</v>
      </c>
      <c r="Z21" s="91">
        <f t="shared" si="5"/>
        <v>1.862645149230957E-9</v>
      </c>
    </row>
    <row r="22" spans="4:26" x14ac:dyDescent="0.2">
      <c r="J22">
        <v>140</v>
      </c>
      <c r="K22" s="101">
        <v>82.204081822895972</v>
      </c>
      <c r="L22" s="100">
        <v>109692526.7295393</v>
      </c>
      <c r="M22" s="100">
        <v>783518.04806813784</v>
      </c>
      <c r="N22" s="103">
        <v>1331980.6817158342</v>
      </c>
      <c r="P22">
        <v>140</v>
      </c>
      <c r="Q22">
        <v>82.204081822896001</v>
      </c>
      <c r="R22">
        <v>109692526.72953901</v>
      </c>
      <c r="S22">
        <v>783518.04806813796</v>
      </c>
      <c r="T22">
        <v>1331980.68171583</v>
      </c>
      <c r="V22" s="91">
        <f t="shared" si="1"/>
        <v>0</v>
      </c>
      <c r="W22" s="91">
        <f t="shared" si="2"/>
        <v>0</v>
      </c>
      <c r="X22" s="91">
        <f t="shared" si="3"/>
        <v>-2.9802322387695312E-7</v>
      </c>
      <c r="Y22" s="91">
        <f t="shared" si="4"/>
        <v>0</v>
      </c>
      <c r="Z22" s="91">
        <f t="shared" si="5"/>
        <v>-4.1909515857696533E-9</v>
      </c>
    </row>
    <row r="23" spans="4:26" x14ac:dyDescent="0.2">
      <c r="J23">
        <v>145</v>
      </c>
      <c r="K23" s="6">
        <v>83.019526029038261</v>
      </c>
      <c r="L23" s="80">
        <v>112219371.443142</v>
      </c>
      <c r="M23" s="100">
        <v>773926.6996078759</v>
      </c>
      <c r="N23">
        <v>1315675.389333389</v>
      </c>
      <c r="P23">
        <v>145</v>
      </c>
      <c r="Q23">
        <v>83.019526029038303</v>
      </c>
      <c r="R23">
        <v>112219371.443142</v>
      </c>
      <c r="S23">
        <v>773926.69960787601</v>
      </c>
      <c r="T23">
        <v>1315675.3893333899</v>
      </c>
      <c r="V23" s="91">
        <f t="shared" si="1"/>
        <v>0</v>
      </c>
      <c r="W23" s="91">
        <f t="shared" si="2"/>
        <v>0</v>
      </c>
      <c r="X23" s="91">
        <f t="shared" si="3"/>
        <v>0</v>
      </c>
      <c r="Y23" s="91">
        <f t="shared" si="4"/>
        <v>0</v>
      </c>
      <c r="Z23" s="91">
        <f t="shared" si="5"/>
        <v>0</v>
      </c>
    </row>
    <row r="24" spans="4:26" x14ac:dyDescent="0.2">
      <c r="J24">
        <v>150</v>
      </c>
      <c r="K24" s="6">
        <v>83.814647689439184</v>
      </c>
      <c r="L24" s="80">
        <v>114718011.97539458</v>
      </c>
      <c r="M24">
        <v>764786.74650263053</v>
      </c>
      <c r="N24">
        <v>1300137.4690544719</v>
      </c>
      <c r="P24">
        <v>150</v>
      </c>
      <c r="Q24">
        <v>83.814647689439198</v>
      </c>
      <c r="R24">
        <v>114718011.97539499</v>
      </c>
      <c r="S24">
        <v>764786.74650263099</v>
      </c>
      <c r="T24">
        <v>1300137.4690544701</v>
      </c>
      <c r="V24" s="91">
        <f t="shared" si="1"/>
        <v>0</v>
      </c>
      <c r="W24" s="91">
        <f t="shared" si="2"/>
        <v>0</v>
      </c>
      <c r="X24" s="91">
        <f t="shared" si="3"/>
        <v>4.1723251342773438E-7</v>
      </c>
      <c r="Y24" s="91">
        <f t="shared" si="4"/>
        <v>0</v>
      </c>
      <c r="Z24" s="91">
        <f t="shared" si="5"/>
        <v>-1.862645149230957E-9</v>
      </c>
    </row>
    <row r="25" spans="4:26" x14ac:dyDescent="0.2">
      <c r="K25" s="6"/>
      <c r="L25" s="80"/>
    </row>
    <row r="26" spans="4:26" x14ac:dyDescent="0.2">
      <c r="K26" s="6"/>
      <c r="L26" s="80"/>
    </row>
    <row r="33" spans="5:7" x14ac:dyDescent="0.2">
      <c r="E33" t="s">
        <v>85</v>
      </c>
    </row>
    <row r="37" spans="5:7" x14ac:dyDescent="0.2">
      <c r="G37" s="9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Stage_Storage</vt:lpstr>
      <vt:lpstr>Upstream face dimensions</vt:lpstr>
      <vt:lpstr>I_O</vt:lpstr>
    </vt:vector>
  </TitlesOfParts>
  <Company>Black &amp; Veatch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Jenny Beth Skerker</cp:lastModifiedBy>
  <dcterms:created xsi:type="dcterms:W3CDTF">2014-03-12T14:13:56Z</dcterms:created>
  <dcterms:modified xsi:type="dcterms:W3CDTF">2020-12-21T14:58:12Z</dcterms:modified>
</cp:coreProperties>
</file>