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CalculationSheets\spu_wu\"/>
    </mc:Choice>
  </mc:AlternateContent>
  <bookViews>
    <workbookView xWindow="0" yWindow="0" windowWidth="16380" windowHeight="8196" tabRatio="500"/>
  </bookViews>
  <sheets>
    <sheet name="W_u_smallcombe" sheetId="1" r:id="rId1"/>
    <sheet name="Elements" sheetId="2" state="hidden" r:id="rId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5" i="1" l="1"/>
  <c r="D27" i="1"/>
  <c r="K20" i="1"/>
  <c r="J20" i="1"/>
  <c r="I20" i="1"/>
  <c r="H20" i="1"/>
  <c r="G20" i="1"/>
  <c r="F20" i="1"/>
  <c r="K19" i="1"/>
  <c r="J19" i="1"/>
  <c r="B18" i="1"/>
  <c r="L14" i="1"/>
  <c r="L20" i="1" s="1"/>
  <c r="O9" i="1"/>
  <c r="N9" i="1"/>
  <c r="E9" i="1"/>
  <c r="O8" i="1"/>
  <c r="N8" i="1"/>
  <c r="H8" i="1"/>
  <c r="D8" i="1"/>
  <c r="B27" i="1" s="1"/>
  <c r="B8" i="1"/>
  <c r="O7" i="1"/>
  <c r="N7" i="1"/>
  <c r="Q4" i="1"/>
  <c r="P4" i="1"/>
  <c r="O4" i="1"/>
  <c r="N4" i="1"/>
  <c r="M4" i="1"/>
  <c r="L4" i="1"/>
  <c r="K4" i="1"/>
  <c r="J4" i="1"/>
  <c r="I5" i="1" l="1"/>
  <c r="I4" i="1" s="1"/>
  <c r="R4" i="1" s="1"/>
  <c r="S4" i="1" s="1"/>
  <c r="L1" i="1" s="1"/>
  <c r="H10" i="1"/>
  <c r="J15" i="1"/>
  <c r="H14" i="1"/>
  <c r="H15" i="1"/>
  <c r="A11" i="1"/>
  <c r="A12" i="1"/>
  <c r="A13" i="1"/>
  <c r="C27" i="1"/>
  <c r="F27" i="1" s="1"/>
  <c r="C28" i="1"/>
  <c r="B11" i="1"/>
  <c r="B12" i="1"/>
  <c r="B13" i="1" s="1"/>
  <c r="C11" i="1"/>
  <c r="C12" i="1"/>
  <c r="D12" i="1" s="1"/>
  <c r="C18" i="1"/>
  <c r="F28" i="1"/>
  <c r="D11" i="1"/>
  <c r="F11" i="1" s="1"/>
  <c r="H11" i="1"/>
  <c r="G38" i="1" s="1"/>
  <c r="F12" i="1" l="1"/>
  <c r="C13" i="1"/>
  <c r="E13" i="1"/>
  <c r="D20" i="1" s="1"/>
  <c r="L17" i="1"/>
  <c r="H12" i="1"/>
  <c r="G23" i="1" s="1"/>
  <c r="G12" i="1"/>
  <c r="E12" i="1"/>
  <c r="G11" i="1"/>
  <c r="F13" i="1" s="1"/>
  <c r="E11" i="1"/>
  <c r="D13" i="1" s="1"/>
  <c r="I19" i="1"/>
  <c r="H19" i="1"/>
  <c r="D42" i="1"/>
  <c r="F22" i="1"/>
  <c r="F37" i="1"/>
  <c r="F15" i="1"/>
  <c r="F26" i="1" s="1"/>
  <c r="H27" i="1" l="1"/>
  <c r="I26" i="1"/>
  <c r="H26" i="1"/>
  <c r="I27" i="1"/>
  <c r="F16" i="1"/>
  <c r="G16" i="1"/>
  <c r="F19" i="1"/>
  <c r="G19" i="1"/>
  <c r="L16" i="1"/>
  <c r="K16" i="1"/>
  <c r="E19" i="1" s="1"/>
  <c r="J16" i="1"/>
  <c r="L19" i="1" l="1"/>
  <c r="L18" i="1" s="1"/>
  <c r="J18" i="1" l="1"/>
  <c r="F18" i="1"/>
  <c r="I23" i="1"/>
  <c r="J23" i="1" s="1"/>
  <c r="I18" i="1"/>
  <c r="H18" i="1"/>
  <c r="H23" i="1"/>
  <c r="K18" i="1"/>
  <c r="G18" i="1"/>
  <c r="F23" i="1" l="1"/>
  <c r="F38" i="1" s="1"/>
</calcChain>
</file>

<file path=xl/sharedStrings.xml><?xml version="1.0" encoding="utf-8"?>
<sst xmlns="http://schemas.openxmlformats.org/spreadsheetml/2006/main" count="764" uniqueCount="325">
  <si>
    <t>Sheet for the conversion between lifetimes and transition strengths</t>
  </si>
  <si>
    <t>Calculate Partial Lifetime</t>
  </si>
  <si>
    <t>T1/2</t>
  </si>
  <si>
    <t>fs</t>
  </si>
  <si>
    <t>decay const (ns^-1)</t>
  </si>
  <si>
    <t>various units for varied multi-polarity electromagnetic transitions.</t>
  </si>
  <si>
    <t>Gamma Branch Weights</t>
  </si>
  <si>
    <t>James Smallcombe – Nuclear Physics Group, University of Liverpool – October 2018</t>
  </si>
  <si>
    <t>ICE Coef</t>
  </si>
  <si>
    <t>Rough ICE</t>
  </si>
  <si>
    <t>Nucleus</t>
  </si>
  <si>
    <t>Transition</t>
  </si>
  <si>
    <t>Sym</t>
  </si>
  <si>
    <t>Z</t>
  </si>
  <si>
    <t>A</t>
  </si>
  <si>
    <t>L</t>
  </si>
  <si>
    <t>parity</t>
  </si>
  <si>
    <t>Energy (MeV)</t>
  </si>
  <si>
    <t>~R (fm)</t>
  </si>
  <si>
    <t>Dy</t>
  </si>
  <si>
    <t>E1</t>
  </si>
  <si>
    <t>only for Q/ICE</t>
  </si>
  <si>
    <t>E?</t>
  </si>
  <si>
    <t>only required for lifetime inputs</t>
  </si>
  <si>
    <t>Weisskopf:</t>
  </si>
  <si>
    <t>GAMMA PARTIAL!</t>
  </si>
  <si>
    <t>us</t>
  </si>
  <si>
    <t>State Angular Momenta</t>
  </si>
  <si>
    <t>Lowest_Energy</t>
  </si>
  <si>
    <t>Highest_Energy</t>
  </si>
  <si>
    <t>Weisskopf (down)</t>
  </si>
  <si>
    <t>Raman (up) spu</t>
  </si>
  <si>
    <t>down</t>
  </si>
  <si>
    <t>FILL ONE OR TIME</t>
  </si>
  <si>
    <t>2Jf+1/2Ji+1</t>
  </si>
  <si>
    <t xml:space="preserve"> </t>
  </si>
  <si>
    <t>Ratio</t>
  </si>
  <si>
    <t>From Lifetime</t>
  </si>
  <si>
    <t>Lifetime (ns)</t>
  </si>
  <si>
    <t>T 1/2 (ns)</t>
  </si>
  <si>
    <t>(partial)</t>
  </si>
  <si>
    <t>Lamda terms</t>
  </si>
  <si>
    <t>L term</t>
  </si>
  <si>
    <t>E term</t>
  </si>
  <si>
    <t>1/(hbar epsilon0)</t>
  </si>
  <si>
    <t>fm/(ns e^2)</t>
  </si>
  <si>
    <t>Hbar * c</t>
  </si>
  <si>
    <t>fine structure constant</t>
  </si>
  <si>
    <t>c</t>
  </si>
  <si>
    <r>
      <rPr>
        <sz val="10"/>
        <rFont val="Arial"/>
        <family val="2"/>
        <charset val="1"/>
      </rPr>
      <t>Nuclear magneton μ</t>
    </r>
    <r>
      <rPr>
        <vertAlign val="subscript"/>
        <sz val="10"/>
        <rFont val="Arial"/>
        <family val="2"/>
        <charset val="1"/>
      </rPr>
      <t>N</t>
    </r>
  </si>
  <si>
    <t>MeV fm</t>
  </si>
  <si>
    <t>fm/ns</t>
  </si>
  <si>
    <r>
      <rPr>
        <sz val="10"/>
        <rFont val="Arial"/>
        <family val="2"/>
        <charset val="1"/>
      </rPr>
      <t>(e fm)/μ</t>
    </r>
    <r>
      <rPr>
        <vertAlign val="subscript"/>
        <sz val="10"/>
        <rFont val="Arial"/>
        <family val="2"/>
        <charset val="1"/>
      </rPr>
      <t>N</t>
    </r>
  </si>
  <si>
    <r>
      <rPr>
        <sz val="10"/>
        <rFont val="Arial"/>
        <family val="2"/>
        <charset val="1"/>
      </rPr>
      <t>e b^0.5/μ</t>
    </r>
    <r>
      <rPr>
        <vertAlign val="subscript"/>
        <sz val="10"/>
        <rFont val="Arial"/>
        <family val="2"/>
        <charset val="1"/>
      </rPr>
      <t>N</t>
    </r>
  </si>
  <si>
    <t>E2?</t>
  </si>
  <si>
    <t>M1</t>
  </si>
  <si>
    <t>ns</t>
  </si>
  <si>
    <t>E2</t>
  </si>
  <si>
    <t>ps</t>
  </si>
  <si>
    <t>M2</t>
  </si>
  <si>
    <t>E3</t>
  </si>
  <si>
    <t>M3</t>
  </si>
  <si>
    <t>Lifetime</t>
  </si>
  <si>
    <t>E4</t>
  </si>
  <si>
    <t>M4</t>
  </si>
  <si>
    <t>E5</t>
  </si>
  <si>
    <t>M5</t>
  </si>
  <si>
    <t>E6</t>
  </si>
  <si>
    <t>M6</t>
  </si>
  <si>
    <t>Hydrogen</t>
  </si>
  <si>
    <t>H</t>
  </si>
  <si>
    <t>s</t>
  </si>
  <si>
    <t>Gas</t>
  </si>
  <si>
    <t>Primordial</t>
  </si>
  <si>
    <t>Non-metal</t>
  </si>
  <si>
    <t>Helium</t>
  </si>
  <si>
    <t>He</t>
  </si>
  <si>
    <t>Noble gas</t>
  </si>
  <si>
    <t>Lithium</t>
  </si>
  <si>
    <t>Li</t>
  </si>
  <si>
    <t>Solid</t>
  </si>
  <si>
    <t>Alkali metal</t>
  </si>
  <si>
    <t>Beryllium</t>
  </si>
  <si>
    <t>Be</t>
  </si>
  <si>
    <t>Alkaline earth metal</t>
  </si>
  <si>
    <t>Boron</t>
  </si>
  <si>
    <t>B</t>
  </si>
  <si>
    <t>p</t>
  </si>
  <si>
    <t>Metalloid</t>
  </si>
  <si>
    <t>Carbon</t>
  </si>
  <si>
    <t>C</t>
  </si>
  <si>
    <t>Nitrogen</t>
  </si>
  <si>
    <t>N</t>
  </si>
  <si>
    <t>Oxygen</t>
  </si>
  <si>
    <t>O</t>
  </si>
  <si>
    <t>Fluorine</t>
  </si>
  <si>
    <t>F</t>
  </si>
  <si>
    <t>Halogen</t>
  </si>
  <si>
    <t>Neon</t>
  </si>
  <si>
    <t>Ne</t>
  </si>
  <si>
    <t>Sodium</t>
  </si>
  <si>
    <t>Na</t>
  </si>
  <si>
    <t>Magnesium</t>
  </si>
  <si>
    <t>Mg</t>
  </si>
  <si>
    <t>Aluminium</t>
  </si>
  <si>
    <t>Al</t>
  </si>
  <si>
    <t>Metal</t>
  </si>
  <si>
    <t>Silicon</t>
  </si>
  <si>
    <t>Si</t>
  </si>
  <si>
    <t>Phosphorus</t>
  </si>
  <si>
    <t>P</t>
  </si>
  <si>
    <t>Sulphur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</si>
  <si>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</si>
  <si>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</si>
  <si>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</si>
  <si>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</si>
  <si>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</si>
  <si>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</si>
  <si>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</si>
  <si>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</si>
  <si>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</si>
  <si>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</si>
  <si>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</si>
  <si>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d</t>
  </si>
  <si>
    <t>Transition metal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</si>
  <si>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</si>
  <si>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</si>
  <si>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</si>
  <si>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</si>
  <si>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</si>
  <si>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</si>
  <si>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</si>
  <si>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</si>
  <si>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</si>
  <si>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</si>
  <si>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</si>
  <si>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</si>
  <si>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</si>
  <si>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</si>
  <si>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</si>
  <si>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</si>
  <si>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</si>
  <si>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</si>
  <si>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</si>
  <si>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</si>
  <si>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</si>
  <si>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</si>
  <si>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</si>
  <si>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</si>
  <si>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</si>
  <si>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</si>
  <si>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</si>
  <si>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</si>
  <si>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Liquid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</si>
  <si>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</si>
  <si>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</si>
  <si>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</si>
  <si>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</si>
  <si>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</si>
  <si>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</si>
  <si>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</si>
  <si>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</si>
  <si>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</si>
  <si>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</si>
  <si>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</si>
  <si>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</si>
  <si>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</si>
  <si>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</si>
  <si>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</si>
  <si>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</si>
  <si>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Transient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</si>
  <si>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</si>
  <si>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</si>
  <si>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</si>
  <si>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</si>
  <si>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</si>
  <si>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</si>
  <si>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</si>
  <si>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</si>
  <si>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</si>
  <si>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</si>
  <si>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</si>
  <si>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</si>
  <si>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</si>
  <si>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</si>
  <si>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</si>
  <si>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</si>
  <si>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</si>
  <si>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</si>
  <si>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</si>
  <si>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</si>
  <si>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</si>
  <si>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</si>
  <si>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Caesium</t>
  </si>
  <si>
    <t>Cs</t>
  </si>
  <si>
    <t>Barium</t>
  </si>
  <si>
    <t>Ba</t>
  </si>
  <si>
    <t>Lanthanum</t>
  </si>
  <si>
    <t>La</t>
  </si>
  <si>
    <t>f</t>
  </si>
  <si>
    <t>Lanthanide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</si>
  <si>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</si>
  <si>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</si>
  <si>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</si>
  <si>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</si>
  <si>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</si>
  <si>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</si>
  <si>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</si>
  <si>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</si>
  <si>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</si>
  <si>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</si>
  <si>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</si>
  <si>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</si>
  <si>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</si>
  <si>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</si>
  <si>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</si>
  <si>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</si>
  <si>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</si>
  <si>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</si>
  <si>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</si>
  <si>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</si>
  <si>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</si>
  <si>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</si>
  <si>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</si>
  <si>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</si>
  <si>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</si>
  <si>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</si>
  <si>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</si>
  <si>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</si>
  <si>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</si>
  <si>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</si>
  <si>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</si>
  <si>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</si>
  <si>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</si>
  <si>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</si>
  <si>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</si>
  <si>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</si>
  <si>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</si>
  <si>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</si>
  <si>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</si>
  <si>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</si>
  <si>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</si>
  <si>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</si>
  <si>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</si>
  <si>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</si>
  <si>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</si>
  <si>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</si>
  <si>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</si>
  <si>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</si>
  <si>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</si>
  <si>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</si>
  <si>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</si>
  <si>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</si>
  <si>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</si>
  <si>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</si>
  <si>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</si>
  <si>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</si>
  <si>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</si>
  <si>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</si>
  <si>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</si>
  <si>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</si>
  <si>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</si>
  <si>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</si>
  <si>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</si>
  <si>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Actinide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</si>
  <si>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</si>
  <si>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</si>
  <si>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</si>
  <si>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</si>
  <si>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</si>
  <si>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</si>
  <si>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</si>
  <si>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</si>
  <si>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</si>
  <si>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</si>
  <si>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</si>
  <si>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</si>
  <si>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</si>
  <si>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</si>
  <si>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</si>
  <si>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</si>
  <si>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</si>
  <si>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</si>
  <si>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</si>
  <si>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</si>
  <si>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Synthetic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</si>
  <si>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</si>
  <si>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</si>
  <si>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</si>
  <si>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</si>
  <si>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</si>
  <si>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</si>
  <si>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</si>
  <si>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</si>
  <si>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(presumed)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</si>
  <si>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</si>
  <si>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</si>
  <si>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</si>
  <si>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</si>
  <si>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</si>
  <si>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</si>
  <si>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</si>
  <si>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</si>
  <si>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</si>
  <si>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</si>
  <si>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</si>
  <si>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</si>
  <si>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Darmstadtium</t>
  </si>
  <si>
    <t>Ds</t>
  </si>
  <si>
    <t>Roentgenium</t>
  </si>
  <si>
    <t>Rg</t>
  </si>
  <si>
    <t>Copernicium</t>
  </si>
  <si>
    <t>Cn</t>
  </si>
  <si>
    <t>Nihonium</t>
  </si>
  <si>
    <t>Nh</t>
  </si>
  <si>
    <t>Flerovium</t>
  </si>
  <si>
    <t>Fl</t>
  </si>
  <si>
    <t>Moscovium</t>
  </si>
  <si>
    <t>Mc</t>
  </si>
  <si>
    <t>Livermorium</t>
  </si>
  <si>
    <t>Lv</t>
  </si>
  <si>
    <t>Tennesine</t>
  </si>
  <si>
    <t>Ts</t>
  </si>
  <si>
    <t>Oganesson</t>
  </si>
  <si>
    <t>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</si>
</sst>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  <font>
      <b/>
      <i/>
      <sz val="11"/>
      <color rgb="FFFF0000"/>
      <name val="Arial"/>
      <family val="2"/>
      <charset val="1"/>
    </font>
    <font>
      <b/>
      <i/>
      <sz val="10"/>
      <color rgb="FFFF0000"/>
      <name val="Arial"/>
      <family val="2"/>
      <charset val="1"/>
    </font>
    <font>
      <b/>
      <sz val="10"/>
      <color rgb="FFFF0000"/>
      <name val="Arial"/>
      <family val="2"/>
      <charset val="1"/>
    </font>
    <font>
      <vertAlign val="subscript"/>
      <sz val="10"/>
      <name val="Arial"/>
      <family val="2"/>
      <charset val="1"/>
    </font>
    <font>
      <sz val="8"/>
      <color rgb="FF222222"/>
      <name val="Arial"/>
      <family val="2"/>
      <charset val="1"/>
    </font>
    <font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FF00"/>
        <bgColor rgb="FF33CCCC"/>
      </patternFill>
    </fill>
    <fill>
      <patternFill patternType="solid">
        <fgColor rgb="FFF8F9FA"/>
        <bgColor rgb="FFFFFFCC"/>
      </patternFill>
    </fill>
    <fill>
      <patternFill patternType="solid">
        <fgColor rgb="FFFFFF00"/>
        <bgColor rgb="FFFF9900"/>
      </patternFill>
    </fill>
    <fill>
      <patternFill patternType="solid">
        <fgColor rgb="FFFFC000"/>
        <bgColor rgb="FFFFFF00"/>
      </patternFill>
    </fill>
  </fills>
  <borders count="14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 applyProtection="1"/>
    <xf numFmtId="0" fontId="1" fillId="0" borderId="0" xfId="0" applyFont="1" applyProtection="1"/>
    <xf numFmtId="0" fontId="2" fillId="0" borderId="0" xfId="0" applyFont="1" applyAlignment="1" applyProtection="1">
      <alignment horizontal="right"/>
    </xf>
    <xf numFmtId="0" fontId="0" fillId="0" borderId="0" xfId="0" applyFo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alignment horizontal="right"/>
    </xf>
    <xf numFmtId="0" fontId="0" fillId="2" borderId="0" xfId="0" applyFont="1" applyFill="1" applyBorder="1" applyProtection="1"/>
    <xf numFmtId="0" fontId="0" fillId="2" borderId="0" xfId="0" applyFill="1" applyProtection="1"/>
    <xf numFmtId="11" fontId="1" fillId="0" borderId="0" xfId="0" applyNumberFormat="1" applyFont="1" applyProtection="1"/>
    <xf numFmtId="0" fontId="0" fillId="0" borderId="0" xfId="0" applyFont="1" applyProtection="1">
      <protection locked="0"/>
    </xf>
    <xf numFmtId="0" fontId="0" fillId="3" borderId="0" xfId="0" applyFill="1" applyAlignment="1" applyProtection="1">
      <alignment horizontal="right"/>
      <protection locked="0"/>
    </xf>
    <xf numFmtId="0" fontId="0" fillId="3" borderId="0" xfId="0" applyFont="1" applyFill="1" applyAlignment="1" applyProtection="1">
      <alignment horizontal="right"/>
      <protection locked="0"/>
    </xf>
    <xf numFmtId="0" fontId="3" fillId="0" borderId="0" xfId="0" applyFont="1" applyProtection="1"/>
    <xf numFmtId="0" fontId="0" fillId="2" borderId="0" xfId="0" applyFont="1" applyFill="1" applyProtection="1"/>
    <xf numFmtId="0" fontId="0" fillId="2" borderId="0" xfId="0" applyFill="1" applyProtection="1">
      <protection locked="0"/>
    </xf>
    <xf numFmtId="0" fontId="4" fillId="0" borderId="0" xfId="0" applyFont="1" applyProtection="1"/>
    <xf numFmtId="0" fontId="0" fillId="3" borderId="0" xfId="0" applyFont="1" applyFill="1" applyProtection="1">
      <protection locked="0"/>
    </xf>
    <xf numFmtId="0" fontId="2" fillId="0" borderId="0" xfId="0" applyFont="1" applyProtection="1"/>
    <xf numFmtId="0" fontId="5" fillId="0" borderId="0" xfId="0" applyFont="1" applyAlignment="1" applyProtection="1">
      <alignment horizontal="right"/>
    </xf>
    <xf numFmtId="0" fontId="5" fillId="0" borderId="0" xfId="0" applyFont="1" applyProtection="1"/>
    <xf numFmtId="164" fontId="0" fillId="2" borderId="0" xfId="0" applyNumberFormat="1" applyFont="1" applyFill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wrapText="1"/>
    </xf>
    <xf numFmtId="164" fontId="0" fillId="0" borderId="0" xfId="0" applyNumberFormat="1" applyProtection="1"/>
    <xf numFmtId="11" fontId="0" fillId="0" borderId="0" xfId="0" applyNumberFormat="1" applyProtection="1">
      <protection locked="0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7" fillId="4" borderId="10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vertical="center" wrapText="1"/>
    </xf>
    <xf numFmtId="0" fontId="0" fillId="4" borderId="13" xfId="0" applyFill="1" applyBorder="1"/>
    <xf numFmtId="0" fontId="0" fillId="5" borderId="0" xfId="0" applyFont="1" applyFill="1" applyAlignment="1" applyProtection="1">
      <alignment horizontal="right"/>
      <protection locked="0"/>
    </xf>
    <xf numFmtId="0" fontId="0" fillId="6" borderId="0" xfId="0" applyFill="1" applyAlignment="1" applyProtection="1">
      <alignment horizontal="right"/>
    </xf>
    <xf numFmtId="0" fontId="0" fillId="6" borderId="0" xfId="0" applyFont="1" applyFill="1" applyAlignment="1" applyProtection="1">
      <alignment horizontal="right"/>
    </xf>
    <xf numFmtId="0" fontId="0" fillId="6" borderId="0" xfId="0" applyFont="1" applyFill="1" applyProtection="1"/>
    <xf numFmtId="0" fontId="0" fillId="6" borderId="0" xfId="0" applyFill="1" applyProtection="1"/>
    <xf numFmtId="0" fontId="0" fillId="6" borderId="0" xfId="0" applyFill="1" applyAlignment="1" applyProtection="1">
      <alignment horizontal="center"/>
    </xf>
    <xf numFmtId="0" fontId="0" fillId="5" borderId="0" xfId="0" applyFont="1" applyFill="1" applyProtection="1">
      <protection locked="0"/>
    </xf>
    <xf numFmtId="164" fontId="0" fillId="5" borderId="0" xfId="0" applyNumberFormat="1" applyFont="1" applyFill="1" applyProtection="1">
      <protection locked="0"/>
    </xf>
    <xf numFmtId="0" fontId="0" fillId="5" borderId="0" xfId="0" applyFont="1" applyFill="1" applyAlignment="1" applyProtection="1">
      <alignment horizontal="right"/>
    </xf>
    <xf numFmtId="0" fontId="0" fillId="5" borderId="0" xfId="0" applyFont="1" applyFill="1" applyProtection="1"/>
    <xf numFmtId="0" fontId="1" fillId="5" borderId="1" xfId="0" applyFont="1" applyFill="1" applyBorder="1" applyProtection="1"/>
    <xf numFmtId="0" fontId="1" fillId="5" borderId="2" xfId="0" applyFont="1" applyFill="1" applyBorder="1" applyProtection="1"/>
    <xf numFmtId="0" fontId="0" fillId="5" borderId="2" xfId="0" applyFont="1" applyFill="1" applyBorder="1" applyProtection="1"/>
    <xf numFmtId="0" fontId="0" fillId="5" borderId="2" xfId="0" applyFont="1" applyFill="1" applyBorder="1" applyProtection="1">
      <protection locked="0"/>
    </xf>
    <xf numFmtId="0" fontId="0" fillId="5" borderId="3" xfId="0" applyFont="1" applyFill="1" applyBorder="1" applyProtection="1">
      <protection locked="0"/>
    </xf>
    <xf numFmtId="0" fontId="0" fillId="5" borderId="4" xfId="0" applyFont="1" applyFill="1" applyBorder="1" applyProtection="1">
      <protection locked="0"/>
    </xf>
    <xf numFmtId="0" fontId="1" fillId="5" borderId="5" xfId="0" applyFont="1" applyFill="1" applyBorder="1" applyProtection="1"/>
    <xf numFmtId="0" fontId="0" fillId="5" borderId="5" xfId="0" applyFont="1" applyFill="1" applyBorder="1" applyProtection="1"/>
    <xf numFmtId="0" fontId="0" fillId="5" borderId="5" xfId="0" applyFont="1" applyFill="1" applyBorder="1" applyProtection="1">
      <protection locked="0"/>
    </xf>
    <xf numFmtId="0" fontId="0" fillId="5" borderId="6" xfId="0" applyFont="1" applyFill="1" applyBorder="1" applyProtection="1">
      <protection locked="0"/>
    </xf>
    <xf numFmtId="0" fontId="1" fillId="5" borderId="0" xfId="0" applyFont="1" applyFill="1" applyProtection="1"/>
    <xf numFmtId="0" fontId="7" fillId="4" borderId="10" xfId="0" applyFont="1" applyFill="1" applyBorder="1" applyAlignment="1">
      <alignment vertical="center" wrapText="1"/>
    </xf>
    <xf numFmtId="0" fontId="8" fillId="0" borderId="0" xfId="0" applyFont="1" applyProtection="1"/>
  </cellXfs>
  <cellStyles count="1">
    <cellStyle name="Normal" xfId="0" builtinId="0"/>
  </cellStyles>
  <dxfs count="2"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indexedColors>
      <rgbColor rgb="FF000000"/>
      <rgbColor rgb="FFF8F9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2A9B1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zoomScale="85" zoomScaleNormal="85" workbookViewId="0">
      <selection activeCell="E8" sqref="E8"/>
    </sheetView>
  </sheetViews>
  <sheetFormatPr defaultRowHeight="13.2" x14ac:dyDescent="0.25"/>
  <cols>
    <col min="1" max="2" width="13.88671875" style="1" customWidth="1"/>
    <col min="3" max="3" width="14.5546875" style="1" customWidth="1"/>
    <col min="4" max="4" width="14.88671875" style="1" customWidth="1"/>
    <col min="5" max="5" width="18" style="1" customWidth="1"/>
    <col min="6" max="6" width="14.109375" style="1" customWidth="1"/>
    <col min="7" max="7" width="14" style="1" customWidth="1"/>
    <col min="8" max="8" width="22.33203125" style="1" customWidth="1"/>
    <col min="9" max="9" width="18.77734375" style="1" customWidth="1"/>
    <col min="10" max="10" width="14.21875" style="1" customWidth="1"/>
    <col min="11" max="11" width="17.77734375" style="1" customWidth="1"/>
    <col min="12" max="13" width="9.109375" style="1" customWidth="1"/>
    <col min="14" max="15" width="11.5546875" style="1" hidden="1"/>
    <col min="16" max="1025" width="9.109375" style="1" customWidth="1"/>
  </cols>
  <sheetData>
    <row r="1" spans="1:19" x14ac:dyDescent="0.25">
      <c r="A1" s="2" t="s">
        <v>0</v>
      </c>
      <c r="B1" s="3"/>
      <c r="C1" s="4"/>
      <c r="D1" s="3"/>
      <c r="E1" s="3"/>
      <c r="F1" s="3"/>
      <c r="G1" s="3"/>
      <c r="H1" s="5" t="s">
        <v>1</v>
      </c>
      <c r="I1" s="44" t="s">
        <v>2</v>
      </c>
      <c r="J1" s="56">
        <v>9.8000000000000004E-2</v>
      </c>
      <c r="K1" s="45" t="s">
        <v>58</v>
      </c>
      <c r="L1" s="3">
        <f>S4</f>
        <v>4876.9548711337557</v>
      </c>
      <c r="M1" s="6" t="s">
        <v>4</v>
      </c>
      <c r="N1" s="3"/>
      <c r="O1" s="3"/>
      <c r="P1" s="3"/>
    </row>
    <row r="2" spans="1:19" x14ac:dyDescent="0.25">
      <c r="A2" s="7" t="s">
        <v>5</v>
      </c>
      <c r="B2" s="3"/>
      <c r="C2" s="4"/>
      <c r="D2" s="3"/>
      <c r="E2" s="3"/>
      <c r="F2" s="3"/>
      <c r="G2" s="3"/>
      <c r="H2" s="8" t="s">
        <v>6</v>
      </c>
      <c r="I2" s="46">
        <v>100</v>
      </c>
      <c r="J2" s="47">
        <v>45</v>
      </c>
      <c r="K2" s="48"/>
      <c r="L2" s="49"/>
      <c r="M2" s="48"/>
      <c r="N2" s="48"/>
      <c r="O2" s="48"/>
      <c r="P2" s="48"/>
      <c r="Q2" s="50"/>
    </row>
    <row r="3" spans="1:19" x14ac:dyDescent="0.25">
      <c r="A3" s="4" t="s">
        <v>7</v>
      </c>
      <c r="B3" s="3"/>
      <c r="C3" s="4"/>
      <c r="D3" s="3"/>
      <c r="E3" s="3"/>
      <c r="F3" s="3"/>
      <c r="G3" s="3"/>
      <c r="H3" s="8" t="s">
        <v>8</v>
      </c>
      <c r="I3" s="51"/>
      <c r="J3" s="52"/>
      <c r="K3" s="53"/>
      <c r="L3" s="54"/>
      <c r="M3" s="53"/>
      <c r="N3" s="53"/>
      <c r="O3" s="53"/>
      <c r="P3" s="53"/>
      <c r="Q3" s="55"/>
    </row>
    <row r="4" spans="1:19" hidden="1" x14ac:dyDescent="0.25">
      <c r="A4" s="4"/>
      <c r="B4" s="3"/>
      <c r="C4" s="4"/>
      <c r="D4" s="3"/>
      <c r="E4" s="3"/>
      <c r="F4" s="3"/>
      <c r="G4" s="3"/>
      <c r="H4" s="8"/>
      <c r="I4" s="9">
        <f>(IF(I3&gt;0,I3,I5)+1)*I2</f>
        <v>100.02759612849839</v>
      </c>
      <c r="J4" s="9">
        <f t="shared" ref="J4:Q4" si="0">(J3+1)*J2</f>
        <v>45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10">
        <f>IF(I4&gt;0,I2/SUM(I4:Q4),0)</f>
        <v>0.68952394350794655</v>
      </c>
      <c r="S4" s="3">
        <f>R4*IF(J1&gt;0,1/(INDEX(C41:C44,MATCH(K1,B41:B44,0))*J1/IF(ISERR(FIND("Lifetime",I1)),LN(2),1)),0)</f>
        <v>4876.9548711337557</v>
      </c>
    </row>
    <row r="5" spans="1:19" x14ac:dyDescent="0.25">
      <c r="A5" s="4"/>
      <c r="B5" s="3"/>
      <c r="C5" s="4"/>
      <c r="D5" s="3"/>
      <c r="E5" s="3"/>
      <c r="F5" s="3"/>
      <c r="G5" s="3"/>
      <c r="I5" s="11">
        <f>3.29866112048931E-09*B8^3*((1.022/F8)^((D8+5)/2))*IF(E9,(D8/(D8+1)),1)</f>
        <v>2.7596128498382552E-4</v>
      </c>
      <c r="J5" s="6" t="s">
        <v>9</v>
      </c>
      <c r="K5" s="4"/>
      <c r="L5" s="3"/>
      <c r="M5" s="3"/>
      <c r="N5" s="3"/>
      <c r="O5" s="3"/>
      <c r="P5" s="3"/>
    </row>
    <row r="6" spans="1:19" x14ac:dyDescent="0.25">
      <c r="B6" s="4" t="s">
        <v>10</v>
      </c>
      <c r="C6" s="3"/>
      <c r="D6" s="4" t="s">
        <v>11</v>
      </c>
      <c r="E6" s="3"/>
      <c r="F6" s="3"/>
      <c r="G6" s="3"/>
      <c r="H6" s="3"/>
      <c r="J6" s="4"/>
      <c r="K6" s="4"/>
      <c r="L6" s="3"/>
      <c r="M6" s="3"/>
      <c r="N6" s="3"/>
      <c r="O6" s="3"/>
      <c r="P6" s="3"/>
    </row>
    <row r="7" spans="1:19" x14ac:dyDescent="0.25">
      <c r="A7" s="7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4" t="s">
        <v>17</v>
      </c>
      <c r="H7" s="3" t="s">
        <v>18</v>
      </c>
      <c r="I7" s="8"/>
      <c r="J7" s="12"/>
      <c r="K7" s="12"/>
      <c r="L7" s="3"/>
      <c r="M7" s="3"/>
      <c r="N7" s="10">
        <f t="shared" ref="N7:O9" si="1">IF(J7&gt;0,1,0)</f>
        <v>0</v>
      </c>
      <c r="O7" s="10">
        <f t="shared" si="1"/>
        <v>0</v>
      </c>
      <c r="P7" s="3"/>
    </row>
    <row r="8" spans="1:19" ht="13.8" x14ac:dyDescent="0.25">
      <c r="A8" s="36" t="s">
        <v>214</v>
      </c>
      <c r="B8" s="38">
        <f>MATCH(A8,Elements!C2:C121,)</f>
        <v>64</v>
      </c>
      <c r="C8" s="13">
        <v>156</v>
      </c>
      <c r="D8" s="37">
        <f>_xlfn.NUMBERVALUE(RIGHT(E8,1))</f>
        <v>1</v>
      </c>
      <c r="E8" s="14" t="s">
        <v>20</v>
      </c>
      <c r="F8" s="36">
        <v>1.1870000000000001</v>
      </c>
      <c r="H8" s="58">
        <f>1.2*C8^(1/3)</f>
        <v>6.4598551345047399</v>
      </c>
      <c r="I8" s="8"/>
      <c r="J8" s="12"/>
      <c r="K8" s="12"/>
      <c r="L8" s="3"/>
      <c r="M8" s="3"/>
      <c r="N8" s="10">
        <f t="shared" si="1"/>
        <v>0</v>
      </c>
      <c r="O8" s="10">
        <f t="shared" si="1"/>
        <v>0</v>
      </c>
      <c r="P8" s="3"/>
    </row>
    <row r="9" spans="1:19" x14ac:dyDescent="0.25">
      <c r="A9" s="6" t="s">
        <v>21</v>
      </c>
      <c r="C9" s="3"/>
      <c r="D9" s="8" t="s">
        <v>22</v>
      </c>
      <c r="E9" s="3" t="str">
        <f>IF(ISERR(FIND("M",E8)),IF(ISERR(FIND("E",E8)),"PARITY ERROR","TRUE"),"FALSE")</f>
        <v>TRUE</v>
      </c>
      <c r="F9" s="3" t="s">
        <v>23</v>
      </c>
      <c r="G9" s="3"/>
      <c r="H9" s="3"/>
      <c r="I9" s="8"/>
      <c r="J9" s="12"/>
      <c r="K9" s="12"/>
      <c r="L9" s="3"/>
      <c r="M9" s="3"/>
      <c r="N9" s="10">
        <f t="shared" si="1"/>
        <v>0</v>
      </c>
      <c r="O9" s="10">
        <f t="shared" si="1"/>
        <v>0</v>
      </c>
      <c r="P9" s="3"/>
    </row>
    <row r="10" spans="1:19" ht="13.8" x14ac:dyDescent="0.25">
      <c r="A10" s="3"/>
      <c r="B10" s="6" t="s">
        <v>24</v>
      </c>
      <c r="C10" s="3"/>
      <c r="D10" s="3"/>
      <c r="E10" s="3"/>
      <c r="F10" s="3"/>
      <c r="G10" s="3"/>
      <c r="H10" s="15" t="str">
        <f>IF(L20=1,"","Input 1 "&amp;I14&amp;" OR "&amp;F15)</f>
        <v/>
      </c>
      <c r="I10" s="3"/>
      <c r="J10" s="3"/>
      <c r="L10" s="3"/>
      <c r="M10" s="3"/>
      <c r="N10" s="3"/>
      <c r="O10" s="3"/>
      <c r="P10" s="3"/>
    </row>
    <row r="11" spans="1:19" s="17" customFormat="1" hidden="1" x14ac:dyDescent="0.25">
      <c r="A11" s="10">
        <f>-1^(D8)</f>
        <v>-1</v>
      </c>
      <c r="B11" s="10" t="str">
        <f>"B(E"&amp;D8&amp;")sp"</f>
        <v>B(E1)sp</v>
      </c>
      <c r="C11" s="10">
        <f>(D8*2)</f>
        <v>2</v>
      </c>
      <c r="D11" s="10">
        <f>(1/(4*PI()))*(3/(3+D8))*(3/(3+D8))*(H8^C11)</f>
        <v>1.8679197774889786</v>
      </c>
      <c r="E11" s="10" t="str">
        <f>"e^2 fm^"&amp;C11</f>
        <v>e^2 fm^2</v>
      </c>
      <c r="F11" s="10">
        <f>D11/(100^D8)</f>
        <v>1.8679197774889786E-2</v>
      </c>
      <c r="G11" s="10" t="str">
        <f>IF(C11=2,"e^2 b","e^2 b^"&amp;D8)</f>
        <v>e^2 b</v>
      </c>
      <c r="H11" s="16" t="str">
        <f>IF(D8=2,"e b","e b^"&amp;(D8/2))</f>
        <v>e b^0.5</v>
      </c>
      <c r="I11" s="10"/>
      <c r="J11" s="10"/>
      <c r="K11" s="10"/>
      <c r="L11" s="10"/>
      <c r="M11" s="10"/>
      <c r="N11" s="10"/>
      <c r="O11" s="10"/>
      <c r="P11" s="10"/>
    </row>
    <row r="12" spans="1:19" hidden="1" x14ac:dyDescent="0.25">
      <c r="A12" s="10">
        <f>-1^(D8+1)</f>
        <v>1</v>
      </c>
      <c r="B12" s="10" t="str">
        <f>"B(M"&amp;D8&amp;")sp"</f>
        <v>B(M1)sp</v>
      </c>
      <c r="C12" s="10">
        <f>(D8*2)-2</f>
        <v>0</v>
      </c>
      <c r="D12" s="10">
        <f>(10/PI())*(3/(3+D8))*(3/(3+D8))*(H8^C12)</f>
        <v>1.7904931097838226</v>
      </c>
      <c r="E12" s="10" t="str">
        <f>IF(C12=0,"μ_N^2","μ_N^2 fm^"&amp;C12)</f>
        <v>μ_N^2</v>
      </c>
      <c r="F12" s="16">
        <f>D12/(100^(C12/2))</f>
        <v>1.7904931097838226</v>
      </c>
      <c r="G12" s="16" t="str">
        <f>IF(C12=0,"μ_N^2",IF(C12&gt;2,"μ_N^2 b^"&amp;(C12/2),"μ_N^2 b"))</f>
        <v>μ_N^2</v>
      </c>
      <c r="H12" s="16" t="str">
        <f>IF(C12=0,"μ_N",IF(C12=4,"μ_N b","μ_N b^"&amp;(C12/4)))</f>
        <v>μ_N</v>
      </c>
      <c r="I12" s="10"/>
      <c r="J12" s="10"/>
      <c r="K12" s="10"/>
      <c r="L12" s="10"/>
      <c r="M12" s="10"/>
      <c r="N12" s="10"/>
      <c r="O12" s="10"/>
      <c r="P12" s="10"/>
    </row>
    <row r="13" spans="1:19" x14ac:dyDescent="0.25">
      <c r="A13" s="3" t="str">
        <f>IF($E$9,"E"&amp;D8,"M"&amp;D8)</f>
        <v>E1</v>
      </c>
      <c r="B13" s="3" t="str">
        <f>IF($E$9,B11,B12)</f>
        <v>B(E1)sp</v>
      </c>
      <c r="C13" s="3">
        <f>IF($E$9,D11,D12)</f>
        <v>1.8679197774889786</v>
      </c>
      <c r="D13" s="3" t="str">
        <f>IF($E$9,E11,E12)</f>
        <v>e^2 fm^2</v>
      </c>
      <c r="E13" s="3">
        <f>IF($E$9,F11,F12)</f>
        <v>1.8679197774889786E-2</v>
      </c>
      <c r="F13" s="3" t="str">
        <f>IF($E$9,G11,G12)</f>
        <v>e^2 b</v>
      </c>
      <c r="G13" s="3"/>
      <c r="H13" s="3"/>
      <c r="I13" s="4" t="s">
        <v>25</v>
      </c>
      <c r="K13" s="3"/>
      <c r="L13" s="3"/>
      <c r="M13" s="3"/>
      <c r="N13" s="3"/>
      <c r="O13" s="3"/>
      <c r="P13" s="3"/>
    </row>
    <row r="14" spans="1:19" x14ac:dyDescent="0.25">
      <c r="A14" s="3"/>
      <c r="B14" s="3"/>
      <c r="C14" s="3"/>
      <c r="D14" s="3"/>
      <c r="E14" s="3"/>
      <c r="F14" s="3"/>
      <c r="G14" s="3"/>
      <c r="H14" s="18" t="str">
        <f>IF(L20&gt;1,"TOO MANY INPUTS","")</f>
        <v/>
      </c>
      <c r="I14" s="44" t="s">
        <v>2</v>
      </c>
      <c r="J14" s="44"/>
      <c r="K14" s="45" t="s">
        <v>26</v>
      </c>
      <c r="L14" s="3">
        <f>IF(J14&gt;0,1/(INDEX(C41:C44,MATCH(K14,B41:B44,0))*J14/IF(ISERR(FIND("Lifetime",I14)),LN(2),1)),0)</f>
        <v>0</v>
      </c>
      <c r="M14" s="6" t="s">
        <v>4</v>
      </c>
      <c r="N14" s="3"/>
      <c r="O14" s="3"/>
      <c r="P14" s="3"/>
    </row>
    <row r="15" spans="1:19" x14ac:dyDescent="0.25">
      <c r="A15" s="3"/>
      <c r="B15" s="4" t="s">
        <v>27</v>
      </c>
      <c r="C15" s="3"/>
      <c r="D15" s="3"/>
      <c r="E15" s="3"/>
      <c r="F15" s="4" t="str">
        <f>"B("&amp;A13&amp;")"</f>
        <v>B(E1)</v>
      </c>
      <c r="G15" s="3"/>
      <c r="H15" s="18" t="str">
        <f>IF(L20&gt;1,"TOO MANY INPUTS","")</f>
        <v/>
      </c>
      <c r="I15" s="3"/>
      <c r="J15" s="18" t="str">
        <f>IF(L20&gt;1,"TOO MANY INPUTS","")</f>
        <v/>
      </c>
      <c r="K15" s="3"/>
      <c r="M15" s="3"/>
      <c r="N15" s="3"/>
      <c r="O15" s="3"/>
      <c r="P15" s="3"/>
    </row>
    <row r="16" spans="1:19" x14ac:dyDescent="0.25">
      <c r="A16" s="3"/>
      <c r="B16" s="3" t="s">
        <v>28</v>
      </c>
      <c r="C16" s="3" t="s">
        <v>29</v>
      </c>
      <c r="D16" s="3"/>
      <c r="E16" s="3"/>
      <c r="F16" s="4" t="str">
        <f>F13&amp;" (up)"</f>
        <v>e^2 b (up)</v>
      </c>
      <c r="G16" s="4" t="str">
        <f>F13&amp;" (down)"</f>
        <v>e^2 b (down)</v>
      </c>
      <c r="H16" s="4" t="s">
        <v>30</v>
      </c>
      <c r="I16" s="4" t="s">
        <v>31</v>
      </c>
      <c r="J16" s="4" t="str">
        <f>D13&amp;" (up)"</f>
        <v>e^2 fm^2 (up)</v>
      </c>
      <c r="K16" s="4" t="str">
        <f>D13&amp;" (down)"</f>
        <v>e^2 fm^2 (down)</v>
      </c>
      <c r="L16" s="3" t="str">
        <f>D13&amp;" (down)"</f>
        <v>e^2 fm^2 (down)</v>
      </c>
      <c r="M16" s="3"/>
      <c r="N16" s="3"/>
      <c r="O16" s="3"/>
      <c r="P16" s="3"/>
    </row>
    <row r="17" spans="1:18" x14ac:dyDescent="0.25">
      <c r="A17" s="3" t="s">
        <v>32</v>
      </c>
      <c r="B17" s="19">
        <v>2</v>
      </c>
      <c r="C17" s="19">
        <v>3</v>
      </c>
      <c r="D17" s="3"/>
      <c r="E17" s="20" t="s">
        <v>33</v>
      </c>
      <c r="F17" s="42"/>
      <c r="G17" s="42"/>
      <c r="H17" s="43"/>
      <c r="I17" s="42"/>
      <c r="J17" s="42"/>
      <c r="K17" s="42"/>
      <c r="L17" s="3">
        <f>IF(F8&gt;0,IF(L14&gt;0,L14/F27,L1/F27),0)</f>
        <v>1.8337602534192706E-3</v>
      </c>
      <c r="M17" s="6"/>
      <c r="N17" s="3"/>
      <c r="O17" s="3"/>
      <c r="P17" s="3"/>
    </row>
    <row r="18" spans="1:18" x14ac:dyDescent="0.25">
      <c r="A18" s="3" t="s">
        <v>34</v>
      </c>
      <c r="B18" s="3">
        <f>(1+(2*B17))/(1+(2*C17))</f>
        <v>0.7142857142857143</v>
      </c>
      <c r="C18" s="21" t="str">
        <f>IF(OR((B17+C17&lt;D8),(ABS(B17-C17)&gt;D8)),"J ERROR","")</f>
        <v/>
      </c>
      <c r="D18" s="3"/>
      <c r="E18" s="3"/>
      <c r="F18" s="39">
        <f>(L18/B18)/D20</f>
        <v>2.567264354786979E-5</v>
      </c>
      <c r="G18" s="40">
        <f>L18/D20</f>
        <v>1.8337602534192706E-5</v>
      </c>
      <c r="H18" s="40">
        <f>L18/C13</f>
        <v>9.8171253151158977E-4</v>
      </c>
      <c r="I18" s="40">
        <f>L18/C13</f>
        <v>9.8171253151158977E-4</v>
      </c>
      <c r="J18" s="40">
        <f>L18/B18</f>
        <v>2.567264354786979E-3</v>
      </c>
      <c r="K18" s="40">
        <f>L18</f>
        <v>1.8337602534192706E-3</v>
      </c>
      <c r="L18" s="3">
        <f>IF(L17&gt;0,L17,L19)</f>
        <v>1.8337602534192706E-3</v>
      </c>
      <c r="M18" s="3"/>
      <c r="N18" s="6"/>
      <c r="O18" s="3"/>
      <c r="P18" s="3"/>
      <c r="R18" s="1" t="s">
        <v>35</v>
      </c>
    </row>
    <row r="19" spans="1:18" hidden="1" x14ac:dyDescent="0.25">
      <c r="A19" s="3"/>
      <c r="B19" s="3"/>
      <c r="C19" s="22"/>
      <c r="D19" s="3"/>
      <c r="E19" s="10" t="str">
        <f>K16</f>
        <v>e^2 fm^2 (down)</v>
      </c>
      <c r="F19" s="16">
        <f>(F17*B18)*D20</f>
        <v>0</v>
      </c>
      <c r="G19" s="16">
        <f>G17*D20</f>
        <v>0</v>
      </c>
      <c r="H19" s="23">
        <f>H17*C13</f>
        <v>0</v>
      </c>
      <c r="I19" s="16">
        <f>I17*C13</f>
        <v>0</v>
      </c>
      <c r="J19" s="16">
        <f>J17*B18</f>
        <v>0</v>
      </c>
      <c r="K19" s="16">
        <f>K17</f>
        <v>0</v>
      </c>
      <c r="L19" s="16">
        <f>MAX(F19:K19)</f>
        <v>0</v>
      </c>
      <c r="M19" s="3"/>
      <c r="N19" s="6"/>
      <c r="O19" s="3"/>
      <c r="P19" s="3"/>
    </row>
    <row r="20" spans="1:18" hidden="1" x14ac:dyDescent="0.25">
      <c r="A20" s="3"/>
      <c r="B20" s="3"/>
      <c r="C20" s="22" t="s">
        <v>36</v>
      </c>
      <c r="D20" s="3">
        <f>C13/E13</f>
        <v>100</v>
      </c>
      <c r="E20" s="10"/>
      <c r="F20" s="10">
        <f t="shared" ref="F20:K20" si="2">IF(F17&gt;0,1,0)</f>
        <v>0</v>
      </c>
      <c r="G20" s="10">
        <f t="shared" si="2"/>
        <v>0</v>
      </c>
      <c r="H20" s="10">
        <f t="shared" si="2"/>
        <v>0</v>
      </c>
      <c r="I20" s="10">
        <f t="shared" si="2"/>
        <v>0</v>
      </c>
      <c r="J20" s="10">
        <f t="shared" si="2"/>
        <v>0</v>
      </c>
      <c r="K20" s="10">
        <f t="shared" si="2"/>
        <v>0</v>
      </c>
      <c r="L20" s="16">
        <f>SUM(F20:K20)+IF(L14&gt;0,1,0)+IF(J1&gt;0,1,0)</f>
        <v>1</v>
      </c>
      <c r="M20" s="3"/>
      <c r="N20" s="6"/>
      <c r="O20" s="3"/>
      <c r="P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37</v>
      </c>
      <c r="M21" s="3"/>
      <c r="N21" s="6"/>
      <c r="O21" s="3"/>
      <c r="P21" s="3"/>
    </row>
    <row r="22" spans="1:18" x14ac:dyDescent="0.25">
      <c r="A22" s="3"/>
      <c r="B22" s="3"/>
      <c r="C22" s="3"/>
      <c r="D22" s="3"/>
      <c r="E22" s="3"/>
      <c r="F22" s="24" t="str">
        <f>"|Mij("&amp;A13&amp;")|"</f>
        <v>|Mij(E1)|</v>
      </c>
      <c r="G22" s="25"/>
      <c r="H22" s="24" t="s">
        <v>4</v>
      </c>
      <c r="I22" s="24" t="s">
        <v>38</v>
      </c>
      <c r="J22" s="24" t="s">
        <v>39</v>
      </c>
      <c r="K22" s="4" t="s">
        <v>40</v>
      </c>
      <c r="L22" s="3"/>
      <c r="M22" s="3"/>
      <c r="N22" s="3"/>
      <c r="O22" s="3"/>
      <c r="P22" s="3"/>
    </row>
    <row r="23" spans="1:18" x14ac:dyDescent="0.25">
      <c r="A23" s="3"/>
      <c r="B23" s="3"/>
      <c r="C23" s="3"/>
      <c r="D23" s="3"/>
      <c r="E23" s="3"/>
      <c r="F23" s="41">
        <f>SQRT(F18*(2*B17+1))</f>
        <v>1.1329749235501594E-2</v>
      </c>
      <c r="G23" s="40" t="str">
        <f>IF($E$9,H11,H12)</f>
        <v>e b^0.5</v>
      </c>
      <c r="H23" s="41">
        <f>IF(L18&gt;0,L18*F27,"")</f>
        <v>4876.9548711337557</v>
      </c>
      <c r="I23" s="41">
        <f>IF(AND((L18&gt;0),(F8&gt;0)),1/H23,"")</f>
        <v>2.0504598185209943E-4</v>
      </c>
      <c r="J23" s="41">
        <f>IF(AND((L18&gt;0),(F8&gt;0)),I23*LN(2),"")</f>
        <v>1.4212704420592842E-4</v>
      </c>
      <c r="K23" s="4" t="s">
        <v>40</v>
      </c>
      <c r="L23" s="3"/>
      <c r="M23" s="3"/>
      <c r="N23" s="3"/>
      <c r="O23" s="3"/>
      <c r="P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8" x14ac:dyDescent="0.25">
      <c r="A25" s="3"/>
      <c r="B25" s="3" t="s">
        <v>41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8" x14ac:dyDescent="0.25">
      <c r="A26" s="3"/>
      <c r="B26" s="4" t="s">
        <v>42</v>
      </c>
      <c r="C26" s="4" t="s">
        <v>43</v>
      </c>
      <c r="D26" s="4" t="s">
        <v>44</v>
      </c>
      <c r="E26" s="3"/>
      <c r="F26" s="4" t="str">
        <f>"decay const/"&amp;F15</f>
        <v>decay const/B(E1)</v>
      </c>
      <c r="G26" s="3"/>
      <c r="H26" s="4" t="str">
        <f>IF(D42,"beta","")</f>
        <v/>
      </c>
      <c r="I26" s="4" t="str">
        <f>IF(D42,"Q0 (b)","")</f>
        <v/>
      </c>
      <c r="J26" s="3"/>
      <c r="K26" s="3"/>
      <c r="L26" s="3"/>
      <c r="M26" s="3"/>
      <c r="N26" s="3"/>
      <c r="O26" s="3"/>
      <c r="P26" s="3"/>
    </row>
    <row r="27" spans="1:18" x14ac:dyDescent="0.25">
      <c r="A27" s="3"/>
      <c r="B27" s="3">
        <f>2*(D8+1)/(((FACTDOUBLE((2*D8)+1))^2)*D8)</f>
        <v>0.44444444444444442</v>
      </c>
      <c r="C27" s="3">
        <f>(F8/B31)^((2*D8)+1)</f>
        <v>2.1766710605598986E-7</v>
      </c>
      <c r="D27" s="3">
        <f>C31*D31*4*PI()</f>
        <v>27491339210618.113</v>
      </c>
      <c r="E27" s="3"/>
      <c r="F27" s="3">
        <f>D27*C27*B27*IF(E9,1,F31*F31)</f>
        <v>2659537.8878128021</v>
      </c>
      <c r="G27" s="3"/>
      <c r="H27" s="3" t="str">
        <f>IF(D42,SQRT(J18)*(4*PI()/(3*B8*H8*H8)),"")</f>
        <v/>
      </c>
      <c r="I27" s="3" t="str">
        <f>IF(D42,((H27*0.16+1)*H27*H8*H8*B8*3/(SQRT(5*PI())))/100,"")</f>
        <v/>
      </c>
      <c r="J27" s="3"/>
      <c r="K27" s="3"/>
      <c r="L27" s="3"/>
      <c r="M27" s="3"/>
      <c r="N27" s="3"/>
      <c r="O27" s="3"/>
      <c r="P27" s="3"/>
    </row>
    <row r="28" spans="1:18" x14ac:dyDescent="0.25">
      <c r="A28" s="3"/>
      <c r="B28" s="3"/>
      <c r="C28" s="3" t="str">
        <f>"fm^-"&amp;((2*D8)+1)</f>
        <v>fm^-3</v>
      </c>
      <c r="D28" s="3" t="s">
        <v>45</v>
      </c>
      <c r="E28" s="3"/>
      <c r="F28" s="3" t="str">
        <f>IF(E9,"fm^-"&amp;((2*D8))&amp;"ns^-1 e^-2","μ_N^-2 fm^-"&amp;((2*D8)-2)&amp;" ns^-1")</f>
        <v>fm^-2ns^-1 e^-2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8" ht="27.6" x14ac:dyDescent="0.35">
      <c r="A30" s="3"/>
      <c r="B30" s="4" t="s">
        <v>46</v>
      </c>
      <c r="C30" s="26" t="s">
        <v>47</v>
      </c>
      <c r="D30" s="4" t="s">
        <v>48</v>
      </c>
      <c r="E30" s="3"/>
      <c r="F30" s="3" t="s">
        <v>49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8" x14ac:dyDescent="0.25">
      <c r="A31" s="3"/>
      <c r="B31" s="3">
        <v>197.3269718</v>
      </c>
      <c r="C31" s="27">
        <v>7.2973525697999997E-3</v>
      </c>
      <c r="D31" s="27">
        <v>299792458000000</v>
      </c>
      <c r="E31" s="3"/>
      <c r="F31" s="3">
        <v>0.105155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8" ht="15.6" x14ac:dyDescent="0.35">
      <c r="A32" s="3"/>
      <c r="B32" s="3" t="s">
        <v>50</v>
      </c>
      <c r="C32" s="3"/>
      <c r="D32" s="3" t="s">
        <v>51</v>
      </c>
      <c r="E32" s="3"/>
      <c r="F32" s="3" t="s">
        <v>52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5.6" x14ac:dyDescent="0.35">
      <c r="A34" s="3"/>
      <c r="B34" s="3"/>
      <c r="C34" s="3"/>
      <c r="D34" s="3"/>
      <c r="E34" s="3"/>
      <c r="F34" s="3" t="s">
        <v>53</v>
      </c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>
        <f>F31/10</f>
        <v>1.0515500000000001E-2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7" spans="1:16" x14ac:dyDescent="0.25">
      <c r="F37" s="7" t="str">
        <f>"|Mij("&amp;A13&amp;")|"</f>
        <v>|Mij(E1)|</v>
      </c>
    </row>
    <row r="38" spans="1:16" x14ac:dyDescent="0.25">
      <c r="F38" s="1">
        <f>F23*IF($E$9,1,F35)</f>
        <v>1.1329749235501594E-2</v>
      </c>
      <c r="G38" s="12" t="str">
        <f>H11</f>
        <v>e b^0.5</v>
      </c>
    </row>
    <row r="41" spans="1:16" hidden="1" x14ac:dyDescent="0.25">
      <c r="A41" s="1" t="s">
        <v>20</v>
      </c>
      <c r="B41" s="1" t="s">
        <v>26</v>
      </c>
      <c r="C41" s="1">
        <v>1000</v>
      </c>
      <c r="D41" s="3" t="s">
        <v>54</v>
      </c>
    </row>
    <row r="42" spans="1:16" hidden="1" x14ac:dyDescent="0.25">
      <c r="A42" s="1" t="s">
        <v>55</v>
      </c>
      <c r="B42" s="1" t="s">
        <v>56</v>
      </c>
      <c r="C42" s="1">
        <v>1</v>
      </c>
      <c r="D42" s="3" t="b">
        <f>IF(A13="E2",1)</f>
        <v>0</v>
      </c>
    </row>
    <row r="43" spans="1:16" hidden="1" x14ac:dyDescent="0.25">
      <c r="A43" s="1" t="s">
        <v>57</v>
      </c>
      <c r="B43" s="1" t="s">
        <v>58</v>
      </c>
      <c r="C43" s="28">
        <v>1E-3</v>
      </c>
    </row>
    <row r="44" spans="1:16" hidden="1" x14ac:dyDescent="0.25">
      <c r="A44" s="1" t="s">
        <v>59</v>
      </c>
      <c r="B44" s="1" t="s">
        <v>3</v>
      </c>
      <c r="C44" s="28">
        <v>9.9999999999999995E-7</v>
      </c>
    </row>
    <row r="45" spans="1:16" hidden="1" x14ac:dyDescent="0.25">
      <c r="A45" s="1" t="s">
        <v>60</v>
      </c>
    </row>
    <row r="46" spans="1:16" hidden="1" x14ac:dyDescent="0.25">
      <c r="A46" s="1" t="s">
        <v>61</v>
      </c>
      <c r="B46" s="1" t="s">
        <v>62</v>
      </c>
    </row>
    <row r="47" spans="1:16" hidden="1" x14ac:dyDescent="0.25">
      <c r="A47" s="1" t="s">
        <v>63</v>
      </c>
      <c r="B47" s="1" t="s">
        <v>2</v>
      </c>
    </row>
    <row r="48" spans="1:16" hidden="1" x14ac:dyDescent="0.25">
      <c r="A48" s="1" t="s">
        <v>64</v>
      </c>
    </row>
    <row r="49" spans="1:1" hidden="1" x14ac:dyDescent="0.25">
      <c r="A49" s="1" t="s">
        <v>65</v>
      </c>
    </row>
    <row r="50" spans="1:1" hidden="1" x14ac:dyDescent="0.25">
      <c r="A50" s="1" t="s">
        <v>66</v>
      </c>
    </row>
    <row r="51" spans="1:1" hidden="1" x14ac:dyDescent="0.25">
      <c r="A51" s="1" t="s">
        <v>67</v>
      </c>
    </row>
    <row r="52" spans="1:1" hidden="1" x14ac:dyDescent="0.25">
      <c r="A52" s="1" t="s">
        <v>68</v>
      </c>
    </row>
  </sheetData>
  <conditionalFormatting sqref="E8">
    <cfRule type="cellIs" dxfId="1" priority="2" operator="equal">
      <formula>1</formula>
    </cfRule>
    <cfRule type="cellIs" dxfId="0" priority="3" operator="equal">
      <formula>-1</formula>
    </cfRule>
  </conditionalFormatting>
  <dataValidations count="3">
    <dataValidation type="list" allowBlank="1" showInputMessage="1" showErrorMessage="1" sqref="K1 K14">
      <formula1>$B$41:$B$44</formula1>
      <formula2>0</formula2>
    </dataValidation>
    <dataValidation type="list" allowBlank="1" showInputMessage="1" showErrorMessage="1" sqref="I1 I14">
      <formula1>$B$46:$B$47</formula1>
      <formula2>0</formula2>
    </dataValidation>
    <dataValidation type="list" allowBlank="1" showInputMessage="1" showErrorMessage="1" sqref="E8">
      <formula1>$A$41:$A$52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zoomScale="130" zoomScaleNormal="130" workbookViewId="0">
      <selection activeCell="D9" sqref="D9"/>
    </sheetView>
  </sheetViews>
  <sheetFormatPr defaultRowHeight="13.2" x14ac:dyDescent="0.25"/>
  <cols>
    <col min="1" max="1025" width="8.6640625" customWidth="1"/>
  </cols>
  <sheetData>
    <row r="1" spans="1:9" x14ac:dyDescent="0.25">
      <c r="A1" s="29"/>
      <c r="B1" s="30"/>
      <c r="C1" s="30"/>
      <c r="D1" s="30"/>
      <c r="E1" s="30"/>
      <c r="F1" s="30"/>
      <c r="G1" s="30"/>
      <c r="H1" s="30"/>
      <c r="I1" s="31"/>
    </row>
    <row r="2" spans="1:9" x14ac:dyDescent="0.25">
      <c r="A2" s="32">
        <v>1</v>
      </c>
      <c r="B2" s="32" t="s">
        <v>69</v>
      </c>
      <c r="C2" s="32" t="s">
        <v>70</v>
      </c>
      <c r="D2" s="32">
        <v>1</v>
      </c>
      <c r="E2" s="32">
        <v>1</v>
      </c>
      <c r="F2" s="32" t="s">
        <v>71</v>
      </c>
      <c r="G2" s="32" t="s">
        <v>72</v>
      </c>
      <c r="H2" s="32" t="s">
        <v>73</v>
      </c>
      <c r="I2" s="32" t="s">
        <v>74</v>
      </c>
    </row>
    <row r="3" spans="1:9" x14ac:dyDescent="0.25">
      <c r="A3" s="32">
        <v>2</v>
      </c>
      <c r="B3" s="32" t="s">
        <v>75</v>
      </c>
      <c r="C3" s="32" t="s">
        <v>76</v>
      </c>
      <c r="D3" s="32">
        <v>18</v>
      </c>
      <c r="E3" s="32">
        <v>1</v>
      </c>
      <c r="F3" s="32" t="s">
        <v>71</v>
      </c>
      <c r="G3" s="32" t="s">
        <v>72</v>
      </c>
      <c r="H3" s="32" t="s">
        <v>73</v>
      </c>
      <c r="I3" s="32" t="s">
        <v>77</v>
      </c>
    </row>
    <row r="4" spans="1:9" x14ac:dyDescent="0.25">
      <c r="A4" s="32">
        <v>3</v>
      </c>
      <c r="B4" s="32" t="s">
        <v>78</v>
      </c>
      <c r="C4" s="32" t="s">
        <v>79</v>
      </c>
      <c r="D4" s="32">
        <v>4</v>
      </c>
      <c r="E4" s="32">
        <v>2</v>
      </c>
      <c r="F4" s="32" t="s">
        <v>71</v>
      </c>
      <c r="G4" s="32" t="s">
        <v>80</v>
      </c>
      <c r="H4" s="32" t="s">
        <v>73</v>
      </c>
      <c r="I4" s="32" t="s">
        <v>81</v>
      </c>
    </row>
    <row r="5" spans="1:9" ht="20.399999999999999" x14ac:dyDescent="0.25">
      <c r="A5" s="32">
        <v>4</v>
      </c>
      <c r="B5" s="32" t="s">
        <v>82</v>
      </c>
      <c r="C5" s="32" t="s">
        <v>83</v>
      </c>
      <c r="D5" s="32">
        <v>2</v>
      </c>
      <c r="E5" s="32">
        <v>2</v>
      </c>
      <c r="F5" s="32" t="s">
        <v>71</v>
      </c>
      <c r="G5" s="32" t="s">
        <v>80</v>
      </c>
      <c r="H5" s="32" t="s">
        <v>73</v>
      </c>
      <c r="I5" s="32" t="s">
        <v>84</v>
      </c>
    </row>
    <row r="6" spans="1:9" x14ac:dyDescent="0.25">
      <c r="A6" s="32">
        <v>5</v>
      </c>
      <c r="B6" s="32" t="s">
        <v>85</v>
      </c>
      <c r="C6" s="32" t="s">
        <v>86</v>
      </c>
      <c r="D6" s="32">
        <v>13</v>
      </c>
      <c r="E6" s="32">
        <v>2</v>
      </c>
      <c r="F6" s="32" t="s">
        <v>87</v>
      </c>
      <c r="G6" s="32" t="s">
        <v>80</v>
      </c>
      <c r="H6" s="32" t="s">
        <v>73</v>
      </c>
      <c r="I6" s="32" t="s">
        <v>88</v>
      </c>
    </row>
    <row r="7" spans="1:9" x14ac:dyDescent="0.25">
      <c r="A7" s="32">
        <v>6</v>
      </c>
      <c r="B7" s="32" t="s">
        <v>89</v>
      </c>
      <c r="C7" s="32" t="s">
        <v>90</v>
      </c>
      <c r="D7" s="32">
        <v>14</v>
      </c>
      <c r="E7" s="32">
        <v>2</v>
      </c>
      <c r="F7" s="32" t="s">
        <v>87</v>
      </c>
      <c r="G7" s="32" t="s">
        <v>80</v>
      </c>
      <c r="H7" s="32" t="s">
        <v>73</v>
      </c>
      <c r="I7" s="32" t="s">
        <v>74</v>
      </c>
    </row>
    <row r="8" spans="1:9" x14ac:dyDescent="0.25">
      <c r="A8" s="32">
        <v>7</v>
      </c>
      <c r="B8" s="32" t="s">
        <v>91</v>
      </c>
      <c r="C8" s="32" t="s">
        <v>92</v>
      </c>
      <c r="D8" s="32">
        <v>15</v>
      </c>
      <c r="E8" s="32">
        <v>2</v>
      </c>
      <c r="F8" s="32" t="s">
        <v>87</v>
      </c>
      <c r="G8" s="32" t="s">
        <v>72</v>
      </c>
      <c r="H8" s="32" t="s">
        <v>73</v>
      </c>
      <c r="I8" s="32" t="s">
        <v>74</v>
      </c>
    </row>
    <row r="9" spans="1:9" x14ac:dyDescent="0.25">
      <c r="A9" s="32">
        <v>8</v>
      </c>
      <c r="B9" s="32" t="s">
        <v>93</v>
      </c>
      <c r="C9" s="32" t="s">
        <v>94</v>
      </c>
      <c r="D9" s="32">
        <v>16</v>
      </c>
      <c r="E9" s="32">
        <v>2</v>
      </c>
      <c r="F9" s="32" t="s">
        <v>87</v>
      </c>
      <c r="G9" s="32" t="s">
        <v>72</v>
      </c>
      <c r="H9" s="32" t="s">
        <v>73</v>
      </c>
      <c r="I9" s="32" t="s">
        <v>74</v>
      </c>
    </row>
    <row r="10" spans="1:9" x14ac:dyDescent="0.25">
      <c r="A10" s="32">
        <v>9</v>
      </c>
      <c r="B10" s="32" t="s">
        <v>95</v>
      </c>
      <c r="C10" s="32" t="s">
        <v>96</v>
      </c>
      <c r="D10" s="32">
        <v>17</v>
      </c>
      <c r="E10" s="32">
        <v>2</v>
      </c>
      <c r="F10" s="32" t="s">
        <v>87</v>
      </c>
      <c r="G10" s="32" t="s">
        <v>72</v>
      </c>
      <c r="H10" s="32" t="s">
        <v>73</v>
      </c>
      <c r="I10" s="32" t="s">
        <v>97</v>
      </c>
    </row>
    <row r="11" spans="1:9" x14ac:dyDescent="0.25">
      <c r="A11" s="32">
        <v>10</v>
      </c>
      <c r="B11" s="32" t="s">
        <v>98</v>
      </c>
      <c r="C11" s="32" t="s">
        <v>99</v>
      </c>
      <c r="D11" s="32">
        <v>18</v>
      </c>
      <c r="E11" s="32">
        <v>2</v>
      </c>
      <c r="F11" s="32" t="s">
        <v>87</v>
      </c>
      <c r="G11" s="32" t="s">
        <v>72</v>
      </c>
      <c r="H11" s="32" t="s">
        <v>73</v>
      </c>
      <c r="I11" s="32" t="s">
        <v>77</v>
      </c>
    </row>
    <row r="12" spans="1:9" x14ac:dyDescent="0.25">
      <c r="A12" s="32">
        <v>11</v>
      </c>
      <c r="B12" s="32" t="s">
        <v>100</v>
      </c>
      <c r="C12" s="32" t="s">
        <v>101</v>
      </c>
      <c r="D12" s="32">
        <v>1</v>
      </c>
      <c r="E12" s="32">
        <v>3</v>
      </c>
      <c r="F12" s="32" t="s">
        <v>71</v>
      </c>
      <c r="G12" s="32" t="s">
        <v>80</v>
      </c>
      <c r="H12" s="32" t="s">
        <v>73</v>
      </c>
      <c r="I12" s="32" t="s">
        <v>81</v>
      </c>
    </row>
    <row r="13" spans="1:9" ht="20.399999999999999" x14ac:dyDescent="0.25">
      <c r="A13" s="32">
        <v>12</v>
      </c>
      <c r="B13" s="32" t="s">
        <v>102</v>
      </c>
      <c r="C13" s="32" t="s">
        <v>103</v>
      </c>
      <c r="D13" s="32">
        <v>2</v>
      </c>
      <c r="E13" s="32">
        <v>3</v>
      </c>
      <c r="F13" s="32" t="s">
        <v>71</v>
      </c>
      <c r="G13" s="32" t="s">
        <v>80</v>
      </c>
      <c r="H13" s="32" t="s">
        <v>73</v>
      </c>
      <c r="I13" s="32" t="s">
        <v>84</v>
      </c>
    </row>
    <row r="14" spans="1:9" x14ac:dyDescent="0.25">
      <c r="A14" s="32">
        <v>13</v>
      </c>
      <c r="B14" s="32" t="s">
        <v>104</v>
      </c>
      <c r="C14" s="32" t="s">
        <v>105</v>
      </c>
      <c r="D14" s="32">
        <v>13</v>
      </c>
      <c r="E14" s="32">
        <v>3</v>
      </c>
      <c r="F14" s="32" t="s">
        <v>87</v>
      </c>
      <c r="G14" s="32" t="s">
        <v>80</v>
      </c>
      <c r="H14" s="32" t="s">
        <v>73</v>
      </c>
      <c r="I14" s="32" t="s">
        <v>106</v>
      </c>
    </row>
    <row r="15" spans="1:9" x14ac:dyDescent="0.25">
      <c r="A15" s="32">
        <v>14</v>
      </c>
      <c r="B15" s="32" t="s">
        <v>107</v>
      </c>
      <c r="C15" s="32" t="s">
        <v>108</v>
      </c>
      <c r="D15" s="32">
        <v>14</v>
      </c>
      <c r="E15" s="32">
        <v>3</v>
      </c>
      <c r="F15" s="32" t="s">
        <v>87</v>
      </c>
      <c r="G15" s="32" t="s">
        <v>80</v>
      </c>
      <c r="H15" s="32" t="s">
        <v>73</v>
      </c>
      <c r="I15" s="32" t="s">
        <v>88</v>
      </c>
    </row>
    <row r="16" spans="1:9" x14ac:dyDescent="0.25">
      <c r="A16" s="32">
        <v>15</v>
      </c>
      <c r="B16" s="32" t="s">
        <v>109</v>
      </c>
      <c r="C16" s="32" t="s">
        <v>110</v>
      </c>
      <c r="D16" s="32">
        <v>15</v>
      </c>
      <c r="E16" s="32">
        <v>3</v>
      </c>
      <c r="F16" s="32" t="s">
        <v>87</v>
      </c>
      <c r="G16" s="32" t="s">
        <v>80</v>
      </c>
      <c r="H16" s="32" t="s">
        <v>73</v>
      </c>
      <c r="I16" s="32" t="s">
        <v>74</v>
      </c>
    </row>
    <row r="17" spans="1:9" x14ac:dyDescent="0.25">
      <c r="A17" s="32">
        <v>16</v>
      </c>
      <c r="B17" s="32" t="s">
        <v>111</v>
      </c>
      <c r="C17" s="32" t="s">
        <v>112</v>
      </c>
      <c r="D17" s="32">
        <v>16</v>
      </c>
      <c r="E17" s="32">
        <v>3</v>
      </c>
      <c r="F17" s="32" t="s">
        <v>87</v>
      </c>
      <c r="G17" s="32" t="s">
        <v>80</v>
      </c>
      <c r="H17" s="32" t="s">
        <v>73</v>
      </c>
      <c r="I17" s="32" t="s">
        <v>74</v>
      </c>
    </row>
    <row r="18" spans="1:9" x14ac:dyDescent="0.25">
      <c r="A18" s="32">
        <v>17</v>
      </c>
      <c r="B18" s="32" t="s">
        <v>113</v>
      </c>
      <c r="C18" s="32" t="s">
        <v>114</v>
      </c>
      <c r="D18" s="32">
        <v>17</v>
      </c>
      <c r="E18" s="32">
        <v>3</v>
      </c>
      <c r="F18" s="32" t="s">
        <v>87</v>
      </c>
      <c r="G18" s="32" t="s">
        <v>72</v>
      </c>
      <c r="H18" s="32" t="s">
        <v>73</v>
      </c>
      <c r="I18" s="32" t="s">
        <v>97</v>
      </c>
    </row>
    <row r="19" spans="1:9" x14ac:dyDescent="0.25">
      <c r="A19" s="32">
        <v>18</v>
      </c>
      <c r="B19" s="32" t="s">
        <v>115</v>
      </c>
      <c r="C19" s="32" t="s">
        <v>116</v>
      </c>
      <c r="D19" s="32">
        <v>18</v>
      </c>
      <c r="E19" s="32">
        <v>3</v>
      </c>
      <c r="F19" s="32" t="s">
        <v>87</v>
      </c>
      <c r="G19" s="32" t="s">
        <v>72</v>
      </c>
      <c r="H19" s="32" t="s">
        <v>73</v>
      </c>
      <c r="I19" s="32" t="s">
        <v>77</v>
      </c>
    </row>
    <row r="20" spans="1:9" x14ac:dyDescent="0.25">
      <c r="A20" s="32">
        <v>19</v>
      </c>
      <c r="B20" s="32" t="s">
        <v>117</v>
      </c>
      <c r="C20" s="32" t="s">
        <v>118</v>
      </c>
      <c r="D20" s="32">
        <v>1</v>
      </c>
      <c r="E20" s="32">
        <v>4</v>
      </c>
      <c r="F20" s="32" t="s">
        <v>71</v>
      </c>
      <c r="G20" s="32" t="s">
        <v>80</v>
      </c>
      <c r="H20" s="32" t="s">
        <v>73</v>
      </c>
      <c r="I20" s="32" t="s">
        <v>81</v>
      </c>
    </row>
    <row r="21" spans="1:9" ht="20.399999999999999" x14ac:dyDescent="0.25">
      <c r="A21" s="32">
        <v>20</v>
      </c>
      <c r="B21" s="32" t="s">
        <v>119</v>
      </c>
      <c r="C21" s="32" t="s">
        <v>120</v>
      </c>
      <c r="D21" s="32">
        <v>2</v>
      </c>
      <c r="E21" s="32">
        <v>4</v>
      </c>
      <c r="F21" s="32" t="s">
        <v>71</v>
      </c>
      <c r="G21" s="32" t="s">
        <v>80</v>
      </c>
      <c r="H21" s="32" t="s">
        <v>73</v>
      </c>
      <c r="I21" s="32" t="s">
        <v>84</v>
      </c>
    </row>
    <row r="22" spans="1:9" ht="20.399999999999999" x14ac:dyDescent="0.25">
      <c r="A22" s="32">
        <v>21</v>
      </c>
      <c r="B22" s="32" t="s">
        <v>121</v>
      </c>
      <c r="C22" s="32" t="s">
        <v>122</v>
      </c>
      <c r="D22" s="32">
        <v>3</v>
      </c>
      <c r="E22" s="32">
        <v>4</v>
      </c>
      <c r="F22" s="32" t="s">
        <v>123</v>
      </c>
      <c r="G22" s="32" t="s">
        <v>80</v>
      </c>
      <c r="H22" s="32" t="s">
        <v>73</v>
      </c>
      <c r="I22" s="32" t="s">
        <v>124</v>
      </c>
    </row>
    <row r="23" spans="1:9" ht="20.399999999999999" x14ac:dyDescent="0.25">
      <c r="A23" s="32">
        <v>22</v>
      </c>
      <c r="B23" s="32" t="s">
        <v>125</v>
      </c>
      <c r="C23" s="32" t="s">
        <v>126</v>
      </c>
      <c r="D23" s="32">
        <v>4</v>
      </c>
      <c r="E23" s="32">
        <v>4</v>
      </c>
      <c r="F23" s="32" t="s">
        <v>123</v>
      </c>
      <c r="G23" s="32" t="s">
        <v>80</v>
      </c>
      <c r="H23" s="32" t="s">
        <v>73</v>
      </c>
      <c r="I23" s="32" t="s">
        <v>124</v>
      </c>
    </row>
    <row r="24" spans="1:9" ht="20.399999999999999" x14ac:dyDescent="0.25">
      <c r="A24" s="32">
        <v>23</v>
      </c>
      <c r="B24" s="32" t="s">
        <v>127</v>
      </c>
      <c r="C24" s="32" t="s">
        <v>128</v>
      </c>
      <c r="D24" s="32">
        <v>5</v>
      </c>
      <c r="E24" s="32">
        <v>4</v>
      </c>
      <c r="F24" s="32" t="s">
        <v>123</v>
      </c>
      <c r="G24" s="32" t="s">
        <v>80</v>
      </c>
      <c r="H24" s="32" t="s">
        <v>73</v>
      </c>
      <c r="I24" s="32" t="s">
        <v>124</v>
      </c>
    </row>
    <row r="25" spans="1:9" ht="20.399999999999999" x14ac:dyDescent="0.25">
      <c r="A25" s="32">
        <v>24</v>
      </c>
      <c r="B25" s="32" t="s">
        <v>129</v>
      </c>
      <c r="C25" s="32" t="s">
        <v>130</v>
      </c>
      <c r="D25" s="32">
        <v>6</v>
      </c>
      <c r="E25" s="32">
        <v>4</v>
      </c>
      <c r="F25" s="32" t="s">
        <v>123</v>
      </c>
      <c r="G25" s="32" t="s">
        <v>80</v>
      </c>
      <c r="H25" s="32" t="s">
        <v>73</v>
      </c>
      <c r="I25" s="32" t="s">
        <v>124</v>
      </c>
    </row>
    <row r="26" spans="1:9" ht="20.399999999999999" x14ac:dyDescent="0.25">
      <c r="A26" s="32">
        <v>25</v>
      </c>
      <c r="B26" s="32" t="s">
        <v>131</v>
      </c>
      <c r="C26" s="32" t="s">
        <v>132</v>
      </c>
      <c r="D26" s="32">
        <v>7</v>
      </c>
      <c r="E26" s="32">
        <v>4</v>
      </c>
      <c r="F26" s="32" t="s">
        <v>123</v>
      </c>
      <c r="G26" s="32" t="s">
        <v>80</v>
      </c>
      <c r="H26" s="32" t="s">
        <v>73</v>
      </c>
      <c r="I26" s="32" t="s">
        <v>124</v>
      </c>
    </row>
    <row r="27" spans="1:9" ht="20.399999999999999" x14ac:dyDescent="0.25">
      <c r="A27" s="32">
        <v>26</v>
      </c>
      <c r="B27" s="32" t="s">
        <v>133</v>
      </c>
      <c r="C27" s="32" t="s">
        <v>134</v>
      </c>
      <c r="D27" s="32">
        <v>8</v>
      </c>
      <c r="E27" s="32">
        <v>4</v>
      </c>
      <c r="F27" s="32" t="s">
        <v>123</v>
      </c>
      <c r="G27" s="32" t="s">
        <v>80</v>
      </c>
      <c r="H27" s="32" t="s">
        <v>73</v>
      </c>
      <c r="I27" s="32" t="s">
        <v>124</v>
      </c>
    </row>
    <row r="28" spans="1:9" ht="20.399999999999999" x14ac:dyDescent="0.25">
      <c r="A28" s="32">
        <v>27</v>
      </c>
      <c r="B28" s="32" t="s">
        <v>135</v>
      </c>
      <c r="C28" s="32" t="s">
        <v>136</v>
      </c>
      <c r="D28" s="32">
        <v>9</v>
      </c>
      <c r="E28" s="32">
        <v>4</v>
      </c>
      <c r="F28" s="32" t="s">
        <v>123</v>
      </c>
      <c r="G28" s="32" t="s">
        <v>80</v>
      </c>
      <c r="H28" s="32" t="s">
        <v>73</v>
      </c>
      <c r="I28" s="32" t="s">
        <v>124</v>
      </c>
    </row>
    <row r="29" spans="1:9" ht="20.399999999999999" x14ac:dyDescent="0.25">
      <c r="A29" s="32">
        <v>28</v>
      </c>
      <c r="B29" s="32" t="s">
        <v>137</v>
      </c>
      <c r="C29" s="32" t="s">
        <v>138</v>
      </c>
      <c r="D29" s="32">
        <v>10</v>
      </c>
      <c r="E29" s="32">
        <v>4</v>
      </c>
      <c r="F29" s="32" t="s">
        <v>123</v>
      </c>
      <c r="G29" s="32" t="s">
        <v>80</v>
      </c>
      <c r="H29" s="32" t="s">
        <v>73</v>
      </c>
      <c r="I29" s="32" t="s">
        <v>124</v>
      </c>
    </row>
    <row r="30" spans="1:9" ht="20.399999999999999" x14ac:dyDescent="0.25">
      <c r="A30" s="32">
        <v>29</v>
      </c>
      <c r="B30" s="32" t="s">
        <v>139</v>
      </c>
      <c r="C30" s="32" t="s">
        <v>140</v>
      </c>
      <c r="D30" s="32">
        <v>11</v>
      </c>
      <c r="E30" s="32">
        <v>4</v>
      </c>
      <c r="F30" s="32" t="s">
        <v>123</v>
      </c>
      <c r="G30" s="32" t="s">
        <v>80</v>
      </c>
      <c r="H30" s="32" t="s">
        <v>73</v>
      </c>
      <c r="I30" s="32" t="s">
        <v>124</v>
      </c>
    </row>
    <row r="31" spans="1:9" ht="20.399999999999999" x14ac:dyDescent="0.25">
      <c r="A31" s="32">
        <v>30</v>
      </c>
      <c r="B31" s="32" t="s">
        <v>141</v>
      </c>
      <c r="C31" s="32" t="s">
        <v>142</v>
      </c>
      <c r="D31" s="32">
        <v>12</v>
      </c>
      <c r="E31" s="32">
        <v>4</v>
      </c>
      <c r="F31" s="32" t="s">
        <v>123</v>
      </c>
      <c r="G31" s="32" t="s">
        <v>80</v>
      </c>
      <c r="H31" s="32" t="s">
        <v>73</v>
      </c>
      <c r="I31" s="32" t="s">
        <v>124</v>
      </c>
    </row>
    <row r="32" spans="1:9" x14ac:dyDescent="0.25">
      <c r="A32" s="32">
        <v>31</v>
      </c>
      <c r="B32" s="32" t="s">
        <v>143</v>
      </c>
      <c r="C32" s="32" t="s">
        <v>144</v>
      </c>
      <c r="D32" s="32">
        <v>13</v>
      </c>
      <c r="E32" s="32">
        <v>4</v>
      </c>
      <c r="F32" s="32" t="s">
        <v>87</v>
      </c>
      <c r="G32" s="32" t="s">
        <v>80</v>
      </c>
      <c r="H32" s="32" t="s">
        <v>73</v>
      </c>
      <c r="I32" s="32" t="s">
        <v>106</v>
      </c>
    </row>
    <row r="33" spans="1:9" x14ac:dyDescent="0.25">
      <c r="A33" s="32">
        <v>32</v>
      </c>
      <c r="B33" s="32" t="s">
        <v>145</v>
      </c>
      <c r="C33" s="32" t="s">
        <v>146</v>
      </c>
      <c r="D33" s="32">
        <v>14</v>
      </c>
      <c r="E33" s="32">
        <v>4</v>
      </c>
      <c r="F33" s="32" t="s">
        <v>87</v>
      </c>
      <c r="G33" s="32" t="s">
        <v>80</v>
      </c>
      <c r="H33" s="32" t="s">
        <v>73</v>
      </c>
      <c r="I33" s="32" t="s">
        <v>88</v>
      </c>
    </row>
    <row r="34" spans="1:9" x14ac:dyDescent="0.25">
      <c r="A34" s="32">
        <v>33</v>
      </c>
      <c r="B34" s="32" t="s">
        <v>147</v>
      </c>
      <c r="C34" s="32" t="s">
        <v>148</v>
      </c>
      <c r="D34" s="32">
        <v>15</v>
      </c>
      <c r="E34" s="32">
        <v>4</v>
      </c>
      <c r="F34" s="32" t="s">
        <v>87</v>
      </c>
      <c r="G34" s="32" t="s">
        <v>80</v>
      </c>
      <c r="H34" s="32" t="s">
        <v>73</v>
      </c>
      <c r="I34" s="32" t="s">
        <v>88</v>
      </c>
    </row>
    <row r="35" spans="1:9" x14ac:dyDescent="0.25">
      <c r="A35" s="32">
        <v>34</v>
      </c>
      <c r="B35" s="32" t="s">
        <v>149</v>
      </c>
      <c r="C35" s="32" t="s">
        <v>150</v>
      </c>
      <c r="D35" s="32">
        <v>16</v>
      </c>
      <c r="E35" s="32">
        <v>4</v>
      </c>
      <c r="F35" s="32" t="s">
        <v>87</v>
      </c>
      <c r="G35" s="32" t="s">
        <v>80</v>
      </c>
      <c r="H35" s="32" t="s">
        <v>73</v>
      </c>
      <c r="I35" s="32" t="s">
        <v>74</v>
      </c>
    </row>
    <row r="36" spans="1:9" x14ac:dyDescent="0.25">
      <c r="A36" s="32">
        <v>35</v>
      </c>
      <c r="B36" s="32" t="s">
        <v>151</v>
      </c>
      <c r="C36" s="32" t="s">
        <v>152</v>
      </c>
      <c r="D36" s="32">
        <v>17</v>
      </c>
      <c r="E36" s="32">
        <v>4</v>
      </c>
      <c r="F36" s="32" t="s">
        <v>87</v>
      </c>
      <c r="G36" s="32" t="s">
        <v>153</v>
      </c>
      <c r="H36" s="32" t="s">
        <v>73</v>
      </c>
      <c r="I36" s="32" t="s">
        <v>97</v>
      </c>
    </row>
    <row r="37" spans="1:9" x14ac:dyDescent="0.25">
      <c r="A37" s="32">
        <v>36</v>
      </c>
      <c r="B37" s="32" t="s">
        <v>154</v>
      </c>
      <c r="C37" s="32" t="s">
        <v>155</v>
      </c>
      <c r="D37" s="32">
        <v>18</v>
      </c>
      <c r="E37" s="32">
        <v>4</v>
      </c>
      <c r="F37" s="32" t="s">
        <v>87</v>
      </c>
      <c r="G37" s="32" t="s">
        <v>72</v>
      </c>
      <c r="H37" s="32" t="s">
        <v>73</v>
      </c>
      <c r="I37" s="32" t="s">
        <v>77</v>
      </c>
    </row>
    <row r="38" spans="1:9" x14ac:dyDescent="0.25">
      <c r="A38" s="32">
        <v>37</v>
      </c>
      <c r="B38" s="32" t="s">
        <v>156</v>
      </c>
      <c r="C38" s="32" t="s">
        <v>157</v>
      </c>
      <c r="D38" s="32">
        <v>1</v>
      </c>
      <c r="E38" s="32">
        <v>5</v>
      </c>
      <c r="F38" s="32" t="s">
        <v>71</v>
      </c>
      <c r="G38" s="32" t="s">
        <v>80</v>
      </c>
      <c r="H38" s="32" t="s">
        <v>73</v>
      </c>
      <c r="I38" s="32" t="s">
        <v>81</v>
      </c>
    </row>
    <row r="39" spans="1:9" ht="20.399999999999999" x14ac:dyDescent="0.25">
      <c r="A39" s="32">
        <v>38</v>
      </c>
      <c r="B39" s="32" t="s">
        <v>158</v>
      </c>
      <c r="C39" s="32" t="s">
        <v>159</v>
      </c>
      <c r="D39" s="32">
        <v>2</v>
      </c>
      <c r="E39" s="32">
        <v>5</v>
      </c>
      <c r="F39" s="32" t="s">
        <v>71</v>
      </c>
      <c r="G39" s="32" t="s">
        <v>80</v>
      </c>
      <c r="H39" s="32" t="s">
        <v>73</v>
      </c>
      <c r="I39" s="32" t="s">
        <v>84</v>
      </c>
    </row>
    <row r="40" spans="1:9" ht="20.399999999999999" x14ac:dyDescent="0.25">
      <c r="A40" s="32">
        <v>39</v>
      </c>
      <c r="B40" s="32" t="s">
        <v>160</v>
      </c>
      <c r="C40" s="32" t="s">
        <v>161</v>
      </c>
      <c r="D40" s="32">
        <v>3</v>
      </c>
      <c r="E40" s="32">
        <v>5</v>
      </c>
      <c r="F40" s="32" t="s">
        <v>123</v>
      </c>
      <c r="G40" s="32" t="s">
        <v>80</v>
      </c>
      <c r="H40" s="32" t="s">
        <v>73</v>
      </c>
      <c r="I40" s="32" t="s">
        <v>124</v>
      </c>
    </row>
    <row r="41" spans="1:9" ht="20.399999999999999" x14ac:dyDescent="0.25">
      <c r="A41" s="32">
        <v>40</v>
      </c>
      <c r="B41" s="32" t="s">
        <v>162</v>
      </c>
      <c r="C41" s="32" t="s">
        <v>163</v>
      </c>
      <c r="D41" s="32">
        <v>4</v>
      </c>
      <c r="E41" s="32">
        <v>5</v>
      </c>
      <c r="F41" s="32" t="s">
        <v>123</v>
      </c>
      <c r="G41" s="32" t="s">
        <v>80</v>
      </c>
      <c r="H41" s="32" t="s">
        <v>73</v>
      </c>
      <c r="I41" s="32" t="s">
        <v>124</v>
      </c>
    </row>
    <row r="42" spans="1:9" ht="20.399999999999999" x14ac:dyDescent="0.25">
      <c r="A42" s="32">
        <v>41</v>
      </c>
      <c r="B42" s="32" t="s">
        <v>164</v>
      </c>
      <c r="C42" s="32" t="s">
        <v>165</v>
      </c>
      <c r="D42" s="32">
        <v>5</v>
      </c>
      <c r="E42" s="32">
        <v>5</v>
      </c>
      <c r="F42" s="32" t="s">
        <v>123</v>
      </c>
      <c r="G42" s="32" t="s">
        <v>80</v>
      </c>
      <c r="H42" s="32" t="s">
        <v>73</v>
      </c>
      <c r="I42" s="32" t="s">
        <v>124</v>
      </c>
    </row>
    <row r="43" spans="1:9" ht="20.399999999999999" x14ac:dyDescent="0.25">
      <c r="A43" s="32">
        <v>42</v>
      </c>
      <c r="B43" s="32" t="s">
        <v>166</v>
      </c>
      <c r="C43" s="32" t="s">
        <v>167</v>
      </c>
      <c r="D43" s="32">
        <v>6</v>
      </c>
      <c r="E43" s="32">
        <v>5</v>
      </c>
      <c r="F43" s="32" t="s">
        <v>123</v>
      </c>
      <c r="G43" s="32" t="s">
        <v>80</v>
      </c>
      <c r="H43" s="32" t="s">
        <v>73</v>
      </c>
      <c r="I43" s="32" t="s">
        <v>124</v>
      </c>
    </row>
    <row r="44" spans="1:9" ht="20.399999999999999" x14ac:dyDescent="0.25">
      <c r="A44" s="32">
        <v>43</v>
      </c>
      <c r="B44" s="32" t="s">
        <v>168</v>
      </c>
      <c r="C44" s="32" t="s">
        <v>169</v>
      </c>
      <c r="D44" s="32">
        <v>7</v>
      </c>
      <c r="E44" s="32">
        <v>5</v>
      </c>
      <c r="F44" s="32" t="s">
        <v>123</v>
      </c>
      <c r="G44" s="32" t="s">
        <v>80</v>
      </c>
      <c r="H44" s="32" t="s">
        <v>170</v>
      </c>
      <c r="I44" s="32" t="s">
        <v>124</v>
      </c>
    </row>
    <row r="45" spans="1:9" ht="20.399999999999999" x14ac:dyDescent="0.25">
      <c r="A45" s="32">
        <v>44</v>
      </c>
      <c r="B45" s="32" t="s">
        <v>171</v>
      </c>
      <c r="C45" s="32" t="s">
        <v>172</v>
      </c>
      <c r="D45" s="32">
        <v>8</v>
      </c>
      <c r="E45" s="32">
        <v>5</v>
      </c>
      <c r="F45" s="32" t="s">
        <v>123</v>
      </c>
      <c r="G45" s="32" t="s">
        <v>80</v>
      </c>
      <c r="H45" s="32" t="s">
        <v>73</v>
      </c>
      <c r="I45" s="32" t="s">
        <v>124</v>
      </c>
    </row>
    <row r="46" spans="1:9" ht="20.399999999999999" x14ac:dyDescent="0.25">
      <c r="A46" s="32">
        <v>45</v>
      </c>
      <c r="B46" s="32" t="s">
        <v>173</v>
      </c>
      <c r="C46" s="32" t="s">
        <v>174</v>
      </c>
      <c r="D46" s="32">
        <v>9</v>
      </c>
      <c r="E46" s="32">
        <v>5</v>
      </c>
      <c r="F46" s="32" t="s">
        <v>123</v>
      </c>
      <c r="G46" s="32" t="s">
        <v>80</v>
      </c>
      <c r="H46" s="32" t="s">
        <v>73</v>
      </c>
      <c r="I46" s="32" t="s">
        <v>124</v>
      </c>
    </row>
    <row r="47" spans="1:9" ht="20.399999999999999" x14ac:dyDescent="0.25">
      <c r="A47" s="32">
        <v>46</v>
      </c>
      <c r="B47" s="32" t="s">
        <v>175</v>
      </c>
      <c r="C47" s="32" t="s">
        <v>176</v>
      </c>
      <c r="D47" s="32">
        <v>10</v>
      </c>
      <c r="E47" s="32">
        <v>5</v>
      </c>
      <c r="F47" s="32" t="s">
        <v>123</v>
      </c>
      <c r="G47" s="32" t="s">
        <v>80</v>
      </c>
      <c r="H47" s="32" t="s">
        <v>73</v>
      </c>
      <c r="I47" s="32" t="s">
        <v>124</v>
      </c>
    </row>
    <row r="48" spans="1:9" ht="20.399999999999999" x14ac:dyDescent="0.25">
      <c r="A48" s="32">
        <v>47</v>
      </c>
      <c r="B48" s="32" t="s">
        <v>177</v>
      </c>
      <c r="C48" s="32" t="s">
        <v>178</v>
      </c>
      <c r="D48" s="32">
        <v>11</v>
      </c>
      <c r="E48" s="32">
        <v>5</v>
      </c>
      <c r="F48" s="32" t="s">
        <v>123</v>
      </c>
      <c r="G48" s="32" t="s">
        <v>80</v>
      </c>
      <c r="H48" s="32" t="s">
        <v>73</v>
      </c>
      <c r="I48" s="32" t="s">
        <v>124</v>
      </c>
    </row>
    <row r="49" spans="1:9" ht="20.399999999999999" x14ac:dyDescent="0.25">
      <c r="A49" s="32">
        <v>48</v>
      </c>
      <c r="B49" s="32" t="s">
        <v>179</v>
      </c>
      <c r="C49" s="32" t="s">
        <v>180</v>
      </c>
      <c r="D49" s="32">
        <v>12</v>
      </c>
      <c r="E49" s="32">
        <v>5</v>
      </c>
      <c r="F49" s="32" t="s">
        <v>123</v>
      </c>
      <c r="G49" s="32" t="s">
        <v>80</v>
      </c>
      <c r="H49" s="32" t="s">
        <v>73</v>
      </c>
      <c r="I49" s="32" t="s">
        <v>124</v>
      </c>
    </row>
    <row r="50" spans="1:9" x14ac:dyDescent="0.25">
      <c r="A50" s="32">
        <v>49</v>
      </c>
      <c r="B50" s="32" t="s">
        <v>181</v>
      </c>
      <c r="C50" s="32" t="s">
        <v>182</v>
      </c>
      <c r="D50" s="32">
        <v>13</v>
      </c>
      <c r="E50" s="32">
        <v>5</v>
      </c>
      <c r="F50" s="32" t="s">
        <v>87</v>
      </c>
      <c r="G50" s="32" t="s">
        <v>80</v>
      </c>
      <c r="H50" s="32" t="s">
        <v>73</v>
      </c>
      <c r="I50" s="32" t="s">
        <v>106</v>
      </c>
    </row>
    <row r="51" spans="1:9" x14ac:dyDescent="0.25">
      <c r="A51" s="32">
        <v>50</v>
      </c>
      <c r="B51" s="32" t="s">
        <v>183</v>
      </c>
      <c r="C51" s="32" t="s">
        <v>184</v>
      </c>
      <c r="D51" s="32">
        <v>14</v>
      </c>
      <c r="E51" s="32">
        <v>5</v>
      </c>
      <c r="F51" s="32" t="s">
        <v>87</v>
      </c>
      <c r="G51" s="32" t="s">
        <v>80</v>
      </c>
      <c r="H51" s="32" t="s">
        <v>73</v>
      </c>
      <c r="I51" s="32" t="s">
        <v>106</v>
      </c>
    </row>
    <row r="52" spans="1:9" x14ac:dyDescent="0.25">
      <c r="A52" s="32">
        <v>51</v>
      </c>
      <c r="B52" s="32" t="s">
        <v>185</v>
      </c>
      <c r="C52" s="32" t="s">
        <v>186</v>
      </c>
      <c r="D52" s="32">
        <v>15</v>
      </c>
      <c r="E52" s="32">
        <v>5</v>
      </c>
      <c r="F52" s="32" t="s">
        <v>87</v>
      </c>
      <c r="G52" s="32" t="s">
        <v>80</v>
      </c>
      <c r="H52" s="32" t="s">
        <v>73</v>
      </c>
      <c r="I52" s="32" t="s">
        <v>88</v>
      </c>
    </row>
    <row r="53" spans="1:9" x14ac:dyDescent="0.25">
      <c r="A53" s="32">
        <v>52</v>
      </c>
      <c r="B53" s="32" t="s">
        <v>187</v>
      </c>
      <c r="C53" s="32" t="s">
        <v>188</v>
      </c>
      <c r="D53" s="32">
        <v>16</v>
      </c>
      <c r="E53" s="32">
        <v>5</v>
      </c>
      <c r="F53" s="32" t="s">
        <v>87</v>
      </c>
      <c r="G53" s="32" t="s">
        <v>80</v>
      </c>
      <c r="H53" s="32" t="s">
        <v>73</v>
      </c>
      <c r="I53" s="32" t="s">
        <v>88</v>
      </c>
    </row>
    <row r="54" spans="1:9" x14ac:dyDescent="0.25">
      <c r="A54" s="32">
        <v>53</v>
      </c>
      <c r="B54" s="32" t="s">
        <v>189</v>
      </c>
      <c r="C54" s="32" t="s">
        <v>190</v>
      </c>
      <c r="D54" s="32">
        <v>17</v>
      </c>
      <c r="E54" s="32">
        <v>5</v>
      </c>
      <c r="F54" s="32" t="s">
        <v>87</v>
      </c>
      <c r="G54" s="32" t="s">
        <v>80</v>
      </c>
      <c r="H54" s="32" t="s">
        <v>73</v>
      </c>
      <c r="I54" s="32" t="s">
        <v>97</v>
      </c>
    </row>
    <row r="55" spans="1:9" x14ac:dyDescent="0.25">
      <c r="A55" s="32">
        <v>54</v>
      </c>
      <c r="B55" s="32" t="s">
        <v>191</v>
      </c>
      <c r="C55" s="32" t="s">
        <v>192</v>
      </c>
      <c r="D55" s="32">
        <v>18</v>
      </c>
      <c r="E55" s="32">
        <v>5</v>
      </c>
      <c r="F55" s="32" t="s">
        <v>87</v>
      </c>
      <c r="G55" s="32" t="s">
        <v>72</v>
      </c>
      <c r="H55" s="32" t="s">
        <v>73</v>
      </c>
      <c r="I55" s="32" t="s">
        <v>77</v>
      </c>
    </row>
    <row r="56" spans="1:9" x14ac:dyDescent="0.25">
      <c r="A56" s="32">
        <v>55</v>
      </c>
      <c r="B56" s="32" t="s">
        <v>193</v>
      </c>
      <c r="C56" s="32" t="s">
        <v>194</v>
      </c>
      <c r="D56" s="32">
        <v>1</v>
      </c>
      <c r="E56" s="32">
        <v>6</v>
      </c>
      <c r="F56" s="32" t="s">
        <v>71</v>
      </c>
      <c r="G56" s="32" t="s">
        <v>80</v>
      </c>
      <c r="H56" s="32" t="s">
        <v>73</v>
      </c>
      <c r="I56" s="32" t="s">
        <v>81</v>
      </c>
    </row>
    <row r="57" spans="1:9" ht="20.399999999999999" x14ac:dyDescent="0.25">
      <c r="A57" s="32">
        <v>56</v>
      </c>
      <c r="B57" s="32" t="s">
        <v>195</v>
      </c>
      <c r="C57" s="32" t="s">
        <v>196</v>
      </c>
      <c r="D57" s="32">
        <v>2</v>
      </c>
      <c r="E57" s="32">
        <v>6</v>
      </c>
      <c r="F57" s="32" t="s">
        <v>71</v>
      </c>
      <c r="G57" s="32" t="s">
        <v>80</v>
      </c>
      <c r="H57" s="32" t="s">
        <v>73</v>
      </c>
      <c r="I57" s="32" t="s">
        <v>84</v>
      </c>
    </row>
    <row r="58" spans="1:9" x14ac:dyDescent="0.25">
      <c r="A58" s="32">
        <v>57</v>
      </c>
      <c r="B58" s="32" t="s">
        <v>197</v>
      </c>
      <c r="C58" s="32" t="s">
        <v>198</v>
      </c>
      <c r="D58" s="32">
        <v>3</v>
      </c>
      <c r="E58" s="32">
        <v>6</v>
      </c>
      <c r="F58" s="32" t="s">
        <v>199</v>
      </c>
      <c r="G58" s="32" t="s">
        <v>80</v>
      </c>
      <c r="H58" s="32" t="s">
        <v>73</v>
      </c>
      <c r="I58" s="32" t="s">
        <v>200</v>
      </c>
    </row>
    <row r="59" spans="1:9" x14ac:dyDescent="0.25">
      <c r="A59" s="32">
        <v>58</v>
      </c>
      <c r="B59" s="32" t="s">
        <v>201</v>
      </c>
      <c r="C59" s="32" t="s">
        <v>202</v>
      </c>
      <c r="D59" s="32">
        <v>3</v>
      </c>
      <c r="E59" s="32">
        <v>6</v>
      </c>
      <c r="F59" s="32" t="s">
        <v>199</v>
      </c>
      <c r="G59" s="32" t="s">
        <v>80</v>
      </c>
      <c r="H59" s="32" t="s">
        <v>73</v>
      </c>
      <c r="I59" s="32" t="s">
        <v>200</v>
      </c>
    </row>
    <row r="60" spans="1:9" ht="20.399999999999999" x14ac:dyDescent="0.25">
      <c r="A60" s="32">
        <v>59</v>
      </c>
      <c r="B60" s="32" t="s">
        <v>203</v>
      </c>
      <c r="C60" s="32" t="s">
        <v>204</v>
      </c>
      <c r="D60" s="32">
        <v>3</v>
      </c>
      <c r="E60" s="32">
        <v>6</v>
      </c>
      <c r="F60" s="32" t="s">
        <v>199</v>
      </c>
      <c r="G60" s="32" t="s">
        <v>80</v>
      </c>
      <c r="H60" s="32" t="s">
        <v>73</v>
      </c>
      <c r="I60" s="32" t="s">
        <v>200</v>
      </c>
    </row>
    <row r="61" spans="1:9" x14ac:dyDescent="0.25">
      <c r="A61" s="32">
        <v>60</v>
      </c>
      <c r="B61" s="32" t="s">
        <v>205</v>
      </c>
      <c r="C61" s="32" t="s">
        <v>206</v>
      </c>
      <c r="D61" s="32">
        <v>3</v>
      </c>
      <c r="E61" s="32">
        <v>6</v>
      </c>
      <c r="F61" s="32" t="s">
        <v>199</v>
      </c>
      <c r="G61" s="32" t="s">
        <v>80</v>
      </c>
      <c r="H61" s="32" t="s">
        <v>73</v>
      </c>
      <c r="I61" s="32" t="s">
        <v>200</v>
      </c>
    </row>
    <row r="62" spans="1:9" x14ac:dyDescent="0.25">
      <c r="A62" s="32">
        <v>61</v>
      </c>
      <c r="B62" s="32" t="s">
        <v>207</v>
      </c>
      <c r="C62" s="32" t="s">
        <v>208</v>
      </c>
      <c r="D62" s="32">
        <v>3</v>
      </c>
      <c r="E62" s="32">
        <v>6</v>
      </c>
      <c r="F62" s="32" t="s">
        <v>199</v>
      </c>
      <c r="G62" s="32" t="s">
        <v>80</v>
      </c>
      <c r="H62" s="32" t="s">
        <v>170</v>
      </c>
      <c r="I62" s="32" t="s">
        <v>200</v>
      </c>
    </row>
    <row r="63" spans="1:9" x14ac:dyDescent="0.25">
      <c r="A63" s="32">
        <v>62</v>
      </c>
      <c r="B63" s="32" t="s">
        <v>209</v>
      </c>
      <c r="C63" s="32" t="s">
        <v>210</v>
      </c>
      <c r="D63" s="32">
        <v>3</v>
      </c>
      <c r="E63" s="32">
        <v>6</v>
      </c>
      <c r="F63" s="32" t="s">
        <v>199</v>
      </c>
      <c r="G63" s="32" t="s">
        <v>80</v>
      </c>
      <c r="H63" s="32" t="s">
        <v>73</v>
      </c>
      <c r="I63" s="32" t="s">
        <v>200</v>
      </c>
    </row>
    <row r="64" spans="1:9" x14ac:dyDescent="0.25">
      <c r="A64" s="32">
        <v>63</v>
      </c>
      <c r="B64" s="32" t="s">
        <v>211</v>
      </c>
      <c r="C64" s="32" t="s">
        <v>212</v>
      </c>
      <c r="D64" s="32">
        <v>3</v>
      </c>
      <c r="E64" s="32">
        <v>6</v>
      </c>
      <c r="F64" s="32" t="s">
        <v>199</v>
      </c>
      <c r="G64" s="32" t="s">
        <v>80</v>
      </c>
      <c r="H64" s="32" t="s">
        <v>73</v>
      </c>
      <c r="I64" s="32" t="s">
        <v>200</v>
      </c>
    </row>
    <row r="65" spans="1:9" x14ac:dyDescent="0.25">
      <c r="A65" s="32">
        <v>64</v>
      </c>
      <c r="B65" s="32" t="s">
        <v>213</v>
      </c>
      <c r="C65" s="32" t="s">
        <v>214</v>
      </c>
      <c r="D65" s="32">
        <v>3</v>
      </c>
      <c r="E65" s="32">
        <v>6</v>
      </c>
      <c r="F65" s="32" t="s">
        <v>199</v>
      </c>
      <c r="G65" s="32" t="s">
        <v>80</v>
      </c>
      <c r="H65" s="32" t="s">
        <v>73</v>
      </c>
      <c r="I65" s="32" t="s">
        <v>200</v>
      </c>
    </row>
    <row r="66" spans="1:9" x14ac:dyDescent="0.25">
      <c r="A66" s="32">
        <v>65</v>
      </c>
      <c r="B66" s="32" t="s">
        <v>215</v>
      </c>
      <c r="C66" s="32" t="s">
        <v>216</v>
      </c>
      <c r="D66" s="32">
        <v>3</v>
      </c>
      <c r="E66" s="32">
        <v>6</v>
      </c>
      <c r="F66" s="32" t="s">
        <v>199</v>
      </c>
      <c r="G66" s="32" t="s">
        <v>80</v>
      </c>
      <c r="H66" s="32" t="s">
        <v>73</v>
      </c>
      <c r="I66" s="32" t="s">
        <v>200</v>
      </c>
    </row>
    <row r="67" spans="1:9" x14ac:dyDescent="0.25">
      <c r="A67" s="32">
        <v>66</v>
      </c>
      <c r="B67" s="32" t="s">
        <v>217</v>
      </c>
      <c r="C67" s="32" t="s">
        <v>19</v>
      </c>
      <c r="D67" s="32">
        <v>3</v>
      </c>
      <c r="E67" s="32">
        <v>6</v>
      </c>
      <c r="F67" s="32" t="s">
        <v>199</v>
      </c>
      <c r="G67" s="32" t="s">
        <v>80</v>
      </c>
      <c r="H67" s="32" t="s">
        <v>73</v>
      </c>
      <c r="I67" s="32" t="s">
        <v>200</v>
      </c>
    </row>
    <row r="68" spans="1:9" x14ac:dyDescent="0.25">
      <c r="A68" s="32">
        <v>67</v>
      </c>
      <c r="B68" s="32" t="s">
        <v>218</v>
      </c>
      <c r="C68" s="32" t="s">
        <v>219</v>
      </c>
      <c r="D68" s="32">
        <v>3</v>
      </c>
      <c r="E68" s="32">
        <v>6</v>
      </c>
      <c r="F68" s="32" t="s">
        <v>199</v>
      </c>
      <c r="G68" s="32" t="s">
        <v>80</v>
      </c>
      <c r="H68" s="32" t="s">
        <v>73</v>
      </c>
      <c r="I68" s="32" t="s">
        <v>200</v>
      </c>
    </row>
    <row r="69" spans="1:9" x14ac:dyDescent="0.25">
      <c r="A69" s="32">
        <v>68</v>
      </c>
      <c r="B69" s="32" t="s">
        <v>220</v>
      </c>
      <c r="C69" s="32" t="s">
        <v>221</v>
      </c>
      <c r="D69" s="32">
        <v>3</v>
      </c>
      <c r="E69" s="32">
        <v>6</v>
      </c>
      <c r="F69" s="32" t="s">
        <v>199</v>
      </c>
      <c r="G69" s="32" t="s">
        <v>80</v>
      </c>
      <c r="H69" s="32" t="s">
        <v>73</v>
      </c>
      <c r="I69" s="32" t="s">
        <v>200</v>
      </c>
    </row>
    <row r="70" spans="1:9" x14ac:dyDescent="0.25">
      <c r="A70" s="32">
        <v>69</v>
      </c>
      <c r="B70" s="32" t="s">
        <v>222</v>
      </c>
      <c r="C70" s="32" t="s">
        <v>223</v>
      </c>
      <c r="D70" s="32">
        <v>3</v>
      </c>
      <c r="E70" s="32">
        <v>6</v>
      </c>
      <c r="F70" s="32" t="s">
        <v>199</v>
      </c>
      <c r="G70" s="32" t="s">
        <v>80</v>
      </c>
      <c r="H70" s="32" t="s">
        <v>73</v>
      </c>
      <c r="I70" s="32" t="s">
        <v>200</v>
      </c>
    </row>
    <row r="71" spans="1:9" x14ac:dyDescent="0.25">
      <c r="A71" s="32">
        <v>70</v>
      </c>
      <c r="B71" s="32" t="s">
        <v>224</v>
      </c>
      <c r="C71" s="32" t="s">
        <v>225</v>
      </c>
      <c r="D71" s="32">
        <v>3</v>
      </c>
      <c r="E71" s="32">
        <v>6</v>
      </c>
      <c r="F71" s="32" t="s">
        <v>199</v>
      </c>
      <c r="G71" s="32" t="s">
        <v>80</v>
      </c>
      <c r="H71" s="32" t="s">
        <v>73</v>
      </c>
      <c r="I71" s="32" t="s">
        <v>200</v>
      </c>
    </row>
    <row r="72" spans="1:9" x14ac:dyDescent="0.25">
      <c r="A72" s="32">
        <v>71</v>
      </c>
      <c r="B72" s="32" t="s">
        <v>226</v>
      </c>
      <c r="C72" s="32" t="s">
        <v>227</v>
      </c>
      <c r="D72" s="32">
        <v>3</v>
      </c>
      <c r="E72" s="32">
        <v>6</v>
      </c>
      <c r="F72" s="32" t="s">
        <v>123</v>
      </c>
      <c r="G72" s="32" t="s">
        <v>80</v>
      </c>
      <c r="H72" s="32" t="s">
        <v>73</v>
      </c>
      <c r="I72" s="32" t="s">
        <v>200</v>
      </c>
    </row>
    <row r="73" spans="1:9" ht="20.399999999999999" x14ac:dyDescent="0.25">
      <c r="A73" s="32">
        <v>72</v>
      </c>
      <c r="B73" s="32" t="s">
        <v>228</v>
      </c>
      <c r="C73" s="32" t="s">
        <v>229</v>
      </c>
      <c r="D73" s="32">
        <v>4</v>
      </c>
      <c r="E73" s="32">
        <v>6</v>
      </c>
      <c r="F73" s="32" t="s">
        <v>123</v>
      </c>
      <c r="G73" s="32" t="s">
        <v>80</v>
      </c>
      <c r="H73" s="32" t="s">
        <v>73</v>
      </c>
      <c r="I73" s="32" t="s">
        <v>124</v>
      </c>
    </row>
    <row r="74" spans="1:9" ht="20.399999999999999" x14ac:dyDescent="0.25">
      <c r="A74" s="32">
        <v>73</v>
      </c>
      <c r="B74" s="32" t="s">
        <v>230</v>
      </c>
      <c r="C74" s="32" t="s">
        <v>231</v>
      </c>
      <c r="D74" s="32">
        <v>5</v>
      </c>
      <c r="E74" s="32">
        <v>6</v>
      </c>
      <c r="F74" s="32" t="s">
        <v>123</v>
      </c>
      <c r="G74" s="32" t="s">
        <v>80</v>
      </c>
      <c r="H74" s="32" t="s">
        <v>73</v>
      </c>
      <c r="I74" s="32" t="s">
        <v>124</v>
      </c>
    </row>
    <row r="75" spans="1:9" ht="20.399999999999999" x14ac:dyDescent="0.25">
      <c r="A75" s="32">
        <v>74</v>
      </c>
      <c r="B75" s="32" t="s">
        <v>232</v>
      </c>
      <c r="C75" s="32" t="s">
        <v>233</v>
      </c>
      <c r="D75" s="32">
        <v>6</v>
      </c>
      <c r="E75" s="32">
        <v>6</v>
      </c>
      <c r="F75" s="32" t="s">
        <v>123</v>
      </c>
      <c r="G75" s="32" t="s">
        <v>80</v>
      </c>
      <c r="H75" s="32" t="s">
        <v>73</v>
      </c>
      <c r="I75" s="32" t="s">
        <v>124</v>
      </c>
    </row>
    <row r="76" spans="1:9" ht="20.399999999999999" x14ac:dyDescent="0.25">
      <c r="A76" s="32">
        <v>75</v>
      </c>
      <c r="B76" s="32" t="s">
        <v>234</v>
      </c>
      <c r="C76" s="32" t="s">
        <v>235</v>
      </c>
      <c r="D76" s="32">
        <v>7</v>
      </c>
      <c r="E76" s="32">
        <v>6</v>
      </c>
      <c r="F76" s="32" t="s">
        <v>123</v>
      </c>
      <c r="G76" s="32" t="s">
        <v>80</v>
      </c>
      <c r="H76" s="32" t="s">
        <v>73</v>
      </c>
      <c r="I76" s="32" t="s">
        <v>124</v>
      </c>
    </row>
    <row r="77" spans="1:9" ht="20.399999999999999" x14ac:dyDescent="0.25">
      <c r="A77" s="32">
        <v>76</v>
      </c>
      <c r="B77" s="32" t="s">
        <v>236</v>
      </c>
      <c r="C77" s="32" t="s">
        <v>237</v>
      </c>
      <c r="D77" s="32">
        <v>8</v>
      </c>
      <c r="E77" s="32">
        <v>6</v>
      </c>
      <c r="F77" s="32" t="s">
        <v>123</v>
      </c>
      <c r="G77" s="32" t="s">
        <v>80</v>
      </c>
      <c r="H77" s="32" t="s">
        <v>73</v>
      </c>
      <c r="I77" s="32" t="s">
        <v>124</v>
      </c>
    </row>
    <row r="78" spans="1:9" ht="20.399999999999999" x14ac:dyDescent="0.25">
      <c r="A78" s="32">
        <v>77</v>
      </c>
      <c r="B78" s="32" t="s">
        <v>238</v>
      </c>
      <c r="C78" s="32" t="s">
        <v>239</v>
      </c>
      <c r="D78" s="32">
        <v>9</v>
      </c>
      <c r="E78" s="32">
        <v>6</v>
      </c>
      <c r="F78" s="32" t="s">
        <v>123</v>
      </c>
      <c r="G78" s="32" t="s">
        <v>80</v>
      </c>
      <c r="H78" s="32" t="s">
        <v>73</v>
      </c>
      <c r="I78" s="32" t="s">
        <v>124</v>
      </c>
    </row>
    <row r="79" spans="1:9" ht="20.399999999999999" x14ac:dyDescent="0.25">
      <c r="A79" s="32">
        <v>78</v>
      </c>
      <c r="B79" s="32" t="s">
        <v>240</v>
      </c>
      <c r="C79" s="32" t="s">
        <v>241</v>
      </c>
      <c r="D79" s="32">
        <v>10</v>
      </c>
      <c r="E79" s="32">
        <v>6</v>
      </c>
      <c r="F79" s="32" t="s">
        <v>123</v>
      </c>
      <c r="G79" s="32" t="s">
        <v>80</v>
      </c>
      <c r="H79" s="32" t="s">
        <v>73</v>
      </c>
      <c r="I79" s="32" t="s">
        <v>124</v>
      </c>
    </row>
    <row r="80" spans="1:9" ht="20.399999999999999" x14ac:dyDescent="0.25">
      <c r="A80" s="32">
        <v>79</v>
      </c>
      <c r="B80" s="32" t="s">
        <v>242</v>
      </c>
      <c r="C80" s="32" t="s">
        <v>243</v>
      </c>
      <c r="D80" s="32">
        <v>11</v>
      </c>
      <c r="E80" s="32">
        <v>6</v>
      </c>
      <c r="F80" s="32" t="s">
        <v>123</v>
      </c>
      <c r="G80" s="32" t="s">
        <v>80</v>
      </c>
      <c r="H80" s="32" t="s">
        <v>73</v>
      </c>
      <c r="I80" s="32" t="s">
        <v>124</v>
      </c>
    </row>
    <row r="81" spans="1:9" ht="20.399999999999999" x14ac:dyDescent="0.25">
      <c r="A81" s="32">
        <v>80</v>
      </c>
      <c r="B81" s="32" t="s">
        <v>244</v>
      </c>
      <c r="C81" s="32" t="s">
        <v>245</v>
      </c>
      <c r="D81" s="32">
        <v>12</v>
      </c>
      <c r="E81" s="32">
        <v>6</v>
      </c>
      <c r="F81" s="32" t="s">
        <v>123</v>
      </c>
      <c r="G81" s="32" t="s">
        <v>153</v>
      </c>
      <c r="H81" s="32" t="s">
        <v>73</v>
      </c>
      <c r="I81" s="32" t="s">
        <v>124</v>
      </c>
    </row>
    <row r="82" spans="1:9" x14ac:dyDescent="0.25">
      <c r="A82" s="32">
        <v>81</v>
      </c>
      <c r="B82" s="32" t="s">
        <v>246</v>
      </c>
      <c r="C82" s="32" t="s">
        <v>247</v>
      </c>
      <c r="D82" s="32">
        <v>13</v>
      </c>
      <c r="E82" s="32">
        <v>6</v>
      </c>
      <c r="F82" s="32" t="s">
        <v>87</v>
      </c>
      <c r="G82" s="32" t="s">
        <v>80</v>
      </c>
      <c r="H82" s="32" t="s">
        <v>73</v>
      </c>
      <c r="I82" s="32" t="s">
        <v>106</v>
      </c>
    </row>
    <row r="83" spans="1:9" x14ac:dyDescent="0.25">
      <c r="A83" s="32">
        <v>82</v>
      </c>
      <c r="B83" s="32" t="s">
        <v>248</v>
      </c>
      <c r="C83" s="32" t="s">
        <v>249</v>
      </c>
      <c r="D83" s="32">
        <v>14</v>
      </c>
      <c r="E83" s="32">
        <v>6</v>
      </c>
      <c r="F83" s="32" t="s">
        <v>87</v>
      </c>
      <c r="G83" s="32" t="s">
        <v>80</v>
      </c>
      <c r="H83" s="32" t="s">
        <v>73</v>
      </c>
      <c r="I83" s="32" t="s">
        <v>106</v>
      </c>
    </row>
    <row r="84" spans="1:9" x14ac:dyDescent="0.25">
      <c r="A84" s="32">
        <v>83</v>
      </c>
      <c r="B84" s="32" t="s">
        <v>250</v>
      </c>
      <c r="C84" s="32" t="s">
        <v>251</v>
      </c>
      <c r="D84" s="32">
        <v>15</v>
      </c>
      <c r="E84" s="32">
        <v>6</v>
      </c>
      <c r="F84" s="32" t="s">
        <v>87</v>
      </c>
      <c r="G84" s="32" t="s">
        <v>80</v>
      </c>
      <c r="H84" s="32" t="s">
        <v>73</v>
      </c>
      <c r="I84" s="32" t="s">
        <v>106</v>
      </c>
    </row>
    <row r="85" spans="1:9" x14ac:dyDescent="0.25">
      <c r="A85" s="32">
        <v>84</v>
      </c>
      <c r="B85" s="32" t="s">
        <v>252</v>
      </c>
      <c r="C85" s="32" t="s">
        <v>253</v>
      </c>
      <c r="D85" s="32">
        <v>16</v>
      </c>
      <c r="E85" s="32">
        <v>6</v>
      </c>
      <c r="F85" s="32" t="s">
        <v>87</v>
      </c>
      <c r="G85" s="32" t="s">
        <v>80</v>
      </c>
      <c r="H85" s="32" t="s">
        <v>170</v>
      </c>
      <c r="I85" s="32" t="s">
        <v>106</v>
      </c>
    </row>
    <row r="86" spans="1:9" x14ac:dyDescent="0.25">
      <c r="A86" s="32">
        <v>85</v>
      </c>
      <c r="B86" s="32" t="s">
        <v>254</v>
      </c>
      <c r="C86" s="32" t="s">
        <v>255</v>
      </c>
      <c r="D86" s="32">
        <v>17</v>
      </c>
      <c r="E86" s="32">
        <v>6</v>
      </c>
      <c r="F86" s="32" t="s">
        <v>87</v>
      </c>
      <c r="G86" s="32" t="s">
        <v>80</v>
      </c>
      <c r="H86" s="32" t="s">
        <v>170</v>
      </c>
      <c r="I86" s="32" t="s">
        <v>97</v>
      </c>
    </row>
    <row r="87" spans="1:9" x14ac:dyDescent="0.25">
      <c r="A87" s="32">
        <v>86</v>
      </c>
      <c r="B87" s="32" t="s">
        <v>256</v>
      </c>
      <c r="C87" s="32" t="s">
        <v>257</v>
      </c>
      <c r="D87" s="32">
        <v>18</v>
      </c>
      <c r="E87" s="32">
        <v>6</v>
      </c>
      <c r="F87" s="32" t="s">
        <v>87</v>
      </c>
      <c r="G87" s="32" t="s">
        <v>72</v>
      </c>
      <c r="H87" s="32" t="s">
        <v>170</v>
      </c>
      <c r="I87" s="32" t="s">
        <v>77</v>
      </c>
    </row>
    <row r="88" spans="1:9" x14ac:dyDescent="0.25">
      <c r="A88" s="32">
        <v>87</v>
      </c>
      <c r="B88" s="32" t="s">
        <v>258</v>
      </c>
      <c r="C88" s="32" t="s">
        <v>259</v>
      </c>
      <c r="D88" s="32">
        <v>1</v>
      </c>
      <c r="E88" s="32">
        <v>7</v>
      </c>
      <c r="F88" s="32" t="s">
        <v>71</v>
      </c>
      <c r="G88" s="32" t="s">
        <v>80</v>
      </c>
      <c r="H88" s="32" t="s">
        <v>170</v>
      </c>
      <c r="I88" s="32" t="s">
        <v>81</v>
      </c>
    </row>
    <row r="89" spans="1:9" ht="20.399999999999999" x14ac:dyDescent="0.25">
      <c r="A89" s="32">
        <v>88</v>
      </c>
      <c r="B89" s="32" t="s">
        <v>260</v>
      </c>
      <c r="C89" s="32" t="s">
        <v>261</v>
      </c>
      <c r="D89" s="32">
        <v>2</v>
      </c>
      <c r="E89" s="32">
        <v>7</v>
      </c>
      <c r="F89" s="32" t="s">
        <v>71</v>
      </c>
      <c r="G89" s="32" t="s">
        <v>80</v>
      </c>
      <c r="H89" s="32" t="s">
        <v>170</v>
      </c>
      <c r="I89" s="32" t="s">
        <v>84</v>
      </c>
    </row>
    <row r="90" spans="1:9" x14ac:dyDescent="0.25">
      <c r="A90" s="32">
        <v>89</v>
      </c>
      <c r="B90" s="32" t="s">
        <v>262</v>
      </c>
      <c r="C90" s="32" t="s">
        <v>263</v>
      </c>
      <c r="D90" s="32">
        <v>3</v>
      </c>
      <c r="E90" s="32">
        <v>7</v>
      </c>
      <c r="F90" s="32" t="s">
        <v>199</v>
      </c>
      <c r="G90" s="32" t="s">
        <v>80</v>
      </c>
      <c r="H90" s="32" t="s">
        <v>170</v>
      </c>
      <c r="I90" s="32" t="s">
        <v>264</v>
      </c>
    </row>
    <row r="91" spans="1:9" x14ac:dyDescent="0.25">
      <c r="A91" s="32">
        <v>90</v>
      </c>
      <c r="B91" s="32" t="s">
        <v>265</v>
      </c>
      <c r="C91" s="32" t="s">
        <v>266</v>
      </c>
      <c r="D91" s="32">
        <v>3</v>
      </c>
      <c r="E91" s="32">
        <v>7</v>
      </c>
      <c r="F91" s="32" t="s">
        <v>199</v>
      </c>
      <c r="G91" s="32" t="s">
        <v>80</v>
      </c>
      <c r="H91" s="32" t="s">
        <v>73</v>
      </c>
      <c r="I91" s="32" t="s">
        <v>264</v>
      </c>
    </row>
    <row r="92" spans="1:9" ht="20.399999999999999" x14ac:dyDescent="0.25">
      <c r="A92" s="32">
        <v>91</v>
      </c>
      <c r="B92" s="32" t="s">
        <v>267</v>
      </c>
      <c r="C92" s="32" t="s">
        <v>268</v>
      </c>
      <c r="D92" s="32">
        <v>3</v>
      </c>
      <c r="E92" s="32">
        <v>7</v>
      </c>
      <c r="F92" s="32" t="s">
        <v>199</v>
      </c>
      <c r="G92" s="32" t="s">
        <v>80</v>
      </c>
      <c r="H92" s="32" t="s">
        <v>170</v>
      </c>
      <c r="I92" s="32" t="s">
        <v>264</v>
      </c>
    </row>
    <row r="93" spans="1:9" x14ac:dyDescent="0.25">
      <c r="A93" s="32">
        <v>92</v>
      </c>
      <c r="B93" s="32" t="s">
        <v>269</v>
      </c>
      <c r="C93" s="32" t="s">
        <v>270</v>
      </c>
      <c r="D93" s="32">
        <v>3</v>
      </c>
      <c r="E93" s="32">
        <v>7</v>
      </c>
      <c r="F93" s="32" t="s">
        <v>199</v>
      </c>
      <c r="G93" s="32" t="s">
        <v>80</v>
      </c>
      <c r="H93" s="32" t="s">
        <v>73</v>
      </c>
      <c r="I93" s="32" t="s">
        <v>264</v>
      </c>
    </row>
    <row r="94" spans="1:9" x14ac:dyDescent="0.25">
      <c r="A94" s="32">
        <v>93</v>
      </c>
      <c r="B94" s="32" t="s">
        <v>271</v>
      </c>
      <c r="C94" s="32" t="s">
        <v>272</v>
      </c>
      <c r="D94" s="32">
        <v>3</v>
      </c>
      <c r="E94" s="32">
        <v>7</v>
      </c>
      <c r="F94" s="32" t="s">
        <v>199</v>
      </c>
      <c r="G94" s="32" t="s">
        <v>80</v>
      </c>
      <c r="H94" s="32" t="s">
        <v>170</v>
      </c>
      <c r="I94" s="32" t="s">
        <v>264</v>
      </c>
    </row>
    <row r="95" spans="1:9" x14ac:dyDescent="0.25">
      <c r="A95" s="32">
        <v>94</v>
      </c>
      <c r="B95" s="32" t="s">
        <v>273</v>
      </c>
      <c r="C95" s="32" t="s">
        <v>274</v>
      </c>
      <c r="D95" s="32">
        <v>3</v>
      </c>
      <c r="E95" s="32">
        <v>7</v>
      </c>
      <c r="F95" s="32" t="s">
        <v>199</v>
      </c>
      <c r="G95" s="32" t="s">
        <v>80</v>
      </c>
      <c r="H95" s="32" t="s">
        <v>73</v>
      </c>
      <c r="I95" s="32" t="s">
        <v>264</v>
      </c>
    </row>
    <row r="96" spans="1:9" x14ac:dyDescent="0.25">
      <c r="A96" s="32">
        <v>95</v>
      </c>
      <c r="B96" s="32" t="s">
        <v>275</v>
      </c>
      <c r="C96" s="32" t="s">
        <v>276</v>
      </c>
      <c r="D96" s="32">
        <v>3</v>
      </c>
      <c r="E96" s="32">
        <v>7</v>
      </c>
      <c r="F96" s="32" t="s">
        <v>199</v>
      </c>
      <c r="G96" s="32" t="s">
        <v>80</v>
      </c>
      <c r="H96" s="32" t="s">
        <v>170</v>
      </c>
      <c r="I96" s="32" t="s">
        <v>264</v>
      </c>
    </row>
    <row r="97" spans="1:9" x14ac:dyDescent="0.25">
      <c r="A97" s="32">
        <v>96</v>
      </c>
      <c r="B97" s="32" t="s">
        <v>277</v>
      </c>
      <c r="C97" s="32" t="s">
        <v>278</v>
      </c>
      <c r="D97" s="32">
        <v>3</v>
      </c>
      <c r="E97" s="32">
        <v>7</v>
      </c>
      <c r="F97" s="32" t="s">
        <v>199</v>
      </c>
      <c r="G97" s="32" t="s">
        <v>80</v>
      </c>
      <c r="H97" s="32" t="s">
        <v>170</v>
      </c>
      <c r="I97" s="32" t="s">
        <v>264</v>
      </c>
    </row>
    <row r="98" spans="1:9" x14ac:dyDescent="0.25">
      <c r="A98" s="32">
        <v>97</v>
      </c>
      <c r="B98" s="32" t="s">
        <v>279</v>
      </c>
      <c r="C98" s="32" t="s">
        <v>280</v>
      </c>
      <c r="D98" s="32">
        <v>3</v>
      </c>
      <c r="E98" s="32">
        <v>7</v>
      </c>
      <c r="F98" s="32" t="s">
        <v>199</v>
      </c>
      <c r="G98" s="32" t="s">
        <v>80</v>
      </c>
      <c r="H98" s="32" t="s">
        <v>170</v>
      </c>
      <c r="I98" s="32" t="s">
        <v>264</v>
      </c>
    </row>
    <row r="99" spans="1:9" x14ac:dyDescent="0.25">
      <c r="A99" s="32">
        <v>98</v>
      </c>
      <c r="B99" s="32" t="s">
        <v>281</v>
      </c>
      <c r="C99" s="32" t="s">
        <v>282</v>
      </c>
      <c r="D99" s="32">
        <v>3</v>
      </c>
      <c r="E99" s="32">
        <v>7</v>
      </c>
      <c r="F99" s="32" t="s">
        <v>199</v>
      </c>
      <c r="G99" s="32" t="s">
        <v>80</v>
      </c>
      <c r="H99" s="32" t="s">
        <v>170</v>
      </c>
      <c r="I99" s="32" t="s">
        <v>264</v>
      </c>
    </row>
    <row r="100" spans="1:9" x14ac:dyDescent="0.25">
      <c r="A100" s="32">
        <v>99</v>
      </c>
      <c r="B100" s="32" t="s">
        <v>283</v>
      </c>
      <c r="C100" s="32" t="s">
        <v>284</v>
      </c>
      <c r="D100" s="32">
        <v>3</v>
      </c>
      <c r="E100" s="32">
        <v>7</v>
      </c>
      <c r="F100" s="32" t="s">
        <v>199</v>
      </c>
      <c r="G100" s="32" t="s">
        <v>80</v>
      </c>
      <c r="H100" s="32" t="s">
        <v>285</v>
      </c>
      <c r="I100" s="32" t="s">
        <v>264</v>
      </c>
    </row>
    <row r="101" spans="1:9" x14ac:dyDescent="0.25">
      <c r="A101" s="32">
        <v>100</v>
      </c>
      <c r="B101" s="32" t="s">
        <v>286</v>
      </c>
      <c r="C101" s="32" t="s">
        <v>287</v>
      </c>
      <c r="D101" s="32">
        <v>3</v>
      </c>
      <c r="E101" s="32">
        <v>7</v>
      </c>
      <c r="F101" s="32" t="s">
        <v>199</v>
      </c>
      <c r="G101" s="32" t="s">
        <v>80</v>
      </c>
      <c r="H101" s="32" t="s">
        <v>285</v>
      </c>
      <c r="I101" s="32" t="s">
        <v>264</v>
      </c>
    </row>
    <row r="102" spans="1:9" ht="20.399999999999999" x14ac:dyDescent="0.25">
      <c r="A102" s="32">
        <v>101</v>
      </c>
      <c r="B102" s="32" t="s">
        <v>288</v>
      </c>
      <c r="C102" s="32" t="s">
        <v>289</v>
      </c>
      <c r="D102" s="32">
        <v>3</v>
      </c>
      <c r="E102" s="32">
        <v>7</v>
      </c>
      <c r="F102" s="32" t="s">
        <v>199</v>
      </c>
      <c r="G102" s="32" t="s">
        <v>80</v>
      </c>
      <c r="H102" s="32" t="s">
        <v>285</v>
      </c>
      <c r="I102" s="32" t="s">
        <v>264</v>
      </c>
    </row>
    <row r="103" spans="1:9" x14ac:dyDescent="0.25">
      <c r="A103" s="32">
        <v>102</v>
      </c>
      <c r="B103" s="32" t="s">
        <v>290</v>
      </c>
      <c r="C103" s="32" t="s">
        <v>291</v>
      </c>
      <c r="D103" s="32">
        <v>3</v>
      </c>
      <c r="E103" s="32">
        <v>7</v>
      </c>
      <c r="F103" s="32" t="s">
        <v>199</v>
      </c>
      <c r="G103" s="32" t="s">
        <v>80</v>
      </c>
      <c r="H103" s="32" t="s">
        <v>285</v>
      </c>
      <c r="I103" s="32" t="s">
        <v>264</v>
      </c>
    </row>
    <row r="104" spans="1:9" ht="13.2" customHeight="1" x14ac:dyDescent="0.25">
      <c r="A104" s="57">
        <v>103</v>
      </c>
      <c r="B104" s="57" t="s">
        <v>292</v>
      </c>
      <c r="C104" s="57" t="s">
        <v>293</v>
      </c>
      <c r="D104" s="57">
        <v>3</v>
      </c>
      <c r="E104" s="57">
        <v>7</v>
      </c>
      <c r="F104" s="57" t="s">
        <v>123</v>
      </c>
      <c r="G104" s="33" t="s">
        <v>80</v>
      </c>
      <c r="H104" s="57" t="s">
        <v>285</v>
      </c>
      <c r="I104" s="57" t="s">
        <v>264</v>
      </c>
    </row>
    <row r="105" spans="1:9" x14ac:dyDescent="0.25">
      <c r="A105" s="57"/>
      <c r="B105" s="57"/>
      <c r="C105" s="57"/>
      <c r="D105" s="57"/>
      <c r="E105" s="57"/>
      <c r="F105" s="57"/>
      <c r="G105" s="34" t="s">
        <v>294</v>
      </c>
      <c r="H105" s="57"/>
      <c r="I105" s="57"/>
    </row>
    <row r="106" spans="1:9" ht="13.2" customHeight="1" x14ac:dyDescent="0.25">
      <c r="A106" s="57">
        <v>104</v>
      </c>
      <c r="B106" s="57" t="s">
        <v>295</v>
      </c>
      <c r="C106" s="57" t="s">
        <v>296</v>
      </c>
      <c r="D106" s="57">
        <v>4</v>
      </c>
      <c r="E106" s="57">
        <v>7</v>
      </c>
      <c r="F106" s="57" t="s">
        <v>123</v>
      </c>
      <c r="G106" s="33" t="s">
        <v>80</v>
      </c>
      <c r="H106" s="57" t="s">
        <v>285</v>
      </c>
      <c r="I106" s="57" t="s">
        <v>124</v>
      </c>
    </row>
    <row r="107" spans="1:9" x14ac:dyDescent="0.25">
      <c r="A107" s="57"/>
      <c r="B107" s="57"/>
      <c r="C107" s="57"/>
      <c r="D107" s="57"/>
      <c r="E107" s="57"/>
      <c r="F107" s="57"/>
      <c r="G107" s="34" t="s">
        <v>294</v>
      </c>
      <c r="H107" s="57"/>
      <c r="I107" s="57"/>
    </row>
    <row r="108" spans="1:9" ht="20.399999999999999" x14ac:dyDescent="0.25">
      <c r="A108" s="32">
        <v>105</v>
      </c>
      <c r="B108" s="32" t="s">
        <v>297</v>
      </c>
      <c r="C108" s="32" t="s">
        <v>298</v>
      </c>
      <c r="D108" s="32">
        <v>5</v>
      </c>
      <c r="E108" s="32">
        <v>7</v>
      </c>
      <c r="F108" s="32" t="s">
        <v>123</v>
      </c>
      <c r="G108" s="32"/>
      <c r="H108" s="32" t="s">
        <v>285</v>
      </c>
      <c r="I108" s="32" t="s">
        <v>124</v>
      </c>
    </row>
    <row r="109" spans="1:9" ht="20.399999999999999" x14ac:dyDescent="0.25">
      <c r="A109" s="32">
        <v>106</v>
      </c>
      <c r="B109" s="32" t="s">
        <v>299</v>
      </c>
      <c r="C109" s="32" t="s">
        <v>300</v>
      </c>
      <c r="D109" s="32">
        <v>6</v>
      </c>
      <c r="E109" s="32">
        <v>7</v>
      </c>
      <c r="F109" s="32" t="s">
        <v>123</v>
      </c>
      <c r="G109" s="32"/>
      <c r="H109" s="32" t="s">
        <v>285</v>
      </c>
      <c r="I109" s="32" t="s">
        <v>124</v>
      </c>
    </row>
    <row r="110" spans="1:9" ht="20.399999999999999" x14ac:dyDescent="0.25">
      <c r="A110" s="32">
        <v>107</v>
      </c>
      <c r="B110" s="32" t="s">
        <v>301</v>
      </c>
      <c r="C110" s="32" t="s">
        <v>302</v>
      </c>
      <c r="D110" s="32">
        <v>7</v>
      </c>
      <c r="E110" s="32">
        <v>7</v>
      </c>
      <c r="F110" s="32" t="s">
        <v>123</v>
      </c>
      <c r="G110" s="32"/>
      <c r="H110" s="32" t="s">
        <v>285</v>
      </c>
      <c r="I110" s="32" t="s">
        <v>124</v>
      </c>
    </row>
    <row r="111" spans="1:9" ht="20.399999999999999" x14ac:dyDescent="0.25">
      <c r="A111" s="32">
        <v>108</v>
      </c>
      <c r="B111" s="32" t="s">
        <v>303</v>
      </c>
      <c r="C111" s="32" t="s">
        <v>304</v>
      </c>
      <c r="D111" s="32">
        <v>8</v>
      </c>
      <c r="E111" s="32">
        <v>7</v>
      </c>
      <c r="F111" s="32" t="s">
        <v>123</v>
      </c>
      <c r="G111" s="32"/>
      <c r="H111" s="32" t="s">
        <v>285</v>
      </c>
      <c r="I111" s="32" t="s">
        <v>124</v>
      </c>
    </row>
    <row r="112" spans="1:9" x14ac:dyDescent="0.25">
      <c r="A112" s="32">
        <v>109</v>
      </c>
      <c r="B112" s="32" t="s">
        <v>305</v>
      </c>
      <c r="C112" s="32" t="s">
        <v>306</v>
      </c>
      <c r="D112" s="32">
        <v>9</v>
      </c>
      <c r="E112" s="32">
        <v>7</v>
      </c>
      <c r="F112" s="32" t="s">
        <v>123</v>
      </c>
      <c r="G112" s="32"/>
      <c r="H112" s="32" t="s">
        <v>285</v>
      </c>
      <c r="I112" s="32"/>
    </row>
    <row r="113" spans="1:9" ht="20.399999999999999" x14ac:dyDescent="0.25">
      <c r="A113" s="32">
        <v>110</v>
      </c>
      <c r="B113" s="32" t="s">
        <v>307</v>
      </c>
      <c r="C113" s="32" t="s">
        <v>308</v>
      </c>
      <c r="D113" s="32">
        <v>10</v>
      </c>
      <c r="E113" s="32">
        <v>7</v>
      </c>
      <c r="F113" s="32" t="s">
        <v>123</v>
      </c>
      <c r="G113" s="32"/>
      <c r="H113" s="32" t="s">
        <v>285</v>
      </c>
      <c r="I113" s="32"/>
    </row>
    <row r="114" spans="1:9" ht="20.399999999999999" x14ac:dyDescent="0.25">
      <c r="A114" s="32">
        <v>111</v>
      </c>
      <c r="B114" s="32" t="s">
        <v>309</v>
      </c>
      <c r="C114" s="32" t="s">
        <v>310</v>
      </c>
      <c r="D114" s="32">
        <v>11</v>
      </c>
      <c r="E114" s="32">
        <v>7</v>
      </c>
      <c r="F114" s="32" t="s">
        <v>123</v>
      </c>
      <c r="G114" s="32"/>
      <c r="H114" s="32" t="s">
        <v>285</v>
      </c>
      <c r="I114" s="32"/>
    </row>
    <row r="115" spans="1:9" ht="20.399999999999999" x14ac:dyDescent="0.25">
      <c r="A115" s="32">
        <v>112</v>
      </c>
      <c r="B115" s="32" t="s">
        <v>311</v>
      </c>
      <c r="C115" s="32" t="s">
        <v>312</v>
      </c>
      <c r="D115" s="32">
        <v>12</v>
      </c>
      <c r="E115" s="32">
        <v>7</v>
      </c>
      <c r="F115" s="32" t="s">
        <v>123</v>
      </c>
      <c r="G115" s="32"/>
      <c r="H115" s="32" t="s">
        <v>285</v>
      </c>
      <c r="I115" s="32" t="s">
        <v>124</v>
      </c>
    </row>
    <row r="116" spans="1:9" x14ac:dyDescent="0.25">
      <c r="A116" s="32">
        <v>113</v>
      </c>
      <c r="B116" s="32" t="s">
        <v>313</v>
      </c>
      <c r="C116" s="32" t="s">
        <v>314</v>
      </c>
      <c r="D116" s="32">
        <v>13</v>
      </c>
      <c r="E116" s="32">
        <v>7</v>
      </c>
      <c r="F116" s="32" t="s">
        <v>87</v>
      </c>
      <c r="G116" s="32"/>
      <c r="H116" s="32" t="s">
        <v>285</v>
      </c>
      <c r="I116" s="32"/>
    </row>
    <row r="117" spans="1:9" x14ac:dyDescent="0.25">
      <c r="A117" s="32">
        <v>114</v>
      </c>
      <c r="B117" s="32" t="s">
        <v>315</v>
      </c>
      <c r="C117" s="32" t="s">
        <v>316</v>
      </c>
      <c r="D117" s="32">
        <v>14</v>
      </c>
      <c r="E117" s="32">
        <v>7</v>
      </c>
      <c r="F117" s="32" t="s">
        <v>87</v>
      </c>
      <c r="G117" s="32"/>
      <c r="H117" s="32" t="s">
        <v>285</v>
      </c>
      <c r="I117" s="32"/>
    </row>
    <row r="118" spans="1:9" x14ac:dyDescent="0.25">
      <c r="A118" s="32">
        <v>115</v>
      </c>
      <c r="B118" s="32" t="s">
        <v>317</v>
      </c>
      <c r="C118" s="32" t="s">
        <v>318</v>
      </c>
      <c r="D118" s="32">
        <v>15</v>
      </c>
      <c r="E118" s="32">
        <v>7</v>
      </c>
      <c r="F118" s="32" t="s">
        <v>87</v>
      </c>
      <c r="G118" s="32"/>
      <c r="H118" s="32" t="s">
        <v>285</v>
      </c>
      <c r="I118" s="32"/>
    </row>
    <row r="119" spans="1:9" x14ac:dyDescent="0.25">
      <c r="A119" s="32">
        <v>116</v>
      </c>
      <c r="B119" s="32" t="s">
        <v>319</v>
      </c>
      <c r="C119" s="32" t="s">
        <v>320</v>
      </c>
      <c r="D119" s="32">
        <v>16</v>
      </c>
      <c r="E119" s="32">
        <v>7</v>
      </c>
      <c r="F119" s="32" t="s">
        <v>87</v>
      </c>
      <c r="G119" s="32"/>
      <c r="H119" s="32" t="s">
        <v>285</v>
      </c>
      <c r="I119" s="32"/>
    </row>
    <row r="120" spans="1:9" x14ac:dyDescent="0.25">
      <c r="A120" s="32">
        <v>117</v>
      </c>
      <c r="B120" s="32" t="s">
        <v>321</v>
      </c>
      <c r="C120" s="32" t="s">
        <v>322</v>
      </c>
      <c r="D120" s="32">
        <v>17</v>
      </c>
      <c r="E120" s="32">
        <v>7</v>
      </c>
      <c r="F120" s="32" t="s">
        <v>87</v>
      </c>
      <c r="G120" s="32"/>
      <c r="H120" s="32" t="s">
        <v>285</v>
      </c>
      <c r="I120" s="32"/>
    </row>
    <row r="121" spans="1:9" x14ac:dyDescent="0.25">
      <c r="A121" s="32">
        <v>118</v>
      </c>
      <c r="B121" s="32" t="s">
        <v>323</v>
      </c>
      <c r="C121" s="32" t="s">
        <v>324</v>
      </c>
      <c r="D121" s="32">
        <v>18</v>
      </c>
      <c r="E121" s="32">
        <v>7</v>
      </c>
      <c r="F121" s="32" t="s">
        <v>87</v>
      </c>
      <c r="G121" s="32"/>
      <c r="H121" s="32" t="s">
        <v>285</v>
      </c>
      <c r="I121" s="35"/>
    </row>
  </sheetData>
  <mergeCells count="16">
    <mergeCell ref="F104:F105"/>
    <mergeCell ref="H104:H105"/>
    <mergeCell ref="I104:I105"/>
    <mergeCell ref="A106:A107"/>
    <mergeCell ref="B106:B107"/>
    <mergeCell ref="C106:C107"/>
    <mergeCell ref="D106:D107"/>
    <mergeCell ref="E106:E107"/>
    <mergeCell ref="F106:F107"/>
    <mergeCell ref="H106:H107"/>
    <mergeCell ref="I106:I107"/>
    <mergeCell ref="A104:A105"/>
    <mergeCell ref="B104:B105"/>
    <mergeCell ref="C104:C105"/>
    <mergeCell ref="D104:D105"/>
    <mergeCell ref="E104:E10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W_u_smallcombe</vt:lpstr>
      <vt:lpstr>Elements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Smallcombe</dc:creator>
  <dc:description/>
  <cp:lastModifiedBy>James Smallcombe</cp:lastModifiedBy>
  <cp:revision>7</cp:revision>
  <dcterms:created xsi:type="dcterms:W3CDTF">2018-02-16T18:05:01Z</dcterms:created>
  <dcterms:modified xsi:type="dcterms:W3CDTF">2018-11-30T11:48:39Z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