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ropbox\Fall Semester 2018\Engr 1125\"/>
    </mc:Choice>
  </mc:AlternateContent>
  <xr:revisionPtr revIDLastSave="0" documentId="8_{8B2E8969-1510-4822-A8DC-99A51B5E618C}" xr6:coauthVersionLast="40" xr6:coauthVersionMax="40" xr10:uidLastSave="{00000000-0000-0000-0000-000000000000}"/>
  <bookViews>
    <workbookView xWindow="0" yWindow="0" windowWidth="15200" windowHeight="8250" xr2:uid="{D2C0D53D-B085-4EFF-8B19-7AFA3B796FF3}"/>
  </bookViews>
  <sheets>
    <sheet name="Ultrasonic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B22" i="1"/>
  <c r="D37" i="1"/>
  <c r="D35" i="1"/>
  <c r="C22" i="1" s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0" i="1"/>
  <c r="C31" i="1"/>
  <c r="C29" i="1"/>
  <c r="E22" i="1" s="1"/>
  <c r="C28" i="1"/>
  <c r="E6" i="1"/>
  <c r="C8" i="1"/>
  <c r="D8" i="1"/>
  <c r="B6" i="1" l="1"/>
  <c r="C16" i="1"/>
  <c r="C15" i="1"/>
  <c r="C14" i="1"/>
  <c r="D6" i="1" l="1"/>
  <c r="I10" i="1"/>
  <c r="C6" i="1"/>
  <c r="G6" i="1" l="1"/>
  <c r="H6" i="1" l="1"/>
  <c r="G22" i="1"/>
  <c r="G24" i="1" s="1"/>
  <c r="I6" i="1" l="1"/>
  <c r="H22" i="1"/>
  <c r="F22" i="1" l="1"/>
  <c r="F24" i="1" s="1"/>
</calcChain>
</file>

<file path=xl/sharedStrings.xml><?xml version="1.0" encoding="utf-8"?>
<sst xmlns="http://schemas.openxmlformats.org/spreadsheetml/2006/main" count="58" uniqueCount="56">
  <si>
    <t>Band Pass Filter</t>
  </si>
  <si>
    <t>Amplifier Gain</t>
  </si>
  <si>
    <t>Calculations</t>
  </si>
  <si>
    <t>Knowns</t>
  </si>
  <si>
    <t>C1 (Farads)</t>
  </si>
  <si>
    <t>Fl (rad/s)</t>
  </si>
  <si>
    <t>Fh (rad/s)</t>
  </si>
  <si>
    <t>gain (unitless)</t>
  </si>
  <si>
    <t>R1 (ohms)</t>
  </si>
  <si>
    <t>R2 (ohms)</t>
  </si>
  <si>
    <t>C2 (Farads)</t>
  </si>
  <si>
    <t>R1 (Ohms)</t>
  </si>
  <si>
    <t>R2 (Ohms)</t>
  </si>
  <si>
    <t>Input: resistor and capacitor values</t>
  </si>
  <si>
    <t>Output: Cutoffs and gain</t>
  </si>
  <si>
    <t>Output, rest of resistor and capacitors</t>
  </si>
  <si>
    <t>Low Pass Cutoff (rad/s)</t>
  </si>
  <si>
    <t>High Pass Cutoff (rad/s)</t>
  </si>
  <si>
    <t>FL(Hz)</t>
  </si>
  <si>
    <t>Fh(Hz)</t>
  </si>
  <si>
    <t>covnience to input cutoffs in hertz</t>
  </si>
  <si>
    <t>Low Pass Cutoff (Hz)</t>
  </si>
  <si>
    <t>High Pass Cutoff (Hz)</t>
  </si>
  <si>
    <t>Conveinence to output in rad/s</t>
  </si>
  <si>
    <t>Limits on element values</t>
  </si>
  <si>
    <t>Min Resistor</t>
  </si>
  <si>
    <t>Max Resistor</t>
  </si>
  <si>
    <t>Min Capacitor</t>
  </si>
  <si>
    <t>Max Capacitor</t>
  </si>
  <si>
    <t>To use, type in yellow boxes, and the output will be red if we don't have those resistor and capactor values and green if we do</t>
  </si>
  <si>
    <t>Input (cutoffs, gain, and capcitor)</t>
  </si>
  <si>
    <t>To use, input the resistor and capacitor values, output is in green boxes</t>
  </si>
  <si>
    <t>Calculations Module, for calculating theoretical resistor and capacitor values for a cutoff freqeuncies, gain, and one capacitor value</t>
  </si>
  <si>
    <t>Circuit Module, ofr calculating the actual cutoff and amplification once you select real resitors and capcitors</t>
  </si>
  <si>
    <t>100*10^-12</t>
  </si>
  <si>
    <t>120*10^-12</t>
  </si>
  <si>
    <t>150*10^-12</t>
  </si>
  <si>
    <t>180*10^-12</t>
  </si>
  <si>
    <t>220*10^-12</t>
  </si>
  <si>
    <t>270*10^-12</t>
  </si>
  <si>
    <t>330*10^-12</t>
  </si>
  <si>
    <t>3300*10^-12</t>
  </si>
  <si>
    <t>1000*10^-12</t>
  </si>
  <si>
    <t>10000*10^-12</t>
  </si>
  <si>
    <t>33*10^-9</t>
  </si>
  <si>
    <t>.1*10^-6</t>
  </si>
  <si>
    <t>.33*10^-6</t>
  </si>
  <si>
    <t>1*10^-6</t>
  </si>
  <si>
    <t>3.3*10^-6</t>
  </si>
  <si>
    <t>10*10^-6</t>
  </si>
  <si>
    <t>100*10^-6</t>
  </si>
  <si>
    <t>//Jacob Smith 11/13/2018 In 6 minutes, I used my table to calculate feasable C1 values for my ultrasonic senosr, calculated in green</t>
  </si>
  <si>
    <t>All available capacitors</t>
  </si>
  <si>
    <t>Capacitors that have components in range</t>
  </si>
  <si>
    <t>Capacitors that are close to resistrs and capacitors we have yellow is capacitor selected</t>
  </si>
  <si>
    <t>//low pass is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</si>
</sst>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2" fillId="0" borderId="0" xfId="0" applyFont="1"/>
    <xf numFmtId="164" fontId="2" fillId="0" borderId="0" xfId="0" applyNumberFormat="1" applyFont="1"/>
    <xf numFmtId="0" fontId="3" fillId="0" borderId="0" xfId="0" applyFont="1" applyFill="1"/>
    <xf numFmtId="0" fontId="3" fillId="0" borderId="0" xfId="0" applyFont="1"/>
    <xf numFmtId="0" fontId="4" fillId="0" borderId="0" xfId="0" applyFont="1" applyFill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F259-B78A-4D2C-AFE6-8E14E4936C1D}">
  <dimension ref="A1:K44"/>
  <sheetViews>
    <sheetView tabSelected="1" zoomScale="74" zoomScaleNormal="74" workbookViewId="0">
      <selection activeCell="G1" sqref="G1"/>
    </sheetView>
  </sheetViews>
  <sheetFormatPr defaultRowHeight="14.5" x14ac:dyDescent="0.35"/>
  <cols>
    <col min="1" max="1" width="23.54296875" customWidth="1"/>
    <col min="2" max="2" width="30.1796875" customWidth="1"/>
    <col min="3" max="3" width="34.90625" customWidth="1"/>
    <col min="4" max="4" width="10.81640625" customWidth="1"/>
    <col min="5" max="5" width="15.81640625" customWidth="1"/>
    <col min="6" max="6" width="31" customWidth="1"/>
    <col min="7" max="7" width="20.36328125" customWidth="1"/>
    <col min="8" max="8" width="14.36328125" customWidth="1"/>
    <col min="9" max="9" width="15.81640625" customWidth="1"/>
    <col min="10" max="10" width="9.36328125" bestFit="1" customWidth="1"/>
  </cols>
  <sheetData>
    <row r="1" spans="1:11" x14ac:dyDescent="0.35">
      <c r="A1" s="2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B3" s="2" t="s">
        <v>29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 t="s">
        <v>2</v>
      </c>
      <c r="B4" s="2" t="s">
        <v>30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15</v>
      </c>
      <c r="G5" s="1" t="s">
        <v>8</v>
      </c>
      <c r="H5" s="1" t="s">
        <v>9</v>
      </c>
      <c r="I5" s="1" t="s">
        <v>10</v>
      </c>
      <c r="J5" s="1"/>
      <c r="K5" s="1"/>
    </row>
    <row r="6" spans="1:11" x14ac:dyDescent="0.35">
      <c r="A6" s="1"/>
      <c r="B6" s="3">
        <f>D35</f>
        <v>3.2999999999999998E-9</v>
      </c>
      <c r="C6" s="5">
        <f>2*PI()*C8</f>
        <v>238761.04167282427</v>
      </c>
      <c r="D6" s="5">
        <f>2*PI()*D8</f>
        <v>263893.78290154261</v>
      </c>
      <c r="E6" s="3">
        <f>SQRT(1000)</f>
        <v>31.622776601683793</v>
      </c>
      <c r="F6" s="1"/>
      <c r="G6" s="4">
        <f>1/(D6*B6)</f>
        <v>1148.3040627120877</v>
      </c>
      <c r="H6" s="4">
        <f>E6*G6</f>
        <v>36312.562845950248</v>
      </c>
      <c r="I6" s="4">
        <f>1/(C6*H6)</f>
        <v>1.153399167629835E-10</v>
      </c>
      <c r="J6" s="1"/>
      <c r="K6" s="1"/>
    </row>
    <row r="7" spans="1:11" x14ac:dyDescent="0.35">
      <c r="A7" s="1"/>
      <c r="B7" s="1"/>
      <c r="C7" s="1" t="s">
        <v>18</v>
      </c>
      <c r="D7" s="1" t="s">
        <v>19</v>
      </c>
      <c r="E7" s="1"/>
      <c r="F7" s="1"/>
      <c r="G7" s="1"/>
      <c r="H7" s="1"/>
      <c r="I7" s="1"/>
      <c r="J7" s="1"/>
      <c r="K7" s="1"/>
    </row>
    <row r="8" spans="1:11" x14ac:dyDescent="0.35">
      <c r="A8" s="1"/>
      <c r="B8" s="1" t="s">
        <v>20</v>
      </c>
      <c r="C8" s="3">
        <f>38*10^3</f>
        <v>38000</v>
      </c>
      <c r="D8" s="3">
        <f>42*10^3</f>
        <v>42000</v>
      </c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>
        <f>100*10^-12</f>
        <v>1E-10</v>
      </c>
      <c r="J10" s="1"/>
      <c r="K10" s="1"/>
    </row>
    <row r="11" spans="1:1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A12" s="1" t="s">
        <v>24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 t="s">
        <v>25</v>
      </c>
      <c r="C13" s="1">
        <v>10</v>
      </c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 t="s">
        <v>26</v>
      </c>
      <c r="C14" s="1">
        <f>1*10^6</f>
        <v>1000000</v>
      </c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 t="s">
        <v>27</v>
      </c>
      <c r="C15" s="1">
        <f>100*10^-12</f>
        <v>1E-10</v>
      </c>
      <c r="D15" s="1"/>
      <c r="E15" s="1"/>
      <c r="F15" s="1"/>
      <c r="G15" s="1"/>
      <c r="H15" s="1"/>
      <c r="I15" s="1"/>
      <c r="J15" s="1"/>
      <c r="K15" s="1"/>
    </row>
    <row r="16" spans="1:11" x14ac:dyDescent="0.35">
      <c r="B16" s="1" t="s">
        <v>28</v>
      </c>
      <c r="C16">
        <f>100*10^-6</f>
        <v>9.9999999999999991E-5</v>
      </c>
      <c r="K16" s="1"/>
    </row>
    <row r="17" spans="1:11" x14ac:dyDescent="0.35">
      <c r="K17" s="1"/>
    </row>
    <row r="18" spans="1:11" x14ac:dyDescent="0.35">
      <c r="A18" s="2" t="s">
        <v>33</v>
      </c>
      <c r="B18" s="1"/>
      <c r="C18" s="1"/>
      <c r="D18" s="1"/>
      <c r="E18" s="1"/>
      <c r="F18" s="1"/>
      <c r="G18" s="1"/>
      <c r="H18" s="1"/>
      <c r="I18" s="1"/>
      <c r="K18" s="1"/>
    </row>
    <row r="19" spans="1:11" x14ac:dyDescent="0.35">
      <c r="B19" s="2" t="s">
        <v>31</v>
      </c>
      <c r="C19" s="1"/>
      <c r="D19" s="1"/>
      <c r="E19" s="1"/>
      <c r="F19" s="1"/>
      <c r="G19" s="1"/>
      <c r="H19" s="1"/>
      <c r="I19" s="1"/>
      <c r="K19" s="1"/>
    </row>
    <row r="20" spans="1:11" x14ac:dyDescent="0.35">
      <c r="A20" s="1"/>
      <c r="B20" s="2" t="s">
        <v>13</v>
      </c>
      <c r="C20" s="1"/>
      <c r="D20" s="1"/>
      <c r="E20" s="1"/>
      <c r="F20" s="2" t="s">
        <v>14</v>
      </c>
      <c r="G20" s="1"/>
      <c r="H20" s="1"/>
      <c r="I20" s="1"/>
      <c r="K20" s="1"/>
    </row>
    <row r="21" spans="1:11" x14ac:dyDescent="0.35">
      <c r="A21" s="1"/>
      <c r="B21" s="1" t="s">
        <v>11</v>
      </c>
      <c r="C21" s="1" t="s">
        <v>4</v>
      </c>
      <c r="D21" s="1" t="s">
        <v>12</v>
      </c>
      <c r="E21" s="1" t="s">
        <v>10</v>
      </c>
      <c r="F21" s="1" t="s">
        <v>16</v>
      </c>
      <c r="G21" s="1" t="s">
        <v>17</v>
      </c>
      <c r="H21" s="1" t="s">
        <v>1</v>
      </c>
      <c r="I21" s="1"/>
      <c r="K21" s="1"/>
    </row>
    <row r="22" spans="1:11" x14ac:dyDescent="0.35">
      <c r="A22" s="1" t="s">
        <v>0</v>
      </c>
      <c r="B22" s="3">
        <f>1*10^3</f>
        <v>1000</v>
      </c>
      <c r="C22" s="3">
        <f>D35</f>
        <v>3.2999999999999998E-9</v>
      </c>
      <c r="D22" s="3">
        <f>34*10^3</f>
        <v>34000</v>
      </c>
      <c r="E22" s="3">
        <f>C29</f>
        <v>1.2E-10</v>
      </c>
      <c r="F22" s="5">
        <f>1/(D22*E22)</f>
        <v>245098.03921568629</v>
      </c>
      <c r="G22" s="5">
        <f>1/(B22*C22)</f>
        <v>303030.30303030304</v>
      </c>
      <c r="H22" s="4">
        <f>D22/B22</f>
        <v>34</v>
      </c>
      <c r="I22" s="1"/>
      <c r="K22" s="1"/>
    </row>
    <row r="23" spans="1:11" x14ac:dyDescent="0.35">
      <c r="A23" s="1"/>
      <c r="B23" s="1"/>
      <c r="C23" s="1"/>
      <c r="D23" s="1"/>
      <c r="E23" s="1"/>
      <c r="F23" s="1" t="s">
        <v>21</v>
      </c>
      <c r="G23" s="1" t="s">
        <v>22</v>
      </c>
      <c r="H23" s="1"/>
      <c r="I23" s="1"/>
      <c r="K23" s="1"/>
    </row>
    <row r="24" spans="1:11" x14ac:dyDescent="0.35">
      <c r="A24" s="1"/>
      <c r="B24" s="1"/>
      <c r="C24" s="1"/>
      <c r="D24" s="1"/>
      <c r="E24" s="1"/>
      <c r="F24" s="4">
        <f>F22/(2*PI())</f>
        <v>39008.564483307688</v>
      </c>
      <c r="G24" s="4">
        <f>G22/(2*PI())</f>
        <v>48228.770633907683</v>
      </c>
      <c r="H24" s="1"/>
      <c r="I24" s="1" t="s">
        <v>23</v>
      </c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K25" s="1"/>
    </row>
    <row r="26" spans="1:11" x14ac:dyDescent="0.35">
      <c r="A26" s="1"/>
      <c r="B26" s="1"/>
      <c r="C26" s="1"/>
      <c r="D26" t="s">
        <v>51</v>
      </c>
      <c r="E26" s="1"/>
      <c r="F26" s="1"/>
      <c r="G26" s="1"/>
      <c r="H26" s="1"/>
      <c r="I26" s="1"/>
    </row>
    <row r="27" spans="1:11" x14ac:dyDescent="0.35">
      <c r="B27" t="s">
        <v>52</v>
      </c>
      <c r="C27" t="s">
        <v>53</v>
      </c>
      <c r="D27" t="s">
        <v>54</v>
      </c>
    </row>
    <row r="28" spans="1:11" x14ac:dyDescent="0.35">
      <c r="B28" t="s">
        <v>34</v>
      </c>
      <c r="C28" s="6">
        <f>100*10^-12</f>
        <v>1E-10</v>
      </c>
    </row>
    <row r="29" spans="1:11" x14ac:dyDescent="0.35">
      <c r="A29" s="1"/>
      <c r="B29" s="1" t="s">
        <v>35</v>
      </c>
      <c r="C29" s="7">
        <f>120*10^-12</f>
        <v>1.2E-10</v>
      </c>
      <c r="D29" s="1"/>
      <c r="E29" s="1"/>
      <c r="F29" s="1"/>
      <c r="G29" s="1"/>
      <c r="H29" s="1"/>
      <c r="I29" s="1"/>
      <c r="J29" s="1"/>
    </row>
    <row r="30" spans="1:11" x14ac:dyDescent="0.35">
      <c r="B30" t="s">
        <v>36</v>
      </c>
      <c r="C30" s="6">
        <f>150*10^-12</f>
        <v>1.5E-10</v>
      </c>
      <c r="J30" s="1"/>
    </row>
    <row r="31" spans="1:11" x14ac:dyDescent="0.35">
      <c r="B31" t="s">
        <v>37</v>
      </c>
      <c r="C31" s="6">
        <f>180*10^-12</f>
        <v>1.8E-10</v>
      </c>
      <c r="J31" s="1"/>
    </row>
    <row r="32" spans="1:11" x14ac:dyDescent="0.35">
      <c r="B32" t="s">
        <v>38</v>
      </c>
      <c r="C32" s="6">
        <f>220*10^-12</f>
        <v>2.1999999999999999E-10</v>
      </c>
      <c r="J32" s="1"/>
    </row>
    <row r="33" spans="2:10" x14ac:dyDescent="0.35">
      <c r="B33" t="s">
        <v>39</v>
      </c>
      <c r="C33" s="6">
        <f>270*10^-12</f>
        <v>2.7E-10</v>
      </c>
      <c r="J33" s="1"/>
    </row>
    <row r="34" spans="2:10" x14ac:dyDescent="0.35">
      <c r="B34" t="s">
        <v>40</v>
      </c>
      <c r="C34" s="6">
        <f>330*10^-12</f>
        <v>3.3E-10</v>
      </c>
      <c r="J34" s="1"/>
    </row>
    <row r="35" spans="2:10" x14ac:dyDescent="0.35">
      <c r="B35" t="s">
        <v>41</v>
      </c>
      <c r="C35" s="8">
        <f>3300*10^-12</f>
        <v>3.2999999999999998E-9</v>
      </c>
      <c r="D35" s="10">
        <f>3300*10^-12</f>
        <v>3.2999999999999998E-9</v>
      </c>
      <c r="E35" t="s">
        <v>55</v>
      </c>
      <c r="J35" s="1"/>
    </row>
    <row r="36" spans="2:10" x14ac:dyDescent="0.35">
      <c r="B36" t="s">
        <v>42</v>
      </c>
      <c r="C36" s="6">
        <f>1000*10^-12</f>
        <v>1.0000000000000001E-9</v>
      </c>
      <c r="J36" s="1"/>
    </row>
    <row r="37" spans="2:10" x14ac:dyDescent="0.35">
      <c r="B37" t="s">
        <v>43</v>
      </c>
      <c r="C37" s="9">
        <f>10000*10^-12</f>
        <v>1E-8</v>
      </c>
      <c r="D37" s="9">
        <f>10000*10^-12</f>
        <v>1E-8</v>
      </c>
      <c r="J37" s="1"/>
    </row>
    <row r="38" spans="2:10" x14ac:dyDescent="0.35">
      <c r="B38" t="s">
        <v>44</v>
      </c>
      <c r="C38" s="9">
        <f>33*10^-9</f>
        <v>3.3000000000000004E-8</v>
      </c>
      <c r="J38" s="1"/>
    </row>
    <row r="39" spans="2:10" x14ac:dyDescent="0.35">
      <c r="B39" t="s">
        <v>45</v>
      </c>
      <c r="C39" s="9">
        <f>0.1*10^-6</f>
        <v>9.9999999999999995E-8</v>
      </c>
    </row>
    <row r="40" spans="2:10" x14ac:dyDescent="0.35">
      <c r="B40" t="s">
        <v>46</v>
      </c>
      <c r="C40" s="9">
        <f>0.33*10^-6</f>
        <v>3.3000000000000002E-7</v>
      </c>
    </row>
    <row r="41" spans="2:10" x14ac:dyDescent="0.35">
      <c r="B41" t="s">
        <v>47</v>
      </c>
      <c r="C41" s="6">
        <f>1*10^-6</f>
        <v>9.9999999999999995E-7</v>
      </c>
    </row>
    <row r="42" spans="2:10" x14ac:dyDescent="0.35">
      <c r="B42" t="s">
        <v>48</v>
      </c>
      <c r="C42" s="6">
        <f>3.3*10^-6</f>
        <v>3.2999999999999997E-6</v>
      </c>
    </row>
    <row r="43" spans="2:10" x14ac:dyDescent="0.35">
      <c r="B43" t="s">
        <v>49</v>
      </c>
      <c r="C43" s="6">
        <f>10*10^-6</f>
        <v>9.9999999999999991E-6</v>
      </c>
    </row>
    <row r="44" spans="2:10" x14ac:dyDescent="0.35">
      <c r="B44" t="s">
        <v>50</v>
      </c>
      <c r="C44" s="6">
        <f>100*10^-6</f>
        <v>9.9999999999999991E-5</v>
      </c>
    </row>
  </sheetData>
  <conditionalFormatting sqref="I6">
    <cfRule type="cellIs" priority="3" operator="between">
      <formula>$C$15</formula>
      <formula>$C$16</formula>
    </cfRule>
    <cfRule type="cellIs" dxfId="4" priority="5" operator="notBetween">
      <formula>$C$15</formula>
      <formula>$C$16</formula>
    </cfRule>
  </conditionalFormatting>
  <conditionalFormatting sqref="G13">
    <cfRule type="expression" priority="8">
      <formula>$G$13&lt;1+(100*10^-12)</formula>
    </cfRule>
  </conditionalFormatting>
  <conditionalFormatting sqref="G6:H6">
    <cfRule type="cellIs" dxfId="3" priority="4" operator="between">
      <formula>$C$13</formula>
      <formula>$C$14</formula>
    </cfRule>
    <cfRule type="cellIs" dxfId="2" priority="6" operator="notBetween">
      <formula>$C$13</formula>
      <formula>$C$14</formula>
    </cfRule>
  </conditionalFormatting>
  <conditionalFormatting sqref="B6">
    <cfRule type="cellIs" dxfId="1" priority="1" operator="notBetween">
      <formula>$C$15</formula>
      <formula>$C$16</formula>
    </cfRule>
    <cfRule type="cellIs" dxfId="0" priority="2" operator="between">
      <formula>$C$15</formula>
      <formula>$C$16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Ultrasonic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2018-11-09T19:47:17Z</dcterms:created>
  <dcterms:modified xsi:type="dcterms:W3CDTF">2018-12-11T18:12:22Z</dcterms:modified>
</cp:coreProperties>
</file>