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mh\bootcamp_challenges\excel-challenge\"/>
    </mc:Choice>
  </mc:AlternateContent>
  <xr:revisionPtr revIDLastSave="0" documentId="13_ncr:1_{20D11660-C1A3-4D67-AA4F-79EF8CECF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Outcome by Cat" sheetId="2" r:id="rId2"/>
    <sheet name="Outcome by Sub" sheetId="4" r:id="rId3"/>
    <sheet name="Outcome by Month" sheetId="5" r:id="rId4"/>
    <sheet name="Outcome by Goal" sheetId="6" r:id="rId5"/>
    <sheet name="Statistical Analysis" sheetId="8" r:id="rId6"/>
  </sheets>
  <definedNames>
    <definedName name="_xlnm._FilterDatabase" localSheetId="0" hidden="1">Crowdfunding!$A$1:$T$1001</definedName>
    <definedName name="_xlchart.v1.0" hidden="1">'Statistical Analysis'!$B$2:$B$566</definedName>
    <definedName name="_xlchart.v1.1" hidden="1">'Statistical Analysis'!$E$2:$E$365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I7" i="8"/>
  <c r="I6" i="8"/>
  <c r="I5" i="8"/>
  <c r="I4" i="8"/>
  <c r="I3" i="8"/>
  <c r="I2" i="8"/>
  <c r="H7" i="8"/>
  <c r="H6" i="8"/>
  <c r="H5" i="8"/>
  <c r="H4" i="8"/>
  <c r="H3" i="8"/>
  <c r="H2" i="8"/>
  <c r="D2" i="6"/>
  <c r="D13" i="6"/>
  <c r="D12" i="6"/>
  <c r="D11" i="6"/>
  <c r="D10" i="6"/>
  <c r="D9" i="6"/>
  <c r="D8" i="6"/>
  <c r="D7" i="6"/>
  <c r="D6" i="6"/>
  <c r="D5" i="6"/>
  <c r="D4" i="6"/>
  <c r="D3" i="6"/>
  <c r="C2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B2" i="6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E7" i="6" l="1"/>
  <c r="E8" i="6"/>
  <c r="H8" i="6" s="1"/>
  <c r="E9" i="6"/>
  <c r="F9" i="6" s="1"/>
  <c r="E10" i="6"/>
  <c r="H10" i="6" s="1"/>
  <c r="E6" i="6"/>
  <c r="H6" i="6"/>
  <c r="G6" i="6"/>
  <c r="E3" i="6"/>
  <c r="H3" i="6" s="1"/>
  <c r="E5" i="6"/>
  <c r="H5" i="6" s="1"/>
  <c r="E4" i="6"/>
  <c r="F4" i="6" s="1"/>
  <c r="F12" i="6"/>
  <c r="H7" i="6"/>
  <c r="H9" i="6"/>
  <c r="G7" i="6"/>
  <c r="G8" i="6"/>
  <c r="G9" i="6"/>
  <c r="E2" i="6"/>
  <c r="G2" i="6" s="1"/>
  <c r="E13" i="6"/>
  <c r="E12" i="6"/>
  <c r="F8" i="6"/>
  <c r="E11" i="6"/>
  <c r="H11" i="6" s="1"/>
  <c r="F7" i="6"/>
  <c r="F6" i="6"/>
  <c r="F3" i="6" l="1"/>
  <c r="G10" i="6"/>
  <c r="F5" i="6"/>
  <c r="F10" i="6"/>
  <c r="G4" i="6"/>
  <c r="G5" i="6"/>
  <c r="H4" i="6"/>
  <c r="G3" i="6"/>
  <c r="G11" i="6"/>
  <c r="G13" i="6"/>
  <c r="H13" i="6"/>
  <c r="H2" i="6"/>
  <c r="F2" i="6"/>
  <c r="F13" i="6"/>
  <c r="H12" i="6"/>
  <c r="G12" i="6"/>
  <c r="F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<sst xmlns="http://schemas.openxmlformats.org/spreadsheetml/2006/main" count="7065" uniqueCount="2116">
  <si>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</si>
  <si>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</si>
  <si>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</si>
  <si>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</si>
  <si>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</si>
  <si>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</si>
  <si>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</si>
  <si>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</si>
  <si>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</si>
  <si>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</si>
  <si>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</si>
  <si>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</si>
  <si>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</si>
  <si>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</si>
  <si>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</si>
  <si>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</si>
  <si>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</si>
  <si>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</si>
  <si>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</si>
  <si>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</si>
  <si>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</si>
  <si>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</si>
  <si>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</si>
  <si>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</si>
  <si>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</si>
  <si>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</si>
  <si>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</si>
  <si>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</si>
  <si>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</si>
  <si>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</si>
  <si>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</si>
  <si>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</si>
  <si>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</si>
  <si>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</si>
  <si>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</si>
  <si>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</si>
  <si>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</si>
  <si>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</si>
  <si>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</si>
  <si>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</si>
  <si>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</si>
  <si>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</si>
  <si>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</si>
  <si>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</si>
  <si>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</si>
  <si>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</si>
  <si>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</si>
  <si>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</si>
  <si>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</si>
  <si>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</si>
  <si>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</si>
  <si>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</si>
  <si>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</si>
  <si>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</si>
  <si>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</si>
  <si>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</si>
  <si>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</si>
  <si>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</si>
  <si>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</si>
  <si>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</si>
  <si>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</si>
  <si>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</si>
  <si>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</si>
  <si>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</si>
  <si>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</si>
  <si>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</si>
  <si>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</si>
  <si>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</si>
  <si>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</si>
  <si>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</si>
  <si>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</si>
  <si>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</si>
  <si>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</si>
  <si>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</si>
  <si>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</si>
  <si>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</si>
  <si>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</si>
  <si>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</si>
  <si>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</si>
  <si>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</si>
  <si>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</si>
  <si>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</si>
  <si>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</si>
  <si>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</si>
  <si>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</si>
  <si>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</si>
  <si>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</si>
  <si>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</si>
  <si>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</si>
  <si>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</si>
  <si>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</si>
  <si>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</si>
  <si>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</si>
  <si>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</si>
  <si>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</si>
  <si>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</si>
  <si>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</si>
  <si>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</si>
  <si>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</si>
  <si>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</si>
  <si>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</si>
  <si>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</si>
  <si>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</si>
  <si>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</si>
  <si>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</si>
  <si>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</si>
  <si>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</si>
  <si>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</si>
  <si>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</si>
  <si>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</si>
  <si>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</si>
  <si>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</si>
  <si>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</si>
  <si>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</si>
  <si>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</si>
  <si>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</si>
  <si>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</si>
  <si>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</si>
  <si>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</si>
  <si>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</si>
  <si>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</si>
  <si>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</si>
  <si>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</si>
  <si>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</si>
  <si>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</si>
  <si>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</si>
  <si>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</si>
  <si>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</si>
  <si>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</si>
  <si>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</si>
  <si>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</si>
  <si>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</si>
  <si>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</si>
  <si>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</si>
  <si>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</si>
  <si>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</si>
  <si>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</si>
  <si>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</si>
  <si>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</si>
  <si>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</si>
  <si>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</si>
  <si>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</si>
  <si>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</si>
  <si>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</si>
  <si>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</si>
  <si>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</si>
  <si>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</si>
  <si>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</si>
  <si>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</si>
  <si>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</si>
  <si>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</si>
  <si>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</si>
  <si>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</si>
  <si>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</si>
  <si>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</si>
  <si>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</si>
  <si>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</si>
  <si>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</si>
  <si>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</si>
  <si>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</si>
  <si>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</si>
  <si>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</si>
  <si>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</si>
  <si>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</si>
  <si>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</si>
  <si>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</si>
  <si>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</si>
  <si>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</si>
  <si>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</si>
  <si>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</si>
  <si>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</si>
  <si>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</si>
  <si>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</si>
  <si>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</si>
  <si>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</si>
  <si>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</si>
  <si>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</si>
  <si>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</si>
  <si>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</si>
  <si>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</si>
  <si>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</si>
  <si>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</si>
  <si>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</si>
  <si>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</si>
  <si>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</si>
  <si>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</si>
  <si>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</si>
  <si>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</si>
  <si>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</si>
  <si>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</si>
  <si>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</si>
  <si>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</si>
  <si>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</si>
  <si>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</si>
  <si>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</si>
  <si>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</si>
  <si>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</si>
  <si>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</si>
  <si>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</si>
  <si>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</si>
  <si>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</si>
  <si>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</si>
  <si>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</si>
  <si>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</si>
  <si>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</si>
  <si>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</si>
  <si>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</si>
  <si>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</si>
  <si>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</si>
  <si>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</si>
  <si>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</si>
  <si>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</si>
  <si>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</si>
  <si>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</si>
  <si>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</si>
  <si>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</si>
  <si>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</si>
  <si>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</si>
  <si>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</si>
  <si>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</si>
  <si>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</si>
  <si>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</si>
  <si>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</si>
  <si>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</si>
  <si>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</si>
  <si>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</si>
  <si>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</si>
  <si>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</si>
  <si>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</si>
  <si>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</si>
  <si>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</si>
  <si>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</si>
  <si>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</si>
  <si>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</si>
  <si>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</si>
  <si>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</si>
  <si>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</si>
  <si>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</si>
  <si>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</si>
  <si>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</si>
  <si>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</si>
  <si>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</si>
  <si>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</si>
  <si>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</si>
  <si>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</si>
  <si>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</si>
  <si>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</si>
  <si>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</si>
  <si>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</si>
  <si>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</si>
  <si>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</si>
  <si>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</si>
  <si>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</si>
  <si>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</si>
  <si>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</si>
  <si>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</si>
  <si>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</si>
  <si>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</si>
  <si>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</si>
  <si>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</si>
  <si>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</si>
  <si>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</si>
  <si>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</si>
  <si>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</si>
  <si>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</si>
  <si>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</si>
  <si>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</si>
  <si>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</si>
  <si>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</si>
  <si>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</si>
  <si>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</si>
  <si>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</si>
  <si>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</si>
  <si>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</si>
  <si>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</si>
  <si>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</si>
  <si>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</si>
  <si>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</si>
  <si>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</si>
  <si>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</si>
  <si>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</si>
  <si>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</si>
  <si>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</si>
  <si>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</si>
  <si>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</si>
  <si>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</si>
  <si>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</si>
  <si>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</si>
  <si>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</si>
  <si>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</si>
  <si>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</si>
  <si>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</si>
  <si>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</si>
  <si>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</si>
  <si>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</si>
  <si>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</si>
  <si>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</si>
  <si>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</si>
  <si>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</si>
  <si>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</si>
  <si>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</si>
  <si>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</si>
  <si>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</si>
  <si>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</si>
  <si>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</si>
  <si>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</si>
  <si>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</si>
  <si>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</si>
  <si>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</si>
  <si>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</si>
  <si>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</si>
  <si>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</si>
  <si>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</si>
  <si>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</si>
  <si>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</si>
  <si>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</si>
  <si>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</si>
  <si>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</si>
  <si>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</si>
  <si>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</si>
  <si>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</si>
  <si>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</si>
  <si>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</si>
  <si>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</si>
  <si>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</si>
  <si>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</si>
  <si>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</si>
  <si>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</si>
  <si>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</si>
  <si>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</si>
  <si>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</si>
  <si>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</si>
  <si>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</si>
  <si>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</si>
  <si>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</si>
  <si>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</si>
  <si>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</si>
  <si>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</si>
  <si>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</si>
  <si>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</si>
  <si>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</si>
  <si>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</si>
  <si>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</si>
  <si>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</si>
  <si>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</si>
  <si>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</si>
  <si>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</si>
  <si>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</si>
  <si>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</si>
  <si>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</si>
  <si>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</si>
  <si>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</si>
  <si>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</si>
  <si>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</si>
  <si>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</si>
  <si>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</si>
  <si>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</si>
  <si>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</si>
  <si>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</si>
  <si>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</si>
  <si>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</si>
  <si>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</si>
  <si>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</si>
  <si>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</si>
  <si>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</si>
  <si>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</si>
  <si>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</si>
  <si>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</si>
  <si>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</si>
  <si>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</si>
  <si>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</si>
  <si>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</si>
  <si>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</si>
  <si>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</si>
  <si>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</si>
  <si>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</si>
  <si>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</si>
  <si>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</si>
  <si>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</si>
  <si>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</si>
  <si>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</si>
  <si>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</si>
  <si>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</si>
  <si>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</si>
  <si>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</si>
  <si>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</si>
  <si>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</si>
  <si>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</si>
  <si>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</si>
  <si>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</si>
  <si>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</si>
  <si>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</si>
  <si>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</si>
  <si>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</si>
  <si>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</si>
  <si>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</si>
  <si>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</si>
  <si>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</si>
  <si>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</si>
  <si>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</si>
  <si>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</si>
  <si>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</si>
  <si>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</si>
  <si>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</si>
  <si>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</si>
  <si>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</si>
  <si>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</si>
  <si>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</si>
  <si>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</si>
  <si>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</si>
  <si>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</si>
  <si>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</si>
  <si>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</si>
  <si>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</si>
  <si>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</si>
  <si>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</si>
  <si>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</si>
  <si>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</si>
  <si>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</si>
  <si>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</si>
  <si>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</si>
  <si>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</si>
  <si>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</si>
  <si>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</si>
  <si>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</si>
  <si>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</si>
  <si>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</si>
  <si>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</si>
  <si>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</si>
  <si>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</si>
  <si>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</si>
  <si>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</si>
  <si>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</si>
  <si>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</si>
  <si>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</si>
  <si>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</si>
  <si>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</si>
  <si>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</si>
  <si>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</si>
  <si>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</si>
  <si>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</si>
  <si>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</si>
  <si>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</si>
  <si>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</si>
  <si>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</si>
  <si>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</si>
  <si>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</si>
  <si>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</si>
  <si>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</si>
  <si>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</si>
  <si>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</si>
  <si>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</si>
  <si>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</si>
  <si>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</si>
  <si>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</si>
  <si>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</si>
  <si>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</si>
  <si>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</si>
  <si>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</si>
  <si>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</si>
  <si>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</si>
  <si>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</si>
  <si>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</si>
  <si>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</si>
  <si>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</si>
  <si>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</si>
  <si>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</si>
  <si>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</si>
  <si>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</si>
  <si>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</si>
  <si>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</si>
  <si>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</si>
  <si>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</si>
  <si>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</si>
  <si>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</si>
  <si>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</si>
  <si>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</si>
  <si>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</si>
  <si>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</si>
  <si>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</si>
  <si>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</si>
  <si>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</si>
  <si>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</si>
  <si>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</si>
  <si>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</si>
  <si>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</si>
  <si>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</si>
  <si>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</si>
  <si>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</si>
  <si>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</si>
  <si>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</si>
  <si>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</si>
  <si>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</si>
  <si>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</si>
  <si>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</si>
  <si>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</si>
  <si>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</si>
  <si>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</si>
  <si>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</si>
  <si>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</si>
  <si>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</si>
  <si>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</si>
  <si>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</si>
  <si>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</si>
  <si>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</si>
  <si>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</si>
  <si>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</si>
  <si>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</si>
  <si>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</si>
  <si>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</si>
  <si>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</si>
  <si>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</si>
  <si>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</si>
  <si>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</si>
  <si>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</si>
  <si>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</si>
  <si>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</si>
  <si>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</si>
  <si>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</si>
  <si>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</si>
  <si>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</si>
  <si>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</si>
  <si>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</si>
  <si>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</si>
  <si>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</si>
  <si>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</si>
  <si>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</si>
  <si>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</si>
  <si>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</si>
  <si>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</si>
  <si>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</si>
  <si>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</si>
  <si>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</si>
  <si>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</si>
  <si>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</si>
  <si>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</si>
  <si>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</si>
  <si>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</si>
  <si>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</si>
  <si>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</si>
  <si>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</si>
  <si>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</si>
  <si>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</si>
  <si>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</si>
  <si>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</si>
  <si>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</si>
  <si>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</si>
  <si>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</si>
  <si>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</si>
  <si>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</si>
  <si>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</si>
  <si>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</si>
  <si>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</si>
  <si>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</si>
  <si>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</si>
  <si>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</si>
  <si>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</si>
  <si>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</si>
  <si>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</si>
  <si>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</si>
  <si>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</si>
  <si>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</si>
  <si>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</si>
  <si>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</si>
  <si>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</si>
  <si>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</si>
  <si>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</si>
  <si>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</si>
  <si>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</si>
  <si>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</si>
  <si>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</si>
  <si>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</si>
  <si>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</si>
  <si>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</si>
  <si>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</si>
  <si>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</si>
  <si>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</si>
  <si>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</si>
  <si>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</si>
  <si>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</si>
  <si>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</si>
  <si>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</si>
  <si>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</si>
  <si>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</si>
  <si>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</si>
  <si>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</si>
  <si>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</si>
  <si>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</si>
  <si>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</si>
  <si>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</si>
  <si>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</si>
  <si>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</si>
  <si>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</si>
  <si>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</si>
  <si>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</si>
  <si>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</si>
  <si>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</si>
  <si>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</si>
  <si>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</si>
  <si>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</si>
  <si>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</si>
  <si>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</si>
  <si>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</si>
  <si>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</si>
  <si>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</si>
  <si>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</si>
  <si>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</si>
  <si>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</si>
  <si>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</si>
  <si>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</si>
  <si>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</si>
  <si>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</si>
  <si>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</si>
  <si>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</si>
  <si>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</si>
  <si>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</si>
  <si>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</si>
  <si>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</si>
  <si>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</si>
  <si>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</si>
  <si>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</si>
  <si>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</si>
  <si>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</si>
  <si>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</si>
  <si>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</si>
  <si>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</si>
  <si>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</si>
  <si>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</si>
  <si>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</si>
  <si>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</si>
  <si>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</si>
  <si>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</si>
  <si>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</si>
  <si>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</si>
  <si>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</si>
  <si>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</si>
  <si>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</si>
  <si>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</si>
  <si>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</si>
  <si>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</si>
  <si>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</si>
  <si>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</si>
  <si>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</si>
  <si>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</si>
  <si>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</si>
  <si>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</si>
  <si>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</si>
  <si>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</si>
  <si>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</si>
  <si>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</si>
  <si>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</si>
  <si>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</si>
  <si>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</si>
  <si>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</si>
  <si>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</si>
  <si>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</si>
  <si>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</si>
  <si>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</si>
  <si>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</si>
  <si>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</si>
  <si>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</si>
  <si>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</si>
  <si>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</si>
  <si>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</si>
  <si>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</si>
  <si>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</si>
  <si>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</si>
  <si>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</si>
  <si>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</si>
  <si>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</si>
  <si>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</si>
  <si>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</si>
  <si>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</si>
  <si>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</si>
  <si>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</si>
  <si>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</si>
  <si>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</si>
  <si>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</si>
  <si>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</si>
  <si>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</si>
  <si>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</si>
  <si>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</si>
  <si>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</si>
  <si>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</si>
  <si>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</si>
  <si>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</si>
  <si>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</si>
  <si>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</si>
  <si>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</si>
  <si>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</si>
  <si>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</si>
  <si>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</si>
  <si>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</si>
  <si>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</si>
  <si>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</si>
  <si>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</si>
  <si>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</si>
  <si>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</si>
  <si>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</si>
  <si>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</si>
  <si>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</si>
  <si>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</si>
  <si>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</si>
  <si>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</si>
  <si>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</si>
  <si>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</si>
  <si>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</si>
  <si>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</si>
  <si>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</si>
  <si>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</si>
  <si>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</si>
  <si>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</si>
  <si>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</si>
  <si>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</si>
  <si>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</si>
  <si>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</si>
  <si>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</si>
  <si>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</si>
  <si>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</si>
  <si>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</si>
  <si>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</si>
  <si>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</si>
  <si>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</si>
  <si>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</si>
  <si>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</si>
  <si>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</si>
  <si>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</si>
  <si>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</si>
  <si>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</si>
  <si>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</si>
  <si>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</si>
  <si>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</si>
  <si>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</si>
  <si>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</si>
  <si>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</si>
  <si>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</si>
  <si>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</si>
  <si>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</si>
  <si>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</si>
  <si>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</si>
  <si>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</si>
  <si>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</si>
  <si>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</si>
  <si>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</si>
  <si>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</si>
  <si>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</si>
  <si>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</si>
  <si>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</si>
  <si>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</si>
  <si>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</si>
  <si>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</si>
  <si>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</si>
  <si>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</si>
  <si>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</si>
  <si>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</si>
  <si>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</si>
  <si>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</si>
  <si>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</si>
  <si>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</si>
  <si>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</si>
  <si>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</si>
  <si>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</si>
  <si>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</si>
  <si>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</si>
  <si>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</si>
  <si>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</si>
  <si>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</si>
  <si>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</si>
  <si>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</si>
  <si>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</si>
  <si>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</si>
  <si>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</si>
  <si>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</si>
  <si>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</si>
  <si>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</si>
  <si>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</si>
  <si>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</si>
  <si>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</si>
  <si>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</si>
  <si>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</si>
  <si>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</si>
  <si>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</si>
  <si>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</si>
  <si>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</si>
  <si>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</si>
  <si>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</si>
  <si>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</si>
  <si>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</si>
  <si>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</si>
  <si>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</si>
  <si>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</si>
  <si>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</si>
  <si>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</si>
  <si>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</si>
  <si>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</si>
  <si>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</si>
  <si>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</si>
  <si>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</si>
  <si>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</si>
  <si>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</si>
  <si>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</si>
  <si>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</si>
  <si>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</si>
  <si>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</si>
  <si>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</si>
  <si>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</si>
  <si>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</si>
  <si>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</si>
  <si>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</si>
  <si>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</si>
  <si>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</si>
  <si>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</si>
  <si>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</si>
  <si>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</si>
  <si>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</si>
  <si>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</si>
  <si>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</si>
  <si>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</si>
  <si>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</si>
  <si>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</si>
  <si>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</si>
  <si>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</si>
  <si>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</si>
  <si>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</si>
  <si>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</si>
  <si>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</si>
  <si>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</si>
  <si>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</si>
  <si>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</si>
  <si>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</si>
  <si>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</si>
  <si>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</si>
  <si>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</si>
  <si>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</si>
  <si>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</si>
  <si>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</si>
  <si>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</si>
  <si>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</si>
  <si>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</si>
  <si>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</si>
  <si>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</si>
  <si>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</si>
  <si>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</si>
  <si>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</si>
  <si>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</si>
  <si>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</si>
  <si>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</si>
  <si>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</si>
  <si>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</si>
  <si>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</si>
  <si>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</si>
  <si>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</si>
  <si>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</si>
  <si>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</si>
  <si>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</si>
  <si>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</si>
  <si>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</si>
  <si>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</si>
  <si>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</si>
  <si>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</si>
  <si>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</si>
  <si>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</si>
  <si>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</si>
  <si>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</si>
  <si>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</si>
  <si>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</si>
  <si>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</si>
  <si>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</si>
  <si>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</si>
  <si>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</si>
  <si>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</si>
  <si>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</si>
  <si>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</si>
  <si>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</si>
  <si>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</si>
  <si>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</si>
  <si>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</si>
  <si>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</si>
  <si>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</si>
  <si>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</si>
  <si>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</si>
  <si>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</si>
  <si>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</si>
  <si>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</si>
  <si>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</si>
  <si>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</si>
  <si>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</si>
  <si>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</si>
  <si>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</si>
  <si>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</si>
  <si>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</si>
  <si>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</si>
  <si>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</si>
  <si>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</si>
  <si>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</si>
  <si>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</si>
  <si>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</si>
  <si>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</si>
  <si>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</si>
  <si>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</si>
  <si>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</si>
  <si>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</si>
  <si>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</si>
  <si>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</si>
  <si>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</si>
  <si>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</si>
  <si>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</si>
  <si>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</si>
  <si>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</si>
  <si>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</si>
  <si>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</si>
  <si>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</si>
  <si>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</si>
  <si>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</si>
  <si>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</si>
  <si>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</si>
  <si>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</si>
  <si>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</si>
  <si>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</si>
  <si>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</si>
  <si>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</si>
  <si>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</si>
  <si>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</si>
  <si>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</si>
  <si>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</si>
  <si>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</si>
  <si>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</si>
  <si>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</si>
  <si>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</si>
  <si>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</si>
  <si>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</si>
  <si>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</si>
  <si>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</si>
  <si>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</si>
  <si>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</si>
  <si>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</si>
  <si>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</si>
  <si>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</si>
  <si>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</si>
  <si>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</si>
  <si>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</si>
  <si>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</si>
  <si>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</si>
  <si>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</si>
  <si>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</si>
  <si>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</si>
  <si>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</si>
  <si>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</si>
  <si>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</si>
  <si>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</si>
  <si>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</si>
  <si>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</si>
  <si>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</si>
  <si>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</si>
  <si>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</si>
  <si>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</si>
  <si>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</si>
  <si>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</si>
  <si>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</si>
  <si>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</si>
  <si>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</si>
  <si>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</si>
  <si>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</si>
  <si>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</si>
  <si>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</si>
  <si>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</si>
  <si>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</si>
  <si>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</si>
  <si>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</si>
  <si>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</si>
  <si>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</si>
  <si>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</si>
  <si>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</si>
  <si>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</si>
  <si>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</si>
  <si>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</si>
  <si>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</si>
  <si>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</si>
  <si>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</si>
  <si>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</si>
  <si>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</si>
  <si>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</si>
  <si>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</si>
  <si>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</si>
  <si>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</si>
  <si>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</si>
  <si>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</si>
  <si>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</si>
  <si>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</si>
  <si>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</si>
  <si>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</si>
  <si>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</si>
  <si>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</si>
  <si>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</si>
  <si>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</si>
  <si>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</si>
  <si>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</si>
  <si>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</si>
  <si>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</si>
  <si>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</si>
  <si>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</si>
  <si>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</si>
  <si>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</si>
  <si>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</si>
  <si>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</si>
  <si>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</si>
  <si>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</si>
  <si>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</si>
  <si>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</si>
  <si>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</si>
  <si>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</si>
  <si>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</si>
  <si>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</si>
  <si>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</si>
  <si>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</si>
  <si>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</si>
  <si>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</si>
  <si>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</si>
  <si>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</si>
  <si>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</si>
  <si>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</si>
  <si>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</si>
  <si>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</si>
  <si>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</si>
  <si>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</si>
  <si>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</si>
  <si>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</si>
  <si>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</si>
  <si>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</si>
  <si>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</si>
  <si>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</si>
  <si>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</si>
  <si>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</si>
  <si>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</si>
  <si>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</si>
  <si>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</si>
  <si>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</si>
  <si>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</si>
  <si>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</si>
  <si>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</si>
  <si>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</si>
  <si>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</si>
  <si>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</si>
  <si>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</si>
  <si>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</si>
  <si>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</si>
  <si>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</si>
  <si>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</si>
  <si>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</si>
  <si>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</si>
  <si>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</si>
  <si>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</si>
  <si>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</si>
  <si>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</si>
  <si>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</si>
  <si>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</si>
  <si>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</si>
  <si>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</si>
  <si>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</si>
  <si>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</si>
  <si>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</si>
  <si>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</si>
  <si>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</si>
  <si>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</si>
  <si>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</si>
  <si>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</si>
  <si>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</si>
  <si>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</si>
  <si>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</si>
  <si>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</si>
  <si>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</si>
  <si>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</si>
  <si>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</si>
  <si>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</si>
  <si>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</si>
  <si>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</si>
  <si>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</si>
  <si>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</si>
  <si>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</si>
  <si>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</si>
  <si>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</si>
  <si>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</si>
  <si>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</si>
  <si>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</si>
  <si>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</si>
  <si>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</si>
  <si>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</si>
  <si>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</si>
  <si>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</si>
  <si>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</si>
  <si>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</si>
  <si>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</si>
  <si>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</si>
  <si>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</si>
  <si>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</si>
  <si>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</si>
  <si>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</si>
  <si>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</si>
  <si>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</si>
  <si>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</si>
  <si>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</si>
  <si>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</si>
  <si>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</si>
  <si>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</si>
  <si>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</si>
  <si>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</si>
  <si>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</si>
  <si>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</si>
  <si>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</si>
  <si>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</si>
  <si>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</si>
  <si>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</si>
  <si>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</si>
  <si>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</si>
  <si>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</si>
  <si>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</si>
  <si>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</si>
  <si>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</si>
  <si>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</si>
  <si>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</si>
  <si>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</si>
  <si>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</si>
  <si>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</si>
  <si>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</si>
  <si>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</si>
  <si>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</si>
  <si>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</si>
  <si>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</si>
  <si>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</si>
  <si>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</si>
  <si>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</si>
  <si>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</si>
  <si>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</si>
  <si>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</si>
  <si>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</si>
  <si>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</si>
  <si>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</si>
  <si>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</si>
  <si>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</si>
  <si>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</si>
  <si>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</si>
  <si>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</si>
  <si>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</si>
  <si>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</si>
  <si>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</si>
  <si>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</si>
  <si>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</si>
  <si>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</si>
  <si>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</si>
  <si>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</si>
  <si>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</si>
  <si>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</si>
  <si>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</si>
  <si>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</si>
  <si>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</si>
  <si>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</si>
  <si>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</si>
  <si>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</si>
  <si>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</si>
  <si>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</si>
  <si>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</si>
  <si>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</si>
  <si>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</si>
  <si>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</si>
  <si>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</si>
  <si>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</si>
  <si>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</si>
  <si>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</si>
  <si>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</si>
  <si>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</si>
  <si>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</si>
  <si>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</si>
  <si>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</si>
  <si>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</si>
  <si>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</si>
  <si>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</si>
  <si>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</si>
  <si>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</si>
  <si>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</si>
  <si>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</si>
  <si>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</si>
  <si>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</si>
  <si>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</si>
  <si>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</si>
  <si>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</si>
  <si>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</si>
  <si>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</si>
  <si>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</si>
  <si>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</si>
  <si>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</si>
  <si>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</si>
  <si>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</si>
  <si>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</si>
  <si>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</si>
  <si>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</si>
  <si>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</si>
  <si>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</si>
  <si>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</si>
  <si>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</si>
  <si>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</si>
  <si>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</si>
  <si>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</si>
  <si>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</si>
  <si>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</si>
  <si>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</si>
  <si>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</si>
  <si>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</si>
  <si>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</si>
  <si>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</si>
  <si>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</si>
  <si>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</si>
  <si>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</si>
  <si>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</si>
  <si>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</si>
  <si>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</si>
  <si>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</si>
  <si>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</si>
  <si>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</si>
  <si>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</si>
  <si>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</si>
  <si>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</si>
  <si>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</si>
  <si>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</si>
  <si>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</si>
  <si>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</si>
  <si>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</si>
  <si>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</si>
  <si>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</si>
  <si>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</si>
  <si>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</si>
  <si>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</si>
  <si>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</si>
  <si>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</si>
  <si>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</si>
  <si>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</si>
  <si>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</si>
  <si>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</si>
  <si>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</si>
  <si>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</si>
  <si>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</si>
  <si>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</si>
  <si>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</si>
  <si>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</si>
  <si>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</si>
  <si>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</si>
  <si>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</si>
  <si>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</si>
  <si>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</si>
  <si>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</si>
  <si>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</si>
  <si>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</si>
  <si>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</si>
  <si>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</si>
  <si>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</si>
  <si>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</si>
  <si>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</si>
  <si>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</si>
  <si>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</si>
  <si>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</si>
  <si>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</si>
  <si>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</si>
  <si>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</si>
  <si>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</si>
  <si>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</si>
  <si>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</si>
  <si>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</si>
  <si>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</si>
  <si>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</si>
  <si>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</si>
  <si>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</si>
  <si>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</si>
  <si>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</si>
  <si>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</si>
  <si>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</si>
  <si>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</si>
  <si>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</si>
  <si>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</si>
  <si>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</si>
  <si>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</si>
  <si>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</si>
  <si>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</si>
  <si>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</si>
  <si>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</si>
  <si>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</si>
  <si>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</si>
  <si>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</si>
  <si>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</si>
  <si>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</si>
  <si>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</si>
  <si>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</si>
  <si>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</si>
  <si>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</si>
  <si>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</si>
  <si>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</si>
  <si>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</si>
  <si>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</si>
  <si>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</si>
  <si>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</si>
  <si>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</si>
  <si>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</si>
  <si>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</si>
  <si>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</si>
  <si>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</si>
  <si>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</si>
  <si>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</si>
  <si>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</si>
  <si>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</si>
  <si>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</si>
  <si>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</si>
  <si>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</si>
  <si>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</si>
  <si>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</si>
  <si>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</si>
  <si>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</si>
  <si>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</si>
  <si>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</si>
  <si>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</si>
  <si>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</si>
  <si>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</si>
  <si>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</si>
  <si>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</si>
  <si>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</si>
  <si>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</si>
  <si>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</si>
  <si>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</si>
  <si>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</si>
  <si>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</si>
  <si>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</si>
  <si>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</si>
  <si>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</si>
  <si>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</si>
  <si>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</si>
  <si>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</si>
  <si>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</si>
  <si>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</si>
  <si>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</si>
  <si>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</si>
  <si>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</si>
  <si>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</si>
  <si>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</si>
  <si>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</si>
  <si>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</si>
  <si>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</si>
  <si>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</si>
  <si>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</si>
  <si>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</si>
  <si>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</si>
  <si>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</si>
  <si>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</si>
  <si>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</si>
  <si>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</si>
  <si>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</si>
  <si>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</si>
  <si>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</si>
  <si>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</si>
  <si>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</si>
  <si>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</si>
  <si>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</si>
  <si>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</si>
  <si>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</si>
  <si>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</si>
  <si>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</si>
  <si>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</si>
  <si>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</si>
  <si>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</si>
  <si>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</si>
  <si>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</si>
  <si>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</si>
  <si>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</si>
  <si>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</si>
  <si>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</si>
  <si>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</si>
  <si>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</si>
  <si>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</si>
  <si>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</si>
  <si>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</si>
  <si>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</si>
  <si>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</si>
  <si>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</si>
  <si>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</si>
  <si>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</si>
  <si>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</si>
  <si>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</si>
  <si>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</si>
  <si>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</si>
  <si>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</si>
  <si>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</si>
  <si>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</si>
  <si>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</si>
  <si>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</si>
  <si>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</si>
  <si>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</si>
  <si>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</si>
  <si>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</si>
  <si>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</si>
  <si>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</si>
  <si>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</si>
  <si>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</si>
  <si>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</si>
  <si>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</si>
  <si>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</si>
  <si>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</si>
  <si>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</si>
  <si>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</si>
  <si>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</si>
  <si>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</si>
  <si>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</si>
  <si>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</si>
  <si>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</si>
  <si>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</si>
  <si>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</si>
  <si>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</si>
  <si>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</si>
  <si>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</si>
  <si>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</si>
  <si>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</si>
  <si>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</si>
  <si>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</si>
  <si>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</si>
  <si>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</si>
  <si>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</si>
  <si>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</si>
  <si>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</si>
  <si>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</si>
  <si>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</si>
  <si>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</si>
  <si>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</si>
  <si>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</si>
  <si>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</si>
  <si>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</si>
  <si>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</si>
  <si>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</si>
  <si>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</si>
  <si>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</si>
  <si>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</si>
  <si>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</si>
  <si>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</si>
  <si>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</si>
  <si>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</si>
  <si>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</si>
  <si>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</si>
  <si>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</si>
  <si>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</si>
  <si>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</si>
  <si>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</si>
  <si>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</si>
  <si>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</si>
  <si>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</si>
  <si>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</si>
  <si>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</si>
  <si>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</si>
  <si>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</si>
  <si>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</si>
  <si>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</si>
  <si>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</si>
  <si>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</si>
  <si>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</si>
  <si>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</si>
  <si>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</si>
  <si>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</si>
  <si>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</si>
  <si>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</si>
  <si>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</si>
  <si>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</si>
  <si>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</si>
  <si>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</si>
  <si>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</si>
  <si>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</si>
  <si>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</si>
  <si>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</si>
  <si>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</si>
  <si>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</si>
  <si>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</si>
  <si>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</si>
  <si>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</si>
  <si>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</si>
  <si>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</si>
  <si>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</si>
  <si>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</si>
  <si>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</si>
  <si>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</si>
  <si>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</si>
  <si>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</si>
  <si>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</si>
  <si>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</si>
  <si>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</si>
  <si>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</si>
  <si>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</si>
  <si>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</si>
  <si>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</si>
  <si>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</si>
  <si>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</si>
  <si>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</si>
  <si>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</si>
  <si>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</si>
  <si>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</si>
  <si>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</si>
  <si>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</si>
  <si>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</si>
  <si>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</si>
  <si>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</si>
  <si>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</si>
  <si>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</si>
  <si>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</si>
  <si>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</si>
  <si>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</si>
  <si>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</si>
  <si>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</si>
  <si>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</si>
  <si>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</si>
  <si>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</si>
  <si>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</si>
  <si>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</si>
  <si>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</si>
  <si>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</si>
  <si>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</si>
  <si>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</si>
  <si>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</si>
  <si>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</si>
  <si>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</si>
  <si>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</si>
  <si>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</si>
  <si>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</si>
  <si>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</si>
  <si>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</si>
  <si>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</si>
  <si>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</si>
  <si>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</si>
  <si>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</si>
  <si>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</si>
  <si>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</si>
  <si>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</si>
  <si>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</si>
  <si>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</si>
  <si>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</si>
  <si>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</si>
  <si>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</si>
  <si>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</si>
  <si>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</si>
  <si>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</si>
  <si>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</si>
  <si>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</si>
  <si>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</si>
  <si>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</si>
  <si>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</si>
  <si>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</si>
  <si>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</si>
  <si>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</si>
  <si>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</si>
  <si>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</si>
  <si>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</si>
  <si>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</si>
  <si>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</si>
  <si>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</si>
  <si>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</si>
  <si>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</si>
  <si>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</si>
  <si>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</si>
  <si>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</si>
  <si>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</si>
  <si>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</si>
  <si>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</si>
  <si>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</si>
  <si>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</si>
  <si>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</si>
  <si>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</si>
  <si>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</si>
  <si>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</si>
  <si>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</si>
  <si>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</si>
  <si>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</si>
  <si>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</si>
  <si>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</si>
  <si>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</si>
  <si>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</si>
  <si>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</si>
  <si>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</si>
  <si>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</si>
  <si>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</si>
  <si>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</si>
  <si>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</si>
  <si>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</si>
  <si>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</si>
  <si>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</si>
  <si>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</si>
  <si>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</si>
  <si>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</si>
  <si>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</si>
  <si>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</si>
  <si>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</si>
  <si>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</si>
  <si>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</si>
  <si>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</si>
  <si>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</si>
  <si>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</si>
  <si>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</si>
  <si>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</si>
  <si>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</si>
  <si>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</si>
  <si>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</si>
  <si>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</si>
  <si>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</si>
  <si>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</si>
  <si>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</si>
  <si>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</si>
  <si>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</si>
  <si>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</si>
  <si>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</si>
  <si>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</si>
  <si>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</si>
  <si>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</si>
  <si>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</si>
  <si>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</si>
  <si>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</si>
  <si>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</si>
  <si>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</si>
  <si>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</si>
  <si>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</si>
  <si>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</si>
  <si>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</si>
  <si>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</si>
  <si>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</si>
  <si>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</si>
  <si>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</si>
  <si>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</si>
  <si>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</si>
  <si>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</si>
  <si>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</si>
  <si>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</si>
  <si>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</si>
  <si>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</si>
  <si>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</si>
  <si>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</si>
  <si>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</si>
  <si>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</si>
  <si>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</si>
  <si>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</si>
  <si>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</si>
  <si>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</si>
  <si>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</si>
  <si>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</si>
  <si>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</si>
  <si>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</si>
  <si>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</si>
  <si>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</si>
  <si>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</si>
  <si>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</si>
  <si>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</si>
  <si>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</si>
  <si>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</si>
  <si>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</si>
  <si>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</si>
  <si>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</si>
  <si>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</si>
  <si>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</si>
  <si>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</si>
  <si>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</si>
  <si>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</si>
  <si>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</si>
  <si>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</si>
  <si>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</si>
  <si>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</si>
  <si>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</si>
  <si>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</si>
  <si>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</si>
  <si>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</si>
  <si>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</si>
  <si>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</si>
  <si>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</si>
  <si>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</si>
  <si>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</si>
  <si>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</si>
  <si>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</si>
  <si>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</si>
  <si>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</si>
  <si>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</si>
  <si>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</si>
  <si>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</si>
  <si>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</si>
  <si>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</si>
  <si>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</si>
  <si>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</si>
  <si>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</si>
  <si>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</si>
  <si>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</si>
  <si>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</si>
  <si>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</si>
  <si>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</si>
  <si>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</si>
  <si>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</si>
  <si>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</si>
  <si>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</si>
  <si>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</si>
  <si>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</si>
  <si>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</si>
  <si>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</si>
  <si>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</si>
  <si>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</si>
  <si>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</si>
  <si>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</si>
  <si>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</si>
  <si>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</si>
  <si>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</si>
  <si>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</si>
  <si>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</si>
  <si>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</si>
  <si>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</si>
  <si>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</si>
  <si>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</si>
  <si>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</si>
  <si>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</si>
  <si>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</si>
  <si>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</si>
  <si>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</si>
  <si>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</si>
  <si>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</si>
  <si>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</si>
  <si>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</si>
  <si>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</si>
  <si>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</si>
  <si>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</si>
  <si>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</si>
  <si>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</si>
  <si>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</si>
  <si>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</si>
  <si>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</si>
  <si>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</si>
  <si>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</si>
  <si>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</si>
  <si>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</si>
  <si>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</si>
  <si>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</si>
  <si>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</si>
  <si>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</si>
  <si>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</si>
  <si>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</si>
  <si>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</si>
  <si>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</si>
  <si>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</si>
  <si>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</si>
  <si>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</si>
  <si>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</si>
  <si>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</si>
  <si>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</si>
  <si>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</si>
  <si>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</si>
  <si>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</si>
  <si>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</si>
  <si>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</si>
  <si>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</si>
  <si>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</si>
  <si>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</si>
  <si>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</si>
  <si>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</si>
  <si>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</si>
  <si>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</si>
  <si>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</si>
  <si>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</si>
  <si>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</si>
  <si>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</si>
  <si>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</si>
  <si>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</si>
  <si>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</si>
  <si>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</si>
  <si>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</si>
  <si>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</si>
  <si>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</si>
  <si>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</si>
  <si>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</si>
  <si>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</si>
  <si>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</si>
  <si>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</si>
  <si>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</si>
  <si>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</si>
  <si>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</si>
  <si>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</si>
  <si>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</si>
  <si>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</si>
  <si>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</si>
  <si>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</si>
  <si>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</si>
  <si>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</si>
  <si>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</si>
  <si>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</si>
  <si>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</si>
  <si>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</si>
  <si>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</si>
  <si>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</si>
  <si>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</si>
  <si>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</si>
  <si>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</si>
  <si>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</si>
  <si>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</si>
  <si>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</si>
  <si>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</si>
  <si>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</si>
  <si>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</si>
  <si>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</si>
  <si>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</si>
  <si>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</si>
  <si>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</si>
  <si>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</si>
  <si>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</si>
  <si>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</si>
  <si>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</si>
  <si>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</si>
  <si>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</si>
  <si>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</si>
  <si>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</si>
  <si>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</si>
  <si>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</si>
  <si>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</si>
  <si>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</si>
  <si>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</si>
  <si>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</si>
  <si>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</si>
  <si>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</si>
  <si>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</si>
  <si>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</si>
  <si>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</si>
  <si>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</si>
  <si>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</si>
  <si>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</si>
  <si>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</si>
  <si>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</si>
  <si>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</si>
  <si>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</si>
  <si>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</si>
  <si>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</si>
  <si>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</si>
  <si>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</si>
  <si>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</si>
  <si>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</si>
  <si>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</si>
  <si>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</si>
  <si>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</si>
  <si>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</si>
  <si>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</si>
  <si>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</si>
  <si>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</si>
  <si>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</si>
  <si>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</si>
  <si>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</si>
  <si>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</si>
  <si>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</si>
  <si>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</si>
  <si>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</si>
  <si>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</si>
  <si>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</si>
  <si>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</si>
  <si>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</si>
  <si>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</si>
  <si>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</si>
  <si>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</si>
  <si>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</si>
  <si>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</si>
  <si>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</si>
  <si>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</si>
  <si>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</si>
  <si>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</si>
  <si>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</si>
  <si>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</si>
  <si>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</si>
  <si>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</si>
  <si>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</si>
  <si>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</si>
  <si>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</si>
  <si>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</si>
  <si>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</si>
  <si>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</si>
  <si>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</si>
  <si>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</si>
  <si>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</si>
  <si>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</si>
  <si>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</si>
  <si>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</si>
  <si>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</si>
  <si>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</si>
  <si>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</si>
  <si>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</si>
  <si>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</si>
  <si>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</si>
  <si>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</si>
  <si>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</si>
  <si>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</si>
  <si>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</si>
  <si>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</si>
  <si>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</si>
  <si>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</si>
  <si>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</si>
  <si>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</si>
  <si>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</si>
  <si>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</si>
  <si>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</si>
  <si>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</si>
  <si>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</si>
  <si>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</si>
  <si>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</si>
  <si>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</si>
  <si>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</si>
  <si>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</si>
  <si>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</si>
  <si>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</si>
  <si>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</si>
  <si>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</si>
  <si>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</si>
  <si>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</si>
  <si>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</si>
  <si>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</si>
  <si>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</si>
  <si>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</si>
  <si>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</si>
  <si>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</si>
  <si>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</si>
  <si>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</si>
  <si>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</si>
  <si>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</si>
  <si>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</si>
  <si>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</si>
  <si>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</si>
  <si>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</si>
  <si>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</si>
  <si>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</si>
  <si>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</si>
  <si>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</si>
  <si>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</si>
  <si>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</si>
  <si>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</si>
  <si>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</si>
  <si>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</si>
  <si>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</si>
  <si>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</si>
  <si>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</si>
  <si>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</si>
  <si>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</si>
  <si>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</si>
  <si>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</si>
  <si>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</si>
  <si>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</si>
  <si>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</si>
  <si>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</si>
  <si>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</si>
  <si>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</si>
  <si>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</si>
  <si>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</si>
  <si>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</si>
  <si>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</si>
  <si>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</si>
  <si>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</si>
  <si>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</si>
  <si>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</si>
  <si>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</si>
  <si>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</si>
  <si>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</si>
  <si>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</si>
  <si>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</si>
  <si>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</si>
  <si>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</si>
  <si>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</si>
  <si>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</si>
  <si>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</si>
  <si>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</si>
  <si>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</si>
  <si>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</si>
  <si>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</si>
  <si>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</si>
  <si>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</si>
  <si>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</si>
  <si>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</si>
  <si>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</si>
  <si>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</si>
  <si>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</si>
  <si>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</si>
  <si>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</si>
  <si>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</si>
  <si>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</si>
  <si>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</si>
  <si>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</si>
  <si>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</si>
  <si>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</si>
  <si>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</si>
  <si>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</si>
  <si>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</si>
  <si>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</si>
  <si>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</si>
  <si>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</si>
  <si>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</si>
  <si>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</si>
  <si>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</si>
  <si>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</si>
  <si>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</si>
  <si>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</si>
  <si>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</si>
  <si>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</si>
  <si>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</si>
  <si>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</si>
  <si>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</si>
  <si>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</si>
  <si>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</si>
  <si>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</si>
  <si>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</si>
  <si>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</si>
  <si>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</si>
  <si>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</si>
  <si>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</si>
  <si>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</si>
  <si>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</si>
  <si>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</si>
  <si>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</si>
  <si>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</si>
  <si>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</si>
  <si>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</si>
  <si>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</si>
  <si>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</si>
  <si>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</si>
  <si>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</si>
  <si>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</si>
  <si>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</si>
  <si>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</si>
  <si>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</si>
  <si>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</si>
  <si>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</si>
  <si>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</si>
  <si>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</si>
  <si>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</si>
  <si>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</si>
  <si>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</si>
  <si>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</si>
  <si>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</si>
  <si>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</si>
  <si>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</si>
  <si>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</si>
  <si>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</si>
  <si>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</si>
  <si>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</si>
  <si>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</si>
  <si>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</si>
  <si>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</si>
  <si>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</si>
  <si>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</si>
  <si>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</si>
  <si>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</si>
  <si>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</si>
  <si>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</si>
  <si>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</si>
  <si>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</si>
  <si>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</si>
  <si>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</si>
  <si>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</si>
  <si>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</si>
  <si>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</si>
  <si>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</si>
  <si>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</si>
  <si>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</si>
  <si>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</si>
  <si>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</si>
  <si>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</si>
  <si>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</si>
  <si>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</si>
  <si>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</si>
  <si>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</si>
  <si>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</si>
  <si>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</si>
  <si>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</si>
  <si>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</si>
  <si>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</si>
  <si>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</si>
  <si>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</si>
  <si>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</si>
  <si>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</si>
  <si>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</si>
  <si>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</si>
  <si>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</si>
  <si>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</si>
  <si>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</si>
  <si>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</si>
  <si>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</si>
  <si>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</si>
  <si>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</si>
  <si>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</si>
  <si>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</si>
  <si>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</si>
  <si>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</si>
  <si>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</si>
  <si>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</si>
  <si>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</si>
  <si>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</si>
  <si>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</si>
  <si>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</si>
  <si>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</si>
  <si>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</si>
  <si>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</si>
  <si>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</si>
  <si>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</si>
  <si>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</si>
  <si>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</si>
  <si>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</si>
  <si>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</si>
  <si>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</si>
  <si>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</si>
  <si>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</si>
  <si>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</si>
  <si>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</si>
  <si>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</si>
  <si>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</si>
  <si>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</si>
  <si>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number of backers</t>
  </si>
  <si>
    <t>Median number of backers</t>
  </si>
  <si>
    <t>Minimum number of backers</t>
  </si>
  <si>
    <t>Maximum number of backers</t>
  </si>
  <si>
    <t>Variance</t>
  </si>
  <si>
    <t>Standard Deviation</t>
  </si>
  <si>
    <t>Successful</t>
  </si>
  <si>
    <t>Failed</t>
  </si>
  <si>
    <t>This data is not nomally distributed and is skewed towards the lower end of the range. Therefore, the median is better than mean in this situation</t>
  </si>
  <si>
    <t>Given the higher variance and standard deviation of number of backers for the successful vs. unsuccessful campaigns, successful campaigns have more variability. This makes sense because a successful campaign would most likely have attracted more people that were willing to contribute.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</si>
</sst>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  <xf numFmtId="0" fontId="19" fillId="0" borderId="0" xfId="0" applyFont="1" applyAlignment="1">
      <alignment horizontal="left" vertical="center" wrapText="1"/>
    </xf>
    <xf numFmtId="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C7CE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B2B2B"/>
        <name val="Roboto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D-4F61-848E-F2D8A1D4DBFB}"/>
            </c:ext>
          </c:extLst>
        </c:ser>
        <c:ser>
          <c:idx val="1"/>
          <c:order val="1"/>
          <c:tx>
            <c:strRef>
              <c:f>'Outcome by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D-4F61-848E-F2D8A1D4DBFB}"/>
            </c:ext>
          </c:extLst>
        </c:ser>
        <c:ser>
          <c:idx val="2"/>
          <c:order val="2"/>
          <c:tx>
            <c:strRef>
              <c:f>'Outcome by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D-4F61-848E-F2D8A1D4DBFB}"/>
            </c:ext>
          </c:extLst>
        </c:ser>
        <c:ser>
          <c:idx val="3"/>
          <c:order val="3"/>
          <c:tx>
            <c:strRef>
              <c:f>'Outcome by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D-4F61-848E-F2D8A1D4D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0423455"/>
        <c:axId val="2010422495"/>
      </c:barChart>
      <c:catAx>
        <c:axId val="2010423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422495"/>
        <c:crosses val="autoZero"/>
        <c:auto val="1"/>
        <c:lblAlgn val="ctr"/>
        <c:lblOffset val="100"/>
        <c:noMultiLvlLbl val="0"/>
      </c:catAx>
      <c:valAx>
        <c:axId val="201042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42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B-455E-94B6-7683BDBBAD2B}"/>
            </c:ext>
          </c:extLst>
        </c:ser>
        <c:ser>
          <c:idx val="1"/>
          <c:order val="1"/>
          <c:tx>
            <c:strRef>
              <c:f>'Outcome by Sub'!$C$4:$C$5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B-455E-94B6-7683BDBBAD2B}"/>
            </c:ext>
          </c:extLst>
        </c:ser>
        <c:ser>
          <c:idx val="2"/>
          <c:order val="2"/>
          <c:tx>
            <c:strRef>
              <c:f>'Outcome by Sub'!$D$4:$D$5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0B-455E-94B6-7683BDBBAD2B}"/>
            </c:ext>
          </c:extLst>
        </c:ser>
        <c:ser>
          <c:idx val="3"/>
          <c:order val="3"/>
          <c:tx>
            <c:strRef>
              <c:f>'Outcome by Sub'!$E$4:$E$5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0B-455E-94B6-7683BDBBA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5264079"/>
        <c:axId val="1635265999"/>
      </c:barChart>
      <c:catAx>
        <c:axId val="163526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265999"/>
        <c:crosses val="autoZero"/>
        <c:auto val="1"/>
        <c:lblAlgn val="ctr"/>
        <c:lblOffset val="100"/>
        <c:noMultiLvlLbl val="0"/>
      </c:catAx>
      <c:valAx>
        <c:axId val="163526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26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6-49F7-93DD-54C6AAB6DDA1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B6-49F7-93DD-54C6AAB6DDA1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B6-49F7-93DD-54C6AAB6DDA1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B6-49F7-93DD-54C6AAB6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74943"/>
        <c:axId val="90960543"/>
      </c:lineChart>
      <c:catAx>
        <c:axId val="9097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0543"/>
        <c:crosses val="autoZero"/>
        <c:auto val="1"/>
        <c:lblAlgn val="ctr"/>
        <c:lblOffset val="100"/>
        <c:noMultiLvlLbl val="0"/>
      </c:catAx>
      <c:valAx>
        <c:axId val="9096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Outcoumes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8-4761-B690-26201B9BAF03}"/>
            </c:ext>
          </c:extLst>
        </c:ser>
        <c:ser>
          <c:idx val="1"/>
          <c:order val="1"/>
          <c:tx>
            <c:strRef>
              <c:f>'Outcome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8-4761-B690-26201B9BAF03}"/>
            </c:ext>
          </c:extLst>
        </c:ser>
        <c:ser>
          <c:idx val="2"/>
          <c:order val="2"/>
          <c:tx>
            <c:strRef>
              <c:f>'Outcome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38-4761-B690-26201B9BA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73023"/>
        <c:axId val="90968703"/>
      </c:lineChart>
      <c:catAx>
        <c:axId val="9097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8703"/>
        <c:crosses val="autoZero"/>
        <c:auto val="1"/>
        <c:lblAlgn val="ctr"/>
        <c:lblOffset val="100"/>
        <c:noMultiLvlLbl val="0"/>
      </c:catAx>
      <c:valAx>
        <c:axId val="909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A20746BA-BC04-4B81-A2CF-C82674309F7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unsuccessful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</a:t>
          </a:r>
        </a:p>
      </cx:txPr>
    </cx:title>
    <cx:plotArea>
      <cx:plotAreaRegion>
        <cx:series layoutId="clusteredColumn" uniqueId="{508F7AF4-C4C3-41F2-9CFD-89679DF0F43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119061</xdr:colOff>
      <xdr:row>15</xdr:row>
      <xdr:rowOff>123825</xdr:rowOff>
    </xdr:from>
    <xdr:to>
      <xdr:col>7</xdr:col>
      <xdr:colOff>514350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79F1F-788F-89A4-D4AF-6D7F53A92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180974</xdr:rowOff>
    </xdr:from>
    <xdr:to>
      <xdr:col>9</xdr:col>
      <xdr:colOff>595313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4C0F2-3603-42EC-00CA-7A93A20EA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138111</xdr:colOff>
      <xdr:row>19</xdr:row>
      <xdr:rowOff>38100</xdr:rowOff>
    </xdr:from>
    <xdr:to>
      <xdr:col>5</xdr:col>
      <xdr:colOff>838199</xdr:colOff>
      <xdr:row>32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AEB6ED-5DCF-1B36-76D0-280D1CCD9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66675</xdr:rowOff>
    </xdr:from>
    <xdr:to>
      <xdr:col>4</xdr:col>
      <xdr:colOff>342900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40013B-1721-02B2-0111-C0D2DEFA3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204787</xdr:colOff>
      <xdr:row>21</xdr:row>
      <xdr:rowOff>85725</xdr:rowOff>
    </xdr:from>
    <xdr:to>
      <xdr:col>15</xdr:col>
      <xdr:colOff>661987</xdr:colOff>
      <xdr:row>35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8275FA4-4246-F2E0-283C-0E6F3B4551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15412" y="6686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452437</xdr:colOff>
      <xdr:row>21</xdr:row>
      <xdr:rowOff>95250</xdr:rowOff>
    </xdr:from>
    <xdr:to>
      <xdr:col>9</xdr:col>
      <xdr:colOff>138112</xdr:colOff>
      <xdr:row>35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81E654E-50FF-F3A5-7AA3-8303319050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6737" y="6696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markham" refreshedDate="45085.60729803241" createdVersion="8" refreshedVersion="8" minRefreshableVersion="3" recordCount="1000" xr:uid="{B73DECD8-FCA3-41EC-A5BB-CC71C91517EB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on markham" refreshedDate="45088.853789814813" createdVersion="8" refreshedVersion="8" minRefreshableVersion="3" recordCount="1000" xr:uid="{1FBB697A-5B6B-4AE8-B34B-7E179DB0872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BFA367-6600-46DB-ACAE-CBBFE217F0C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2436A0-9E03-478A-B4DC-B1932E20410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C6D358-1F5D-4F7A-93A0-9FBF599B473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DCDDE-B41F-4E69-853F-6F96AF813B1C}" name="Table1" displayName="Table1" ref="A1:H13" totalsRowShown="0">
  <autoFilter ref="A1:H13" xr:uid="{9E1DCDDE-B41F-4E69-853F-6F96AF813B1C}"/>
  <tableColumns count="8">
    <tableColumn id="1" xr3:uid="{57A057B7-95DF-42CD-B3D0-398F3D51676C}" name="Goal" dataDxfId="15"/>
    <tableColumn id="2" xr3:uid="{B98254F6-42EC-40DD-B4A4-1F756BE198E4}" name="Number Successful"/>
    <tableColumn id="3" xr3:uid="{042BD74F-C5CF-4593-9DA9-B4076B61AC2B}" name="Number Failed"/>
    <tableColumn id="4" xr3:uid="{EFE3EE97-AFCD-4775-BA00-30AEB1D1E9B4}" name="Number Cancelled"/>
    <tableColumn id="5" xr3:uid="{AEF858FA-EF27-4F55-8397-5F08C474FAF3}" name="Total Projects">
      <calculatedColumnFormula>SUM(B2:D2)</calculatedColumnFormula>
    </tableColumn>
    <tableColumn id="6" xr3:uid="{4845E96C-A315-41B3-B6FD-071C4755E06E}" name="Percentage Successful" dataDxfId="14">
      <calculatedColumnFormula>B2/E2</calculatedColumnFormula>
    </tableColumn>
    <tableColumn id="7" xr3:uid="{A04841E2-5A67-4266-92E0-6C27FA4D6377}" name="Percentage Failed" dataDxfId="13">
      <calculatedColumnFormula>C2/E2</calculatedColumnFormula>
    </tableColumn>
    <tableColumn id="8" xr3:uid="{73721611-3EA8-49F9-9BE3-ACDDFC469638}" name="Percentage Canceled" dataDxfId="12">
      <calculatedColumnFormula>D2/E2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N4" sqref="N4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4.25" style="4" bestFit="1" customWidth="1"/>
    <col min="7" max="7" width="9.375" bestFit="1" customWidth="1"/>
    <col min="8" max="8" width="13.5" bestFit="1" customWidth="1"/>
    <col min="9" max="9" width="16.5" style="4" bestFit="1" customWidth="1"/>
    <col min="10" max="10" width="11.625" bestFit="1" customWidth="1"/>
    <col min="11" max="11" width="11.5" customWidth="1"/>
    <col min="12" max="12" width="11.5" bestFit="1" customWidth="1"/>
    <col min="13" max="13" width="10.875" bestFit="1" customWidth="1"/>
    <col min="14" max="14" width="9.125" bestFit="1" customWidth="1"/>
    <col min="15" max="15" width="8.5" bestFit="1" customWidth="1"/>
    <col min="16" max="16" width="27.625" bestFit="1" customWidth="1"/>
    <col min="17" max="17" width="14.875" bestFit="1" customWidth="1"/>
    <col min="18" max="18" width="16.375" bestFit="1" customWidth="1"/>
    <col min="19" max="19" width="22.375" style="10" bestFit="1" customWidth="1"/>
    <col min="20" max="20" width="21" style="10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8" t="s">
        <v>2071</v>
      </c>
      <c r="T1" s="8" t="s">
        <v>2072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4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>(((L2/60)/60)/24)+DATE(1970,1,1)</f>
        <v>42336.25</v>
      </c>
      <c r="T2" s="9">
        <f>(((M2/60)/60)/24)+DATE(1970,1,1)</f>
        <v>42353.25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4">
        <f t="shared" ref="I3:I66" si="1"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ref="S3:S66" si="2">(((L3/60)/60)/24)+DATE(1970,1,1)</f>
        <v>41870.208333333336</v>
      </c>
      <c r="T3" s="9">
        <f t="shared" ref="T3:T66" si="3">(((M3/60)/60)/24)+DATE(1970,1,1)</f>
        <v>41872.208333333336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s="4">
        <f t="shared" ref="I67:I130" si="5"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ref="S67:S130" si="6">(((L67/60)/60)/24)+DATE(1970,1,1)</f>
        <v>40570.25</v>
      </c>
      <c r="T67" s="9">
        <f t="shared" ref="T67:T130" si="7">(((M67/60)/60)/24)+DATE(1970,1,1)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4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s="4">
        <f t="shared" ref="I131:I194" si="9"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ref="S131:S194" si="10">(((L131/60)/60)/24)+DATE(1970,1,1)</f>
        <v>42038.25</v>
      </c>
      <c r="T131" s="9">
        <f t="shared" ref="T131:T194" si="11">(((M131/60)/60)/24)+DATE(1970,1,1)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4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s="4">
        <f t="shared" ref="I195:I258" si="13"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ref="S195:S258" si="14">(((L195/60)/60)/24)+DATE(1970,1,1)</f>
        <v>43198.208333333328</v>
      </c>
      <c r="T195" s="9">
        <f t="shared" ref="T195:T258" si="15">(((M195/60)/60)/24)+DATE(1970,1,1)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4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s="4">
        <f t="shared" ref="I259:I322" si="17"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ref="S259:S322" si="18">(((L259/60)/60)/24)+DATE(1970,1,1)</f>
        <v>41338.25</v>
      </c>
      <c r="T259" s="9">
        <f t="shared" ref="T259:T322" si="19">(((M259/60)/60)/24)+DATE(1970,1,1)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4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s="4">
        <f t="shared" ref="I323:I386" si="21"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ref="S323:S386" si="22">(((L323/60)/60)/24)+DATE(1970,1,1)</f>
        <v>40634.208333333336</v>
      </c>
      <c r="T323" s="9">
        <f t="shared" ref="T323:T386" si="23">(((M323/60)/60)/24)+DATE(1970,1,1)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4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s="4">
        <f t="shared" ref="I387:I450" si="25"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ref="S387:S450" si="26">(((L387/60)/60)/24)+DATE(1970,1,1)</f>
        <v>43553.208333333328</v>
      </c>
      <c r="T387" s="9">
        <f t="shared" ref="T387:T450" si="27">(((M387/60)/60)/24)+DATE(1970,1,1)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4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s="4">
        <f t="shared" ref="I451:I514" si="29"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ref="S451:S514" si="30">(((L451/60)/60)/24)+DATE(1970,1,1)</f>
        <v>43530.25</v>
      </c>
      <c r="T451" s="9">
        <f t="shared" ref="T451:T514" si="31">(((M451/60)/60)/24)+DATE(1970,1,1)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4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s="4">
        <f t="shared" ref="I515:I578" si="33"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ref="S515:S578" si="34">(((L515/60)/60)/24)+DATE(1970,1,1)</f>
        <v>40430.208333333336</v>
      </c>
      <c r="T515" s="9">
        <f t="shared" ref="T515:T578" si="35">(((M515/60)/60)/24)+DATE(1970,1,1)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4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s="4">
        <f t="shared" ref="I579:I642" si="37"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ref="S579:S642" si="38">(((L579/60)/60)/24)+DATE(1970,1,1)</f>
        <v>40613.25</v>
      </c>
      <c r="T579" s="9">
        <f t="shared" ref="T579:T642" si="39">(((M579/60)/60)/24)+DATE(1970,1,1)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4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s="4">
        <f t="shared" ref="I643:I706" si="41"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ref="S643:S706" si="42">(((L643/60)/60)/24)+DATE(1970,1,1)</f>
        <v>42786.25</v>
      </c>
      <c r="T643" s="9">
        <f t="shared" ref="T643:T706" si="43">(((M643/60)/60)/24)+DATE(1970,1,1)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4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s="4">
        <f t="shared" ref="I707:I770" si="45"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ref="S707:S770" si="46">(((L707/60)/60)/24)+DATE(1970,1,1)</f>
        <v>41619.25</v>
      </c>
      <c r="T707" s="9">
        <f t="shared" ref="T707:T770" si="47">(((M707/60)/60)/24)+DATE(1970,1,1)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4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s="4">
        <f t="shared" ref="I771:I834" si="49"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ref="S771:S834" si="50">(((L771/60)/60)/24)+DATE(1970,1,1)</f>
        <v>41501.208333333336</v>
      </c>
      <c r="T771" s="9">
        <f t="shared" ref="T771:T834" si="51">(((M771/60)/60)/24)+DATE(1970,1,1)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4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s="4">
        <f t="shared" ref="I835:I898" si="53"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ref="S835:S898" si="54">(((L835/60)/60)/24)+DATE(1970,1,1)</f>
        <v>40588.25</v>
      </c>
      <c r="T835" s="9">
        <f t="shared" ref="T835:T898" si="55">(((M835/60)/60)/24)+DATE(1970,1,1)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4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s="4">
        <f t="shared" ref="I899:I962" si="57"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ref="S899:S962" si="58">(((L899/60)/60)/24)+DATE(1970,1,1)</f>
        <v>43583.208333333328</v>
      </c>
      <c r="T899" s="9">
        <f t="shared" ref="T899:T962" si="59">(((M899/60)/60)/24)+DATE(1970,1,1)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4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s="4">
        <f t="shared" ref="I963:I1001" si="61"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ref="S963:S1001" si="62">(((L963/60)/60)/24)+DATE(1970,1,1)</f>
        <v>40591.25</v>
      </c>
      <c r="T963" s="9">
        <f t="shared" ref="T963:T1001" si="63">(((M963/60)/60)/24)+DATE(1970,1,1)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8696B"/>
        <color rgb="FF92D050"/>
        <color theme="4" tint="0.39997558519241921"/>
      </colorScale>
    </cfRule>
  </conditionalFormatting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9A3D-4129-4415-A6AC-C344E7E8FA40}">
  <dimension ref="A1:H14"/>
  <sheetViews>
    <sheetView workbookViewId="0">
      <selection activeCell="H14" sqref="H1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8" x14ac:dyDescent="0.25">
      <c r="A1" s="6" t="s">
        <v>6</v>
      </c>
      <c r="B1" t="s">
        <v>2046</v>
      </c>
    </row>
    <row r="3" spans="1:8" x14ac:dyDescent="0.25">
      <c r="A3" s="6" t="s">
        <v>2045</v>
      </c>
      <c r="B3" s="6" t="s">
        <v>2035</v>
      </c>
    </row>
    <row r="4" spans="1:8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8" x14ac:dyDescent="0.25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8" x14ac:dyDescent="0.25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8" x14ac:dyDescent="0.25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8" x14ac:dyDescent="0.25">
      <c r="A8" s="7" t="s">
        <v>2039</v>
      </c>
      <c r="E8">
        <v>4</v>
      </c>
      <c r="F8">
        <v>4</v>
      </c>
    </row>
    <row r="9" spans="1:8" x14ac:dyDescent="0.25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8" x14ac:dyDescent="0.25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8" x14ac:dyDescent="0.25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8" x14ac:dyDescent="0.25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8" x14ac:dyDescent="0.25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  <c r="H13">
        <f>344/1000</f>
        <v>0.34399999999999997</v>
      </c>
    </row>
    <row r="14" spans="1:8" x14ac:dyDescent="0.25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6C89-1102-45DA-B024-4EB643154C2E}">
  <dimension ref="A1:G30"/>
  <sheetViews>
    <sheetView topLeftCell="A10" workbookViewId="0">
      <selection activeCell="A11" sqref="A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7" x14ac:dyDescent="0.25">
      <c r="A1" s="6" t="s">
        <v>6</v>
      </c>
      <c r="B1" t="s">
        <v>2046</v>
      </c>
    </row>
    <row r="2" spans="1:7" x14ac:dyDescent="0.25">
      <c r="A2" s="6" t="s">
        <v>2031</v>
      </c>
      <c r="B2" t="s">
        <v>2046</v>
      </c>
    </row>
    <row r="4" spans="1:7" x14ac:dyDescent="0.25">
      <c r="A4" s="6" t="s">
        <v>2045</v>
      </c>
      <c r="B4" s="6" t="s">
        <v>2035</v>
      </c>
    </row>
    <row r="5" spans="1:7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7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  <c r="G6">
        <f>GETPIVOTDATA("outcome",$A$4,"outcome","successful","Sub-Category","animation")/GETPIVOTDATA("outcome",$A$4,"Sub-Category","animation")</f>
        <v>0.61764705882352944</v>
      </c>
    </row>
    <row r="7" spans="1:7" x14ac:dyDescent="0.25">
      <c r="A7" s="7" t="s">
        <v>2048</v>
      </c>
      <c r="E7">
        <v>4</v>
      </c>
      <c r="F7">
        <v>4</v>
      </c>
      <c r="G7">
        <f>GETPIVOTDATA("outcome",$A$4,"outcome","successful","Sub-Category","audio")/GETPIVOTDATA("outcome",$A$4,"Sub-Category","audio")</f>
        <v>1</v>
      </c>
    </row>
    <row r="8" spans="1:7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  <c r="G8">
        <f>GETPIVOTDATA("outcome",$A$4,"outcome","successful","Sub-Category","documentary")/GETPIVOTDATA("outcome",$A$4,"Sub-Category","documentary")</f>
        <v>0.56666666666666665</v>
      </c>
    </row>
    <row r="9" spans="1:7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  <c r="G9">
        <f>GETPIVOTDATA("outcome",$A$4,"outcome","successful","Sub-Category","drama")/GETPIVOTDATA("outcome",$A$4,"Sub-Category","drama")</f>
        <v>0.59459459459459463</v>
      </c>
    </row>
    <row r="10" spans="1:7" x14ac:dyDescent="0.25">
      <c r="A10" s="7" t="s">
        <v>2051</v>
      </c>
      <c r="C10">
        <v>8</v>
      </c>
      <c r="E10">
        <v>10</v>
      </c>
      <c r="F10">
        <v>18</v>
      </c>
      <c r="G10">
        <f>GETPIVOTDATA("outcome",$A$4,"outcome","successful","Sub-Category","electric music")/GETPIVOTDATA("outcome",$A$4,"Sub-Category","electric music")</f>
        <v>0.55555555555555558</v>
      </c>
    </row>
    <row r="11" spans="1:7" x14ac:dyDescent="0.25">
      <c r="A11" s="7" t="s">
        <v>2052</v>
      </c>
      <c r="B11">
        <v>1</v>
      </c>
      <c r="C11">
        <v>7</v>
      </c>
      <c r="E11">
        <v>9</v>
      </c>
      <c r="F11">
        <v>17</v>
      </c>
      <c r="G11">
        <f>GETPIVOTDATA("outcome",$A$4,"outcome","successful","Sub-Category","fiction")/GETPIVOTDATA("outcome",$A$4,"Sub-Category","fiction")</f>
        <v>0.52941176470588236</v>
      </c>
    </row>
    <row r="12" spans="1:7" x14ac:dyDescent="0.25">
      <c r="A12" s="7" t="s">
        <v>2053</v>
      </c>
      <c r="B12">
        <v>4</v>
      </c>
      <c r="C12">
        <v>20</v>
      </c>
      <c r="E12">
        <v>22</v>
      </c>
      <c r="F12">
        <v>46</v>
      </c>
      <c r="G12">
        <f>GETPIVOTDATA("outcome",$A$4,"outcome","successful","Sub-Category","food trucks")/GETPIVOTDATA("outcome",$A$4,"Sub-Category","food trucks")</f>
        <v>0.47826086956521741</v>
      </c>
    </row>
    <row r="13" spans="1:7" x14ac:dyDescent="0.25">
      <c r="A13" s="7" t="s">
        <v>2054</v>
      </c>
      <c r="B13">
        <v>3</v>
      </c>
      <c r="C13">
        <v>19</v>
      </c>
      <c r="E13">
        <v>23</v>
      </c>
      <c r="F13">
        <v>45</v>
      </c>
      <c r="G13">
        <f>GETPIVOTDATA("outcome",$A$4,"outcome","successful","Sub-Category","indie rock")/GETPIVOTDATA("outcome",$A$4,"Sub-Category","indie rock")</f>
        <v>0.51111111111111107</v>
      </c>
    </row>
    <row r="14" spans="1:7" x14ac:dyDescent="0.25">
      <c r="A14" s="7" t="s">
        <v>2055</v>
      </c>
      <c r="B14">
        <v>1</v>
      </c>
      <c r="C14">
        <v>6</v>
      </c>
      <c r="E14">
        <v>10</v>
      </c>
      <c r="F14">
        <v>17</v>
      </c>
      <c r="G14">
        <f>GETPIVOTDATA("outcome",$A$4,"outcome","successful","Sub-Category","jazz")/GETPIVOTDATA("outcome",$A$4,"Sub-Category","jazz")</f>
        <v>0.58823529411764708</v>
      </c>
    </row>
    <row r="15" spans="1:7" x14ac:dyDescent="0.25">
      <c r="A15" s="7" t="s">
        <v>2056</v>
      </c>
      <c r="C15">
        <v>3</v>
      </c>
      <c r="E15">
        <v>4</v>
      </c>
      <c r="F15">
        <v>7</v>
      </c>
      <c r="G15">
        <f>GETPIVOTDATA("outcome",$A$4,"outcome","successful","Sub-Category","metal")/GETPIVOTDATA("outcome",$A$4,"Sub-Category","metal")</f>
        <v>0.5714285714285714</v>
      </c>
    </row>
    <row r="16" spans="1:7" x14ac:dyDescent="0.25">
      <c r="A16" s="7" t="s">
        <v>2057</v>
      </c>
      <c r="C16">
        <v>8</v>
      </c>
      <c r="D16">
        <v>1</v>
      </c>
      <c r="E16">
        <v>4</v>
      </c>
      <c r="F16">
        <v>13</v>
      </c>
      <c r="G16">
        <f>GETPIVOTDATA("outcome",$A$4,"outcome","successful","Sub-Category","mobile games")/GETPIVOTDATA("outcome",$A$4,"Sub-Category","mobile games")</f>
        <v>0.30769230769230771</v>
      </c>
    </row>
    <row r="17" spans="1:7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  <c r="G17">
        <f>GETPIVOTDATA("outcome",$A$4,"outcome","successful","Sub-Category","nonfiction")/GETPIVOTDATA("outcome",$A$4,"Sub-Category","nonfiction")</f>
        <v>0.61904761904761907</v>
      </c>
    </row>
    <row r="18" spans="1:7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  <c r="G18">
        <f>GETPIVOTDATA("outcome",$A$4,"outcome","successful","Sub-Category","photography books")/GETPIVOTDATA("outcome",$A$4,"Sub-Category","photography books")</f>
        <v>0.61904761904761907</v>
      </c>
    </row>
    <row r="19" spans="1:7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  <c r="G19">
        <f>GETPIVOTDATA("outcome",$A$4,"outcome","successful","Sub-Category","plays")/GETPIVOTDATA("outcome",$A$4,"Sub-Category","plays")</f>
        <v>0.54360465116279066</v>
      </c>
    </row>
    <row r="20" spans="1:7" x14ac:dyDescent="0.25">
      <c r="A20" s="7" t="s">
        <v>2061</v>
      </c>
      <c r="C20">
        <v>4</v>
      </c>
      <c r="E20">
        <v>4</v>
      </c>
      <c r="F20">
        <v>8</v>
      </c>
      <c r="G20">
        <f>GETPIVOTDATA("outcome",$A$4,"outcome","successful","Sub-Category","radio &amp; podcasts")/GETPIVOTDATA("outcome",$A$4,"Sub-Category","radio &amp; podcasts")</f>
        <v>0.5</v>
      </c>
    </row>
    <row r="21" spans="1:7" x14ac:dyDescent="0.25">
      <c r="A21" s="7" t="s">
        <v>2062</v>
      </c>
      <c r="B21">
        <v>6</v>
      </c>
      <c r="C21">
        <v>30</v>
      </c>
      <c r="E21">
        <v>49</v>
      </c>
      <c r="F21">
        <v>85</v>
      </c>
      <c r="G21">
        <f>GETPIVOTDATA("outcome",$A$4,"outcome","successful","Sub-Category","rock")/GETPIVOTDATA("outcome",$A$4,"Sub-Category","rock")</f>
        <v>0.57647058823529407</v>
      </c>
    </row>
    <row r="22" spans="1:7" x14ac:dyDescent="0.25">
      <c r="A22" s="7" t="s">
        <v>2063</v>
      </c>
      <c r="C22">
        <v>9</v>
      </c>
      <c r="E22">
        <v>5</v>
      </c>
      <c r="F22">
        <v>14</v>
      </c>
      <c r="G22">
        <f>GETPIVOTDATA("outcome",$A$4,"outcome","successful","Sub-Category","science fiction")/GETPIVOTDATA("outcome",$A$4,"Sub-Category","science fiction")</f>
        <v>0.35714285714285715</v>
      </c>
    </row>
    <row r="23" spans="1:7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  <c r="G23">
        <f>GETPIVOTDATA("outcome",$A$4,"outcome","successful","Sub-Category","shorts")/GETPIVOTDATA("outcome",$A$4,"Sub-Category","shorts")</f>
        <v>0.5625</v>
      </c>
    </row>
    <row r="24" spans="1:7" x14ac:dyDescent="0.25">
      <c r="A24" s="7" t="s">
        <v>2065</v>
      </c>
      <c r="B24">
        <v>3</v>
      </c>
      <c r="C24">
        <v>3</v>
      </c>
      <c r="E24">
        <v>11</v>
      </c>
      <c r="F24">
        <v>17</v>
      </c>
      <c r="G24">
        <f>GETPIVOTDATA("outcome",$A$4,"outcome","successful","Sub-Category","television")/GETPIVOTDATA("outcome",$A$4,"Sub-Category","television")</f>
        <v>0.6470588235294118</v>
      </c>
    </row>
    <row r="25" spans="1:7" x14ac:dyDescent="0.25">
      <c r="A25" s="7" t="s">
        <v>2066</v>
      </c>
      <c r="C25">
        <v>7</v>
      </c>
      <c r="E25">
        <v>14</v>
      </c>
      <c r="F25">
        <v>21</v>
      </c>
      <c r="G25">
        <f>GETPIVOTDATA("outcome",$A$4,"outcome","successful","Sub-Category","translations")/GETPIVOTDATA("outcome",$A$4,"Sub-Category","translations")</f>
        <v>0.66666666666666663</v>
      </c>
    </row>
    <row r="26" spans="1:7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  <c r="G26">
        <f>GETPIVOTDATA("outcome",$A$4,"outcome","successful","Sub-Category","video games")/GETPIVOTDATA("outcome",$A$4,"Sub-Category","video games")</f>
        <v>0.48571428571428571</v>
      </c>
    </row>
    <row r="27" spans="1:7" x14ac:dyDescent="0.25">
      <c r="A27" s="7" t="s">
        <v>2068</v>
      </c>
      <c r="C27">
        <v>16</v>
      </c>
      <c r="D27">
        <v>1</v>
      </c>
      <c r="E27">
        <v>28</v>
      </c>
      <c r="F27">
        <v>45</v>
      </c>
      <c r="G27">
        <f>GETPIVOTDATA("outcome",$A$4,"outcome","successful","Sub-Category","wearables")/GETPIVOTDATA("outcome",$A$4,"Sub-Category","wearables")</f>
        <v>0.62222222222222223</v>
      </c>
    </row>
    <row r="28" spans="1:7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  <c r="G28">
        <f>GETPIVOTDATA("outcome",$A$4,"outcome","successful","Sub-Category","web")/GETPIVOTDATA("outcome",$A$4,"Sub-Category","web")</f>
        <v>0.70588235294117652</v>
      </c>
    </row>
    <row r="29" spans="1:7" x14ac:dyDescent="0.25">
      <c r="A29" s="7" t="s">
        <v>2070</v>
      </c>
      <c r="E29">
        <v>3</v>
      </c>
      <c r="F29">
        <v>3</v>
      </c>
      <c r="G29">
        <f>GETPIVOTDATA("outcome",$A$4,"outcome","successful","Sub-Category","world music")/GETPIVOTDATA("outcome",$A$4,"Sub-Category","world music")</f>
        <v>1</v>
      </c>
    </row>
    <row r="30" spans="1:7" x14ac:dyDescent="0.25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E001-B985-466E-BAB4-C01658E33E36}">
  <dimension ref="A1:F18"/>
  <sheetViews>
    <sheetView workbookViewId="0">
      <selection activeCell="G18" sqref="G1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2031</v>
      </c>
      <c r="B1" t="s">
        <v>2046</v>
      </c>
    </row>
    <row r="2" spans="1:6" x14ac:dyDescent="0.25">
      <c r="A2" s="6" t="s">
        <v>2085</v>
      </c>
      <c r="B2" t="s">
        <v>2046</v>
      </c>
    </row>
    <row r="4" spans="1:6" x14ac:dyDescent="0.25">
      <c r="A4" s="6" t="s">
        <v>2045</v>
      </c>
      <c r="B4" s="6" t="s">
        <v>2035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7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DE0B-288F-4733-8EA6-23150A8DF566}">
  <dimension ref="A1:H13"/>
  <sheetViews>
    <sheetView workbookViewId="0">
      <selection activeCell="F3" sqref="F3"/>
    </sheetView>
  </sheetViews>
  <sheetFormatPr defaultColWidth="15.375" defaultRowHeight="17.100000000000001" customHeight="1" x14ac:dyDescent="0.25"/>
  <cols>
    <col min="1" max="1" width="27.875" customWidth="1"/>
    <col min="2" max="2" width="19.25" bestFit="1" customWidth="1"/>
    <col min="3" max="3" width="15.5" bestFit="1" customWidth="1"/>
    <col min="4" max="4" width="18.625" bestFit="1" customWidth="1"/>
    <col min="5" max="5" width="14.625" bestFit="1" customWidth="1"/>
    <col min="6" max="6" width="21.875" bestFit="1" customWidth="1"/>
    <col min="7" max="7" width="18.125" bestFit="1" customWidth="1"/>
    <col min="8" max="8" width="20.875" bestFit="1" customWidth="1"/>
  </cols>
  <sheetData>
    <row r="1" spans="1:8" ht="17.100000000000001" customHeight="1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ht="17.100000000000001" customHeight="1" x14ac:dyDescent="0.25">
      <c r="A2" s="11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ht="17.100000000000001" customHeight="1" x14ac:dyDescent="0.25">
      <c r="A3" s="11" t="s">
        <v>2095</v>
      </c>
      <c r="B3">
        <f>COUNTIFS(Crowdfunding!$G$1:$G$1001,"successful",Crowdfunding!$D$1:$D$1001,"&gt;=1000",Crowdfunding!$D$1:$D$1001,"&lt;=4999")</f>
        <v>191</v>
      </c>
      <c r="C3">
        <f>COUNTIFS(Crowdfunding!$G$1:$G$1001,"failed",Crowdfunding!$D$1:$D$1001,"&gt;=1000",Crowdfunding!$D$1:$D$1001,"&lt;=4999")</f>
        <v>38</v>
      </c>
      <c r="D3">
        <f>COUNTIFS(Crowdfunding!$G$1:$G$1001,"canceled",Crowdfunding!$D$1:$D$1001,"&gt;=1000",Crowdfunding!$D$1:$D$1001,"&lt;=4999")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ht="17.100000000000001" customHeight="1" x14ac:dyDescent="0.25">
      <c r="A4" s="11" t="s">
        <v>2096</v>
      </c>
      <c r="B4">
        <f>COUNTIFS(Crowdfunding!$G$1:$G$1001,"successful",Crowdfunding!$D$1:$D$1001,"&gt;=5000",Crowdfunding!$D$1:$D$1001,"&lt;=9999")</f>
        <v>164</v>
      </c>
      <c r="C4">
        <f>COUNTIFS(Crowdfunding!$G$1:$G$1001,"failed",Crowdfunding!$D$1:$D$1001,"&gt;=5000",Crowdfunding!$D$1:$D$1001,"&lt;=9999")</f>
        <v>126</v>
      </c>
      <c r="D4">
        <f>COUNTIFS(Crowdfunding!$G$1:$G$1001,"canceled",Crowdfunding!$D$1:$D$1001,"&gt;=5000",Crowdfunding!$D$1:$D$1001,"&lt;=9999")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ht="17.100000000000001" customHeight="1" x14ac:dyDescent="0.25">
      <c r="A5" s="11" t="s">
        <v>2097</v>
      </c>
      <c r="B5">
        <f>COUNTIFS(Crowdfunding!$G$1:$G$1001,"successful",Crowdfunding!$D$1:$D$1001,"&gt;=10000",Crowdfunding!$D$1:$D$1001,"&lt;=14999")</f>
        <v>4</v>
      </c>
      <c r="C5">
        <f>COUNTIFS(Crowdfunding!$G$1:$G$1001,"failed",Crowdfunding!$D$1:$D$1001,"&gt;=10000",Crowdfunding!$D$1:$D$1001,"&lt;=14999")</f>
        <v>5</v>
      </c>
      <c r="D5">
        <f>COUNTIFS(Crowdfunding!$G$1:$G$1001,"canceled",Crowdfunding!$D$1:$D$1001,"&gt;=10000",Crowdfunding!$D$1:$D$1001,"&lt;=14999")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ht="17.100000000000001" customHeight="1" x14ac:dyDescent="0.25">
      <c r="A6" s="11" t="s">
        <v>2098</v>
      </c>
      <c r="B6">
        <f>COUNTIFS(Crowdfunding!$G$1:$G$1001,"successful",Crowdfunding!$D$1:$D$1001,"&gt;=15000",Crowdfunding!$D$1:$D$1001,"&lt;=19999")</f>
        <v>10</v>
      </c>
      <c r="C6">
        <f>COUNTIFS(Crowdfunding!$G$1:$G$1001,"failed",Crowdfunding!$D$1:$D$1001,"&gt;=15000",Crowdfunding!$D$1:$D$1001,"&lt;=19999")</f>
        <v>0</v>
      </c>
      <c r="D6">
        <f>COUNTIFS(Crowdfunding!$G$1:$G$1001,"canceled",Crowdfunding!$D$1:$D$1001,"&gt;=15000",Crowdfunding!$D$1:$D$1001,"&lt;=19999")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ht="17.100000000000001" customHeight="1" x14ac:dyDescent="0.25">
      <c r="A7" s="11" t="s">
        <v>2099</v>
      </c>
      <c r="B7">
        <f>COUNTIFS(Crowdfunding!$G$1:$G$1001,"successful",Crowdfunding!$D$1:$D$1001,"&gt;=20000",Crowdfunding!$D$1:$D$1001,"&lt;=24999")</f>
        <v>7</v>
      </c>
      <c r="C7">
        <f>COUNTIFS(Crowdfunding!$G$1:$G$1001,"failed",Crowdfunding!$D$1:$D$1001,"&gt;=20000",Crowdfunding!$D$1:$D$1001,"&lt;=24999")</f>
        <v>0</v>
      </c>
      <c r="D7">
        <f>COUNTIFS(Crowdfunding!$G$1:$G$1001,"canceled",Crowdfunding!$D$1:$D$1001,"&gt;=20000",Crowdfunding!$D$1:$D$1001,"&lt;=24999")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ht="17.100000000000001" customHeight="1" x14ac:dyDescent="0.25">
      <c r="A8" s="11" t="s">
        <v>2100</v>
      </c>
      <c r="B8">
        <f>COUNTIFS(Crowdfunding!$G$1:$G$1001,"successful",Crowdfunding!$D$1:$D$1001,"&gt;=25000",Crowdfunding!$D$1:$D$1001,"&lt;=29999")</f>
        <v>11</v>
      </c>
      <c r="C8">
        <f>COUNTIFS(Crowdfunding!$G$1:$G$1001,"failed",Crowdfunding!$D$1:$D$1001,"&gt;=25000",Crowdfunding!$D$1:$D$1001,"&lt;=29999")</f>
        <v>3</v>
      </c>
      <c r="D8">
        <f>COUNTIFS(Crowdfunding!$G$1:$G$1001,"canceled",Crowdfunding!$D$1:$D$1001,"&gt;=25000",Crowdfunding!$D$1:$D$1001,"&lt;=29999")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ht="17.100000000000001" customHeight="1" x14ac:dyDescent="0.25">
      <c r="A9" s="11" t="s">
        <v>2101</v>
      </c>
      <c r="B9">
        <f>COUNTIFS(Crowdfunding!$G$1:$G$1001,"successful",Crowdfunding!$D$1:$D$1001,"&gt;=30000",Crowdfunding!$D$1:$D$1001,"&lt;=34999")</f>
        <v>7</v>
      </c>
      <c r="C9">
        <f>COUNTIFS(Crowdfunding!$G$1:$G$1001,"failed",Crowdfunding!$D$1:$D$1001,"&gt;=30000",Crowdfunding!$D$1:$D$1001,"&lt;=34999")</f>
        <v>0</v>
      </c>
      <c r="D9">
        <f>COUNTIFS(Crowdfunding!$G$1:$G$1001,"canceled",Crowdfunding!$D$1:$D$1001,"&gt;=30000",Crowdfunding!$D$1:$D$1001,"&lt;=34999")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ht="17.100000000000001" customHeight="1" x14ac:dyDescent="0.25">
      <c r="A10" s="11" t="s">
        <v>2102</v>
      </c>
      <c r="B10">
        <f>COUNTIFS(Crowdfunding!$G$1:$G$1001,"successful",Crowdfunding!$D$1:$D$1001,"&gt;=35000",Crowdfunding!$D$1:$D$1001,"&lt;=39999")</f>
        <v>8</v>
      </c>
      <c r="C10">
        <f>COUNTIFS(Crowdfunding!$G$1:$G$1001,"failed",Crowdfunding!$D$1:$D$1001,"&gt;=35000",Crowdfunding!$D$1:$D$1001,"&lt;=39999")</f>
        <v>3</v>
      </c>
      <c r="D10">
        <f>COUNTIFS(Crowdfunding!$G$1:$G$1001,"canceled",Crowdfunding!$D$1:$D$1001,"&gt;=35000",Crowdfunding!$D$1:$D$1001,"&lt;=39999")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ht="17.100000000000001" customHeight="1" x14ac:dyDescent="0.25">
      <c r="A11" s="11" t="s">
        <v>2103</v>
      </c>
      <c r="B11">
        <f>COUNTIFS(Crowdfunding!$G$1:$G$1001,"successful",Crowdfunding!$D$1:$D$1001,"&gt;=40000",Crowdfunding!$D$1:$D$1001,"&lt;=44999")</f>
        <v>11</v>
      </c>
      <c r="C11">
        <f>COUNTIFS(Crowdfunding!$G$1:$G$1001,"failed",Crowdfunding!$D$1:$D$1001,"&gt;=40000",Crowdfunding!$D$1:$D$1001,"&lt;=44999")</f>
        <v>3</v>
      </c>
      <c r="D11">
        <f>COUNTIFS(Crowdfunding!$G$1:$G$1001,"canceled",Crowdfunding!$D$1:$D$1001,"&gt;=40000",Crowdfunding!$D$1:$D$1001,"&lt;=44999")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ht="17.100000000000001" customHeight="1" x14ac:dyDescent="0.25">
      <c r="A12" s="11" t="s">
        <v>2104</v>
      </c>
      <c r="B12">
        <f>COUNTIFS(Crowdfunding!$G$1:$G$1001,"successful",Crowdfunding!$D$1:$D$1001,"&gt;=45000",Crowdfunding!$D$1:$D$1001,"&lt;=49999")</f>
        <v>8</v>
      </c>
      <c r="C12">
        <f>COUNTIFS(Crowdfunding!$G$1:$G$1001,"failed",Crowdfunding!$D$1:$D$1001,"&gt;=45000",Crowdfunding!$D$1:$D$1001,"&lt;=49999")</f>
        <v>3</v>
      </c>
      <c r="D12">
        <f>COUNTIFS(Crowdfunding!$G$1:$G$1001,"canceled",Crowdfunding!$D$1:$D$1001,"&gt;=45000",Crowdfunding!$D$1:$D$1001,"&lt;=49999")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ht="17.100000000000001" customHeight="1" x14ac:dyDescent="0.25">
      <c r="A13" s="11" t="s">
        <v>2105</v>
      </c>
      <c r="B13">
        <f>COUNTIFS(Crowdfunding!$G$1:$G$1001,"successful",Crowdfunding!$D$1:$D$1001,"&gt;=50000")</f>
        <v>114</v>
      </c>
      <c r="C13">
        <f>COUNTIFS(Crowdfunding!$G$1:$G$1001,"failed",Crowdfunding!$D$1:$D$1001,"&gt;=50000")</f>
        <v>163</v>
      </c>
      <c r="D13">
        <f>COUNTIFS(Crowdfunding!$G$1:$G$1001,"canceled",Crowdfunding!$D$1:$D$1001,"&gt;=50000")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19BB-F3C9-40A1-87F8-8B61313DB5DF}">
  <dimension ref="A1:I566"/>
  <sheetViews>
    <sheetView workbookViewId="0">
      <selection activeCell="I10" sqref="I10"/>
    </sheetView>
  </sheetViews>
  <sheetFormatPr defaultRowHeight="15.75" x14ac:dyDescent="0.25"/>
  <cols>
    <col min="1" max="1" width="9.375" bestFit="1" customWidth="1"/>
    <col min="2" max="2" width="12.625" bestFit="1" customWidth="1"/>
    <col min="4" max="4" width="7.875" bestFit="1" customWidth="1"/>
    <col min="5" max="5" width="12.625" bestFit="1" customWidth="1"/>
    <col min="6" max="6" width="6.375" customWidth="1"/>
    <col min="7" max="7" width="24.75" bestFit="1" customWidth="1"/>
    <col min="8" max="8" width="10.125" customWidth="1"/>
    <col min="9" max="9" width="22.875" bestFit="1" customWidth="1"/>
  </cols>
  <sheetData>
    <row r="1" spans="1:9" x14ac:dyDescent="0.25">
      <c r="A1" t="s">
        <v>4</v>
      </c>
      <c r="B1" t="s">
        <v>5</v>
      </c>
      <c r="D1" t="s">
        <v>4</v>
      </c>
      <c r="E1" t="s">
        <v>5</v>
      </c>
      <c r="H1" t="s">
        <v>2112</v>
      </c>
      <c r="I1" t="s">
        <v>2113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t="s">
        <v>2106</v>
      </c>
      <c r="H2">
        <f>AVERAGE(B2:B566)</f>
        <v>851.14690265486729</v>
      </c>
      <c r="I2">
        <f>AVERAGE(E2:E365)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2107</v>
      </c>
      <c r="H3">
        <f>MEDIAN(B2:B566)</f>
        <v>201</v>
      </c>
      <c r="I3">
        <f>MEDIAN(E2:E365)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2108</v>
      </c>
      <c r="H4">
        <f>MIN(B2:B566)</f>
        <v>16</v>
      </c>
      <c r="I4">
        <f>MIN(E2:E365)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2109</v>
      </c>
      <c r="H5">
        <f>MAX(B2:B566)</f>
        <v>7295</v>
      </c>
      <c r="I5">
        <f>MAX(E2:E365)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2110</v>
      </c>
      <c r="H6">
        <f>_xlfn.VAR.P(B2:B566)</f>
        <v>1603373.7324019109</v>
      </c>
      <c r="I6">
        <f>_xlfn.VAR.P(E2:E365)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2111</v>
      </c>
      <c r="H7">
        <f>_xlfn.STDEV.P(B2:B566)</f>
        <v>1266.2439466397898</v>
      </c>
      <c r="I7">
        <f>_xlfn.STDEV.P(E2:E365)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ht="204.75" x14ac:dyDescent="0.25">
      <c r="A9" t="s">
        <v>20</v>
      </c>
      <c r="B9">
        <v>1249</v>
      </c>
      <c r="D9" t="s">
        <v>14</v>
      </c>
      <c r="E9">
        <v>200</v>
      </c>
      <c r="G9" s="13" t="s">
        <v>2114</v>
      </c>
      <c r="I9" s="13" t="s">
        <v>2115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2:D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</vt:lpstr>
      <vt:lpstr>Outcome by Sub</vt:lpstr>
      <vt:lpstr>Outcome by Month</vt:lpstr>
      <vt:lpstr>Outcome by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jason markham</cp:lastModifiedBy>
  <dcterms:created xsi:type="dcterms:W3CDTF">2021-09-29T18:52:28Z</dcterms:created>
  <dcterms:modified xsi:type="dcterms:W3CDTF">2023-06-13T18:26:18Z</dcterms:modified>
</cp:coreProperties>
</file>