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persons/person.xml" ContentType="application/vnd.ms-excel.person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OMPRAS PARA 500K AMOSTRAS" sheetId="1" state="visible" r:id="rId2"/>
    <sheet name="Mapa de Estoque e Compras (2)" sheetId="2" state="visible" r:id="rId3"/>
    <sheet name="Mapa de Estoque e Compras" sheetId="3" state="visible" r:id="rId4"/>
    <sheet name="Detalhamento Primers e Sondas" sheetId="4" state="visible" r:id="rId5"/>
    <sheet name="Produtos_Cadastro" sheetId="5" state="hidden" r:id="rId6"/>
    <sheet name="Fornecedores-Cadastro" sheetId="6" state="hidden" r:id="rId7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tc={E88952AF-DE65-A5E6-9DBC-BB6AB8233535}</author>
    <author>tc={F21E5279-2DD9-FF70-ABB6-92478793401D}</author>
  </authors>
  <commentList>
    <comment ref="R7" authorId="0" xr:uid="{E88952AF-DE65-A5E6-9DBC-BB6AB8233535}">
      <text>
        <r>
          <rPr>
            <b/>
            <sz val="9"/>
            <rFont val="Tahoma"/>
          </rPr>
          <t xml:space="preserve">Jose Junior:</t>
        </r>
        <r>
          <rPr>
            <sz val="9"/>
            <rFont val="Tahoma"/>
          </rPr>
          <t xml:space="preserve">
custo considerando que pode ser lavada 3 vezes
</t>
        </r>
      </text>
    </comment>
    <comment ref="R8" authorId="1" xr:uid="{F21E5279-2DD9-FF70-ABB6-92478793401D}">
      <text>
        <r>
          <rPr>
            <b/>
            <sz val="9"/>
            <rFont val="Tahoma"/>
          </rPr>
          <t xml:space="preserve">Jose Junior:</t>
        </r>
        <r>
          <rPr>
            <sz val="9"/>
            <rFont val="Tahoma"/>
          </rPr>
          <t xml:space="preserve">
devem ter 2.000 no laboratorio que podem ser retornadas e lavadas na unidade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tc={00D700C1-004D-4DFE-9F41-00440020005F}</author>
    <author>tc={00E400EF-0084-4DC3-B3C0-00F8000000CD}</author>
  </authors>
  <commentList>
    <comment ref="R7" authorId="0" xr:uid="{00D700C1-004D-4DFE-9F41-00440020005F}">
      <text>
        <r>
          <rPr>
            <b/>
            <sz val="9"/>
            <rFont val="Tahoma"/>
          </rPr>
          <t xml:space="preserve">Jose Junior:</t>
        </r>
        <r>
          <rPr>
            <sz val="9"/>
            <rFont val="Tahoma"/>
          </rPr>
          <t xml:space="preserve">
custo considerando que pode ser lavada 3 vezes
</t>
        </r>
      </text>
    </comment>
    <comment ref="R8" authorId="1" xr:uid="{00E400EF-0084-4DC3-B3C0-00F8000000CD}">
      <text>
        <r>
          <rPr>
            <b/>
            <sz val="9"/>
            <rFont val="Tahoma"/>
          </rPr>
          <t xml:space="preserve">Jose Junior:</t>
        </r>
        <r>
          <rPr>
            <sz val="9"/>
            <rFont val="Tahoma"/>
          </rPr>
          <t xml:space="preserve">
devem ter 2.000 no laboratorio que podem ser retornadas e lavadas na unidade 
</t>
        </r>
      </text>
    </comment>
  </commentList>
</comments>
</file>

<file path=xl/sharedStrings.xml><?xml version="1.0" encoding="utf-8"?>
<sst xmlns="http://schemas.openxmlformats.org/spreadsheetml/2006/main" count="300" uniqueCount="300">
  <si>
    <t xml:space="preserve">Objetivo </t>
  </si>
  <si>
    <t xml:space="preserve">por datapoint</t>
  </si>
  <si>
    <t xml:space="preserve">Produto (Nome Pop)</t>
  </si>
  <si>
    <t xml:space="preserve">Tipo de Produto</t>
  </si>
  <si>
    <t xml:space="preserve">Unidade de Medida de Estoque</t>
  </si>
  <si>
    <t xml:space="preserve">Qtde no Conjunto</t>
  </si>
  <si>
    <t xml:space="preserve">Qt. Conjunto</t>
  </si>
  <si>
    <t xml:space="preserve">Unidades em Estoque</t>
  </si>
  <si>
    <t xml:space="preserve">Amostras Cobertas</t>
  </si>
  <si>
    <t xml:space="preserve">Amostras Descobertas</t>
  </si>
  <si>
    <t xml:space="preserve">Necessidade Compra</t>
  </si>
  <si>
    <t xml:space="preserve">Unidade Necessidade</t>
  </si>
  <si>
    <t xml:space="preserve">Qtde de Compra</t>
  </si>
  <si>
    <t xml:space="preserve">Unidade de Compra</t>
  </si>
  <si>
    <t xml:space="preserve">Qtde no conjunto</t>
  </si>
  <si>
    <t>Cotação</t>
  </si>
  <si>
    <t xml:space="preserve">Valor Estimado da compra complementar</t>
  </si>
  <si>
    <t xml:space="preserve">Custo por amotra</t>
  </si>
  <si>
    <t xml:space="preserve">% Part</t>
  </si>
  <si>
    <t>Acumulado</t>
  </si>
  <si>
    <t>Pareto</t>
  </si>
  <si>
    <t xml:space="preserve">Fator Conversão Amostra</t>
  </si>
  <si>
    <t xml:space="preserve">Explicação do Fator</t>
  </si>
  <si>
    <t>Fornecedor</t>
  </si>
  <si>
    <t xml:space="preserve">Placas Filtro 384 Reciclavel 3x</t>
  </si>
  <si>
    <t xml:space="preserve">Placa plástica</t>
  </si>
  <si>
    <t>Individual</t>
  </si>
  <si>
    <t>Placas</t>
  </si>
  <si>
    <t xml:space="preserve">Caixa com</t>
  </si>
  <si>
    <t xml:space="preserve">x 368</t>
  </si>
  <si>
    <t xml:space="preserve">Cada placa recebe 368 amostras úteis</t>
  </si>
  <si>
    <t xml:space="preserve">Agilent Technologies</t>
  </si>
  <si>
    <t xml:space="preserve">Placas 96 </t>
  </si>
  <si>
    <t>Caixa</t>
  </si>
  <si>
    <t xml:space="preserve">Pacote com</t>
  </si>
  <si>
    <t xml:space="preserve">x 92</t>
  </si>
  <si>
    <t xml:space="preserve">Cada placa recebe 92 amostras úteis</t>
  </si>
  <si>
    <t>Loccus</t>
  </si>
  <si>
    <t xml:space="preserve">Tampas de silicone </t>
  </si>
  <si>
    <t xml:space="preserve">Tampa de silicone</t>
  </si>
  <si>
    <t>Unidade</t>
  </si>
  <si>
    <t xml:space="preserve">Cada tampa cobre  92 amostras úteis</t>
  </si>
  <si>
    <t xml:space="preserve">Placas PCR 1536 </t>
  </si>
  <si>
    <t xml:space="preserve">x 1472</t>
  </si>
  <si>
    <t xml:space="preserve">Cada placa recebe 1472 amostras úteis</t>
  </si>
  <si>
    <t>LGC</t>
  </si>
  <si>
    <t xml:space="preserve">Mastermix Taqman</t>
  </si>
  <si>
    <t>Reagentes</t>
  </si>
  <si>
    <t>ml</t>
  </si>
  <si>
    <t xml:space="preserve">Reagentes </t>
  </si>
  <si>
    <t xml:space="preserve">Frasco com </t>
  </si>
  <si>
    <t xml:space="preserve">x 1.000 amotras por ml</t>
  </si>
  <si>
    <t xml:space="preserve">Um master mix gera reagentes para 125.000 amostras</t>
  </si>
  <si>
    <t>ThermoFisher</t>
  </si>
  <si>
    <t xml:space="preserve">Ponteiras 50ul Hamilton - 96</t>
  </si>
  <si>
    <t xml:space="preserve">Ponteiras e plástico</t>
  </si>
  <si>
    <t>Ponteiras</t>
  </si>
  <si>
    <t xml:space="preserve">Caixa com </t>
  </si>
  <si>
    <t xml:space="preserve">x 10 x 92</t>
  </si>
  <si>
    <t xml:space="preserve">É possível usar uma a cada 10 placas de 92</t>
  </si>
  <si>
    <t>Hamilton</t>
  </si>
  <si>
    <t xml:space="preserve">Placas de armazenamento DNA (384) </t>
  </si>
  <si>
    <t>gbo</t>
  </si>
  <si>
    <t xml:space="preserve">Beads de Aço </t>
  </si>
  <si>
    <t xml:space="preserve">Esferas de aço</t>
  </si>
  <si>
    <t>Esferas</t>
  </si>
  <si>
    <t xml:space="preserve">Pacote com </t>
  </si>
  <si>
    <t xml:space="preserve">x 01 </t>
  </si>
  <si>
    <t xml:space="preserve">Um esfera por amostra</t>
  </si>
  <si>
    <t>Emtecorp</t>
  </si>
  <si>
    <t xml:space="preserve">Placas PCR 384 </t>
  </si>
  <si>
    <t xml:space="preserve">x 0,10 / 368</t>
  </si>
  <si>
    <t xml:space="preserve">Placa usada em teste, com base em 10% das amostras</t>
  </si>
  <si>
    <t xml:space="preserve">Ponteiras 20ul Hamilton -384</t>
  </si>
  <si>
    <t xml:space="preserve">x 10 x 368</t>
  </si>
  <si>
    <t xml:space="preserve">É possível usar uma  em cada 10 placas de 368 </t>
  </si>
  <si>
    <t xml:space="preserve">Rolo Filme Fusion Placas 1536 </t>
  </si>
  <si>
    <t xml:space="preserve">Filme plástico</t>
  </si>
  <si>
    <t>Unitario</t>
  </si>
  <si>
    <t>-</t>
  </si>
  <si>
    <t xml:space="preserve">x 4500 x 1472</t>
  </si>
  <si>
    <t xml:space="preserve">Um rolo tem 4500 unidades por placa de 1472 </t>
  </si>
  <si>
    <t xml:space="preserve">Filme colável placa 384</t>
  </si>
  <si>
    <t xml:space="preserve">Filme plástico colável</t>
  </si>
  <si>
    <t>caixa</t>
  </si>
  <si>
    <t xml:space="preserve">Rolos de Filme</t>
  </si>
  <si>
    <t xml:space="preserve">Cada filme cobre uma placa 368 </t>
  </si>
  <si>
    <t xml:space="preserve">Ponteiras Azul 1000ul </t>
  </si>
  <si>
    <t>Pacote</t>
  </si>
  <si>
    <t xml:space="preserve">Uma ponteira para cada 1472 amostras</t>
  </si>
  <si>
    <t>Kasvi</t>
  </si>
  <si>
    <t xml:space="preserve">Ponteiras Amarela 200ul</t>
  </si>
  <si>
    <t xml:space="preserve"> x 04 x 368</t>
  </si>
  <si>
    <t xml:space="preserve">Uma ponteira faz 04 placas 368 </t>
  </si>
  <si>
    <t xml:space="preserve">Ponteiras Brancas 20ul</t>
  </si>
  <si>
    <t xml:space="preserve">x 04 x 1472</t>
  </si>
  <si>
    <t xml:space="preserve">Um ponteira faz 04 placas de 1472</t>
  </si>
  <si>
    <t>Isopropanol</t>
  </si>
  <si>
    <t>lt</t>
  </si>
  <si>
    <t xml:space="preserve">01 litro x 10.000 amostras</t>
  </si>
  <si>
    <t xml:space="preserve">com base na diluição de do buffer</t>
  </si>
  <si>
    <t>Induslab</t>
  </si>
  <si>
    <t>Etanol</t>
  </si>
  <si>
    <t xml:space="preserve">01 litro x 8.000 amostras</t>
  </si>
  <si>
    <t xml:space="preserve">Um litro faz 8k de amostras em média</t>
  </si>
  <si>
    <t xml:space="preserve">Guanidina- 25kg</t>
  </si>
  <si>
    <t>g</t>
  </si>
  <si>
    <t xml:space="preserve">Acetato de sódio- 1000g</t>
  </si>
  <si>
    <t xml:space="preserve">Hidroxido de sódio- 1000g (NaHO)</t>
  </si>
  <si>
    <t>kg</t>
  </si>
  <si>
    <t xml:space="preserve">Cloreto de sódio- 1000g  NaCl</t>
  </si>
  <si>
    <t xml:space="preserve">Tris -HCL- 500g</t>
  </si>
  <si>
    <t xml:space="preserve">Ácido Cloridrico 1000ml</t>
  </si>
  <si>
    <t>litro</t>
  </si>
  <si>
    <t>EDTA-500g</t>
  </si>
  <si>
    <t>Sarkosyl</t>
  </si>
  <si>
    <t xml:space="preserve">Polisorbato -1000ml</t>
  </si>
  <si>
    <t xml:space="preserve">Primers I2X</t>
  </si>
  <si>
    <t>microlitros</t>
  </si>
  <si>
    <t xml:space="preserve">das amostras</t>
  </si>
  <si>
    <t xml:space="preserve">Sondas I2x </t>
  </si>
  <si>
    <t xml:space="preserve">Primers Ipro</t>
  </si>
  <si>
    <t xml:space="preserve">Sondas Ipro</t>
  </si>
  <si>
    <t xml:space="preserve">Primers Conquesta</t>
  </si>
  <si>
    <t xml:space="preserve">Sondas Conquesta</t>
  </si>
  <si>
    <t xml:space="preserve">amostras média de 2 datapoints</t>
  </si>
  <si>
    <t xml:space="preserve">primer thermo</t>
  </si>
  <si>
    <t xml:space="preserve">sonda thermo</t>
  </si>
  <si>
    <t>i2x</t>
  </si>
  <si>
    <t>amostras</t>
  </si>
  <si>
    <t>datapoints</t>
  </si>
  <si>
    <t>ipro</t>
  </si>
  <si>
    <t>Conkesta</t>
  </si>
  <si>
    <t>Id</t>
  </si>
  <si>
    <t>Produto</t>
  </si>
  <si>
    <t xml:space="preserve">Nome lab</t>
  </si>
  <si>
    <t>Situação</t>
  </si>
  <si>
    <t>QTd</t>
  </si>
  <si>
    <t>Característica</t>
  </si>
  <si>
    <t xml:space="preserve">FILTER PLT 384 140UL GF 0.7UM LNG 10/CS</t>
  </si>
  <si>
    <t xml:space="preserve">Placas Filtro</t>
  </si>
  <si>
    <t xml:space="preserve">003.000/Inox 304/III (FS-ADQ)</t>
  </si>
  <si>
    <t xml:space="preserve">Beads de Aço</t>
  </si>
  <si>
    <t>Comprado</t>
  </si>
  <si>
    <t xml:space="preserve">Oligonucleotídeo Dessanlinizado</t>
  </si>
  <si>
    <t>Primer</t>
  </si>
  <si>
    <t>Exxtend</t>
  </si>
  <si>
    <t xml:space="preserve">Oligonucleotídeo HPLC</t>
  </si>
  <si>
    <t xml:space="preserve">Marcação 3' BHQ1-MGB</t>
  </si>
  <si>
    <t xml:space="preserve">Sonda </t>
  </si>
  <si>
    <t xml:space="preserve">Marcação 3' BHQ2-MGB</t>
  </si>
  <si>
    <t>Sonda</t>
  </si>
  <si>
    <t xml:space="preserve">Marcação 5' Cal Flúor Red 610</t>
  </si>
  <si>
    <t xml:space="preserve">Marcação 5' FAM</t>
  </si>
  <si>
    <t xml:space="preserve">Marcação 5' TAMRA</t>
  </si>
  <si>
    <t xml:space="preserve">Marcação 5' VIC</t>
  </si>
  <si>
    <t xml:space="preserve">Ponteira Condutiva(Preta) 10ul</t>
  </si>
  <si>
    <t xml:space="preserve">Ponteira Hamilton</t>
  </si>
  <si>
    <t xml:space="preserve">Ponteira ROCKET 300ul</t>
  </si>
  <si>
    <t xml:space="preserve">Ponteira Condutiva(Preta) 50ul</t>
  </si>
  <si>
    <t>Vantage</t>
  </si>
  <si>
    <t xml:space="preserve">Equipamento Hamilton</t>
  </si>
  <si>
    <t>Equipamento</t>
  </si>
  <si>
    <t xml:space="preserve">1536 WELL-PLATES (TYPEC)</t>
  </si>
  <si>
    <t xml:space="preserve">Placas de 1536</t>
  </si>
  <si>
    <t xml:space="preserve">ADHESIVE CLEAR SEALS QPCR</t>
  </si>
  <si>
    <t xml:space="preserve">Filme Selante</t>
  </si>
  <si>
    <t xml:space="preserve">ADHESIVE PCR FILM 100MM X 80MM</t>
  </si>
  <si>
    <t xml:space="preserve">CLEAR WELD MARKII 610M X 78MM</t>
  </si>
  <si>
    <t xml:space="preserve">ALCOOL ETILICO ABSOLUTO 99,5% PA 1L</t>
  </si>
  <si>
    <t xml:space="preserve">Alcool etílico</t>
  </si>
  <si>
    <t xml:space="preserve">ALCOOL ISOPROPÍLICO PA ACS 1L</t>
  </si>
  <si>
    <t xml:space="preserve">Alcool Isopropílico</t>
  </si>
  <si>
    <t xml:space="preserve">PROVETA VIDRO BORO GRADUATE BASE 500ML</t>
  </si>
  <si>
    <t xml:space="preserve">Proveta Graduada 500ml</t>
  </si>
  <si>
    <t xml:space="preserve">PROVETA VIDRO BORO GRADUATE BASE 2L</t>
  </si>
  <si>
    <t xml:space="preserve">Proveta graduada 2L</t>
  </si>
  <si>
    <t xml:space="preserve">BECKER VIDRO BORO GRADUADO 50ml</t>
  </si>
  <si>
    <t xml:space="preserve">Becker de vidro 50ml</t>
  </si>
  <si>
    <t xml:space="preserve">BECKER VIDRO BORO GRADUADO 250ml</t>
  </si>
  <si>
    <t xml:space="preserve">Becker de vidro 250ml</t>
  </si>
  <si>
    <t xml:space="preserve">BECKER VIDRO BORO GRADUADO 1L</t>
  </si>
  <si>
    <t xml:space="preserve">Becker de vidro 1L</t>
  </si>
  <si>
    <t xml:space="preserve">Hidróxido de Sódio em Micro Prérola 100g</t>
  </si>
  <si>
    <t>NaOH</t>
  </si>
  <si>
    <t>Jklab</t>
  </si>
  <si>
    <t xml:space="preserve">N-LAUROILSARCOSINA 97.0% (HPLC) 50g</t>
  </si>
  <si>
    <t>Lauroil</t>
  </si>
  <si>
    <t xml:space="preserve">GUANIDINE THIOCYANATE 100g</t>
  </si>
  <si>
    <t>Guanidina</t>
  </si>
  <si>
    <t xml:space="preserve">ACETATO DE SODIO ANIDRO P.A 1000g</t>
  </si>
  <si>
    <t xml:space="preserve">Acetato de sódio</t>
  </si>
  <si>
    <t xml:space="preserve">CLORETO DE SODIO P.A. 1000 g</t>
  </si>
  <si>
    <t xml:space="preserve">Cloreto de Sódio</t>
  </si>
  <si>
    <t xml:space="preserve">ALCOOL ETILICO ABSOLUTO 99,5% P.A. 1000ml</t>
  </si>
  <si>
    <t xml:space="preserve">ALCOOL ISOPROPILICO P.A. 1000  ml</t>
  </si>
  <si>
    <t xml:space="preserve">TRIS (HIDROXIMETIL) AMINOMETANO P.A. 100 g</t>
  </si>
  <si>
    <t>Tris</t>
  </si>
  <si>
    <t xml:space="preserve">ACIDO CLORIDRICO 37% P.A./ACS 1000ml</t>
  </si>
  <si>
    <t xml:space="preserve">Ácido Clorídrico</t>
  </si>
  <si>
    <t xml:space="preserve">1536 WELL-PLATES (TYPE A3)</t>
  </si>
  <si>
    <t xml:space="preserve">Placa de 1536</t>
  </si>
  <si>
    <t xml:space="preserve">Kluster Caller Software</t>
  </si>
  <si>
    <t xml:space="preserve">Software Kluster Caller </t>
  </si>
  <si>
    <t>Hydrocycler</t>
  </si>
  <si>
    <t xml:space="preserve">Termocicladro para PCR</t>
  </si>
  <si>
    <t>Fusion3</t>
  </si>
  <si>
    <t xml:space="preserve">PLACA "DEEP WELL" COM 96 POCOS</t>
  </si>
  <si>
    <t xml:space="preserve">Placa de 96 </t>
  </si>
  <si>
    <t xml:space="preserve">PLACA DE VEDACAO DE SILICONE REDONDA</t>
  </si>
  <si>
    <t xml:space="preserve">Tampa de Silicone</t>
  </si>
  <si>
    <t xml:space="preserve">MICROPLACA DE PCR - 384 POCOS 120UL</t>
  </si>
  <si>
    <t xml:space="preserve">Plata de 384 </t>
  </si>
  <si>
    <t>FLUORQUANT</t>
  </si>
  <si>
    <t>Quantificador</t>
  </si>
  <si>
    <t xml:space="preserve">FLUORQUANT KIT</t>
  </si>
  <si>
    <t xml:space="preserve">Kit para uso do Fluorquant dsDNA</t>
  </si>
  <si>
    <t xml:space="preserve">TRIS-HCl 1M, pH 8,0</t>
  </si>
  <si>
    <t>Tris-HCL</t>
  </si>
  <si>
    <t>Ludwig</t>
  </si>
  <si>
    <t xml:space="preserve">HIDRÓXIDO DE SÓDIO EM MICRO PÉROLA P.A. 1000 G</t>
  </si>
  <si>
    <t xml:space="preserve">SARKOSYL - N-Lauroilsarcosina</t>
  </si>
  <si>
    <t xml:space="preserve">Sarkosyl - N- N</t>
  </si>
  <si>
    <t xml:space="preserve">TIOCIANATO DE GUANIDINA 25KG</t>
  </si>
  <si>
    <t>Tiocianato</t>
  </si>
  <si>
    <t xml:space="preserve">ACETATO DE SÓDIO TRIHIDRATADO P.A. 1000 G</t>
  </si>
  <si>
    <t xml:space="preserve">CLORETO DE SÓDIO PURÍSSIMO P.A./ACS 1000 G</t>
  </si>
  <si>
    <t xml:space="preserve">Etanol 100%</t>
  </si>
  <si>
    <t xml:space="preserve">Alcool Etílico</t>
  </si>
  <si>
    <t xml:space="preserve">EDTA 500G (ÁCIDO ETILENODIAMINO TETRACÉTICO DISSÓDICO DIIDRATADO)</t>
  </si>
  <si>
    <t>EDTA</t>
  </si>
  <si>
    <t xml:space="preserve">ÁCIDO META-FOSFÓRICO 1000 G</t>
  </si>
  <si>
    <t xml:space="preserve">Ácido Meta-Fosfósrico</t>
  </si>
  <si>
    <t xml:space="preserve">TWEEN 20 -500ML [9005-64-5]</t>
  </si>
  <si>
    <t>Tween</t>
  </si>
  <si>
    <t>SDS</t>
  </si>
  <si>
    <t xml:space="preserve">FRASCO REAGENTE TP AZUL DE ROSCA 250ML</t>
  </si>
  <si>
    <t>NanoBioTech</t>
  </si>
  <si>
    <t xml:space="preserve">PROVETA GRAD.BASE PLASTICA 50ML</t>
  </si>
  <si>
    <t xml:space="preserve">MASCARA N95 PPF2 - MIL</t>
  </si>
  <si>
    <t xml:space="preserve">PISSETA GRAD.CAP.500ML POLIETILENO 9016</t>
  </si>
  <si>
    <t xml:space="preserve">PIPETA PASTEUR 3ML ESTERIL EMBALAGEM</t>
  </si>
  <si>
    <t xml:space="preserve">PIPETADOR ACOPL. 25ML COR VERMELHA</t>
  </si>
  <si>
    <t xml:space="preserve">ESP. C/ COLHER,20cm MOD063-A4</t>
  </si>
  <si>
    <t xml:space="preserve">ESP. C/ COLHER CHAPA AÇO INOX 304</t>
  </si>
  <si>
    <t xml:space="preserve">PIPETA SOROLOGICA GRADUADA 20ML</t>
  </si>
  <si>
    <t xml:space="preserve">BECKER EM PP GRAD.600ML ALTO RELEVO</t>
  </si>
  <si>
    <t xml:space="preserve">BECKER EM PP GRAD.250ML</t>
  </si>
  <si>
    <t xml:space="preserve">RESERVATORIO PARA SOLUCOES 50ML</t>
  </si>
  <si>
    <t xml:space="preserve">BARQUINHA PARA PESAGEM EM BALANCAS</t>
  </si>
  <si>
    <t xml:space="preserve">CAIXA DE FIBRA PAPELAO C/100 LUGARES</t>
  </si>
  <si>
    <t xml:space="preserve">Clear Weld Mark II 610 m x 78 mm</t>
  </si>
  <si>
    <t>Pensabio</t>
  </si>
  <si>
    <t xml:space="preserve">1536 well-plates (Type C) w single bar code </t>
  </si>
  <si>
    <t xml:space="preserve">SONDA MGB 50000 PMOLAN MGB 50000PMOL</t>
  </si>
  <si>
    <t xml:space="preserve">ACIDO NUCLEICO INICIADOR 130NAO MARCADO</t>
  </si>
  <si>
    <t>Primers</t>
  </si>
  <si>
    <t xml:space="preserve">SONDA QSY TAQMAN PCR TEMPO REAL 50000 PMOL</t>
  </si>
  <si>
    <t xml:space="preserve">MISTURA MASTER TAQMAN PROAMP MULTILEX 125 ML</t>
  </si>
  <si>
    <t>Mistura</t>
  </si>
  <si>
    <t xml:space="preserve">FG PLACA  TRANSPARENTE DE 384</t>
  </si>
  <si>
    <t xml:space="preserve">Placa 384</t>
  </si>
  <si>
    <t xml:space="preserve">Master mix</t>
  </si>
  <si>
    <t xml:space="preserve">FILME ADESIVO OPTICO MICROAMP 100 FILMES</t>
  </si>
  <si>
    <t xml:space="preserve">Selante </t>
  </si>
  <si>
    <t xml:space="preserve">Centrífuga NT 820</t>
  </si>
  <si>
    <t>novatecnica</t>
  </si>
  <si>
    <t xml:space="preserve">Placas Filtro 384 (PRDG)</t>
  </si>
  <si>
    <t>Pherastar</t>
  </si>
  <si>
    <t xml:space="preserve">BMG Labtech</t>
  </si>
  <si>
    <t>Estufa</t>
  </si>
  <si>
    <t>Multidrop</t>
  </si>
  <si>
    <t xml:space="preserve">Notebook Fusion3 </t>
  </si>
  <si>
    <t xml:space="preserve">Sem fornecedor específico</t>
  </si>
  <si>
    <t xml:space="preserve">Notebook Qst5</t>
  </si>
  <si>
    <t xml:space="preserve">Notebook Kluster Kaller/Pherastar</t>
  </si>
  <si>
    <t xml:space="preserve">Paint Mixer</t>
  </si>
  <si>
    <t xml:space="preserve">Vitoria &amp; Cia</t>
  </si>
  <si>
    <t xml:space="preserve">Orbital Shaker</t>
  </si>
  <si>
    <t>Biosan</t>
  </si>
  <si>
    <t xml:space="preserve">Balança Analítica</t>
  </si>
  <si>
    <t xml:space="preserve">BEL engineering</t>
  </si>
  <si>
    <t xml:space="preserve">Agitador magnético</t>
  </si>
  <si>
    <t>phmetro</t>
  </si>
  <si>
    <t>QUIMIS</t>
  </si>
  <si>
    <t xml:space="preserve">Quant studio 5</t>
  </si>
  <si>
    <t xml:space="preserve">Freezer -20</t>
  </si>
  <si>
    <t>GELOPAR</t>
  </si>
  <si>
    <t>Geladeira</t>
  </si>
  <si>
    <t>ELETROLUX</t>
  </si>
  <si>
    <t xml:space="preserve">Tv 50 pol </t>
  </si>
  <si>
    <t>Lg</t>
  </si>
  <si>
    <t xml:space="preserve">Compressor de Ar </t>
  </si>
  <si>
    <t xml:space="preserve">Computador Vantage (Hamilton)</t>
  </si>
  <si>
    <t xml:space="preserve">Filtro Osmose Reversa </t>
  </si>
  <si>
    <t>VEXER</t>
  </si>
  <si>
    <t xml:space="preserve">Autoclave Automática</t>
  </si>
  <si>
    <t>Solidsteel</t>
  </si>
  <si>
    <t>id</t>
  </si>
  <si>
    <t xml:space="preserve">Fornecedores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</si>
</sst>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-* #,##0_-;\-* #,##0_-;_-* &quot;-&quot;??_-;_-@_-"/>
    <numFmt numFmtId="167" formatCode="_-* #,##0.00000000_-;\-* #,##0.00000000_-;_-* &quot;-&quot;??_-;_-@_-"/>
    <numFmt numFmtId="168" formatCode="&quot;R$&quot;\ #,##0.00"/>
    <numFmt numFmtId="169" formatCode="_-&quot;R$&quot;\ * #,##0.0000_-;\-&quot;R$&quot;\ * #,##0.0000_-;_-&quot;R$&quot;\ * &quot;-&quot;??_-;_-@_-"/>
    <numFmt numFmtId="170" formatCode="_-&quot;R$&quot;\ * #,##0.000_-;\-&quot;R$&quot;\ * #,##0.000_-;_-&quot;R$&quot;\ * &quot;-&quot;??_-;_-@_-"/>
  </numFmts>
  <fonts count="11">
    <font>
      <sz val="11.000000"/>
      <color theme="1"/>
      <name val="Aptos Narrow"/>
      <scheme val="minor"/>
    </font>
    <font>
      <sz val="9.000000"/>
      <color theme="1"/>
      <name val="Aptos Narrow"/>
      <scheme val="minor"/>
    </font>
    <font>
      <b/>
      <sz val="9.000000"/>
      <color theme="1"/>
      <name val="Aptos Narrow"/>
      <scheme val="minor"/>
    </font>
    <font>
      <sz val="8.000000"/>
      <color theme="1"/>
      <name val="Aptos Narrow"/>
      <scheme val="minor"/>
    </font>
    <font>
      <sz val="8.000000"/>
      <color theme="1" tint="0.049989318521683403"/>
      <name val="Aptos Narrow"/>
      <scheme val="minor"/>
    </font>
    <font>
      <i/>
      <sz val="8.000000"/>
      <color theme="1"/>
      <name val="Aptos Narrow"/>
      <scheme val="minor"/>
    </font>
    <font>
      <sz val="8.000000"/>
      <color indexed="2"/>
      <name val="Aptos Narrow"/>
      <scheme val="minor"/>
    </font>
    <font>
      <sz val="9.000000"/>
      <color rgb="FF002060"/>
      <name val="Aptos Narrow"/>
      <scheme val="minor"/>
    </font>
    <font>
      <sz val="8.000000"/>
      <color rgb="FF002060"/>
      <name val="Aptos Narrow"/>
      <scheme val="minor"/>
    </font>
    <font>
      <sz val="9.000000"/>
      <color rgb="FF0070C0"/>
      <name val="Aptos Narrow"/>
      <scheme val="minor"/>
    </font>
    <font>
      <sz val="8.000000"/>
      <color rgb="FF0070C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6" tint="0.79998168889431442"/>
      </patternFill>
    </fill>
    <fill>
      <patternFill patternType="solid">
        <fgColor theme="0" tint="-0.249977111117893"/>
      </patternFill>
    </fill>
    <fill>
      <patternFill patternType="solid">
        <fgColor indexed="43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theme="6" tint="0.59996337778862885"/>
      </top>
      <bottom style="thin">
        <color theme="6" tint="0.59996337778862885"/>
      </bottom>
      <diagonal style="none"/>
    </border>
    <border>
      <left style="none"/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 style="none"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 style="none"/>
    </border>
    <border>
      <left style="thin">
        <color theme="6" tint="0.59996337778862885"/>
      </left>
      <right style="none"/>
      <top style="thin">
        <color theme="6" tint="0.59996337778862885"/>
      </top>
      <bottom style="thin">
        <color theme="6" tint="0.59996337778862885"/>
      </bottom>
      <diagonal style="none"/>
    </border>
  </borders>
  <cellStyleXfs count="6">
    <xf fontId="0" fillId="0" borderId="0" numFmtId="0" applyNumberFormat="1" applyFont="1" applyFill="1" applyBorder="1"/>
    <xf fontId="0" fillId="2" borderId="0" numFmtId="164" applyNumberFormat="1" applyFont="0" applyFill="0" applyBorder="0"/>
    <xf fontId="0" fillId="2" borderId="0" numFmtId="164" applyNumberFormat="1" applyFont="0" applyFill="0" applyBorder="0"/>
    <xf fontId="0" fillId="0" borderId="0" numFmtId="9" applyNumberFormat="1" applyFont="0" applyFill="0" applyBorder="0" applyProtection="0"/>
    <xf fontId="0" fillId="2" borderId="0" numFmtId="165" applyNumberFormat="1" applyFont="0" applyFill="0" applyBorder="0"/>
    <xf fontId="0" fillId="2" borderId="0" numFmtId="165" applyNumberFormat="1" applyFont="0" applyFill="0" applyBorder="0"/>
  </cellStyleXfs>
  <cellXfs count="73">
    <xf fontId="0" fillId="0" borderId="0" numFmtId="0" xfId="0"/>
    <xf fontId="1" fillId="0" borderId="0" numFmtId="166" xfId="4" applyNumberFormat="1" applyFont="1" applyAlignment="1">
      <alignment vertical="center"/>
    </xf>
    <xf fontId="1" fillId="0" borderId="0" numFmtId="166" xfId="4" applyNumberFormat="1" applyFont="1" applyAlignment="1">
      <alignment horizontal="left" vertical="center"/>
    </xf>
    <xf fontId="1" fillId="0" borderId="0" numFmtId="164" xfId="1" applyNumberFormat="1" applyFont="1" applyAlignment="1">
      <alignment vertical="center"/>
    </xf>
    <xf fontId="1" fillId="0" borderId="0" numFmtId="9" xfId="3" applyNumberFormat="1" applyFont="1" applyAlignment="1">
      <alignment horizontal="center" vertical="center"/>
    </xf>
    <xf fontId="1" fillId="0" borderId="0" numFmtId="167" xfId="4" applyNumberFormat="1" applyFont="1" applyAlignment="1">
      <alignment horizontal="center" vertical="center"/>
    </xf>
    <xf fontId="1" fillId="0" borderId="0" numFmtId="167" xfId="4" applyNumberFormat="1" applyFont="1" applyAlignment="1">
      <alignment horizontal="left" vertical="center"/>
    </xf>
    <xf fontId="1" fillId="3" borderId="1" numFmtId="166" xfId="4" applyNumberFormat="1" applyFont="1" applyFill="1" applyBorder="1" applyAlignment="1">
      <alignment vertical="center"/>
    </xf>
    <xf fontId="2" fillId="3" borderId="1" numFmtId="166" xfId="4" applyNumberFormat="1" applyFont="1" applyFill="1" applyBorder="1" applyAlignment="1">
      <alignment vertical="center"/>
    </xf>
    <xf fontId="2" fillId="3" borderId="1" numFmtId="164" xfId="1" applyNumberFormat="1" applyFont="1" applyFill="1" applyBorder="1" applyAlignment="1">
      <alignment vertical="center"/>
    </xf>
    <xf fontId="1" fillId="3" borderId="1" numFmtId="164" xfId="1" applyNumberFormat="1" applyFont="1" applyFill="1" applyBorder="1" applyAlignment="1">
      <alignment vertical="center"/>
    </xf>
    <xf fontId="1" fillId="0" borderId="0" numFmtId="166" xfId="4" applyNumberFormat="1" applyFont="1" applyAlignment="1">
      <alignment vertical="center"/>
    </xf>
    <xf fontId="1" fillId="0" borderId="0" numFmtId="9" xfId="3" applyNumberFormat="1" applyFont="1" applyAlignment="1">
      <alignment horizontal="center" vertical="center"/>
    </xf>
    <xf fontId="1" fillId="0" borderId="0" numFmtId="166" xfId="4" applyNumberFormat="1" applyFont="1" applyAlignment="1">
      <alignment horizontal="center" vertical="center" wrapText="1"/>
    </xf>
    <xf fontId="1" fillId="3" borderId="0" numFmtId="166" xfId="4" applyNumberFormat="1" applyFont="1" applyFill="1" applyAlignment="1">
      <alignment horizontal="left" vertical="center" wrapText="1"/>
    </xf>
    <xf fontId="1" fillId="3" borderId="0" numFmtId="166" xfId="4" applyNumberFormat="1" applyFont="1" applyFill="1" applyAlignment="1">
      <alignment horizontal="center" vertical="center" wrapText="1"/>
    </xf>
    <xf fontId="1" fillId="4" borderId="0" numFmtId="166" xfId="4" applyNumberFormat="1" applyFont="1" applyFill="1" applyAlignment="1">
      <alignment horizontal="center" vertical="center" wrapText="1"/>
    </xf>
    <xf fontId="1" fillId="3" borderId="0" numFmtId="166" xfId="4" applyNumberFormat="1" applyFont="1" applyFill="1" applyAlignment="1">
      <alignment horizontal="center" vertical="center" wrapText="1"/>
    </xf>
    <xf fontId="1" fillId="3" borderId="0" numFmtId="9" xfId="3" applyNumberFormat="1" applyFont="1" applyFill="1" applyAlignment="1">
      <alignment horizontal="center" vertical="center" wrapText="1"/>
    </xf>
    <xf fontId="3" fillId="0" borderId="2" numFmtId="166" xfId="4" applyNumberFormat="1" applyFont="1" applyBorder="1" applyAlignment="1">
      <alignment horizontal="left" vertical="center"/>
    </xf>
    <xf fontId="3" fillId="0" borderId="0" numFmtId="0" xfId="0" applyFont="1"/>
    <xf fontId="3" fillId="0" borderId="3" numFmtId="166" xfId="4" applyNumberFormat="1" applyFont="1" applyBorder="1" applyAlignment="1">
      <alignment vertical="center"/>
    </xf>
    <xf fontId="3" fillId="0" borderId="4" numFmtId="166" xfId="4" applyNumberFormat="1" applyFont="1" applyBorder="1" applyAlignment="1">
      <alignment vertical="center"/>
    </xf>
    <xf fontId="3" fillId="3" borderId="4" numFmtId="166" xfId="4" applyNumberFormat="1" applyFont="1" applyFill="1" applyBorder="1" applyAlignment="1">
      <alignment vertical="center"/>
    </xf>
    <xf fontId="3" fillId="0" borderId="5" numFmtId="166" xfId="4" applyNumberFormat="1" applyFont="1" applyBorder="1" applyAlignment="1">
      <alignment vertical="center"/>
    </xf>
    <xf fontId="3" fillId="3" borderId="2" numFmtId="166" xfId="4" applyNumberFormat="1" applyFont="1" applyFill="1" applyBorder="1" applyAlignment="1">
      <alignment vertical="center"/>
    </xf>
    <xf fontId="3" fillId="4" borderId="2" numFmtId="166" xfId="4" applyNumberFormat="1" applyFont="1" applyFill="1" applyBorder="1" applyAlignment="1">
      <alignment vertical="center"/>
    </xf>
    <xf fontId="3" fillId="0" borderId="2" numFmtId="166" xfId="4" applyNumberFormat="1" applyFont="1" applyBorder="1" applyAlignment="1">
      <alignment vertical="center"/>
    </xf>
    <xf fontId="4" fillId="0" borderId="4" numFmtId="168" xfId="1" applyNumberFormat="1" applyFont="1" applyBorder="1" applyAlignment="1">
      <alignment vertical="center"/>
    </xf>
    <xf fontId="5" fillId="0" borderId="5" numFmtId="10" xfId="3" applyNumberFormat="1" applyFont="1" applyBorder="1" applyAlignment="1">
      <alignment horizontal="center" vertical="center"/>
    </xf>
    <xf fontId="4" fillId="0" borderId="4" numFmtId="9" xfId="3" applyNumberFormat="1" applyFont="1" applyBorder="1" applyAlignment="1">
      <alignment horizontal="center" vertical="center"/>
    </xf>
    <xf fontId="3" fillId="0" borderId="0" numFmtId="166" xfId="4" applyNumberFormat="1" applyFont="1" applyAlignment="1">
      <alignment vertical="center"/>
    </xf>
    <xf fontId="3" fillId="0" borderId="4" numFmtId="167" xfId="4" applyNumberFormat="1" applyFont="1" applyBorder="1" applyAlignment="1">
      <alignment horizontal="center" vertical="center"/>
    </xf>
    <xf fontId="3" fillId="0" borderId="4" numFmtId="167" xfId="4" applyNumberFormat="1" applyFont="1" applyBorder="1" applyAlignment="1">
      <alignment horizontal="left" vertical="center"/>
    </xf>
    <xf fontId="3" fillId="0" borderId="0" numFmtId="10" xfId="3" applyNumberFormat="1" applyFont="1" applyAlignment="1">
      <alignment horizontal="center" vertical="center"/>
    </xf>
    <xf fontId="6" fillId="0" borderId="2" numFmtId="166" xfId="4" applyNumberFormat="1" applyFont="1" applyBorder="1" applyAlignment="1">
      <alignment horizontal="left" vertical="center"/>
    </xf>
    <xf fontId="3" fillId="0" borderId="4" numFmtId="165" xfId="4" applyNumberFormat="1" applyFont="1" applyBorder="1" applyAlignment="1">
      <alignment horizontal="center" vertical="center"/>
    </xf>
    <xf fontId="7" fillId="0" borderId="0" numFmtId="166" xfId="4" applyNumberFormat="1" applyFont="1" applyAlignment="1">
      <alignment vertical="center"/>
    </xf>
    <xf fontId="8" fillId="0" borderId="2" numFmtId="166" xfId="4" applyNumberFormat="1" applyFont="1" applyBorder="1" applyAlignment="1">
      <alignment horizontal="left" vertical="center"/>
    </xf>
    <xf fontId="8" fillId="0" borderId="0" numFmtId="166" xfId="4" applyNumberFormat="1" applyFont="1" applyAlignment="1">
      <alignment vertical="center"/>
    </xf>
    <xf fontId="8" fillId="0" borderId="3" numFmtId="166" xfId="4" applyNumberFormat="1" applyFont="1" applyBorder="1" applyAlignment="1">
      <alignment vertical="center"/>
    </xf>
    <xf fontId="8" fillId="0" borderId="4" numFmtId="166" xfId="4" applyNumberFormat="1" applyFont="1" applyBorder="1" applyAlignment="1">
      <alignment vertical="center"/>
    </xf>
    <xf fontId="8" fillId="3" borderId="4" numFmtId="166" xfId="4" applyNumberFormat="1" applyFont="1" applyFill="1" applyBorder="1" applyAlignment="1">
      <alignment vertical="center"/>
    </xf>
    <xf fontId="8" fillId="0" borderId="5" numFmtId="166" xfId="4" applyNumberFormat="1" applyFont="1" applyBorder="1" applyAlignment="1">
      <alignment vertical="center"/>
    </xf>
    <xf fontId="8" fillId="3" borderId="2" numFmtId="166" xfId="4" applyNumberFormat="1" applyFont="1" applyFill="1" applyBorder="1" applyAlignment="1">
      <alignment vertical="center"/>
    </xf>
    <xf fontId="8" fillId="4" borderId="2" numFmtId="166" xfId="4" applyNumberFormat="1" applyFont="1" applyFill="1" applyBorder="1" applyAlignment="1">
      <alignment vertical="center"/>
    </xf>
    <xf fontId="8" fillId="0" borderId="2" numFmtId="166" xfId="4" applyNumberFormat="1" applyFont="1" applyBorder="1" applyAlignment="1">
      <alignment vertical="center"/>
    </xf>
    <xf fontId="8" fillId="0" borderId="4" numFmtId="168" xfId="1" applyNumberFormat="1" applyFont="1" applyBorder="1" applyAlignment="1">
      <alignment vertical="center"/>
    </xf>
    <xf fontId="8" fillId="0" borderId="4" numFmtId="9" xfId="3" applyNumberFormat="1" applyFont="1" applyBorder="1" applyAlignment="1">
      <alignment horizontal="center" vertical="center"/>
    </xf>
    <xf fontId="8" fillId="0" borderId="4" numFmtId="167" xfId="4" applyNumberFormat="1" applyFont="1" applyBorder="1" applyAlignment="1">
      <alignment horizontal="left" vertical="center"/>
    </xf>
    <xf fontId="9" fillId="0" borderId="0" numFmtId="166" xfId="4" applyNumberFormat="1" applyFont="1" applyAlignment="1">
      <alignment vertical="center"/>
    </xf>
    <xf fontId="10" fillId="0" borderId="2" numFmtId="166" xfId="4" applyNumberFormat="1" applyFont="1" applyBorder="1" applyAlignment="1">
      <alignment horizontal="left" vertical="center"/>
    </xf>
    <xf fontId="10" fillId="0" borderId="0" numFmtId="166" xfId="4" applyNumberFormat="1" applyFont="1" applyAlignment="1">
      <alignment vertical="center"/>
    </xf>
    <xf fontId="10" fillId="0" borderId="3" numFmtId="166" xfId="4" applyNumberFormat="1" applyFont="1" applyBorder="1" applyAlignment="1">
      <alignment vertical="center"/>
    </xf>
    <xf fontId="10" fillId="0" borderId="4" numFmtId="166" xfId="4" applyNumberFormat="1" applyFont="1" applyBorder="1" applyAlignment="1">
      <alignment vertical="center"/>
    </xf>
    <xf fontId="10" fillId="3" borderId="4" numFmtId="166" xfId="4" applyNumberFormat="1" applyFont="1" applyFill="1" applyBorder="1" applyAlignment="1">
      <alignment vertical="center"/>
    </xf>
    <xf fontId="10" fillId="0" borderId="5" numFmtId="166" xfId="4" applyNumberFormat="1" applyFont="1" applyBorder="1" applyAlignment="1">
      <alignment vertical="center"/>
    </xf>
    <xf fontId="10" fillId="3" borderId="2" numFmtId="166" xfId="4" applyNumberFormat="1" applyFont="1" applyFill="1" applyBorder="1" applyAlignment="1">
      <alignment vertical="center"/>
    </xf>
    <xf fontId="10" fillId="4" borderId="2" numFmtId="166" xfId="4" applyNumberFormat="1" applyFont="1" applyFill="1" applyBorder="1" applyAlignment="1">
      <alignment vertical="center"/>
    </xf>
    <xf fontId="10" fillId="0" borderId="2" numFmtId="166" xfId="4" applyNumberFormat="1" applyFont="1" applyBorder="1" applyAlignment="1">
      <alignment vertical="center"/>
    </xf>
    <xf fontId="3" fillId="0" borderId="4" numFmtId="164" xfId="1" applyNumberFormat="1" applyFont="1" applyBorder="1" applyAlignment="1">
      <alignment vertical="center"/>
    </xf>
    <xf fontId="10" fillId="0" borderId="4" numFmtId="164" xfId="1" applyNumberFormat="1" applyFont="1" applyBorder="1" applyAlignment="1">
      <alignment vertical="center"/>
    </xf>
    <xf fontId="3" fillId="0" borderId="4" numFmtId="169" xfId="1" applyNumberFormat="1" applyFont="1" applyBorder="1" applyAlignment="1">
      <alignment vertical="center"/>
    </xf>
    <xf fontId="10" fillId="0" borderId="4" numFmtId="167" xfId="4" applyNumberFormat="1" applyFont="1" applyBorder="1" applyAlignment="1">
      <alignment horizontal="center" vertical="center"/>
    </xf>
    <xf fontId="10" fillId="0" borderId="4" numFmtId="167" xfId="4" applyNumberFormat="1" applyFont="1" applyBorder="1" applyAlignment="1">
      <alignment horizontal="left" vertical="center"/>
    </xf>
    <xf fontId="4" fillId="5" borderId="4" numFmtId="168" xfId="1" applyNumberFormat="1" applyFont="1" applyFill="1" applyBorder="1" applyAlignment="1">
      <alignment vertical="center"/>
    </xf>
    <xf fontId="1" fillId="2" borderId="0" numFmtId="166" xfId="5" applyNumberFormat="1" applyFont="1" applyFill="1" applyAlignment="1">
      <alignment horizontal="left" vertical="center"/>
    </xf>
    <xf fontId="1" fillId="2" borderId="0" numFmtId="164" xfId="2" applyNumberFormat="1" applyFont="1" applyFill="1"/>
    <xf fontId="1" fillId="2" borderId="0" numFmtId="166" xfId="5" applyNumberFormat="1" applyFont="1" applyFill="1" applyAlignment="1">
      <alignment vertical="center"/>
    </xf>
    <xf fontId="1" fillId="2" borderId="0" numFmtId="169" xfId="2" applyNumberFormat="1" applyFont="1" applyFill="1"/>
    <xf fontId="2" fillId="2" borderId="0" numFmtId="164" xfId="2" applyNumberFormat="1" applyFont="1" applyFill="1"/>
    <xf fontId="1" fillId="2" borderId="0" numFmtId="170" xfId="2" applyNumberFormat="1" applyFont="1" applyFill="1"/>
    <xf fontId="0" fillId="0" borderId="0" numFmtId="0" xfId="0" applyAlignment="1">
      <alignment horizontal="center" vertical="center"/>
    </xf>
  </cellXfs>
  <cellStyles count="6">
    <cellStyle name="Moeda" xfId="1" builtinId="4"/>
    <cellStyle name="Moeda 2" xfId="2"/>
    <cellStyle name="Normal" xfId="0" builtinId="0"/>
    <cellStyle name="Porcentagem" xfId="3" builtinId="5"/>
    <cellStyle name="Vírgula" xfId="4" builtinId="3"/>
    <cellStyle name="Vírgula 2" xfId="5"/>
  </cellStyles>
  <dxfs count="9"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  <dxf>
      <alignment horizontal="center" indent="0" relativeIndent="0" shrinkToFit="0" textRotation="0" vertical="center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10" Type="http://schemas.openxmlformats.org/officeDocument/2006/relationships/styles" Target="styles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worksheet" Target="worksheets/sheet3.xml"/><Relationship  Id="rId5" Type="http://schemas.openxmlformats.org/officeDocument/2006/relationships/worksheet" Target="worksheets/sheet4.xml"/><Relationship  Id="rId6" Type="http://schemas.openxmlformats.org/officeDocument/2006/relationships/worksheet" Target="worksheets/sheet5.xml"/><Relationship  Id="rId7" Type="http://schemas.openxmlformats.org/officeDocument/2006/relationships/worksheet" Target="worksheets/sheet6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Junior" id="{4CBB74A2-7951-C4C6-4418-A4250894B0B4}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A1:G102">
  <autoFilter ref="A1:G102"/>
  <tableColumns count="7">
    <tableColumn id="1" name="Id" dataDxfId="0"/>
    <tableColumn id="2" name="Produto" dataDxfId="1"/>
    <tableColumn id="3" name="Nome lab" dataDxfId="2"/>
    <tableColumn id="4" name="Fornecedor" dataDxfId="3"/>
    <tableColumn id="5" name="Situação" dataDxfId="4"/>
    <tableColumn id="6" name="QTd" dataDxfId="5"/>
    <tableColumn id="7" name="Característica" dataDxfId="6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1" ref="A1:B28">
  <autoFilter ref="A1:B28"/>
  <tableColumns count="2">
    <tableColumn id="1" name="id" dataDxfId="7"/>
    <tableColumn id="2" name="Fornecedores " dataDxfId="8"/>
  </tableColumns>
  <tableStyleInfo name="TableStyleLight3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7" personId="{4CBB74A2-7951-C4C6-4418-A4250894B0B4}" id="{E88952AF-DE65-A5E6-9DBC-BB6AB8233535}" done="0">
    <text xml:space="preserve">custo considerando que pode ser lavada 3 vezes
</text>
  </threadedComment>
  <threadedComment ref="R8" personId="{4CBB74A2-7951-C4C6-4418-A4250894B0B4}" id="{F21E5279-2DD9-FF70-ABB6-92478793401D}" done="0">
    <text xml:space="preserve">devem ter 2.000 no laboratorio que podem ser retornadas e lavadas na unidade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7" personId="{4CBB74A2-7951-C4C6-4418-A4250894B0B4}" id="{00D700C1-004D-4DFE-9F41-00440020005F}" done="0">
    <text xml:space="preserve">custo considerando que pode ser lavada 3 vezes
</text>
  </threadedComment>
  <threadedComment ref="R8" personId="{4CBB74A2-7951-C4C6-4418-A4250894B0B4}" id="{00E400EF-0084-4DC3-B3C0-00F8000000CD}" done="0">
    <text xml:space="preserve">devem ter 2.000 no laboratorio que podem ser retornadas e lavadas na unidade 
</text>
  </threadedComment>
</ThreadedComment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3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topLeftCell="A21" zoomScale="100" workbookViewId="0">
      <selection activeCell="F5" activeCellId="0" sqref="F5"/>
    </sheetView>
  </sheetViews>
  <sheetFormatPr defaultRowHeight="14.25"/>
  <cols>
    <col customWidth="1" min="1" max="1" style="1" width="3"/>
    <col customWidth="1" min="2" max="2" style="2" width="24"/>
    <col customWidth="1" hidden="1" min="3" max="3" style="2" width="14.44140625"/>
    <col customWidth="1" hidden="1" min="4" max="4" style="2" width="10.33203125"/>
    <col customWidth="1" hidden="1" min="5" max="5" width="0"/>
    <col customWidth="1" hidden="1" min="6" max="6" style="1" width="10.44140625"/>
    <col customWidth="1" hidden="1" min="7" max="7" style="1" width="6.6640625"/>
    <col customWidth="1" hidden="1" min="8" max="8" style="1" width="7.77734375"/>
    <col customWidth="1" hidden="1" min="9" max="9" style="1" width="10.6640625"/>
    <col customWidth="1" hidden="1" min="10" max="10" style="1" width="13.6640625"/>
    <col customWidth="1" min="11" max="11" style="1" width="11.33203125"/>
    <col customWidth="1" hidden="1" min="12" max="12" style="1" width="14.88671875"/>
    <col customWidth="1" min="13" max="13" style="1" width="9"/>
    <col customWidth="1" hidden="1" min="14" max="14" style="1" width="9.109375"/>
    <col customWidth="1" hidden="1" min="15" max="15" style="1" width="7.88671875"/>
    <col customWidth="1" min="16" max="16" style="3" width="14.88671875"/>
    <col customWidth="1" min="17" max="17" style="3" width="16.88671875"/>
    <col customWidth="1" min="18" max="18" style="3" width="16.33203125"/>
    <col customWidth="1" min="19" max="19" style="1" width="7.109375"/>
    <col customWidth="1" min="20" max="20" style="1" width="11.75390625"/>
    <col customWidth="1" min="21" max="21" style="4" width="9.75390625"/>
    <col customWidth="1" min="22" max="22" style="1" width="42"/>
    <col customWidth="1" min="23" max="23" style="5" width="18.21875"/>
    <col customWidth="1" min="24" max="24" style="6" width="32.44140625"/>
    <col customWidth="1" min="25" max="25" style="2" width="18.44140625"/>
    <col min="26" max="16384" style="1" width="8.88671875"/>
  </cols>
  <sheetData>
    <row r="1" ht="8.4000000000000004" customHeight="1"/>
    <row r="2" ht="19.800000000000001" customHeight="1">
      <c r="B2" s="7" t="s">
        <v>0</v>
      </c>
      <c r="J2" s="1"/>
      <c r="K2" s="8">
        <v>500000</v>
      </c>
      <c r="Q2" s="9">
        <f>SUM(Q5:Q37)</f>
        <v>840246.29531714285</v>
      </c>
      <c r="R2" s="10">
        <f>Q2/K2/2</f>
        <v>0.8402462953171429</v>
      </c>
      <c r="S2" s="1" t="s">
        <v>1</v>
      </c>
      <c r="T2" s="11"/>
      <c r="U2" s="12"/>
    </row>
    <row r="3" ht="11.4" customHeight="1"/>
    <row r="4" s="13" customFormat="1" ht="33.75">
      <c r="B4" s="14" t="s">
        <v>2</v>
      </c>
      <c r="C4" s="14" t="s">
        <v>3</v>
      </c>
      <c r="D4" s="14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6" t="s">
        <v>10</v>
      </c>
      <c r="L4" s="15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7" t="s">
        <v>19</v>
      </c>
      <c r="U4" s="18" t="s">
        <v>20</v>
      </c>
      <c r="W4" s="15" t="s">
        <v>21</v>
      </c>
      <c r="X4" s="14" t="s">
        <v>22</v>
      </c>
      <c r="Y4" s="14" t="s">
        <v>23</v>
      </c>
    </row>
    <row r="5" ht="33.75">
      <c r="B5" s="19" t="s">
        <v>24</v>
      </c>
      <c r="C5" s="19" t="s">
        <v>25</v>
      </c>
      <c r="D5" s="19" t="s">
        <v>26</v>
      </c>
      <c r="E5" s="20"/>
      <c r="F5" s="21">
        <v>1</v>
      </c>
      <c r="G5" s="22">
        <v>90</v>
      </c>
      <c r="H5" s="23">
        <v>0</v>
      </c>
      <c r="I5" s="24">
        <f>H5*368</f>
        <v>0</v>
      </c>
      <c r="J5" s="25">
        <f>$K$2-I5</f>
        <v>500000</v>
      </c>
      <c r="K5" s="26">
        <f>J5/368</f>
        <v>1358.695652173913</v>
      </c>
      <c r="L5" s="27" t="s">
        <v>27</v>
      </c>
      <c r="M5" s="25">
        <f>ROUNDUP((K5/O5),0)</f>
        <v>14</v>
      </c>
      <c r="N5" s="22" t="s">
        <v>28</v>
      </c>
      <c r="O5" s="22">
        <v>100</v>
      </c>
      <c r="P5" s="28">
        <v>236.12</v>
      </c>
      <c r="Q5" s="28">
        <f>P5*M5*O5</f>
        <v>330568</v>
      </c>
      <c r="R5" s="28">
        <f>Q5/$K$2</f>
        <v>0.66113599999999995</v>
      </c>
      <c r="S5" s="29">
        <f>Q5/$Q$2</f>
        <v>0.39341797975465076</v>
      </c>
      <c r="T5" s="28">
        <f>Q5</f>
        <v>330568</v>
      </c>
      <c r="U5" s="30">
        <f>T5/$Q$2</f>
        <v>0.39341797975465076</v>
      </c>
      <c r="V5" s="31">
        <f>1800/10</f>
        <v>180</v>
      </c>
      <c r="W5" s="32" t="s">
        <v>29</v>
      </c>
      <c r="X5" s="33" t="s">
        <v>30</v>
      </c>
      <c r="Y5" s="19" t="s">
        <v>31</v>
      </c>
      <c r="Z5" s="31"/>
    </row>
    <row r="6" ht="33.75">
      <c r="B6" s="19" t="s">
        <v>32</v>
      </c>
      <c r="C6" s="19" t="s">
        <v>25</v>
      </c>
      <c r="D6" s="19" t="s">
        <v>33</v>
      </c>
      <c r="E6" s="20"/>
      <c r="F6" s="21">
        <v>0</v>
      </c>
      <c r="G6" s="22">
        <v>0</v>
      </c>
      <c r="H6" s="23">
        <f>G6*F6</f>
        <v>0</v>
      </c>
      <c r="I6" s="24">
        <v>0</v>
      </c>
      <c r="J6" s="25">
        <f>$K$2-I6</f>
        <v>500000</v>
      </c>
      <c r="K6" s="26">
        <f>J6/92</f>
        <v>5434.782608695652</v>
      </c>
      <c r="L6" s="27" t="s">
        <v>27</v>
      </c>
      <c r="M6" s="25">
        <f>ROUNDUP((K6/O6),0)</f>
        <v>1087</v>
      </c>
      <c r="N6" s="22" t="s">
        <v>34</v>
      </c>
      <c r="O6" s="22">
        <v>5</v>
      </c>
      <c r="P6" s="28">
        <v>145</v>
      </c>
      <c r="Q6" s="28">
        <f>P6*M6</f>
        <v>157615</v>
      </c>
      <c r="R6" s="28">
        <f>Q6/$K$2</f>
        <v>0.31523000000000001</v>
      </c>
      <c r="S6" s="29">
        <f>Q6/$Q$2</f>
        <v>0.18758190411361439</v>
      </c>
      <c r="T6" s="28">
        <f>Q6+T5</f>
        <v>488183</v>
      </c>
      <c r="U6" s="30">
        <f>T6/$Q$2</f>
        <v>0.58099988386826518</v>
      </c>
      <c r="V6" s="31"/>
      <c r="W6" s="32" t="s">
        <v>35</v>
      </c>
      <c r="X6" s="33" t="s">
        <v>36</v>
      </c>
      <c r="Y6" s="19" t="s">
        <v>37</v>
      </c>
      <c r="Z6" s="31"/>
    </row>
    <row r="7" ht="33.75">
      <c r="B7" s="19" t="s">
        <v>38</v>
      </c>
      <c r="C7" s="19" t="s">
        <v>39</v>
      </c>
      <c r="D7" s="19" t="s">
        <v>40</v>
      </c>
      <c r="E7" s="20"/>
      <c r="F7" s="21">
        <v>0</v>
      </c>
      <c r="G7" s="22">
        <v>0</v>
      </c>
      <c r="H7" s="23">
        <f>G7*F7</f>
        <v>0</v>
      </c>
      <c r="I7" s="24">
        <v>0</v>
      </c>
      <c r="J7" s="25">
        <f>$K$2-I7</f>
        <v>500000</v>
      </c>
      <c r="K7" s="26">
        <f>J7/92</f>
        <v>5434.782608695652</v>
      </c>
      <c r="L7" s="27" t="s">
        <v>27</v>
      </c>
      <c r="M7" s="25">
        <f>ROUNDUP((K7/O7),0)</f>
        <v>544</v>
      </c>
      <c r="N7" s="22" t="s">
        <v>34</v>
      </c>
      <c r="O7" s="22">
        <v>10</v>
      </c>
      <c r="P7" s="28">
        <v>200</v>
      </c>
      <c r="Q7" s="28">
        <f>P7*M7</f>
        <v>108800</v>
      </c>
      <c r="R7" s="28">
        <f>Q7/$K$2</f>
        <v>0.21759999999999999</v>
      </c>
      <c r="S7" s="29">
        <f>Q7/$Q$2</f>
        <v>0.12948584314666273</v>
      </c>
      <c r="T7" s="28">
        <f>Q7+T6</f>
        <v>596983</v>
      </c>
      <c r="U7" s="30">
        <f>T7/$Q$2</f>
        <v>0.71048572701492785</v>
      </c>
      <c r="V7" s="31"/>
      <c r="W7" s="32" t="s">
        <v>35</v>
      </c>
      <c r="X7" s="33" t="s">
        <v>41</v>
      </c>
      <c r="Y7" s="19" t="s">
        <v>37</v>
      </c>
      <c r="Z7" s="31"/>
    </row>
    <row r="8" ht="19.949999999999999" customHeight="1">
      <c r="B8" s="19" t="s">
        <v>42</v>
      </c>
      <c r="C8" s="19" t="s">
        <v>25</v>
      </c>
      <c r="D8" s="19" t="s">
        <v>33</v>
      </c>
      <c r="E8" s="20"/>
      <c r="F8" s="21">
        <v>100</v>
      </c>
      <c r="G8" s="22">
        <v>2</v>
      </c>
      <c r="H8" s="23">
        <f>G8*F8</f>
        <v>200</v>
      </c>
      <c r="I8" s="24">
        <f>H8*1472</f>
        <v>294400</v>
      </c>
      <c r="J8" s="25">
        <f>$K$2-I8</f>
        <v>205600</v>
      </c>
      <c r="K8" s="26">
        <f>J8/1472</f>
        <v>139.67391304347825</v>
      </c>
      <c r="L8" s="27" t="s">
        <v>27</v>
      </c>
      <c r="M8" s="25">
        <f>ROUNDUP((K8/O8),0)</f>
        <v>2</v>
      </c>
      <c r="N8" s="22" t="s">
        <v>28</v>
      </c>
      <c r="O8" s="22">
        <v>100</v>
      </c>
      <c r="P8" s="28">
        <v>32000</v>
      </c>
      <c r="Q8" s="28">
        <f>P8*M8</f>
        <v>64000</v>
      </c>
      <c r="R8" s="28">
        <f>Q8/$K$2</f>
        <v>0.128</v>
      </c>
      <c r="S8" s="29">
        <f>Q8/$Q$2</f>
        <v>0.076168143027448662</v>
      </c>
      <c r="T8" s="28">
        <f>Q8+T7</f>
        <v>660983</v>
      </c>
      <c r="U8" s="30">
        <f>T8/$Q$2</f>
        <v>0.78665387004237652</v>
      </c>
      <c r="V8" s="31"/>
      <c r="W8" s="32" t="s">
        <v>43</v>
      </c>
      <c r="X8" s="33" t="s">
        <v>44</v>
      </c>
      <c r="Y8" s="19" t="s">
        <v>45</v>
      </c>
      <c r="Z8" s="31"/>
    </row>
    <row r="9" ht="19.949999999999999" customHeight="1">
      <c r="B9" s="19" t="s">
        <v>46</v>
      </c>
      <c r="C9" s="19" t="s">
        <v>47</v>
      </c>
      <c r="D9" s="19" t="s">
        <v>48</v>
      </c>
      <c r="E9" s="20"/>
      <c r="F9" s="21">
        <v>125</v>
      </c>
      <c r="G9" s="22">
        <v>2</v>
      </c>
      <c r="H9" s="23">
        <f>G9*F9</f>
        <v>250</v>
      </c>
      <c r="I9" s="24">
        <f>H9*1000</f>
        <v>250000</v>
      </c>
      <c r="J9" s="25">
        <f>$K$2-I9</f>
        <v>250000</v>
      </c>
      <c r="K9" s="26">
        <f>J9/1000</f>
        <v>250</v>
      </c>
      <c r="L9" s="27" t="s">
        <v>49</v>
      </c>
      <c r="M9" s="25">
        <f>IFERROR(ROUNDUP((K9/O9),0),0)</f>
        <v>2</v>
      </c>
      <c r="N9" s="22" t="s">
        <v>50</v>
      </c>
      <c r="O9" s="22">
        <v>125</v>
      </c>
      <c r="P9" s="28">
        <v>18234.52</v>
      </c>
      <c r="Q9" s="28">
        <f>P9*M9</f>
        <v>36469.040000000001</v>
      </c>
      <c r="R9" s="28">
        <f>Q9/$K$2</f>
        <v>0.072938080000000002</v>
      </c>
      <c r="S9" s="29">
        <f>Q9/$Q$2</f>
        <v>0.043402797731152284</v>
      </c>
      <c r="T9" s="28">
        <f>Q9+T8</f>
        <v>697452.04000000004</v>
      </c>
      <c r="U9" s="30">
        <f>T9/$Q$2</f>
        <v>0.83005666777352882</v>
      </c>
      <c r="V9" s="31"/>
      <c r="W9" s="32" t="s">
        <v>51</v>
      </c>
      <c r="X9" s="33" t="s">
        <v>52</v>
      </c>
      <c r="Y9" s="19" t="s">
        <v>53</v>
      </c>
      <c r="Z9" s="31"/>
    </row>
    <row r="10" ht="19.949999999999999" customHeight="1">
      <c r="B10" s="19" t="s">
        <v>54</v>
      </c>
      <c r="C10" s="19" t="s">
        <v>55</v>
      </c>
      <c r="D10" s="19" t="s">
        <v>33</v>
      </c>
      <c r="E10" s="20"/>
      <c r="F10" s="21">
        <v>5</v>
      </c>
      <c r="G10" s="22">
        <v>9</v>
      </c>
      <c r="H10" s="23">
        <f>G10*F10</f>
        <v>45</v>
      </c>
      <c r="I10" s="24">
        <v>0</v>
      </c>
      <c r="J10" s="25">
        <f>$K$2-I10</f>
        <v>500000</v>
      </c>
      <c r="K10" s="26">
        <f>J10/10/92</f>
        <v>543.47826086956525</v>
      </c>
      <c r="L10" s="27" t="s">
        <v>56</v>
      </c>
      <c r="M10" s="25">
        <v>1</v>
      </c>
      <c r="N10" s="22" t="s">
        <v>57</v>
      </c>
      <c r="O10" s="22">
        <v>4800</v>
      </c>
      <c r="P10" s="28">
        <v>44738.160000000003</v>
      </c>
      <c r="Q10" s="28">
        <f>M10*P10</f>
        <v>44738.160000000003</v>
      </c>
      <c r="R10" s="28">
        <f>Q10/$K$2</f>
        <v>0.089476320000000012</v>
      </c>
      <c r="S10" s="29">
        <f>Q10/$Q$2</f>
        <v>0.053244102651013793</v>
      </c>
      <c r="T10" s="28">
        <f>Q10+T9</f>
        <v>742190.20000000007</v>
      </c>
      <c r="U10" s="30">
        <f>T10/$Q$2</f>
        <v>0.88330077042454269</v>
      </c>
      <c r="V10" s="31"/>
      <c r="W10" s="32" t="s">
        <v>58</v>
      </c>
      <c r="X10" s="33" t="s">
        <v>59</v>
      </c>
      <c r="Y10" s="19" t="s">
        <v>60</v>
      </c>
      <c r="Z10" s="31"/>
    </row>
    <row r="11" ht="19.949999999999999" customHeight="1">
      <c r="B11" s="19" t="s">
        <v>61</v>
      </c>
      <c r="C11" s="19" t="s">
        <v>25</v>
      </c>
      <c r="D11" s="19" t="s">
        <v>33</v>
      </c>
      <c r="E11" s="20"/>
      <c r="F11" s="21">
        <v>100</v>
      </c>
      <c r="G11" s="22">
        <v>4</v>
      </c>
      <c r="H11" s="23">
        <f>G11*F11</f>
        <v>400</v>
      </c>
      <c r="I11" s="24">
        <f>H11*368</f>
        <v>147200</v>
      </c>
      <c r="J11" s="25">
        <f>$K$2-I11</f>
        <v>352800</v>
      </c>
      <c r="K11" s="26">
        <f>J11/368</f>
        <v>958.695652173913</v>
      </c>
      <c r="L11" s="27" t="s">
        <v>27</v>
      </c>
      <c r="M11" s="25">
        <f>ROUNDUP((K11/O11),0)</f>
        <v>10</v>
      </c>
      <c r="N11" s="22" t="s">
        <v>28</v>
      </c>
      <c r="O11" s="22">
        <v>100</v>
      </c>
      <c r="P11" s="28">
        <v>1688.8699999999999</v>
      </c>
      <c r="Q11" s="28">
        <f>P11*M11</f>
        <v>16888.699999999997</v>
      </c>
      <c r="R11" s="28">
        <f>Q11/$K$2</f>
        <v>0.033777399999999992</v>
      </c>
      <c r="S11" s="29">
        <f>Q11/$Q$2</f>
        <v>0.020099701830432373</v>
      </c>
      <c r="T11" s="28">
        <f>Q11+T10</f>
        <v>759078.90000000002</v>
      </c>
      <c r="U11" s="30">
        <f>T11/$Q$2</f>
        <v>0.903400472254975</v>
      </c>
      <c r="V11" s="31"/>
      <c r="W11" s="32" t="s">
        <v>29</v>
      </c>
      <c r="X11" s="33" t="s">
        <v>30</v>
      </c>
      <c r="Y11" s="19" t="s">
        <v>62</v>
      </c>
      <c r="Z11" s="31"/>
    </row>
    <row r="12" ht="19.949999999999999" customHeight="1">
      <c r="B12" s="19" t="s">
        <v>63</v>
      </c>
      <c r="C12" s="19" t="s">
        <v>64</v>
      </c>
      <c r="D12" s="19" t="s">
        <v>33</v>
      </c>
      <c r="E12" s="20"/>
      <c r="F12" s="21">
        <v>15000</v>
      </c>
      <c r="G12" s="22">
        <v>2</v>
      </c>
      <c r="H12" s="23">
        <f>G12*F12</f>
        <v>30000</v>
      </c>
      <c r="I12" s="24">
        <f>H12*1</f>
        <v>30000</v>
      </c>
      <c r="J12" s="25">
        <f>$K$2-I12</f>
        <v>470000</v>
      </c>
      <c r="K12" s="26">
        <f>J12</f>
        <v>470000</v>
      </c>
      <c r="L12" s="27" t="s">
        <v>65</v>
      </c>
      <c r="M12" s="25">
        <f>ROUNDUP((K12/O12),0)</f>
        <v>157</v>
      </c>
      <c r="N12" s="22" t="s">
        <v>66</v>
      </c>
      <c r="O12" s="22">
        <v>3000</v>
      </c>
      <c r="P12" s="28">
        <f>2343.7/70000*O12</f>
        <v>100.44428571428571</v>
      </c>
      <c r="Q12" s="28">
        <f>P12*M12</f>
        <v>15769.752857142857</v>
      </c>
      <c r="R12" s="28">
        <f>Q12/$K$2</f>
        <v>0.031539505714285716</v>
      </c>
      <c r="S12" s="29">
        <f>Q12/$Q$2</f>
        <v>0.018768012361412099</v>
      </c>
      <c r="T12" s="28"/>
      <c r="U12" s="30"/>
      <c r="V12" s="31"/>
      <c r="W12" s="32" t="s">
        <v>67</v>
      </c>
      <c r="X12" s="33" t="s">
        <v>68</v>
      </c>
      <c r="Y12" s="19" t="s">
        <v>69</v>
      </c>
      <c r="Z12" s="31"/>
    </row>
    <row r="13" ht="19.949999999999999" customHeight="1">
      <c r="B13" s="19" t="s">
        <v>70</v>
      </c>
      <c r="C13" s="19" t="s">
        <v>25</v>
      </c>
      <c r="D13" s="19" t="s">
        <v>33</v>
      </c>
      <c r="E13" s="20"/>
      <c r="F13" s="21">
        <v>50</v>
      </c>
      <c r="G13" s="22">
        <v>0</v>
      </c>
      <c r="H13" s="23">
        <f>G13*F13</f>
        <v>0</v>
      </c>
      <c r="I13" s="24">
        <v>0</v>
      </c>
      <c r="J13" s="25">
        <f>$K$2-I13</f>
        <v>500000</v>
      </c>
      <c r="K13" s="26">
        <f>J13*0.1/368</f>
        <v>135.86956521739131</v>
      </c>
      <c r="L13" s="27" t="s">
        <v>27</v>
      </c>
      <c r="M13" s="25">
        <f>ROUNDUP((K13/O13),0)</f>
        <v>14</v>
      </c>
      <c r="N13" s="22" t="s">
        <v>28</v>
      </c>
      <c r="O13" s="22">
        <v>10</v>
      </c>
      <c r="P13" s="28">
        <v>270</v>
      </c>
      <c r="Q13" s="28">
        <f>P13*M13</f>
        <v>3780</v>
      </c>
      <c r="R13" s="28">
        <f>Q13/$K$2</f>
        <v>0.0075599999999999999</v>
      </c>
      <c r="S13" s="29">
        <f>Q13/$Q$2</f>
        <v>0.0044986809475586866</v>
      </c>
      <c r="T13" s="28"/>
      <c r="U13" s="30"/>
      <c r="V13" s="34"/>
      <c r="W13" s="32" t="s">
        <v>71</v>
      </c>
      <c r="X13" s="33" t="s">
        <v>72</v>
      </c>
      <c r="Y13" s="19" t="s">
        <v>37</v>
      </c>
      <c r="Z13" s="31"/>
    </row>
    <row r="14" ht="19.949999999999999" customHeight="1">
      <c r="B14" s="19" t="s">
        <v>73</v>
      </c>
      <c r="C14" s="19" t="s">
        <v>55</v>
      </c>
      <c r="D14" s="19" t="s">
        <v>33</v>
      </c>
      <c r="E14" s="20"/>
      <c r="F14" s="21">
        <v>0</v>
      </c>
      <c r="G14" s="22">
        <v>0</v>
      </c>
      <c r="H14" s="23">
        <f>G14*F14</f>
        <v>0</v>
      </c>
      <c r="I14" s="24">
        <f>H14*10*368</f>
        <v>0</v>
      </c>
      <c r="J14" s="25">
        <f>$K$2-I14</f>
        <v>500000</v>
      </c>
      <c r="K14" s="26">
        <f>J14/10/368</f>
        <v>135.86956521739131</v>
      </c>
      <c r="L14" s="27" t="s">
        <v>56</v>
      </c>
      <c r="M14" s="25">
        <v>1</v>
      </c>
      <c r="N14" s="22" t="s">
        <v>57</v>
      </c>
      <c r="O14" s="22">
        <v>7680</v>
      </c>
      <c r="P14" s="28">
        <v>7368.6400000000003</v>
      </c>
      <c r="Q14" s="28">
        <v>7368.6400000000003</v>
      </c>
      <c r="R14" s="28">
        <f>Q14/$K$2</f>
        <v>0.01473728</v>
      </c>
      <c r="S14" s="29">
        <f>Q14/$Q$2</f>
        <v>0.0087696191474653015</v>
      </c>
      <c r="T14" s="28"/>
      <c r="U14" s="30"/>
      <c r="V14" s="31"/>
      <c r="W14" s="32" t="s">
        <v>74</v>
      </c>
      <c r="X14" s="33" t="s">
        <v>75</v>
      </c>
      <c r="Y14" s="19" t="s">
        <v>60</v>
      </c>
      <c r="Z14" s="31"/>
    </row>
    <row r="15" ht="19.949999999999999" customHeight="1">
      <c r="B15" s="19" t="s">
        <v>76</v>
      </c>
      <c r="C15" s="19" t="s">
        <v>77</v>
      </c>
      <c r="D15" s="19" t="s">
        <v>78</v>
      </c>
      <c r="E15" s="20"/>
      <c r="F15" s="21">
        <v>1</v>
      </c>
      <c r="G15" s="22">
        <v>1</v>
      </c>
      <c r="H15" s="23">
        <f>G15*F15</f>
        <v>1</v>
      </c>
      <c r="I15" s="24">
        <f>H15*4500*1472</f>
        <v>6624000</v>
      </c>
      <c r="J15" s="25">
        <f>$K$2-I15</f>
        <v>-6124000</v>
      </c>
      <c r="K15" s="26">
        <v>0</v>
      </c>
      <c r="L15" s="27" t="s">
        <v>79</v>
      </c>
      <c r="M15" s="25">
        <f>IFERROR(ROUNDUP((K15/O15),0),0)</f>
        <v>0</v>
      </c>
      <c r="N15" s="22" t="str">
        <f>D15</f>
        <v>Unitario</v>
      </c>
      <c r="O15" s="22">
        <v>1</v>
      </c>
      <c r="P15" s="28">
        <v>0</v>
      </c>
      <c r="Q15" s="28">
        <v>0</v>
      </c>
      <c r="R15" s="28">
        <f>Q15/$K$2</f>
        <v>0</v>
      </c>
      <c r="S15" s="29">
        <f>Q15/$Q$2</f>
        <v>0</v>
      </c>
      <c r="T15" s="28"/>
      <c r="U15" s="30"/>
      <c r="V15" s="31"/>
      <c r="W15" s="32" t="s">
        <v>80</v>
      </c>
      <c r="X15" s="33" t="s">
        <v>81</v>
      </c>
      <c r="Y15" s="19" t="s">
        <v>45</v>
      </c>
      <c r="Z15" s="31"/>
    </row>
    <row r="16" ht="19.949999999999999" customHeight="1">
      <c r="B16" s="19" t="s">
        <v>82</v>
      </c>
      <c r="C16" s="19" t="s">
        <v>83</v>
      </c>
      <c r="D16" s="19" t="s">
        <v>84</v>
      </c>
      <c r="E16" s="20"/>
      <c r="F16" s="21">
        <v>1</v>
      </c>
      <c r="G16" s="22">
        <v>100</v>
      </c>
      <c r="H16" s="23">
        <f>G16*F16</f>
        <v>100</v>
      </c>
      <c r="I16" s="24">
        <f>H16*368</f>
        <v>36800</v>
      </c>
      <c r="J16" s="25">
        <f>($K$2-I16)*0.1</f>
        <v>46320</v>
      </c>
      <c r="K16" s="26">
        <f>J16/368</f>
        <v>125.8695652173913</v>
      </c>
      <c r="L16" s="27" t="s">
        <v>85</v>
      </c>
      <c r="M16" s="25">
        <f>ROUNDUP((K16/O16),0)</f>
        <v>2</v>
      </c>
      <c r="N16" s="22" t="s">
        <v>28</v>
      </c>
      <c r="O16" s="22">
        <v>100</v>
      </c>
      <c r="P16" s="28">
        <v>1050</v>
      </c>
      <c r="Q16" s="28">
        <f>P16*M16</f>
        <v>2100</v>
      </c>
      <c r="R16" s="28">
        <f>Q16/$K$2</f>
        <v>0.0041999999999999997</v>
      </c>
      <c r="S16" s="29">
        <f>Q16/$Q$2</f>
        <v>0.0024992671930881591</v>
      </c>
      <c r="T16" s="28"/>
      <c r="U16" s="30"/>
      <c r="V16" s="31"/>
      <c r="W16" s="32" t="s">
        <v>29</v>
      </c>
      <c r="X16" s="33" t="s">
        <v>86</v>
      </c>
      <c r="Y16" s="19" t="s">
        <v>37</v>
      </c>
      <c r="Z16" s="31"/>
    </row>
    <row r="17" ht="19.949999999999999" customHeight="1">
      <c r="B17" s="19" t="s">
        <v>87</v>
      </c>
      <c r="C17" s="19" t="s">
        <v>55</v>
      </c>
      <c r="D17" s="19" t="s">
        <v>88</v>
      </c>
      <c r="E17" s="20"/>
      <c r="F17" s="21">
        <v>500</v>
      </c>
      <c r="G17" s="22">
        <v>1</v>
      </c>
      <c r="H17" s="23">
        <f>G17*F17</f>
        <v>500</v>
      </c>
      <c r="I17" s="24">
        <f>H17*1472</f>
        <v>736000</v>
      </c>
      <c r="J17" s="25">
        <f>$K$2-I17</f>
        <v>-236000</v>
      </c>
      <c r="K17" s="26">
        <f>J17/1472</f>
        <v>-160.32608695652175</v>
      </c>
      <c r="L17" s="27" t="s">
        <v>56</v>
      </c>
      <c r="M17" s="25">
        <f>IFERROR(ROUNDUP((K17/O17),0),0)</f>
        <v>-1</v>
      </c>
      <c r="N17" s="22" t="s">
        <v>66</v>
      </c>
      <c r="O17" s="22">
        <v>1000</v>
      </c>
      <c r="P17" s="28">
        <f>47.9</f>
        <v>47.899999999999999</v>
      </c>
      <c r="Q17" s="28">
        <f>P17*M17</f>
        <v>-47.899999999999999</v>
      </c>
      <c r="R17" s="28">
        <f>Q17/$K$2</f>
        <v>-9.5799999999999998e-05</v>
      </c>
      <c r="S17" s="29">
        <f>Q17/$Q$2</f>
        <v>-5.7007094547106104e-05</v>
      </c>
      <c r="T17" s="28"/>
      <c r="U17" s="30"/>
      <c r="V17" s="31"/>
      <c r="W17" s="32" t="s">
        <v>43</v>
      </c>
      <c r="X17" s="33" t="s">
        <v>89</v>
      </c>
      <c r="Y17" s="19" t="s">
        <v>90</v>
      </c>
      <c r="Z17" s="31"/>
    </row>
    <row r="18" ht="19.949999999999999" customHeight="1">
      <c r="B18" s="19" t="s">
        <v>91</v>
      </c>
      <c r="C18" s="19" t="s">
        <v>55</v>
      </c>
      <c r="D18" s="19" t="s">
        <v>88</v>
      </c>
      <c r="E18" s="20"/>
      <c r="F18" s="21">
        <v>500</v>
      </c>
      <c r="G18" s="22">
        <v>4</v>
      </c>
      <c r="H18" s="23">
        <f>G18*F18</f>
        <v>2000</v>
      </c>
      <c r="I18" s="24">
        <f>H18*4*368</f>
        <v>2944000</v>
      </c>
      <c r="J18" s="25">
        <f>$K$2-I18</f>
        <v>-2444000</v>
      </c>
      <c r="K18" s="26">
        <v>0</v>
      </c>
      <c r="L18" s="27" t="s">
        <v>56</v>
      </c>
      <c r="M18" s="25">
        <v>0</v>
      </c>
      <c r="N18" s="22" t="s">
        <v>66</v>
      </c>
      <c r="O18" s="22">
        <v>1000</v>
      </c>
      <c r="P18" s="28">
        <v>20</v>
      </c>
      <c r="Q18" s="28">
        <f>P18*M18</f>
        <v>0</v>
      </c>
      <c r="R18" s="28">
        <f>Q18/$K$2</f>
        <v>0</v>
      </c>
      <c r="S18" s="29">
        <f>Q18/$Q$2</f>
        <v>0</v>
      </c>
      <c r="T18" s="28"/>
      <c r="U18" s="30"/>
      <c r="V18" s="31"/>
      <c r="W18" s="32" t="s">
        <v>92</v>
      </c>
      <c r="X18" s="33" t="s">
        <v>93</v>
      </c>
      <c r="Y18" s="19" t="s">
        <v>90</v>
      </c>
      <c r="Z18" s="31"/>
    </row>
    <row r="19" ht="19.949999999999999" customHeight="1">
      <c r="B19" s="19" t="s">
        <v>94</v>
      </c>
      <c r="C19" s="19" t="s">
        <v>55</v>
      </c>
      <c r="D19" s="19" t="s">
        <v>88</v>
      </c>
      <c r="E19" s="20"/>
      <c r="F19" s="21">
        <v>500</v>
      </c>
      <c r="G19" s="22">
        <v>1</v>
      </c>
      <c r="H19" s="23">
        <f>G19*F19</f>
        <v>500</v>
      </c>
      <c r="I19" s="24">
        <f>H19*4*1472</f>
        <v>2944000</v>
      </c>
      <c r="J19" s="25">
        <f>$K$2-I19</f>
        <v>-2444000</v>
      </c>
      <c r="K19" s="26">
        <v>0</v>
      </c>
      <c r="L19" s="27" t="s">
        <v>56</v>
      </c>
      <c r="M19" s="25">
        <f>IFERROR(ROUNDUP((K19/O19),0),0)</f>
        <v>0</v>
      </c>
      <c r="N19" s="22" t="s">
        <v>66</v>
      </c>
      <c r="O19" s="22">
        <v>500</v>
      </c>
      <c r="P19" s="28">
        <v>20</v>
      </c>
      <c r="Q19" s="28">
        <v>0</v>
      </c>
      <c r="R19" s="28">
        <f>Q19/$K$2</f>
        <v>0</v>
      </c>
      <c r="S19" s="29">
        <f>Q19/$Q$2</f>
        <v>0</v>
      </c>
      <c r="T19" s="28"/>
      <c r="U19" s="30"/>
      <c r="V19" s="31"/>
      <c r="W19" s="32" t="s">
        <v>95</v>
      </c>
      <c r="X19" s="33" t="s">
        <v>96</v>
      </c>
      <c r="Y19" s="19" t="s">
        <v>90</v>
      </c>
      <c r="Z19" s="31"/>
    </row>
    <row r="20" ht="19.949999999999999" customHeight="1">
      <c r="B20" s="19" t="s">
        <v>97</v>
      </c>
      <c r="C20" s="19" t="s">
        <v>47</v>
      </c>
      <c r="D20" s="19" t="s">
        <v>98</v>
      </c>
      <c r="E20" s="20"/>
      <c r="F20" s="21">
        <v>1</v>
      </c>
      <c r="G20" s="22">
        <v>1</v>
      </c>
      <c r="H20" s="23">
        <v>1</v>
      </c>
      <c r="I20" s="24">
        <f>H20*20000</f>
        <v>20000</v>
      </c>
      <c r="J20" s="25">
        <f>$K$2-I20</f>
        <v>480000</v>
      </c>
      <c r="K20" s="26">
        <f>J20/20000</f>
        <v>24</v>
      </c>
      <c r="L20" s="27" t="s">
        <v>48</v>
      </c>
      <c r="M20" s="25">
        <f>IFERROR(ROUNDUP((K20/O20),0),0)</f>
        <v>24</v>
      </c>
      <c r="N20" s="22" t="str">
        <f>D20</f>
        <v>lt</v>
      </c>
      <c r="O20" s="22">
        <v>1</v>
      </c>
      <c r="P20" s="28">
        <v>55</v>
      </c>
      <c r="Q20" s="28">
        <f>P20*M20</f>
        <v>1320</v>
      </c>
      <c r="R20" s="28">
        <f>Q20/$K$2</f>
        <v>0.00264</v>
      </c>
      <c r="S20" s="29">
        <f>Q20/$Q$2</f>
        <v>0.0015709679499411285</v>
      </c>
      <c r="T20" s="28"/>
      <c r="U20" s="30"/>
      <c r="V20" s="31"/>
      <c r="W20" s="32" t="s">
        <v>99</v>
      </c>
      <c r="X20" s="33" t="s">
        <v>100</v>
      </c>
      <c r="Y20" s="19" t="s">
        <v>101</v>
      </c>
      <c r="Z20" s="31"/>
    </row>
    <row r="21" ht="19.949999999999999" customHeight="1">
      <c r="B21" s="19" t="s">
        <v>102</v>
      </c>
      <c r="C21" s="19" t="s">
        <v>47</v>
      </c>
      <c r="D21" s="19" t="s">
        <v>98</v>
      </c>
      <c r="E21" s="20"/>
      <c r="F21" s="21">
        <v>1</v>
      </c>
      <c r="G21" s="22">
        <v>21</v>
      </c>
      <c r="H21" s="23">
        <f>G21*F21</f>
        <v>21</v>
      </c>
      <c r="I21" s="24">
        <f>H21*8000</f>
        <v>168000</v>
      </c>
      <c r="J21" s="25">
        <f>$K$2-I21</f>
        <v>332000</v>
      </c>
      <c r="K21" s="26">
        <f>J21/8000</f>
        <v>41.5</v>
      </c>
      <c r="L21" s="27" t="s">
        <v>48</v>
      </c>
      <c r="M21" s="25">
        <f>IFERROR(ROUNDUP((K21/O21),0),0)</f>
        <v>42</v>
      </c>
      <c r="N21" s="22" t="str">
        <f>D21</f>
        <v>lt</v>
      </c>
      <c r="O21" s="22">
        <v>1</v>
      </c>
      <c r="P21" s="28">
        <v>30</v>
      </c>
      <c r="Q21" s="28">
        <f>P21*M21</f>
        <v>1260</v>
      </c>
      <c r="R21" s="28">
        <f>Q21/$K$2</f>
        <v>0.0025200000000000001</v>
      </c>
      <c r="S21" s="29">
        <f>Q21/$Q$2</f>
        <v>0.0014995603158528955</v>
      </c>
      <c r="T21" s="28"/>
      <c r="U21" s="30"/>
      <c r="V21" s="31"/>
      <c r="W21" s="32" t="s">
        <v>103</v>
      </c>
      <c r="X21" s="33" t="s">
        <v>104</v>
      </c>
      <c r="Y21" s="19" t="s">
        <v>101</v>
      </c>
      <c r="Z21" s="31"/>
    </row>
    <row r="22" ht="19.949999999999999" customHeight="1">
      <c r="B22" s="19" t="s">
        <v>105</v>
      </c>
      <c r="C22" s="19" t="s">
        <v>47</v>
      </c>
      <c r="D22" s="19" t="s">
        <v>106</v>
      </c>
      <c r="E22" s="20"/>
      <c r="F22" s="21">
        <v>25000</v>
      </c>
      <c r="G22" s="22">
        <v>1</v>
      </c>
      <c r="H22" s="23">
        <v>20000</v>
      </c>
      <c r="I22" s="24">
        <f>H22/W22</f>
        <v>1000000</v>
      </c>
      <c r="J22" s="25">
        <f>$K$2-I22</f>
        <v>-500000</v>
      </c>
      <c r="K22" s="26">
        <f>J22*W22</f>
        <v>-10000</v>
      </c>
      <c r="L22" s="27" t="s">
        <v>106</v>
      </c>
      <c r="M22" s="25">
        <f>IFERROR(ROUNDUP((K22/O22),0),0)</f>
        <v>-10000</v>
      </c>
      <c r="N22" s="22" t="str">
        <f>D22</f>
        <v>g</v>
      </c>
      <c r="O22" s="22">
        <v>1</v>
      </c>
      <c r="P22" s="28">
        <v>1.1499999999999999</v>
      </c>
      <c r="Q22" s="28">
        <f>P22*M22</f>
        <v>-11500</v>
      </c>
      <c r="R22" s="28">
        <f>Q22/$K$2</f>
        <v>-0.023</v>
      </c>
      <c r="S22" s="29">
        <f>Q22/$Q$2</f>
        <v>-0.013686463200244681</v>
      </c>
      <c r="T22" s="28"/>
      <c r="U22" s="30"/>
      <c r="V22" s="31"/>
      <c r="W22" s="32">
        <f>20000/1000000</f>
        <v>0.02</v>
      </c>
      <c r="X22" s="33" t="s">
        <v>100</v>
      </c>
      <c r="Y22" s="19" t="s">
        <v>101</v>
      </c>
      <c r="Z22" s="31"/>
    </row>
    <row r="23" ht="19.949999999999999" customHeight="1">
      <c r="B23" s="19" t="s">
        <v>107</v>
      </c>
      <c r="C23" s="19" t="s">
        <v>47</v>
      </c>
      <c r="D23" s="19" t="s">
        <v>106</v>
      </c>
      <c r="E23" s="20"/>
      <c r="F23" s="21">
        <v>1000</v>
      </c>
      <c r="G23" s="22">
        <v>4</v>
      </c>
      <c r="H23" s="23">
        <f>G23*F23</f>
        <v>4000</v>
      </c>
      <c r="I23" s="24">
        <f>H23/W23</f>
        <v>245098.03921568627</v>
      </c>
      <c r="J23" s="25">
        <f>$K$2-I23</f>
        <v>254901.96078431373</v>
      </c>
      <c r="K23" s="26">
        <f>J23*W23</f>
        <v>4160</v>
      </c>
      <c r="L23" s="27" t="s">
        <v>106</v>
      </c>
      <c r="M23" s="25">
        <f>IFERROR(ROUNDUP((K23/O23),0),0)</f>
        <v>4160</v>
      </c>
      <c r="N23" s="22" t="str">
        <f>D23</f>
        <v>g</v>
      </c>
      <c r="O23" s="22">
        <v>1</v>
      </c>
      <c r="P23" s="28">
        <v>0.053999999999999999</v>
      </c>
      <c r="Q23" s="28">
        <f>P23*M23</f>
        <v>224.63999999999999</v>
      </c>
      <c r="R23" s="28">
        <f>Q23/$K$2</f>
        <v>0.00044927999999999998</v>
      </c>
      <c r="S23" s="29">
        <f>Q23/$Q$2</f>
        <v>0.00026735018202634476</v>
      </c>
      <c r="T23" s="28"/>
      <c r="U23" s="30"/>
      <c r="V23" s="31"/>
      <c r="W23" s="32">
        <f>16320/1000000</f>
        <v>0.016320000000000001</v>
      </c>
      <c r="X23" s="33" t="s">
        <v>100</v>
      </c>
      <c r="Y23" s="19" t="s">
        <v>101</v>
      </c>
      <c r="Z23" s="31"/>
    </row>
    <row r="24" ht="19.949999999999999" customHeight="1">
      <c r="B24" s="35" t="s">
        <v>108</v>
      </c>
      <c r="C24" s="19" t="s">
        <v>47</v>
      </c>
      <c r="D24" s="19" t="s">
        <v>109</v>
      </c>
      <c r="E24" s="20"/>
      <c r="F24" s="21">
        <v>1</v>
      </c>
      <c r="G24" s="22">
        <v>1</v>
      </c>
      <c r="H24" s="23">
        <f>G24*F24</f>
        <v>1</v>
      </c>
      <c r="I24" s="24">
        <f>H24/W24</f>
        <v>277777.77777777775</v>
      </c>
      <c r="J24" s="25">
        <f>$K$2-I24</f>
        <v>222222.22222222225</v>
      </c>
      <c r="K24" s="26">
        <f>J24*W24</f>
        <v>0.80000000000000016</v>
      </c>
      <c r="L24" s="27" t="s">
        <v>109</v>
      </c>
      <c r="M24" s="25">
        <f>IFERROR(ROUNDUP((K24/O24),0),0)</f>
        <v>1</v>
      </c>
      <c r="N24" s="22" t="str">
        <f>D24</f>
        <v>kg</v>
      </c>
      <c r="O24" s="22">
        <v>1</v>
      </c>
      <c r="P24" s="28">
        <f>58</f>
        <v>58</v>
      </c>
      <c r="Q24" s="28">
        <f>P24*M24</f>
        <v>58</v>
      </c>
      <c r="R24" s="28">
        <f>Q24/$K$2</f>
        <v>0.000116</v>
      </c>
      <c r="S24" s="29">
        <f>Q24/$Q$2</f>
        <v>6.9027379618625341e-05</v>
      </c>
      <c r="T24" s="28"/>
      <c r="U24" s="30"/>
      <c r="V24" s="31"/>
      <c r="W24" s="32">
        <f>3.6/1000000</f>
        <v>3.6000000000000003e-06</v>
      </c>
      <c r="X24" s="33" t="s">
        <v>100</v>
      </c>
      <c r="Y24" s="19" t="s">
        <v>101</v>
      </c>
      <c r="Z24" s="31"/>
    </row>
    <row r="25" ht="19.949999999999999" customHeight="1">
      <c r="B25" s="35" t="s">
        <v>110</v>
      </c>
      <c r="C25" s="19" t="s">
        <v>47</v>
      </c>
      <c r="D25" s="19" t="s">
        <v>109</v>
      </c>
      <c r="E25" s="20"/>
      <c r="F25" s="21">
        <v>1</v>
      </c>
      <c r="G25" s="22">
        <v>1</v>
      </c>
      <c r="H25" s="23">
        <f>G25*F25</f>
        <v>1</v>
      </c>
      <c r="I25" s="24">
        <f>H25/W25</f>
        <v>4166666.666666667</v>
      </c>
      <c r="J25" s="25">
        <f>$K$2-I25</f>
        <v>-3666666.666666667</v>
      </c>
      <c r="K25" s="26">
        <v>0</v>
      </c>
      <c r="L25" s="27" t="s">
        <v>109</v>
      </c>
      <c r="M25" s="25">
        <f>IFERROR(ROUNDUP((K25/O25),0),0)</f>
        <v>0</v>
      </c>
      <c r="N25" s="22" t="str">
        <f>D25</f>
        <v>kg</v>
      </c>
      <c r="O25" s="22">
        <v>1</v>
      </c>
      <c r="P25" s="28">
        <v>63</v>
      </c>
      <c r="Q25" s="28">
        <f>P25*M25</f>
        <v>0</v>
      </c>
      <c r="R25" s="28">
        <f>Q25/$K$2</f>
        <v>0</v>
      </c>
      <c r="S25" s="29">
        <f>Q25/$Q$2</f>
        <v>0</v>
      </c>
      <c r="T25" s="28"/>
      <c r="U25" s="30"/>
      <c r="V25" s="31"/>
      <c r="W25" s="32">
        <f>0.24/1000000</f>
        <v>2.3999999999999998e-07</v>
      </c>
      <c r="X25" s="33" t="s">
        <v>100</v>
      </c>
      <c r="Y25" s="19" t="s">
        <v>101</v>
      </c>
      <c r="Z25" s="31"/>
    </row>
    <row r="26" ht="19.949999999999999" customHeight="1">
      <c r="B26" s="19" t="s">
        <v>111</v>
      </c>
      <c r="C26" s="19" t="s">
        <v>47</v>
      </c>
      <c r="D26" s="19" t="s">
        <v>106</v>
      </c>
      <c r="E26" s="20"/>
      <c r="F26" s="21">
        <v>500</v>
      </c>
      <c r="G26" s="22">
        <v>2</v>
      </c>
      <c r="H26" s="23">
        <f>G26*F26</f>
        <v>1000</v>
      </c>
      <c r="I26" s="24">
        <f>H26/W26</f>
        <v>130039.01170351106</v>
      </c>
      <c r="J26" s="25">
        <f>$K$2-I26</f>
        <v>369960.98829648894</v>
      </c>
      <c r="K26" s="26">
        <f>J26*W26</f>
        <v>2845</v>
      </c>
      <c r="L26" s="27" t="s">
        <v>106</v>
      </c>
      <c r="M26" s="25">
        <f>IFERROR(ROUNDUP((K26/O26),0),0)</f>
        <v>2845</v>
      </c>
      <c r="N26" s="22" t="str">
        <f>D26</f>
        <v>g</v>
      </c>
      <c r="O26" s="22">
        <v>1</v>
      </c>
      <c r="P26" s="28">
        <f>3480/1000</f>
        <v>3.48</v>
      </c>
      <c r="Q26" s="28">
        <f>P26*M26</f>
        <v>9900.6000000000004</v>
      </c>
      <c r="R26" s="28">
        <f>Q26/$K$2</f>
        <v>0.019801200000000001</v>
      </c>
      <c r="S26" s="29">
        <f>Q26/$Q$2</f>
        <v>0.011782973700899348</v>
      </c>
      <c r="T26" s="28"/>
      <c r="U26" s="30"/>
      <c r="V26" s="31"/>
      <c r="W26" s="32">
        <f>7690/1000000</f>
        <v>0.0076899999999999998</v>
      </c>
      <c r="X26" s="33" t="s">
        <v>100</v>
      </c>
      <c r="Y26" s="19" t="s">
        <v>101</v>
      </c>
      <c r="Z26" s="31"/>
    </row>
    <row r="27" ht="19.949999999999999" customHeight="1">
      <c r="B27" s="19" t="s">
        <v>112</v>
      </c>
      <c r="C27" s="19" t="s">
        <v>47</v>
      </c>
      <c r="D27" s="19" t="s">
        <v>48</v>
      </c>
      <c r="E27" s="20"/>
      <c r="F27" s="21">
        <v>1000</v>
      </c>
      <c r="G27" s="22">
        <v>5</v>
      </c>
      <c r="H27" s="23">
        <f>G27*F27</f>
        <v>5000</v>
      </c>
      <c r="I27" s="24">
        <f>H27/W27</f>
        <v>833333.33333333337</v>
      </c>
      <c r="J27" s="25">
        <f>$K$2-I27</f>
        <v>-333333.33333333337</v>
      </c>
      <c r="K27" s="26">
        <f>J27*W27</f>
        <v>-2000.0000000000002</v>
      </c>
      <c r="L27" s="27" t="s">
        <v>48</v>
      </c>
      <c r="M27" s="25">
        <v>1</v>
      </c>
      <c r="N27" s="22" t="s">
        <v>113</v>
      </c>
      <c r="O27" s="22">
        <v>1</v>
      </c>
      <c r="P27" s="28">
        <v>56.799999999999997</v>
      </c>
      <c r="Q27" s="28">
        <f>P27*M27</f>
        <v>56.799999999999997</v>
      </c>
      <c r="R27" s="28">
        <f>Q27/$K$2</f>
        <v>0.0001136</v>
      </c>
      <c r="S27" s="29">
        <f>Q27/$Q$2</f>
        <v>6.7599226936860675e-05</v>
      </c>
      <c r="T27" s="28"/>
      <c r="U27" s="30"/>
      <c r="V27" s="31"/>
      <c r="W27" s="32">
        <f>6000/1000000</f>
        <v>0.0060000000000000001</v>
      </c>
      <c r="X27" s="33" t="s">
        <v>100</v>
      </c>
      <c r="Y27" s="19" t="s">
        <v>101</v>
      </c>
      <c r="Z27" s="31"/>
    </row>
    <row r="28" ht="19.949999999999999" customHeight="1">
      <c r="B28" s="19" t="s">
        <v>114</v>
      </c>
      <c r="C28" s="19" t="s">
        <v>47</v>
      </c>
      <c r="D28" s="19" t="s">
        <v>106</v>
      </c>
      <c r="E28" s="20"/>
      <c r="F28" s="21">
        <v>500</v>
      </c>
      <c r="G28" s="22">
        <v>1</v>
      </c>
      <c r="H28" s="23">
        <f>G28*F28</f>
        <v>500</v>
      </c>
      <c r="I28" s="24">
        <f>H28/W28</f>
        <v>207468.87966804981</v>
      </c>
      <c r="J28" s="25">
        <f>$K$2-I28</f>
        <v>292531.12033195019</v>
      </c>
      <c r="K28" s="26">
        <f>J28*W28</f>
        <v>704.99999999999989</v>
      </c>
      <c r="L28" s="27" t="s">
        <v>106</v>
      </c>
      <c r="M28" s="25">
        <f>IFERROR(ROUNDUP((K28/O28),0),0)</f>
        <v>705</v>
      </c>
      <c r="N28" s="22" t="str">
        <f>D28</f>
        <v>g</v>
      </c>
      <c r="O28" s="22">
        <v>1</v>
      </c>
      <c r="P28" s="28">
        <f>940/1000</f>
        <v>0.93999999999999995</v>
      </c>
      <c r="Q28" s="28">
        <f>P28*M28</f>
        <v>662.69999999999993</v>
      </c>
      <c r="R28" s="28">
        <f>Q28/$K$2</f>
        <v>0.0013253999999999998</v>
      </c>
      <c r="S28" s="29">
        <f>Q28/$Q$2</f>
        <v>0.00078869731850453469</v>
      </c>
      <c r="T28" s="28"/>
      <c r="U28" s="30"/>
      <c r="V28" s="31"/>
      <c r="W28" s="32">
        <f>2410/1000000</f>
        <v>0.0024099999999999998</v>
      </c>
      <c r="X28" s="33" t="s">
        <v>100</v>
      </c>
      <c r="Y28" s="19" t="s">
        <v>101</v>
      </c>
      <c r="Z28" s="31"/>
    </row>
    <row r="29" ht="19.949999999999999" customHeight="1">
      <c r="B29" s="19" t="s">
        <v>115</v>
      </c>
      <c r="C29" s="19" t="s">
        <v>47</v>
      </c>
      <c r="D29" s="19" t="s">
        <v>109</v>
      </c>
      <c r="E29" s="20"/>
      <c r="F29" s="21">
        <v>1</v>
      </c>
      <c r="G29" s="22">
        <v>0</v>
      </c>
      <c r="H29" s="23">
        <v>0</v>
      </c>
      <c r="I29" s="24">
        <f>H29/W29</f>
        <v>0</v>
      </c>
      <c r="J29" s="25">
        <f>$K$2-I29</f>
        <v>500000</v>
      </c>
      <c r="K29" s="26">
        <f>J29*W29</f>
        <v>3</v>
      </c>
      <c r="L29" s="27" t="s">
        <v>109</v>
      </c>
      <c r="M29" s="25">
        <f>IFERROR(ROUNDUP((K29/O29),0),0)</f>
        <v>3</v>
      </c>
      <c r="N29" s="22" t="str">
        <f>D29</f>
        <v>kg</v>
      </c>
      <c r="O29" s="22">
        <v>1</v>
      </c>
      <c r="P29" s="28">
        <f>4720.82/1000</f>
        <v>4.7208199999999998</v>
      </c>
      <c r="Q29" s="28">
        <f>P29*M29</f>
        <v>14.162459999999999</v>
      </c>
      <c r="R29" s="28">
        <f>Q29/$K$2</f>
        <v>2.8324919999999998e-05</v>
      </c>
      <c r="S29" s="29">
        <f>Q29/$Q$2</f>
        <v>1.6855129357820632e-05</v>
      </c>
      <c r="T29" s="28"/>
      <c r="U29" s="30"/>
      <c r="V29" s="31"/>
      <c r="W29" s="32">
        <f>6/1000000</f>
        <v>6.0000000000000002e-06</v>
      </c>
      <c r="X29" s="33" t="s">
        <v>100</v>
      </c>
      <c r="Y29" s="19" t="s">
        <v>101</v>
      </c>
      <c r="Z29" s="31"/>
    </row>
    <row r="30" ht="19.949999999999999" customHeight="1">
      <c r="B30" s="19" t="s">
        <v>116</v>
      </c>
      <c r="C30" s="19" t="s">
        <v>47</v>
      </c>
      <c r="D30" s="19" t="s">
        <v>48</v>
      </c>
      <c r="E30" s="20"/>
      <c r="F30" s="21">
        <v>1000</v>
      </c>
      <c r="G30" s="22">
        <v>1</v>
      </c>
      <c r="H30" s="23">
        <f>G30*F30</f>
        <v>1000</v>
      </c>
      <c r="I30" s="24">
        <f>H30*W30</f>
        <v>1000000</v>
      </c>
      <c r="J30" s="25">
        <f>$K$2-I30</f>
        <v>-500000</v>
      </c>
      <c r="K30" s="26">
        <f>J30*W30</f>
        <v>-500000000</v>
      </c>
      <c r="L30" s="27" t="s">
        <v>48</v>
      </c>
      <c r="M30" s="25">
        <f>IFERROR(ROUNDUP((K30/O30),0),0)</f>
        <v>-500000000</v>
      </c>
      <c r="N30" s="22" t="str">
        <f>D30</f>
        <v>ml</v>
      </c>
      <c r="O30" s="22">
        <v>1</v>
      </c>
      <c r="P30" s="28">
        <v>0</v>
      </c>
      <c r="Q30" s="28">
        <v>0</v>
      </c>
      <c r="R30" s="28">
        <f>Q30/$K$2</f>
        <v>0</v>
      </c>
      <c r="S30" s="29">
        <f>Q30/$Q$2</f>
        <v>0</v>
      </c>
      <c r="T30" s="28"/>
      <c r="U30" s="30"/>
      <c r="V30" s="31"/>
      <c r="W30" s="36">
        <v>1000</v>
      </c>
      <c r="X30" s="33" t="s">
        <v>100</v>
      </c>
      <c r="Y30" s="19" t="s">
        <v>101</v>
      </c>
      <c r="Z30" s="31"/>
    </row>
    <row r="31" s="37" customFormat="1" ht="19.949999999999999" customHeight="1">
      <c r="B31" s="38" t="s">
        <v>117</v>
      </c>
      <c r="C31" s="38" t="s">
        <v>47</v>
      </c>
      <c r="D31" s="38" t="s">
        <v>118</v>
      </c>
      <c r="E31" s="39"/>
      <c r="F31" s="40"/>
      <c r="G31" s="41"/>
      <c r="H31" s="42"/>
      <c r="I31" s="43">
        <v>0</v>
      </c>
      <c r="J31" s="44">
        <f>$K$2*W31</f>
        <v>350000</v>
      </c>
      <c r="K31" s="45">
        <f>J31</f>
        <v>350000</v>
      </c>
      <c r="L31" s="46"/>
      <c r="M31" s="44">
        <v>2</v>
      </c>
      <c r="N31" s="41"/>
      <c r="O31" s="41"/>
      <c r="P31" s="47">
        <v>0.014999999999999999</v>
      </c>
      <c r="Q31" s="47">
        <f>P31*K31*M31</f>
        <v>10500</v>
      </c>
      <c r="R31" s="47">
        <f>P31</f>
        <v>0.014999999999999999</v>
      </c>
      <c r="S31" s="29">
        <f>Q31/$Q$2</f>
        <v>0.012496335965440796</v>
      </c>
      <c r="T31" s="28"/>
      <c r="U31" s="30"/>
      <c r="V31" s="39"/>
      <c r="W31" s="48">
        <v>0.69999999999999996</v>
      </c>
      <c r="X31" s="49" t="s">
        <v>119</v>
      </c>
      <c r="Y31" s="38" t="s">
        <v>53</v>
      </c>
      <c r="Z31" s="39"/>
    </row>
    <row r="32" s="37" customFormat="1" ht="19.949999999999999" customHeight="1">
      <c r="B32" s="38" t="s">
        <v>120</v>
      </c>
      <c r="C32" s="38" t="s">
        <v>47</v>
      </c>
      <c r="D32" s="38" t="s">
        <v>118</v>
      </c>
      <c r="E32" s="39"/>
      <c r="F32" s="40"/>
      <c r="G32" s="41"/>
      <c r="H32" s="42"/>
      <c r="I32" s="43">
        <v>0</v>
      </c>
      <c r="J32" s="44">
        <f>$K$2*W32</f>
        <v>350000</v>
      </c>
      <c r="K32" s="45">
        <f>J32</f>
        <v>350000</v>
      </c>
      <c r="L32" s="46"/>
      <c r="M32" s="44">
        <v>2</v>
      </c>
      <c r="N32" s="41"/>
      <c r="O32" s="41"/>
      <c r="P32" s="47">
        <v>0.035000000000000003</v>
      </c>
      <c r="Q32" s="47">
        <f>P32*K32*M32</f>
        <v>24500.000000000004</v>
      </c>
      <c r="R32" s="47">
        <f>P32</f>
        <v>0.035000000000000003</v>
      </c>
      <c r="S32" s="29">
        <f>Q32/$Q$2</f>
        <v>0.029158117252695192</v>
      </c>
      <c r="T32" s="28"/>
      <c r="U32" s="30"/>
      <c r="V32" s="39"/>
      <c r="W32" s="48">
        <v>0.69999999999999996</v>
      </c>
      <c r="X32" s="49" t="s">
        <v>119</v>
      </c>
      <c r="Y32" s="38" t="s">
        <v>53</v>
      </c>
      <c r="Z32" s="39"/>
    </row>
    <row r="33" s="37" customFormat="1" ht="19.949999999999999" customHeight="1">
      <c r="B33" s="38" t="s">
        <v>121</v>
      </c>
      <c r="C33" s="38" t="s">
        <v>47</v>
      </c>
      <c r="D33" s="38" t="s">
        <v>118</v>
      </c>
      <c r="E33" s="39"/>
      <c r="F33" s="40"/>
      <c r="G33" s="41"/>
      <c r="H33" s="42"/>
      <c r="I33" s="43">
        <v>0</v>
      </c>
      <c r="J33" s="44">
        <f>$K$2*W33</f>
        <v>100000</v>
      </c>
      <c r="K33" s="45">
        <f>J33</f>
        <v>100000</v>
      </c>
      <c r="L33" s="46"/>
      <c r="M33" s="44">
        <v>2</v>
      </c>
      <c r="N33" s="41"/>
      <c r="O33" s="41"/>
      <c r="P33" s="47">
        <v>0.0155</v>
      </c>
      <c r="Q33" s="47">
        <f>P33*K33*M33</f>
        <v>3100</v>
      </c>
      <c r="R33" s="47">
        <f>P33</f>
        <v>0.0155</v>
      </c>
      <c r="S33" s="29">
        <f>Q33/$Q$2</f>
        <v>0.0036893944278920442</v>
      </c>
      <c r="T33" s="28"/>
      <c r="U33" s="30"/>
      <c r="V33" s="39"/>
      <c r="W33" s="48">
        <v>0.20000000000000001</v>
      </c>
      <c r="X33" s="49" t="s">
        <v>119</v>
      </c>
      <c r="Y33" s="38" t="s">
        <v>53</v>
      </c>
      <c r="Z33" s="39"/>
    </row>
    <row r="34" s="37" customFormat="1" ht="19.949999999999999" customHeight="1">
      <c r="B34" s="38" t="s">
        <v>122</v>
      </c>
      <c r="C34" s="38" t="s">
        <v>47</v>
      </c>
      <c r="D34" s="38" t="s">
        <v>118</v>
      </c>
      <c r="E34" s="39"/>
      <c r="F34" s="40"/>
      <c r="G34" s="41"/>
      <c r="H34" s="42"/>
      <c r="I34" s="43">
        <v>0</v>
      </c>
      <c r="J34" s="44">
        <f>$K$2*W34</f>
        <v>100000</v>
      </c>
      <c r="K34" s="45">
        <f>J34</f>
        <v>100000</v>
      </c>
      <c r="L34" s="46"/>
      <c r="M34" s="44">
        <v>2</v>
      </c>
      <c r="N34" s="41"/>
      <c r="O34" s="41"/>
      <c r="P34" s="47">
        <v>0.035499999999999997</v>
      </c>
      <c r="Q34" s="47">
        <f>P34*K34*M34</f>
        <v>7099.9999999999991</v>
      </c>
      <c r="R34" s="47">
        <f>P34</f>
        <v>0.035499999999999997</v>
      </c>
      <c r="S34" s="29">
        <f>Q34/$Q$2</f>
        <v>0.0084499033671075838</v>
      </c>
      <c r="T34" s="28"/>
      <c r="U34" s="30"/>
      <c r="V34" s="39"/>
      <c r="W34" s="48">
        <v>0.20000000000000001</v>
      </c>
      <c r="X34" s="49" t="s">
        <v>119</v>
      </c>
      <c r="Y34" s="38" t="s">
        <v>53</v>
      </c>
      <c r="Z34" s="39"/>
    </row>
    <row r="35" s="37" customFormat="1" ht="19.949999999999999" customHeight="1">
      <c r="B35" s="38" t="s">
        <v>123</v>
      </c>
      <c r="C35" s="38" t="s">
        <v>47</v>
      </c>
      <c r="D35" s="38" t="s">
        <v>118</v>
      </c>
      <c r="E35" s="39"/>
      <c r="F35" s="40"/>
      <c r="G35" s="41"/>
      <c r="H35" s="42"/>
      <c r="I35" s="43">
        <v>0</v>
      </c>
      <c r="J35" s="44">
        <f>$K$2*W35</f>
        <v>50000</v>
      </c>
      <c r="K35" s="45">
        <f>J35</f>
        <v>50000</v>
      </c>
      <c r="L35" s="46"/>
      <c r="M35" s="44">
        <v>2</v>
      </c>
      <c r="N35" s="41"/>
      <c r="O35" s="41"/>
      <c r="P35" s="47">
        <v>0.014999999999999999</v>
      </c>
      <c r="Q35" s="47">
        <f>P35*K35*M35</f>
        <v>1500</v>
      </c>
      <c r="R35" s="47">
        <f>P35</f>
        <v>0.014999999999999999</v>
      </c>
      <c r="S35" s="29">
        <f>Q35/$Q$2</f>
        <v>0.0017851908522058279</v>
      </c>
      <c r="T35" s="28"/>
      <c r="U35" s="30"/>
      <c r="V35" s="39"/>
      <c r="W35" s="48">
        <v>0.10000000000000001</v>
      </c>
      <c r="X35" s="49" t="s">
        <v>119</v>
      </c>
      <c r="Y35" s="38" t="s">
        <v>53</v>
      </c>
      <c r="Z35" s="39"/>
    </row>
    <row r="36" s="37" customFormat="1" ht="19.949999999999999" customHeight="1">
      <c r="B36" s="38" t="s">
        <v>124</v>
      </c>
      <c r="C36" s="38" t="s">
        <v>47</v>
      </c>
      <c r="D36" s="38" t="s">
        <v>118</v>
      </c>
      <c r="E36" s="39"/>
      <c r="F36" s="40"/>
      <c r="G36" s="41"/>
      <c r="H36" s="42"/>
      <c r="I36" s="43">
        <v>0</v>
      </c>
      <c r="J36" s="44">
        <f>$K$2*W36</f>
        <v>50000</v>
      </c>
      <c r="K36" s="45">
        <f>J36</f>
        <v>50000</v>
      </c>
      <c r="L36" s="46"/>
      <c r="M36" s="44">
        <v>2</v>
      </c>
      <c r="N36" s="41"/>
      <c r="O36" s="41"/>
      <c r="P36" s="47">
        <v>0.035000000000000003</v>
      </c>
      <c r="Q36" s="47">
        <f>P36*K36*M36</f>
        <v>3500.0000000000005</v>
      </c>
      <c r="R36" s="47">
        <f>P36</f>
        <v>0.035000000000000003</v>
      </c>
      <c r="S36" s="29">
        <f>Q36/$Q$2</f>
        <v>0.0041654453218135986</v>
      </c>
      <c r="T36" s="28"/>
      <c r="U36" s="30"/>
      <c r="V36" s="39"/>
      <c r="W36" s="48">
        <v>0.10000000000000001</v>
      </c>
      <c r="X36" s="49" t="s">
        <v>119</v>
      </c>
      <c r="Y36" s="38" t="s">
        <v>53</v>
      </c>
      <c r="Z36" s="39"/>
    </row>
    <row r="37" s="50" customFormat="1" ht="19.949999999999999" customHeight="1">
      <c r="B37" s="51"/>
      <c r="C37" s="51"/>
      <c r="D37" s="51"/>
      <c r="E37" s="52"/>
      <c r="F37" s="53"/>
      <c r="G37" s="54"/>
      <c r="H37" s="55"/>
      <c r="I37" s="56"/>
      <c r="J37" s="57"/>
      <c r="K37" s="58"/>
      <c r="L37" s="59"/>
      <c r="M37" s="57"/>
      <c r="N37" s="54"/>
      <c r="O37" s="54"/>
      <c r="P37" s="60"/>
      <c r="Q37" s="61"/>
      <c r="R37" s="62"/>
      <c r="S37" s="52"/>
      <c r="T37" s="28"/>
      <c r="U37" s="30"/>
      <c r="V37" s="52"/>
      <c r="W37" s="63"/>
      <c r="X37" s="64"/>
      <c r="Y37" s="51"/>
      <c r="Z37" s="52"/>
    </row>
    <row r="38" ht="14.25">
      <c r="J38" s="1"/>
      <c r="K38" s="1"/>
      <c r="Q38" s="3"/>
      <c r="R38" s="3"/>
      <c r="S38" s="1"/>
      <c r="T38" s="28"/>
      <c r="U38" s="30"/>
    </row>
    <row r="39" ht="14.25">
      <c r="J39" s="1"/>
      <c r="K39" s="1"/>
      <c r="Q39" s="3"/>
      <c r="R39" s="3"/>
      <c r="S39" s="1"/>
      <c r="T39" s="28"/>
      <c r="U39" s="30"/>
    </row>
    <row r="40" ht="14.25">
      <c r="T40" s="28"/>
      <c r="U40" s="30"/>
    </row>
    <row r="41" ht="14.25">
      <c r="T41" s="28"/>
      <c r="U41" s="30"/>
    </row>
    <row r="42" ht="14.25">
      <c r="M42" s="1"/>
      <c r="N42" s="1"/>
      <c r="O42" s="1"/>
      <c r="P42" s="3"/>
      <c r="U42" s="12"/>
    </row>
    <row r="43" ht="14.25">
      <c r="M43" s="1"/>
      <c r="N43" s="1"/>
      <c r="O43" s="1"/>
      <c r="P43" s="3"/>
      <c r="U43" s="12"/>
    </row>
    <row r="44" ht="14.25">
      <c r="M44" s="1"/>
      <c r="N44" s="1"/>
      <c r="O44" s="1"/>
      <c r="P44" s="3"/>
      <c r="U44" s="12"/>
    </row>
    <row r="45" ht="14.25">
      <c r="M45" s="1"/>
      <c r="N45" s="1"/>
      <c r="O45" s="1"/>
      <c r="P45" s="3"/>
      <c r="U45" s="12"/>
    </row>
    <row r="46" ht="14.25">
      <c r="U46" s="12"/>
    </row>
    <row r="47" ht="14.25">
      <c r="M47" s="1"/>
      <c r="N47" s="1"/>
      <c r="O47" s="1"/>
      <c r="P47" s="3"/>
      <c r="U47" s="12"/>
    </row>
    <row r="48" ht="14.25">
      <c r="M48" s="1"/>
      <c r="N48" s="1"/>
      <c r="O48" s="1"/>
      <c r="P48" s="3"/>
      <c r="U48" s="12"/>
    </row>
    <row r="49" ht="14.25">
      <c r="U49" s="12"/>
    </row>
    <row r="50" ht="14.25">
      <c r="U50" s="12"/>
    </row>
    <row r="51" ht="14.25">
      <c r="U51" s="12"/>
    </row>
    <row r="52" ht="14.25">
      <c r="U52" s="12"/>
    </row>
    <row r="53" ht="14.25">
      <c r="U53" s="12"/>
    </row>
    <row r="54" ht="14.25">
      <c r="U54" s="12"/>
    </row>
    <row r="55" ht="14.25">
      <c r="U55" s="12"/>
    </row>
  </sheetData>
  <conditionalFormatting sqref="Q8:Q36">
    <cfRule type="colorScale" priority="1">
      <colorScale>
        <cfvo type="min"/>
        <cfvo type="max"/>
        <color rgb="FFFCFCFF"/>
        <color rgb="FFF8696B"/>
      </colorScale>
    </cfRule>
  </conditionalFormatting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pane xSplit="5" ySplit="4" topLeftCell="F5" activePane="bottomRight" state="frozen"/>
      <selection activeCell="F5" activeCellId="0" sqref="F5"/>
    </sheetView>
  </sheetViews>
  <sheetFormatPr defaultRowHeight="14.4"/>
  <cols>
    <col customWidth="1" min="1" max="1" style="1" width="3"/>
    <col customWidth="1" min="2" max="2" style="2" width="24"/>
    <col customWidth="1" min="3" max="3" style="2" width="14.44140625"/>
    <col customWidth="1" min="4" max="4" style="2" width="10.33203125"/>
    <col customWidth="1" hidden="1" min="5" max="5" width="0"/>
    <col customWidth="1" min="6" max="6" style="1" width="10.44140625"/>
    <col customWidth="1" min="7" max="7" style="1" width="6.6640625"/>
    <col customWidth="1" min="8" max="8" style="1" width="7.77734375"/>
    <col customWidth="1" min="9" max="9" style="1" width="10.6640625"/>
    <col customWidth="1" min="10" max="10" style="1" width="13.6640625"/>
    <col customWidth="1" min="11" max="11" style="1" width="11.33203125"/>
    <col customWidth="1" hidden="1" min="12" max="12" style="1" width="14.88671875"/>
    <col customWidth="1" min="13" max="13" style="1" width="9"/>
    <col customWidth="1" min="14" max="14" style="1" width="9.109375"/>
    <col customWidth="1" min="15" max="15" style="1" width="7.88671875"/>
    <col customWidth="1" min="16" max="16" style="3" width="14.88671875"/>
    <col customWidth="1" min="17" max="17" style="3" width="16.88671875"/>
    <col customWidth="1" min="18" max="18" style="3" width="16.33203125"/>
    <col customWidth="1" min="19" max="19" style="1" width="7.109375"/>
    <col customWidth="1" min="20" max="20" style="1" width="42"/>
    <col customWidth="1" min="21" max="21" style="5" width="18.21875"/>
    <col customWidth="1" min="22" max="22" style="6" width="32.44140625"/>
    <col customWidth="1" min="23" max="23" style="2" width="18.44140625"/>
    <col min="24" max="16384" style="1" width="8.88671875"/>
  </cols>
  <sheetData>
    <row r="1" ht="8.4000000000000004" customHeight="1"/>
    <row r="2" ht="19.800000000000001" customHeight="1">
      <c r="I2" s="7" t="s">
        <v>0</v>
      </c>
      <c r="J2" s="8">
        <v>1000000</v>
      </c>
      <c r="K2" s="1" t="s">
        <v>125</v>
      </c>
      <c r="Q2" s="9">
        <f>SUM(Q5:Q37)+(J2*1.6)</f>
        <v>2638378.6485714288</v>
      </c>
      <c r="R2" s="10">
        <f>Q2/J2</f>
        <v>2.6383786485714289</v>
      </c>
      <c r="S2" s="1" t="s">
        <v>1</v>
      </c>
    </row>
    <row r="3" ht="11.4" customHeight="1"/>
    <row r="4" s="13" customFormat="1" ht="36">
      <c r="B4" s="14" t="s">
        <v>2</v>
      </c>
      <c r="C4" s="14" t="s">
        <v>3</v>
      </c>
      <c r="D4" s="14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6" t="s">
        <v>10</v>
      </c>
      <c r="L4" s="15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U4" s="15" t="s">
        <v>21</v>
      </c>
      <c r="V4" s="14" t="s">
        <v>22</v>
      </c>
      <c r="W4" s="14" t="s">
        <v>23</v>
      </c>
    </row>
    <row r="5" ht="19.949999999999999" customHeight="1">
      <c r="B5" s="19" t="s">
        <v>70</v>
      </c>
      <c r="C5" s="19" t="s">
        <v>25</v>
      </c>
      <c r="D5" s="19" t="s">
        <v>33</v>
      </c>
      <c r="E5" s="20"/>
      <c r="F5" s="21">
        <v>50</v>
      </c>
      <c r="G5" s="22">
        <v>0</v>
      </c>
      <c r="H5" s="23">
        <f>G5*F5</f>
        <v>0</v>
      </c>
      <c r="I5" s="24">
        <v>0</v>
      </c>
      <c r="J5" s="25">
        <f>$J$2-I5</f>
        <v>1000000</v>
      </c>
      <c r="K5" s="26">
        <f>J5*0.1/368</f>
        <v>271.73913043478262</v>
      </c>
      <c r="L5" s="27" t="s">
        <v>27</v>
      </c>
      <c r="M5" s="25">
        <f>ROUNDUP((K5/O5),0)</f>
        <v>28</v>
      </c>
      <c r="N5" s="22" t="s">
        <v>28</v>
      </c>
      <c r="O5" s="22">
        <v>10</v>
      </c>
      <c r="P5" s="28">
        <v>270</v>
      </c>
      <c r="Q5" s="28">
        <f>P5*M5</f>
        <v>7560</v>
      </c>
      <c r="R5" s="28">
        <f>Q5/1000000</f>
        <v>0.0075599999999999999</v>
      </c>
      <c r="S5" s="29">
        <f>Q5/$Q$2</f>
        <v>0.0028653961417150729</v>
      </c>
      <c r="T5" s="34"/>
      <c r="U5" s="32" t="s">
        <v>71</v>
      </c>
      <c r="V5" s="33" t="s">
        <v>72</v>
      </c>
      <c r="W5" s="19" t="s">
        <v>37</v>
      </c>
      <c r="X5" s="31"/>
    </row>
    <row r="6" ht="19.949999999999999" customHeight="1">
      <c r="B6" s="19" t="s">
        <v>42</v>
      </c>
      <c r="C6" s="19" t="s">
        <v>25</v>
      </c>
      <c r="D6" s="19" t="s">
        <v>33</v>
      </c>
      <c r="E6" s="20"/>
      <c r="F6" s="21">
        <v>100</v>
      </c>
      <c r="G6" s="22">
        <v>2</v>
      </c>
      <c r="H6" s="23">
        <f>G6*F6</f>
        <v>200</v>
      </c>
      <c r="I6" s="24">
        <f>H6*1472</f>
        <v>294400</v>
      </c>
      <c r="J6" s="25">
        <f>$J$2-I6</f>
        <v>705600</v>
      </c>
      <c r="K6" s="26">
        <f>J6/1472</f>
        <v>479.3478260869565</v>
      </c>
      <c r="L6" s="27" t="s">
        <v>27</v>
      </c>
      <c r="M6" s="25">
        <f>ROUNDUP((K6/O6),0)</f>
        <v>5</v>
      </c>
      <c r="N6" s="22" t="s">
        <v>28</v>
      </c>
      <c r="O6" s="22">
        <v>100</v>
      </c>
      <c r="P6" s="28">
        <v>32000</v>
      </c>
      <c r="Q6" s="28">
        <f>P6*M6</f>
        <v>160000</v>
      </c>
      <c r="R6" s="28">
        <f>Q6/1000000</f>
        <v>0.16</v>
      </c>
      <c r="S6" s="29">
        <f>Q6/$Q$2</f>
        <v>0.060643304586562384</v>
      </c>
      <c r="T6" s="31"/>
      <c r="U6" s="32" t="s">
        <v>43</v>
      </c>
      <c r="V6" s="33" t="s">
        <v>44</v>
      </c>
      <c r="W6" s="19" t="s">
        <v>45</v>
      </c>
      <c r="X6" s="31"/>
    </row>
    <row r="7" ht="19.949999999999999" customHeight="1">
      <c r="B7" s="19" t="s">
        <v>24</v>
      </c>
      <c r="C7" s="19" t="s">
        <v>25</v>
      </c>
      <c r="D7" s="19" t="s">
        <v>26</v>
      </c>
      <c r="E7" s="20"/>
      <c r="F7" s="21">
        <v>1</v>
      </c>
      <c r="G7" s="22">
        <v>90</v>
      </c>
      <c r="H7" s="23">
        <v>0</v>
      </c>
      <c r="I7" s="24">
        <f>H7*368</f>
        <v>0</v>
      </c>
      <c r="J7" s="25">
        <f>$J$2-I7</f>
        <v>1000000</v>
      </c>
      <c r="K7" s="26">
        <f>J7/368</f>
        <v>2717.391304347826</v>
      </c>
      <c r="L7" s="27" t="s">
        <v>27</v>
      </c>
      <c r="M7" s="25">
        <f>ROUNDUP((K7/O7),0)</f>
        <v>28</v>
      </c>
      <c r="N7" s="22" t="s">
        <v>28</v>
      </c>
      <c r="O7" s="22">
        <v>100</v>
      </c>
      <c r="P7" s="28">
        <v>236.12</v>
      </c>
      <c r="Q7" s="28"/>
      <c r="R7" s="65">
        <f>Q7/1000000/3</f>
        <v>0</v>
      </c>
      <c r="S7" s="29">
        <f>Q7/$Q$2</f>
        <v>0</v>
      </c>
      <c r="T7" s="31"/>
      <c r="U7" s="32" t="s">
        <v>29</v>
      </c>
      <c r="V7" s="33" t="s">
        <v>30</v>
      </c>
      <c r="W7" s="19" t="s">
        <v>31</v>
      </c>
      <c r="X7" s="31"/>
    </row>
    <row r="8" ht="19.949999999999999" customHeight="1">
      <c r="B8" s="19" t="s">
        <v>32</v>
      </c>
      <c r="C8" s="19" t="s">
        <v>25</v>
      </c>
      <c r="D8" s="19" t="s">
        <v>33</v>
      </c>
      <c r="E8" s="20"/>
      <c r="F8" s="21">
        <v>0</v>
      </c>
      <c r="G8" s="22">
        <v>0</v>
      </c>
      <c r="H8" s="23">
        <f>G8*F8</f>
        <v>0</v>
      </c>
      <c r="I8" s="24">
        <v>0</v>
      </c>
      <c r="J8" s="25">
        <f>$J$2-I8</f>
        <v>1000000</v>
      </c>
      <c r="K8" s="26">
        <f>J8/92</f>
        <v>10869.565217391304</v>
      </c>
      <c r="L8" s="27" t="s">
        <v>27</v>
      </c>
      <c r="M8" s="25">
        <f>ROUNDUP((K8/O8),0)</f>
        <v>2174</v>
      </c>
      <c r="N8" s="22" t="s">
        <v>34</v>
      </c>
      <c r="O8" s="22">
        <v>5</v>
      </c>
      <c r="P8" s="28">
        <v>145</v>
      </c>
      <c r="Q8" s="28">
        <f>P8*M8</f>
        <v>315230</v>
      </c>
      <c r="R8" s="65">
        <f>Q8/1000000</f>
        <v>0.31523000000000001</v>
      </c>
      <c r="S8" s="29">
        <f>Q8/$Q$2</f>
        <v>0.11947868065513788</v>
      </c>
      <c r="T8" s="31"/>
      <c r="U8" s="32" t="s">
        <v>35</v>
      </c>
      <c r="V8" s="33" t="s">
        <v>36</v>
      </c>
      <c r="W8" s="19" t="s">
        <v>37</v>
      </c>
      <c r="X8" s="31"/>
    </row>
    <row r="9" ht="19.949999999999999" customHeight="1">
      <c r="B9" s="19" t="s">
        <v>38</v>
      </c>
      <c r="C9" s="19" t="s">
        <v>39</v>
      </c>
      <c r="D9" s="19" t="s">
        <v>40</v>
      </c>
      <c r="E9" s="20"/>
      <c r="F9" s="21">
        <v>0</v>
      </c>
      <c r="G9" s="22">
        <v>0</v>
      </c>
      <c r="H9" s="23">
        <f>G9*F9</f>
        <v>0</v>
      </c>
      <c r="I9" s="24">
        <v>0</v>
      </c>
      <c r="J9" s="25">
        <f>$J$2-I9</f>
        <v>1000000</v>
      </c>
      <c r="K9" s="26">
        <f>J9/92</f>
        <v>10869.565217391304</v>
      </c>
      <c r="L9" s="27" t="s">
        <v>27</v>
      </c>
      <c r="M9" s="25">
        <f>ROUNDUP((K9/O9),0)</f>
        <v>1087</v>
      </c>
      <c r="N9" s="22" t="s">
        <v>34</v>
      </c>
      <c r="O9" s="22">
        <v>10</v>
      </c>
      <c r="P9" s="28">
        <v>200</v>
      </c>
      <c r="Q9" s="28">
        <f>P9*M9</f>
        <v>217400</v>
      </c>
      <c r="R9" s="28">
        <f>Q9/1000000</f>
        <v>0.21740000000000001</v>
      </c>
      <c r="S9" s="29">
        <f>Q9/$Q$2</f>
        <v>0.082399090106991646</v>
      </c>
      <c r="T9" s="31"/>
      <c r="U9" s="32" t="s">
        <v>35</v>
      </c>
      <c r="V9" s="33" t="s">
        <v>41</v>
      </c>
      <c r="W9" s="19" t="s">
        <v>37</v>
      </c>
      <c r="X9" s="31"/>
    </row>
    <row r="10" ht="19.949999999999999" customHeight="1">
      <c r="B10" s="19" t="s">
        <v>63</v>
      </c>
      <c r="C10" s="19" t="s">
        <v>64</v>
      </c>
      <c r="D10" s="19" t="s">
        <v>33</v>
      </c>
      <c r="E10" s="20"/>
      <c r="F10" s="21">
        <v>15000</v>
      </c>
      <c r="G10" s="22">
        <v>2</v>
      </c>
      <c r="H10" s="23">
        <f>G10*F10</f>
        <v>30000</v>
      </c>
      <c r="I10" s="24">
        <f>H10*1</f>
        <v>30000</v>
      </c>
      <c r="J10" s="25">
        <f>$J$2-I10</f>
        <v>970000</v>
      </c>
      <c r="K10" s="26">
        <f>J10</f>
        <v>970000</v>
      </c>
      <c r="L10" s="27" t="s">
        <v>65</v>
      </c>
      <c r="M10" s="25">
        <f>ROUNDUP((K10/O10),0)</f>
        <v>324</v>
      </c>
      <c r="N10" s="22" t="s">
        <v>66</v>
      </c>
      <c r="O10" s="22">
        <v>3000</v>
      </c>
      <c r="P10" s="28">
        <f>2343.7/70000*O10</f>
        <v>100.44428571428571</v>
      </c>
      <c r="Q10" s="28">
        <f>P10*M10</f>
        <v>32543.948571428569</v>
      </c>
      <c r="R10" s="28">
        <f>Q10/1000000</f>
        <v>0.032543948571428567</v>
      </c>
      <c r="S10" s="29">
        <f>Q10/$Q$2</f>
        <v>0.012334828660416028</v>
      </c>
      <c r="T10" s="31"/>
      <c r="U10" s="32" t="s">
        <v>67</v>
      </c>
      <c r="V10" s="33" t="s">
        <v>68</v>
      </c>
      <c r="W10" s="19" t="s">
        <v>69</v>
      </c>
      <c r="X10" s="31"/>
    </row>
    <row r="11" ht="19.949999999999999" customHeight="1">
      <c r="B11" s="19" t="s">
        <v>61</v>
      </c>
      <c r="C11" s="19" t="s">
        <v>25</v>
      </c>
      <c r="D11" s="19" t="s">
        <v>33</v>
      </c>
      <c r="E11" s="20"/>
      <c r="F11" s="21">
        <v>100</v>
      </c>
      <c r="G11" s="22">
        <v>4</v>
      </c>
      <c r="H11" s="23">
        <f>G11*F11</f>
        <v>400</v>
      </c>
      <c r="I11" s="24">
        <f>H11*368</f>
        <v>147200</v>
      </c>
      <c r="J11" s="25">
        <f>$J$2-I11</f>
        <v>852800</v>
      </c>
      <c r="K11" s="26">
        <f>J11/368</f>
        <v>2317.391304347826</v>
      </c>
      <c r="L11" s="27" t="s">
        <v>27</v>
      </c>
      <c r="M11" s="25">
        <f>ROUNDUP((K11/O11),0)</f>
        <v>24</v>
      </c>
      <c r="N11" s="22" t="s">
        <v>28</v>
      </c>
      <c r="O11" s="22">
        <v>100</v>
      </c>
      <c r="P11" s="28">
        <v>1688.8699999999999</v>
      </c>
      <c r="Q11" s="28">
        <f>P11*M11</f>
        <v>40532.879999999997</v>
      </c>
      <c r="R11" s="28">
        <f>Q11/1000000</f>
        <v>0.04053288</v>
      </c>
      <c r="S11" s="29">
        <f>Q11/$Q$2</f>
        <v>0.015362798672566142</v>
      </c>
      <c r="T11" s="31"/>
      <c r="U11" s="32" t="s">
        <v>29</v>
      </c>
      <c r="V11" s="33" t="s">
        <v>30</v>
      </c>
      <c r="W11" s="19" t="s">
        <v>62</v>
      </c>
      <c r="X11" s="31"/>
    </row>
    <row r="12" ht="19.949999999999999" customHeight="1">
      <c r="B12" s="19" t="s">
        <v>73</v>
      </c>
      <c r="C12" s="19" t="s">
        <v>55</v>
      </c>
      <c r="D12" s="19" t="s">
        <v>33</v>
      </c>
      <c r="E12" s="20"/>
      <c r="F12" s="21">
        <v>0</v>
      </c>
      <c r="G12" s="22">
        <v>0</v>
      </c>
      <c r="H12" s="23">
        <f>G12*F12</f>
        <v>0</v>
      </c>
      <c r="I12" s="24">
        <f>H12*10*368</f>
        <v>0</v>
      </c>
      <c r="J12" s="25">
        <f>$J$2-I12</f>
        <v>1000000</v>
      </c>
      <c r="K12" s="26">
        <f>J12/10/368</f>
        <v>271.73913043478262</v>
      </c>
      <c r="L12" s="27" t="s">
        <v>56</v>
      </c>
      <c r="M12" s="25">
        <v>1</v>
      </c>
      <c r="N12" s="22" t="s">
        <v>57</v>
      </c>
      <c r="O12" s="22">
        <v>7680</v>
      </c>
      <c r="P12" s="28">
        <v>7368.6400000000003</v>
      </c>
      <c r="Q12" s="28">
        <v>7368.6400000000003</v>
      </c>
      <c r="R12" s="28">
        <f>Q12/1000000</f>
        <v>0.0073686400000000001</v>
      </c>
      <c r="S12" s="29">
        <f>Q12/$Q$2</f>
        <v>0.0027928667494295442</v>
      </c>
      <c r="T12" s="31"/>
      <c r="U12" s="32" t="s">
        <v>74</v>
      </c>
      <c r="V12" s="33" t="s">
        <v>75</v>
      </c>
      <c r="W12" s="19" t="s">
        <v>60</v>
      </c>
      <c r="X12" s="31"/>
    </row>
    <row r="13" ht="19.949999999999999" customHeight="1">
      <c r="B13" s="19" t="s">
        <v>54</v>
      </c>
      <c r="C13" s="19" t="s">
        <v>55</v>
      </c>
      <c r="D13" s="19" t="s">
        <v>33</v>
      </c>
      <c r="E13" s="20"/>
      <c r="F13" s="21">
        <v>5</v>
      </c>
      <c r="G13" s="22">
        <v>9</v>
      </c>
      <c r="H13" s="23">
        <f>G13*F13</f>
        <v>45</v>
      </c>
      <c r="I13" s="24">
        <v>0</v>
      </c>
      <c r="J13" s="25">
        <f>$J$2-I13</f>
        <v>1000000</v>
      </c>
      <c r="K13" s="26">
        <f>J13/10/92</f>
        <v>1086.9565217391305</v>
      </c>
      <c r="L13" s="27" t="s">
        <v>56</v>
      </c>
      <c r="M13" s="25">
        <v>1</v>
      </c>
      <c r="N13" s="22" t="s">
        <v>57</v>
      </c>
      <c r="O13" s="22">
        <v>4800</v>
      </c>
      <c r="P13" s="28">
        <v>44738.160000000003</v>
      </c>
      <c r="Q13" s="28">
        <f>M13*P13</f>
        <v>44738.160000000003</v>
      </c>
      <c r="R13" s="28">
        <f>44738.16/2000000</f>
        <v>0.022369080000000003</v>
      </c>
      <c r="S13" s="29">
        <f>Q13/$Q$2</f>
        <v>0.016956686647014763</v>
      </c>
      <c r="T13" s="31"/>
      <c r="U13" s="32" t="s">
        <v>58</v>
      </c>
      <c r="V13" s="33" t="s">
        <v>59</v>
      </c>
      <c r="W13" s="19" t="s">
        <v>60</v>
      </c>
      <c r="X13" s="31"/>
    </row>
    <row r="14" ht="19.949999999999999" customHeight="1">
      <c r="B14" s="19" t="s">
        <v>76</v>
      </c>
      <c r="C14" s="19" t="s">
        <v>77</v>
      </c>
      <c r="D14" s="19" t="s">
        <v>78</v>
      </c>
      <c r="E14" s="20"/>
      <c r="F14" s="21">
        <v>1</v>
      </c>
      <c r="G14" s="22">
        <v>1</v>
      </c>
      <c r="H14" s="23">
        <f>G14*F14</f>
        <v>1</v>
      </c>
      <c r="I14" s="24">
        <f>H14*4500*1472</f>
        <v>6624000</v>
      </c>
      <c r="J14" s="25">
        <f>$J$2-I14</f>
        <v>-5624000</v>
      </c>
      <c r="K14" s="26">
        <v>0</v>
      </c>
      <c r="L14" s="27" t="s">
        <v>79</v>
      </c>
      <c r="M14" s="25">
        <f>IFERROR(ROUNDUP((K14/O14),0),0)</f>
        <v>0</v>
      </c>
      <c r="N14" s="22" t="str">
        <f>D14</f>
        <v>Unitario</v>
      </c>
      <c r="O14" s="22">
        <v>1</v>
      </c>
      <c r="P14" s="28">
        <v>0</v>
      </c>
      <c r="Q14" s="28">
        <v>0</v>
      </c>
      <c r="R14" s="28">
        <v>0</v>
      </c>
      <c r="S14" s="29">
        <f>Q14/$Q$2</f>
        <v>0</v>
      </c>
      <c r="T14" s="31"/>
      <c r="U14" s="32" t="s">
        <v>80</v>
      </c>
      <c r="V14" s="33" t="s">
        <v>81</v>
      </c>
      <c r="W14" s="19" t="s">
        <v>45</v>
      </c>
      <c r="X14" s="31"/>
    </row>
    <row r="15" ht="19.949999999999999" customHeight="1">
      <c r="B15" s="19" t="s">
        <v>82</v>
      </c>
      <c r="C15" s="19" t="s">
        <v>83</v>
      </c>
      <c r="D15" s="19" t="s">
        <v>84</v>
      </c>
      <c r="E15" s="20"/>
      <c r="F15" s="21">
        <v>1</v>
      </c>
      <c r="G15" s="22">
        <v>100</v>
      </c>
      <c r="H15" s="23">
        <f>G15*F15</f>
        <v>100</v>
      </c>
      <c r="I15" s="24">
        <f>H15*368</f>
        <v>36800</v>
      </c>
      <c r="J15" s="25">
        <f>($J$2-I15)*0.1</f>
        <v>96320</v>
      </c>
      <c r="K15" s="26">
        <f>J15/368</f>
        <v>261.73913043478262</v>
      </c>
      <c r="L15" s="27" t="s">
        <v>85</v>
      </c>
      <c r="M15" s="25">
        <f>ROUNDUP((K15/O15),0)</f>
        <v>3</v>
      </c>
      <c r="N15" s="22" t="s">
        <v>28</v>
      </c>
      <c r="O15" s="22">
        <v>100</v>
      </c>
      <c r="P15" s="28">
        <v>1050</v>
      </c>
      <c r="Q15" s="28">
        <f>P15*M15</f>
        <v>3150</v>
      </c>
      <c r="R15" s="28">
        <f>Q15/1000000</f>
        <v>0.00315</v>
      </c>
      <c r="S15" s="29">
        <f>Q15/$Q$2</f>
        <v>0.0011939150590479469</v>
      </c>
      <c r="T15" s="31"/>
      <c r="U15" s="32" t="s">
        <v>29</v>
      </c>
      <c r="V15" s="33" t="s">
        <v>86</v>
      </c>
      <c r="W15" s="19" t="s">
        <v>37</v>
      </c>
      <c r="X15" s="31"/>
    </row>
    <row r="16" ht="19.949999999999999" customHeight="1">
      <c r="B16" s="19" t="s">
        <v>87</v>
      </c>
      <c r="C16" s="19" t="s">
        <v>55</v>
      </c>
      <c r="D16" s="19" t="s">
        <v>88</v>
      </c>
      <c r="E16" s="20"/>
      <c r="F16" s="21">
        <v>500</v>
      </c>
      <c r="G16" s="22">
        <v>1</v>
      </c>
      <c r="H16" s="23">
        <f>G16*F16</f>
        <v>500</v>
      </c>
      <c r="I16" s="24">
        <f>H16*1472</f>
        <v>736000</v>
      </c>
      <c r="J16" s="25">
        <f>$J$2-I16</f>
        <v>264000</v>
      </c>
      <c r="K16" s="26">
        <f>J16/1472</f>
        <v>179.34782608695653</v>
      </c>
      <c r="L16" s="27" t="s">
        <v>56</v>
      </c>
      <c r="M16" s="25">
        <f>IFERROR(ROUNDUP((K16/O16),0),0)</f>
        <v>1</v>
      </c>
      <c r="N16" s="22" t="s">
        <v>66</v>
      </c>
      <c r="O16" s="22">
        <v>1000</v>
      </c>
      <c r="P16" s="28">
        <f>47.9</f>
        <v>47.899999999999999</v>
      </c>
      <c r="Q16" s="28">
        <f>P16*M16</f>
        <v>47.899999999999999</v>
      </c>
      <c r="R16" s="28">
        <f>Q16/1000000</f>
        <v>4.7899999999999999e-05</v>
      </c>
      <c r="S16" s="29">
        <f>Q16/$Q$2</f>
        <v>1.8155089310602115e-05</v>
      </c>
      <c r="T16" s="31"/>
      <c r="U16" s="32" t="s">
        <v>43</v>
      </c>
      <c r="V16" s="33" t="s">
        <v>89</v>
      </c>
      <c r="W16" s="19" t="s">
        <v>90</v>
      </c>
      <c r="X16" s="31"/>
    </row>
    <row r="17" ht="19.949999999999999" customHeight="1">
      <c r="B17" s="19" t="s">
        <v>91</v>
      </c>
      <c r="C17" s="19" t="s">
        <v>55</v>
      </c>
      <c r="D17" s="19" t="s">
        <v>88</v>
      </c>
      <c r="E17" s="20"/>
      <c r="F17" s="21">
        <v>500</v>
      </c>
      <c r="G17" s="22">
        <v>4</v>
      </c>
      <c r="H17" s="23">
        <f>G17*F17</f>
        <v>2000</v>
      </c>
      <c r="I17" s="24">
        <f>H17*4*368</f>
        <v>2944000</v>
      </c>
      <c r="J17" s="25">
        <f>$J$2-I17</f>
        <v>-1944000</v>
      </c>
      <c r="K17" s="26">
        <v>0</v>
      </c>
      <c r="L17" s="27" t="s">
        <v>56</v>
      </c>
      <c r="M17" s="25">
        <v>0</v>
      </c>
      <c r="N17" s="22" t="s">
        <v>66</v>
      </c>
      <c r="O17" s="22">
        <v>1000</v>
      </c>
      <c r="P17" s="28">
        <v>20</v>
      </c>
      <c r="Q17" s="28">
        <f>P17*M17</f>
        <v>0</v>
      </c>
      <c r="R17" s="28">
        <v>0</v>
      </c>
      <c r="S17" s="29">
        <f>Q17/$Q$2</f>
        <v>0</v>
      </c>
      <c r="T17" s="31"/>
      <c r="U17" s="32" t="s">
        <v>92</v>
      </c>
      <c r="V17" s="33" t="s">
        <v>93</v>
      </c>
      <c r="W17" s="19" t="s">
        <v>90</v>
      </c>
      <c r="X17" s="31"/>
    </row>
    <row r="18" ht="19.949999999999999" customHeight="1">
      <c r="B18" s="19" t="s">
        <v>94</v>
      </c>
      <c r="C18" s="19" t="s">
        <v>55</v>
      </c>
      <c r="D18" s="19" t="s">
        <v>88</v>
      </c>
      <c r="E18" s="20"/>
      <c r="F18" s="21">
        <v>500</v>
      </c>
      <c r="G18" s="22">
        <v>1</v>
      </c>
      <c r="H18" s="23">
        <f>G18*F18</f>
        <v>500</v>
      </c>
      <c r="I18" s="24">
        <f>H18*4*1472</f>
        <v>2944000</v>
      </c>
      <c r="J18" s="25">
        <f>$J$2-I18</f>
        <v>-1944000</v>
      </c>
      <c r="K18" s="26">
        <v>0</v>
      </c>
      <c r="L18" s="27" t="s">
        <v>56</v>
      </c>
      <c r="M18" s="25">
        <f>IFERROR(ROUNDUP((K18/O18),0),0)</f>
        <v>0</v>
      </c>
      <c r="N18" s="22" t="s">
        <v>66</v>
      </c>
      <c r="O18" s="22">
        <v>500</v>
      </c>
      <c r="P18" s="28">
        <v>20</v>
      </c>
      <c r="Q18" s="28">
        <v>0</v>
      </c>
      <c r="R18" s="28">
        <v>0</v>
      </c>
      <c r="S18" s="29">
        <f>Q18/$Q$2</f>
        <v>0</v>
      </c>
      <c r="T18" s="31"/>
      <c r="U18" s="32" t="s">
        <v>95</v>
      </c>
      <c r="V18" s="33" t="s">
        <v>96</v>
      </c>
      <c r="W18" s="19" t="s">
        <v>90</v>
      </c>
      <c r="X18" s="31"/>
    </row>
    <row r="19" ht="19.949999999999999" customHeight="1">
      <c r="B19" s="19" t="s">
        <v>46</v>
      </c>
      <c r="C19" s="19" t="s">
        <v>47</v>
      </c>
      <c r="D19" s="19" t="s">
        <v>48</v>
      </c>
      <c r="E19" s="20"/>
      <c r="F19" s="21">
        <v>125</v>
      </c>
      <c r="G19" s="22">
        <v>2</v>
      </c>
      <c r="H19" s="23">
        <f>G19*F19</f>
        <v>250</v>
      </c>
      <c r="I19" s="24">
        <f>H19*1000</f>
        <v>250000</v>
      </c>
      <c r="J19" s="25">
        <f>$J$2-I19</f>
        <v>750000</v>
      </c>
      <c r="K19" s="26">
        <f>J19/1000</f>
        <v>750</v>
      </c>
      <c r="L19" s="27" t="s">
        <v>49</v>
      </c>
      <c r="M19" s="25">
        <f>IFERROR(ROUNDUP((K19/O19),0),0)</f>
        <v>6</v>
      </c>
      <c r="N19" s="22" t="s">
        <v>50</v>
      </c>
      <c r="O19" s="22">
        <v>125</v>
      </c>
      <c r="P19" s="28">
        <v>18234.52</v>
      </c>
      <c r="Q19" s="28">
        <f>P19*M19</f>
        <v>109407.12</v>
      </c>
      <c r="R19" s="28">
        <f>Q19/1000000</f>
        <v>0.10940712</v>
      </c>
      <c r="S19" s="29">
        <f>Q19/$Q$2</f>
        <v>0.041467558138116131</v>
      </c>
      <c r="T19" s="31"/>
      <c r="U19" s="32" t="s">
        <v>51</v>
      </c>
      <c r="V19" s="33" t="s">
        <v>52</v>
      </c>
      <c r="W19" s="19" t="s">
        <v>53</v>
      </c>
      <c r="X19" s="31"/>
    </row>
    <row r="20" ht="19.949999999999999" customHeight="1">
      <c r="B20" s="19" t="s">
        <v>97</v>
      </c>
      <c r="C20" s="19" t="s">
        <v>47</v>
      </c>
      <c r="D20" s="19" t="s">
        <v>98</v>
      </c>
      <c r="E20" s="20"/>
      <c r="F20" s="21">
        <v>1</v>
      </c>
      <c r="G20" s="22">
        <v>1</v>
      </c>
      <c r="H20" s="23">
        <v>1</v>
      </c>
      <c r="I20" s="24">
        <f>H20*20000</f>
        <v>20000</v>
      </c>
      <c r="J20" s="25">
        <f>$J$2-I20</f>
        <v>980000</v>
      </c>
      <c r="K20" s="26">
        <f>J20/20000</f>
        <v>49</v>
      </c>
      <c r="L20" s="27" t="s">
        <v>48</v>
      </c>
      <c r="M20" s="25">
        <f>IFERROR(ROUNDUP((K20/O20),0),0)</f>
        <v>49</v>
      </c>
      <c r="N20" s="22" t="str">
        <f>D20</f>
        <v>lt</v>
      </c>
      <c r="O20" s="22">
        <v>1</v>
      </c>
      <c r="P20" s="28">
        <v>55</v>
      </c>
      <c r="Q20" s="28"/>
      <c r="R20" s="28">
        <f>Q20/1000000</f>
        <v>0</v>
      </c>
      <c r="S20" s="29">
        <f>Q20/$Q$2</f>
        <v>0</v>
      </c>
      <c r="T20" s="31"/>
      <c r="U20" s="32" t="s">
        <v>99</v>
      </c>
      <c r="V20" s="33" t="s">
        <v>100</v>
      </c>
      <c r="W20" s="19" t="s">
        <v>101</v>
      </c>
      <c r="X20" s="31"/>
    </row>
    <row r="21" ht="19.949999999999999" customHeight="1">
      <c r="B21" s="19" t="s">
        <v>102</v>
      </c>
      <c r="C21" s="19" t="s">
        <v>47</v>
      </c>
      <c r="D21" s="19" t="s">
        <v>98</v>
      </c>
      <c r="E21" s="20"/>
      <c r="F21" s="21">
        <v>1</v>
      </c>
      <c r="G21" s="22">
        <v>21</v>
      </c>
      <c r="H21" s="23">
        <f>G21*F21</f>
        <v>21</v>
      </c>
      <c r="I21" s="24">
        <f>H21*8000</f>
        <v>168000</v>
      </c>
      <c r="J21" s="25">
        <f>$J$2-I21</f>
        <v>832000</v>
      </c>
      <c r="K21" s="26">
        <f>J21/8000</f>
        <v>104</v>
      </c>
      <c r="L21" s="27" t="s">
        <v>48</v>
      </c>
      <c r="M21" s="25">
        <f>IFERROR(ROUNDUP((K21/O21),0),0)</f>
        <v>104</v>
      </c>
      <c r="N21" s="22" t="str">
        <f>D21</f>
        <v>lt</v>
      </c>
      <c r="O21" s="22">
        <v>1</v>
      </c>
      <c r="P21" s="28">
        <v>30</v>
      </c>
      <c r="Q21" s="28"/>
      <c r="R21" s="28">
        <f>Q21/1000000</f>
        <v>0</v>
      </c>
      <c r="S21" s="29">
        <f>Q21/$Q$2</f>
        <v>0</v>
      </c>
      <c r="T21" s="31"/>
      <c r="U21" s="32" t="s">
        <v>103</v>
      </c>
      <c r="V21" s="33" t="s">
        <v>104</v>
      </c>
      <c r="W21" s="19" t="s">
        <v>101</v>
      </c>
      <c r="X21" s="31"/>
    </row>
    <row r="22" ht="19.949999999999999" customHeight="1">
      <c r="B22" s="19" t="s">
        <v>105</v>
      </c>
      <c r="C22" s="19" t="s">
        <v>47</v>
      </c>
      <c r="D22" s="19" t="s">
        <v>106</v>
      </c>
      <c r="E22" s="20"/>
      <c r="F22" s="21">
        <v>25000</v>
      </c>
      <c r="G22" s="22">
        <v>1</v>
      </c>
      <c r="H22" s="23">
        <v>20000</v>
      </c>
      <c r="I22" s="24">
        <f>H22/U22</f>
        <v>1000000</v>
      </c>
      <c r="J22" s="25">
        <f>$J$2-I22</f>
        <v>0</v>
      </c>
      <c r="K22" s="26">
        <f>J22*U22</f>
        <v>0</v>
      </c>
      <c r="L22" s="27" t="s">
        <v>106</v>
      </c>
      <c r="M22" s="25">
        <f>IFERROR(ROUNDUP((K22/O22),0),0)</f>
        <v>0</v>
      </c>
      <c r="N22" s="22" t="str">
        <f>D22</f>
        <v>g</v>
      </c>
      <c r="O22" s="22">
        <v>1</v>
      </c>
      <c r="P22" s="28">
        <v>1.1499999999999999</v>
      </c>
      <c r="Q22" s="28"/>
      <c r="R22" s="28">
        <f>Q22/1000000</f>
        <v>0</v>
      </c>
      <c r="S22" s="29">
        <f>Q22/$Q$2</f>
        <v>0</v>
      </c>
      <c r="T22" s="31"/>
      <c r="U22" s="32">
        <f>20000/1000000</f>
        <v>0.02</v>
      </c>
      <c r="V22" s="33" t="s">
        <v>100</v>
      </c>
      <c r="W22" s="19" t="s">
        <v>101</v>
      </c>
      <c r="X22" s="31"/>
    </row>
    <row r="23" ht="19.949999999999999" customHeight="1">
      <c r="B23" s="19" t="s">
        <v>107</v>
      </c>
      <c r="C23" s="19" t="s">
        <v>47</v>
      </c>
      <c r="D23" s="19" t="s">
        <v>106</v>
      </c>
      <c r="E23" s="20"/>
      <c r="F23" s="21">
        <v>1000</v>
      </c>
      <c r="G23" s="22">
        <v>4</v>
      </c>
      <c r="H23" s="23">
        <f>G23*F23</f>
        <v>4000</v>
      </c>
      <c r="I23" s="24">
        <f>H23/U23</f>
        <v>245098.03921568627</v>
      </c>
      <c r="J23" s="25">
        <f>$J$2-I23</f>
        <v>754901.96078431373</v>
      </c>
      <c r="K23" s="26">
        <f>J23*U23</f>
        <v>12320.000000000002</v>
      </c>
      <c r="L23" s="27" t="s">
        <v>106</v>
      </c>
      <c r="M23" s="25">
        <f>IFERROR(ROUNDUP((K23/O23),0),0)</f>
        <v>12321</v>
      </c>
      <c r="N23" s="22" t="str">
        <f>D23</f>
        <v>g</v>
      </c>
      <c r="O23" s="22">
        <v>1</v>
      </c>
      <c r="P23" s="28">
        <v>0.053999999999999999</v>
      </c>
      <c r="Q23" s="28"/>
      <c r="R23" s="28">
        <f>Q23/1000000</f>
        <v>0</v>
      </c>
      <c r="S23" s="29">
        <f>Q23/$Q$2</f>
        <v>0</v>
      </c>
      <c r="T23" s="31"/>
      <c r="U23" s="32">
        <f>16320/1000000</f>
        <v>0.016320000000000001</v>
      </c>
      <c r="V23" s="33" t="s">
        <v>100</v>
      </c>
      <c r="W23" s="19" t="s">
        <v>101</v>
      </c>
      <c r="X23" s="31"/>
    </row>
    <row r="24" ht="19.949999999999999" customHeight="1">
      <c r="B24" s="35" t="s">
        <v>108</v>
      </c>
      <c r="C24" s="19" t="s">
        <v>47</v>
      </c>
      <c r="D24" s="19" t="s">
        <v>109</v>
      </c>
      <c r="E24" s="20"/>
      <c r="F24" s="21">
        <v>1</v>
      </c>
      <c r="G24" s="22">
        <v>1</v>
      </c>
      <c r="H24" s="23">
        <f>G24*F24</f>
        <v>1</v>
      </c>
      <c r="I24" s="24">
        <f>H24/U24</f>
        <v>277777.77777777775</v>
      </c>
      <c r="J24" s="25">
        <f>$J$2-I24</f>
        <v>722222.22222222225</v>
      </c>
      <c r="K24" s="26">
        <f>J24*U24</f>
        <v>2.6000000000000001</v>
      </c>
      <c r="L24" s="27" t="s">
        <v>109</v>
      </c>
      <c r="M24" s="25">
        <f>IFERROR(ROUNDUP((K24/O24),0),0)</f>
        <v>3</v>
      </c>
      <c r="N24" s="22" t="str">
        <f>D24</f>
        <v>kg</v>
      </c>
      <c r="O24" s="22">
        <v>1</v>
      </c>
      <c r="P24" s="28">
        <f>58</f>
        <v>58</v>
      </c>
      <c r="Q24" s="28"/>
      <c r="R24" s="28">
        <f>Q24/1000000</f>
        <v>0</v>
      </c>
      <c r="S24" s="29">
        <f>Q24/$Q$2</f>
        <v>0</v>
      </c>
      <c r="T24" s="31"/>
      <c r="U24" s="32">
        <f>3.6/1000000</f>
        <v>3.6000000000000003e-06</v>
      </c>
      <c r="V24" s="33" t="s">
        <v>100</v>
      </c>
      <c r="W24" s="19" t="s">
        <v>101</v>
      </c>
      <c r="X24" s="31"/>
    </row>
    <row r="25" ht="19.949999999999999" customHeight="1">
      <c r="B25" s="35" t="s">
        <v>110</v>
      </c>
      <c r="C25" s="19" t="s">
        <v>47</v>
      </c>
      <c r="D25" s="19" t="s">
        <v>109</v>
      </c>
      <c r="E25" s="20"/>
      <c r="F25" s="21">
        <v>1</v>
      </c>
      <c r="G25" s="22">
        <v>1</v>
      </c>
      <c r="H25" s="23">
        <f>G25*F25</f>
        <v>1</v>
      </c>
      <c r="I25" s="24">
        <f>H25/U25</f>
        <v>4166666.666666667</v>
      </c>
      <c r="J25" s="25">
        <f>$J$2-I25</f>
        <v>-3166666.666666667</v>
      </c>
      <c r="K25" s="26">
        <v>0</v>
      </c>
      <c r="L25" s="27" t="s">
        <v>109</v>
      </c>
      <c r="M25" s="25">
        <f>IFERROR(ROUNDUP((K25/O25),0),0)</f>
        <v>0</v>
      </c>
      <c r="N25" s="22" t="str">
        <f>D25</f>
        <v>kg</v>
      </c>
      <c r="O25" s="22">
        <v>1</v>
      </c>
      <c r="P25" s="28">
        <v>63</v>
      </c>
      <c r="Q25" s="28"/>
      <c r="R25" s="28">
        <f>Q25/1000000</f>
        <v>0</v>
      </c>
      <c r="S25" s="29">
        <f>Q25/$Q$2</f>
        <v>0</v>
      </c>
      <c r="T25" s="31"/>
      <c r="U25" s="32">
        <f>0.24/1000000</f>
        <v>2.3999999999999998e-07</v>
      </c>
      <c r="V25" s="33" t="s">
        <v>100</v>
      </c>
      <c r="W25" s="19" t="s">
        <v>101</v>
      </c>
      <c r="X25" s="31"/>
    </row>
    <row r="26" ht="19.949999999999999" customHeight="1">
      <c r="B26" s="19" t="s">
        <v>111</v>
      </c>
      <c r="C26" s="19" t="s">
        <v>47</v>
      </c>
      <c r="D26" s="19" t="s">
        <v>106</v>
      </c>
      <c r="E26" s="20"/>
      <c r="F26" s="21">
        <v>500</v>
      </c>
      <c r="G26" s="22">
        <v>2</v>
      </c>
      <c r="H26" s="23">
        <f>G26*F26</f>
        <v>1000</v>
      </c>
      <c r="I26" s="24">
        <f>H26/U26</f>
        <v>130039.01170351106</v>
      </c>
      <c r="J26" s="25">
        <f>$J$2-I26</f>
        <v>869960.988296489</v>
      </c>
      <c r="K26" s="26">
        <f>J26*U26</f>
        <v>6690</v>
      </c>
      <c r="L26" s="27" t="s">
        <v>106</v>
      </c>
      <c r="M26" s="25">
        <f>IFERROR(ROUNDUP((K26/O26),0),0)</f>
        <v>6690</v>
      </c>
      <c r="N26" s="22" t="str">
        <f>D26</f>
        <v>g</v>
      </c>
      <c r="O26" s="22">
        <v>1</v>
      </c>
      <c r="P26" s="28">
        <f>3480/1000</f>
        <v>3.48</v>
      </c>
      <c r="Q26" s="28"/>
      <c r="R26" s="28">
        <f>Q26/1000000</f>
        <v>0</v>
      </c>
      <c r="S26" s="29">
        <f>Q26/$Q$2</f>
        <v>0</v>
      </c>
      <c r="T26" s="31"/>
      <c r="U26" s="32">
        <f>7690/1000000</f>
        <v>0.0076899999999999998</v>
      </c>
      <c r="V26" s="33" t="s">
        <v>100</v>
      </c>
      <c r="W26" s="19" t="s">
        <v>101</v>
      </c>
      <c r="X26" s="31"/>
    </row>
    <row r="27" ht="19.949999999999999" customHeight="1">
      <c r="B27" s="19" t="s">
        <v>112</v>
      </c>
      <c r="C27" s="19" t="s">
        <v>47</v>
      </c>
      <c r="D27" s="19" t="s">
        <v>48</v>
      </c>
      <c r="E27" s="20"/>
      <c r="F27" s="21">
        <v>1000</v>
      </c>
      <c r="G27" s="22">
        <v>5</v>
      </c>
      <c r="H27" s="23">
        <f>G27*F27</f>
        <v>5000</v>
      </c>
      <c r="I27" s="24">
        <f>H27/U27</f>
        <v>833333.33333333337</v>
      </c>
      <c r="J27" s="25">
        <f>$J$2-I27</f>
        <v>166666.66666666663</v>
      </c>
      <c r="K27" s="26">
        <f>J27*U27</f>
        <v>999.99999999999977</v>
      </c>
      <c r="L27" s="27" t="s">
        <v>48</v>
      </c>
      <c r="M27" s="25">
        <v>1</v>
      </c>
      <c r="N27" s="22" t="s">
        <v>113</v>
      </c>
      <c r="O27" s="22">
        <v>1</v>
      </c>
      <c r="P27" s="28">
        <v>56.799999999999997</v>
      </c>
      <c r="Q27" s="28"/>
      <c r="R27" s="28">
        <f>Q27/1000000</f>
        <v>0</v>
      </c>
      <c r="S27" s="29">
        <f>Q27/$Q$2</f>
        <v>0</v>
      </c>
      <c r="T27" s="31"/>
      <c r="U27" s="32">
        <f>6000/1000000</f>
        <v>0.0060000000000000001</v>
      </c>
      <c r="V27" s="33" t="s">
        <v>100</v>
      </c>
      <c r="W27" s="19" t="s">
        <v>101</v>
      </c>
      <c r="X27" s="31"/>
    </row>
    <row r="28" ht="19.949999999999999" customHeight="1">
      <c r="B28" s="19" t="s">
        <v>114</v>
      </c>
      <c r="C28" s="19" t="s">
        <v>47</v>
      </c>
      <c r="D28" s="19" t="s">
        <v>106</v>
      </c>
      <c r="E28" s="20"/>
      <c r="F28" s="21">
        <v>500</v>
      </c>
      <c r="G28" s="22">
        <v>1</v>
      </c>
      <c r="H28" s="23">
        <f>G28*F28</f>
        <v>500</v>
      </c>
      <c r="I28" s="24">
        <f>H28/U28</f>
        <v>207468.87966804981</v>
      </c>
      <c r="J28" s="25">
        <f>$J$2-I28</f>
        <v>792531.12033195025</v>
      </c>
      <c r="K28" s="26">
        <f>J28*U28</f>
        <v>1910</v>
      </c>
      <c r="L28" s="27" t="s">
        <v>106</v>
      </c>
      <c r="M28" s="25">
        <f>IFERROR(ROUNDUP((K28/O28),0),0)</f>
        <v>1910</v>
      </c>
      <c r="N28" s="22" t="str">
        <f>D28</f>
        <v>g</v>
      </c>
      <c r="O28" s="22">
        <v>1</v>
      </c>
      <c r="P28" s="28">
        <f>940/1000</f>
        <v>0.93999999999999995</v>
      </c>
      <c r="Q28" s="28"/>
      <c r="R28" s="28">
        <f>Q28/1000000</f>
        <v>0</v>
      </c>
      <c r="S28" s="29">
        <f>Q28/$Q$2</f>
        <v>0</v>
      </c>
      <c r="T28" s="31"/>
      <c r="U28" s="32">
        <f>2410/1000000</f>
        <v>0.0024099999999999998</v>
      </c>
      <c r="V28" s="33" t="s">
        <v>100</v>
      </c>
      <c r="W28" s="19" t="s">
        <v>101</v>
      </c>
      <c r="X28" s="31"/>
    </row>
    <row r="29" ht="19.949999999999999" customHeight="1">
      <c r="B29" s="19" t="s">
        <v>115</v>
      </c>
      <c r="C29" s="19" t="s">
        <v>47</v>
      </c>
      <c r="D29" s="19" t="s">
        <v>109</v>
      </c>
      <c r="E29" s="20"/>
      <c r="F29" s="21">
        <v>1</v>
      </c>
      <c r="G29" s="22">
        <v>0</v>
      </c>
      <c r="H29" s="23">
        <v>0</v>
      </c>
      <c r="I29" s="24">
        <f>H29/U29</f>
        <v>0</v>
      </c>
      <c r="J29" s="25">
        <f>$J$2-I29</f>
        <v>1000000</v>
      </c>
      <c r="K29" s="26">
        <f>J29*U29</f>
        <v>6</v>
      </c>
      <c r="L29" s="27" t="s">
        <v>109</v>
      </c>
      <c r="M29" s="25">
        <f>IFERROR(ROUNDUP((K29/O29),0),0)</f>
        <v>6</v>
      </c>
      <c r="N29" s="22" t="str">
        <f>D29</f>
        <v>kg</v>
      </c>
      <c r="O29" s="22">
        <v>1</v>
      </c>
      <c r="P29" s="28">
        <f>4720.82/1000</f>
        <v>4.7208199999999998</v>
      </c>
      <c r="Q29" s="28"/>
      <c r="R29" s="28">
        <f>Q29/1000000</f>
        <v>0</v>
      </c>
      <c r="S29" s="29">
        <f>Q29/$Q$2</f>
        <v>0</v>
      </c>
      <c r="T29" s="31"/>
      <c r="U29" s="32">
        <f>6/1000000</f>
        <v>6.0000000000000002e-06</v>
      </c>
      <c r="V29" s="33" t="s">
        <v>100</v>
      </c>
      <c r="W29" s="19" t="s">
        <v>101</v>
      </c>
      <c r="X29" s="31"/>
    </row>
    <row r="30" ht="19.949999999999999" customHeight="1">
      <c r="B30" s="19" t="s">
        <v>116</v>
      </c>
      <c r="C30" s="19" t="s">
        <v>47</v>
      </c>
      <c r="D30" s="19" t="s">
        <v>48</v>
      </c>
      <c r="E30" s="20"/>
      <c r="F30" s="21">
        <v>1000</v>
      </c>
      <c r="G30" s="22">
        <v>1</v>
      </c>
      <c r="H30" s="23">
        <f>G30*F30</f>
        <v>1000</v>
      </c>
      <c r="I30" s="24">
        <f>H30*U30</f>
        <v>1000000</v>
      </c>
      <c r="J30" s="25">
        <f>$J$2-I30</f>
        <v>0</v>
      </c>
      <c r="K30" s="26">
        <f>J30*U30</f>
        <v>0</v>
      </c>
      <c r="L30" s="27" t="s">
        <v>48</v>
      </c>
      <c r="M30" s="25">
        <f>IFERROR(ROUNDUP((K30/O30),0),0)</f>
        <v>0</v>
      </c>
      <c r="N30" s="22" t="str">
        <f>D30</f>
        <v>ml</v>
      </c>
      <c r="O30" s="22">
        <v>1</v>
      </c>
      <c r="P30" s="28">
        <v>0</v>
      </c>
      <c r="Q30" s="28">
        <v>0</v>
      </c>
      <c r="R30" s="28">
        <v>0</v>
      </c>
      <c r="S30" s="29">
        <f>Q30/$Q$2</f>
        <v>0</v>
      </c>
      <c r="T30" s="31"/>
      <c r="U30" s="36">
        <v>1000</v>
      </c>
      <c r="V30" s="33" t="s">
        <v>100</v>
      </c>
      <c r="W30" s="19" t="s">
        <v>101</v>
      </c>
      <c r="X30" s="31"/>
    </row>
    <row r="31" s="37" customFormat="1" ht="19.949999999999999" customHeight="1">
      <c r="B31" s="38" t="s">
        <v>117</v>
      </c>
      <c r="C31" s="38" t="s">
        <v>47</v>
      </c>
      <c r="D31" s="38" t="s">
        <v>118</v>
      </c>
      <c r="E31" s="39"/>
      <c r="F31" s="40"/>
      <c r="G31" s="41"/>
      <c r="H31" s="42"/>
      <c r="I31" s="43">
        <v>0</v>
      </c>
      <c r="J31" s="44">
        <f>$J$2*U31</f>
        <v>700000</v>
      </c>
      <c r="K31" s="45">
        <f>J31</f>
        <v>700000</v>
      </c>
      <c r="L31" s="46"/>
      <c r="M31" s="44">
        <v>2</v>
      </c>
      <c r="N31" s="41"/>
      <c r="O31" s="41"/>
      <c r="P31" s="47">
        <v>0.014999999999999999</v>
      </c>
      <c r="Q31" s="47">
        <f>P31*K31*M31</f>
        <v>21000</v>
      </c>
      <c r="R31" s="47">
        <f>P31</f>
        <v>0.014999999999999999</v>
      </c>
      <c r="S31" s="29">
        <f>Q31/$Q$2</f>
        <v>0.0079594337269863133</v>
      </c>
      <c r="T31" s="39"/>
      <c r="U31" s="48">
        <v>0.69999999999999996</v>
      </c>
      <c r="V31" s="49" t="s">
        <v>119</v>
      </c>
      <c r="W31" s="38" t="s">
        <v>53</v>
      </c>
      <c r="X31" s="39"/>
    </row>
    <row r="32" s="37" customFormat="1" ht="19.949999999999999" customHeight="1">
      <c r="B32" s="38" t="s">
        <v>120</v>
      </c>
      <c r="C32" s="38" t="s">
        <v>47</v>
      </c>
      <c r="D32" s="38" t="s">
        <v>118</v>
      </c>
      <c r="E32" s="39"/>
      <c r="F32" s="40"/>
      <c r="G32" s="41"/>
      <c r="H32" s="42"/>
      <c r="I32" s="43">
        <v>0</v>
      </c>
      <c r="J32" s="44">
        <f>$J$2*U32</f>
        <v>700000</v>
      </c>
      <c r="K32" s="45">
        <f>J32</f>
        <v>700000</v>
      </c>
      <c r="L32" s="46"/>
      <c r="M32" s="44">
        <v>2</v>
      </c>
      <c r="N32" s="41"/>
      <c r="O32" s="41"/>
      <c r="P32" s="47">
        <v>0.035000000000000003</v>
      </c>
      <c r="Q32" s="47">
        <f>P32*K32*M32</f>
        <v>49000.000000000007</v>
      </c>
      <c r="R32" s="47">
        <f>P32</f>
        <v>0.035000000000000003</v>
      </c>
      <c r="S32" s="29">
        <f>Q32/$Q$2</f>
        <v>0.018572012029634734</v>
      </c>
      <c r="T32" s="39"/>
      <c r="U32" s="48">
        <v>0.69999999999999996</v>
      </c>
      <c r="V32" s="49" t="s">
        <v>119</v>
      </c>
      <c r="W32" s="38" t="s">
        <v>53</v>
      </c>
      <c r="X32" s="39"/>
    </row>
    <row r="33" s="37" customFormat="1" ht="19.949999999999999" customHeight="1">
      <c r="B33" s="38" t="s">
        <v>121</v>
      </c>
      <c r="C33" s="38" t="s">
        <v>47</v>
      </c>
      <c r="D33" s="38" t="s">
        <v>118</v>
      </c>
      <c r="E33" s="39"/>
      <c r="F33" s="40"/>
      <c r="G33" s="41"/>
      <c r="H33" s="42"/>
      <c r="I33" s="43">
        <v>0</v>
      </c>
      <c r="J33" s="44">
        <f>$J$2*U33</f>
        <v>200000</v>
      </c>
      <c r="K33" s="45">
        <f>J33</f>
        <v>200000</v>
      </c>
      <c r="L33" s="46"/>
      <c r="M33" s="44">
        <v>2</v>
      </c>
      <c r="N33" s="41"/>
      <c r="O33" s="41"/>
      <c r="P33" s="47">
        <v>0.0155</v>
      </c>
      <c r="Q33" s="47">
        <f>P33*K33*M33</f>
        <v>6200</v>
      </c>
      <c r="R33" s="47">
        <f>P33</f>
        <v>0.0155</v>
      </c>
      <c r="S33" s="29">
        <f>Q33/$Q$2</f>
        <v>0.0023499280527292925</v>
      </c>
      <c r="T33" s="39"/>
      <c r="U33" s="48">
        <v>0.20000000000000001</v>
      </c>
      <c r="V33" s="49" t="s">
        <v>119</v>
      </c>
      <c r="W33" s="38" t="s">
        <v>53</v>
      </c>
      <c r="X33" s="39"/>
    </row>
    <row r="34" s="37" customFormat="1" ht="19.949999999999999" customHeight="1">
      <c r="B34" s="38" t="s">
        <v>122</v>
      </c>
      <c r="C34" s="38" t="s">
        <v>47</v>
      </c>
      <c r="D34" s="38" t="s">
        <v>118</v>
      </c>
      <c r="E34" s="39"/>
      <c r="F34" s="40"/>
      <c r="G34" s="41"/>
      <c r="H34" s="42"/>
      <c r="I34" s="43">
        <v>0</v>
      </c>
      <c r="J34" s="44">
        <f>$J$2*U34</f>
        <v>200000</v>
      </c>
      <c r="K34" s="45">
        <f>J34</f>
        <v>200000</v>
      </c>
      <c r="L34" s="46"/>
      <c r="M34" s="44">
        <v>2</v>
      </c>
      <c r="N34" s="41"/>
      <c r="O34" s="41"/>
      <c r="P34" s="47">
        <v>0.035499999999999997</v>
      </c>
      <c r="Q34" s="47">
        <f>P34*K34*M34</f>
        <v>14199.999999999998</v>
      </c>
      <c r="R34" s="47">
        <f>P34</f>
        <v>0.035499999999999997</v>
      </c>
      <c r="S34" s="29">
        <f>Q34/$Q$2</f>
        <v>0.0053820932820574114</v>
      </c>
      <c r="T34" s="39"/>
      <c r="U34" s="48">
        <v>0.20000000000000001</v>
      </c>
      <c r="V34" s="49" t="s">
        <v>119</v>
      </c>
      <c r="W34" s="38" t="s">
        <v>53</v>
      </c>
      <c r="X34" s="39"/>
    </row>
    <row r="35" s="37" customFormat="1" ht="19.949999999999999" customHeight="1">
      <c r="B35" s="38" t="s">
        <v>123</v>
      </c>
      <c r="C35" s="38" t="s">
        <v>47</v>
      </c>
      <c r="D35" s="38" t="s">
        <v>118</v>
      </c>
      <c r="E35" s="39"/>
      <c r="F35" s="40"/>
      <c r="G35" s="41"/>
      <c r="H35" s="42"/>
      <c r="I35" s="43">
        <v>0</v>
      </c>
      <c r="J35" s="44">
        <f>$J$2*U35</f>
        <v>100000</v>
      </c>
      <c r="K35" s="45">
        <f>J35</f>
        <v>100000</v>
      </c>
      <c r="L35" s="46"/>
      <c r="M35" s="44">
        <v>2</v>
      </c>
      <c r="N35" s="41"/>
      <c r="O35" s="41"/>
      <c r="P35" s="47">
        <v>0.014999999999999999</v>
      </c>
      <c r="Q35" s="47">
        <f>P35*K35*M35</f>
        <v>3000</v>
      </c>
      <c r="R35" s="47">
        <f>P35</f>
        <v>0.014999999999999999</v>
      </c>
      <c r="S35" s="29">
        <f>Q35/$Q$2</f>
        <v>0.0011370619609980448</v>
      </c>
      <c r="T35" s="39"/>
      <c r="U35" s="48">
        <v>0.10000000000000001</v>
      </c>
      <c r="V35" s="49" t="s">
        <v>119</v>
      </c>
      <c r="W35" s="38" t="s">
        <v>53</v>
      </c>
      <c r="X35" s="39"/>
    </row>
    <row r="36" s="37" customFormat="1" ht="19.949999999999999" customHeight="1">
      <c r="B36" s="38" t="s">
        <v>124</v>
      </c>
      <c r="C36" s="38" t="s">
        <v>47</v>
      </c>
      <c r="D36" s="38" t="s">
        <v>118</v>
      </c>
      <c r="E36" s="39"/>
      <c r="F36" s="40"/>
      <c r="G36" s="41"/>
      <c r="H36" s="42"/>
      <c r="I36" s="43">
        <v>0</v>
      </c>
      <c r="J36" s="44">
        <f>$J$2*U36</f>
        <v>100000</v>
      </c>
      <c r="K36" s="45">
        <f>J36</f>
        <v>100000</v>
      </c>
      <c r="L36" s="46"/>
      <c r="M36" s="44">
        <v>2</v>
      </c>
      <c r="N36" s="41"/>
      <c r="O36" s="41"/>
      <c r="P36" s="47">
        <v>0.035000000000000003</v>
      </c>
      <c r="Q36" s="47">
        <f>P36*K36*M36</f>
        <v>7000.0000000000009</v>
      </c>
      <c r="R36" s="47">
        <f>P36</f>
        <v>0.035000000000000003</v>
      </c>
      <c r="S36" s="29">
        <f>Q36/$Q$2</f>
        <v>0.0026531445756621049</v>
      </c>
      <c r="T36" s="39"/>
      <c r="U36" s="48">
        <v>0.10000000000000001</v>
      </c>
      <c r="V36" s="49" t="s">
        <v>119</v>
      </c>
      <c r="W36" s="38" t="s">
        <v>53</v>
      </c>
      <c r="X36" s="39"/>
    </row>
    <row r="37" s="50" customFormat="1" ht="19.949999999999999" customHeight="1">
      <c r="B37" s="51"/>
      <c r="C37" s="51"/>
      <c r="D37" s="51"/>
      <c r="E37" s="52"/>
      <c r="F37" s="53"/>
      <c r="G37" s="54"/>
      <c r="H37" s="55"/>
      <c r="I37" s="56"/>
      <c r="J37" s="57"/>
      <c r="K37" s="58"/>
      <c r="L37" s="59"/>
      <c r="M37" s="57"/>
      <c r="N37" s="54"/>
      <c r="O37" s="54"/>
      <c r="P37" s="60"/>
      <c r="Q37" s="61"/>
      <c r="R37" s="62"/>
      <c r="S37" s="52"/>
      <c r="T37" s="52"/>
      <c r="U37" s="63"/>
      <c r="V37" s="64"/>
      <c r="W37" s="51"/>
      <c r="X37" s="52"/>
    </row>
  </sheetData>
  <conditionalFormatting sqref="Q5:Q36">
    <cfRule type="colorScale" priority="1">
      <colorScale>
        <cfvo type="min"/>
        <cfvo type="max"/>
        <color rgb="FFFCFCFF"/>
        <color rgb="FFF8696B"/>
      </colorScale>
    </cfRule>
  </conditionalFormatting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10" workbookViewId="0">
      <pane xSplit="5" ySplit="4" topLeftCell="F5" activePane="bottomRight" state="frozen"/>
      <selection activeCell="F5" activeCellId="0" sqref="F5"/>
    </sheetView>
  </sheetViews>
  <sheetFormatPr defaultRowHeight="14.25"/>
  <cols>
    <col customWidth="1" min="1" max="1" style="1" width="3"/>
    <col customWidth="1" min="2" max="2" style="2" width="24"/>
    <col customWidth="1" min="3" max="3" style="2" width="14.44140625"/>
    <col customWidth="1" min="4" max="4" style="2" width="10.33203125"/>
    <col customWidth="1" hidden="1" min="5" max="5" width="0"/>
    <col customWidth="1" min="6" max="6" style="1" width="10.44140625"/>
    <col customWidth="1" min="7" max="7" style="1" width="6.6640625"/>
    <col customWidth="1" min="8" max="8" style="1" width="7.77734375"/>
    <col customWidth="1" min="9" max="9" style="1" width="10.6640625"/>
    <col customWidth="1" min="10" max="10" style="1" width="13.6640625"/>
    <col customWidth="1" min="11" max="11" style="1" width="11.33203125"/>
    <col customWidth="1" hidden="1" min="12" max="12" style="1" width="14.88671875"/>
    <col customWidth="1" min="13" max="13" style="1" width="9"/>
    <col customWidth="1" min="14" max="14" style="1" width="9.109375"/>
    <col customWidth="1" min="15" max="15" style="1" width="7.88671875"/>
    <col customWidth="1" min="16" max="16" style="3" width="14.88671875"/>
    <col customWidth="1" min="17" max="17" style="3" width="16.88671875"/>
    <col customWidth="1" min="18" max="18" style="3" width="16.33203125"/>
    <col customWidth="1" min="19" max="19" style="1" width="7.109375"/>
    <col customWidth="1" min="20" max="20" style="1" width="42"/>
    <col customWidth="1" min="21" max="21" style="5" width="18.21875"/>
    <col customWidth="1" min="22" max="22" style="6" width="32.44140625"/>
    <col customWidth="1" min="23" max="23" style="2" width="18.44140625"/>
    <col min="24" max="16384" style="1" width="8.88671875"/>
  </cols>
  <sheetData>
    <row r="1" ht="8.4000000000000004" customHeight="1"/>
    <row r="2" ht="19.800000000000001" customHeight="1">
      <c r="I2" s="7" t="s">
        <v>0</v>
      </c>
      <c r="J2" s="8">
        <v>1000000</v>
      </c>
      <c r="K2" s="1" t="s">
        <v>125</v>
      </c>
      <c r="Q2" s="9">
        <f>SUM(Q5:Q37)</f>
        <v>1731330.7074914284</v>
      </c>
      <c r="R2" s="10">
        <f>Q2/J2</f>
        <v>1.7313307074914284</v>
      </c>
      <c r="S2" s="1" t="s">
        <v>1</v>
      </c>
    </row>
    <row r="3" ht="11.4" customHeight="1"/>
    <row r="4" s="13" customFormat="1" ht="33.75">
      <c r="B4" s="14" t="s">
        <v>2</v>
      </c>
      <c r="C4" s="14" t="s">
        <v>3</v>
      </c>
      <c r="D4" s="14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5" t="s">
        <v>9</v>
      </c>
      <c r="K4" s="16" t="s">
        <v>10</v>
      </c>
      <c r="L4" s="15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U4" s="15" t="s">
        <v>21</v>
      </c>
      <c r="V4" s="14" t="s">
        <v>22</v>
      </c>
      <c r="W4" s="14" t="s">
        <v>23</v>
      </c>
    </row>
    <row r="5" ht="19.949999999999999" customHeight="1">
      <c r="B5" s="19" t="s">
        <v>70</v>
      </c>
      <c r="C5" s="19" t="s">
        <v>25</v>
      </c>
      <c r="D5" s="19" t="s">
        <v>33</v>
      </c>
      <c r="E5" s="20"/>
      <c r="F5" s="21">
        <v>50</v>
      </c>
      <c r="G5" s="22">
        <v>0</v>
      </c>
      <c r="H5" s="23">
        <f t="shared" ref="H5:H21" si="0">G5*F5</f>
        <v>0</v>
      </c>
      <c r="I5" s="24">
        <v>0</v>
      </c>
      <c r="J5" s="25">
        <f t="shared" ref="J5:J20" si="1">$J$2-I5</f>
        <v>1000000</v>
      </c>
      <c r="K5" s="26">
        <f>J5*0.1/368</f>
        <v>271.73913043478262</v>
      </c>
      <c r="L5" s="27" t="s">
        <v>27</v>
      </c>
      <c r="M5" s="25">
        <f t="shared" ref="M5:M11" si="2">ROUNDUP((K5/O5),0)</f>
        <v>28</v>
      </c>
      <c r="N5" s="22" t="s">
        <v>28</v>
      </c>
      <c r="O5" s="22">
        <v>10</v>
      </c>
      <c r="P5" s="28">
        <v>270</v>
      </c>
      <c r="Q5" s="28">
        <f t="shared" ref="Q5:Q6" si="3">P5*M5</f>
        <v>7560</v>
      </c>
      <c r="R5" s="28">
        <f t="shared" ref="R5:R6" si="4">Q5/1000000</f>
        <v>0.0075599999999999999</v>
      </c>
      <c r="S5" s="29">
        <f t="shared" ref="S5:S36" si="5">Q5/$Q$2</f>
        <v>0.0043665834420241337</v>
      </c>
      <c r="T5" s="34"/>
      <c r="U5" s="32" t="s">
        <v>71</v>
      </c>
      <c r="V5" s="33" t="s">
        <v>72</v>
      </c>
      <c r="W5" s="19" t="s">
        <v>37</v>
      </c>
      <c r="X5" s="31"/>
    </row>
    <row r="6" ht="19.949999999999999" customHeight="1">
      <c r="B6" s="19" t="s">
        <v>42</v>
      </c>
      <c r="C6" s="19" t="s">
        <v>25</v>
      </c>
      <c r="D6" s="19" t="s">
        <v>33</v>
      </c>
      <c r="E6" s="20"/>
      <c r="F6" s="21">
        <v>100</v>
      </c>
      <c r="G6" s="22">
        <v>2</v>
      </c>
      <c r="H6" s="23">
        <f t="shared" si="0"/>
        <v>200</v>
      </c>
      <c r="I6" s="24">
        <f>H6*1472</f>
        <v>294400</v>
      </c>
      <c r="J6" s="25">
        <f t="shared" si="1"/>
        <v>705600</v>
      </c>
      <c r="K6" s="26">
        <f>J6/1472</f>
        <v>479.3478260869565</v>
      </c>
      <c r="L6" s="27" t="s">
        <v>27</v>
      </c>
      <c r="M6" s="25">
        <f t="shared" si="2"/>
        <v>5</v>
      </c>
      <c r="N6" s="22" t="s">
        <v>28</v>
      </c>
      <c r="O6" s="22">
        <v>100</v>
      </c>
      <c r="P6" s="28">
        <v>32000</v>
      </c>
      <c r="Q6" s="28">
        <f t="shared" si="3"/>
        <v>160000</v>
      </c>
      <c r="R6" s="28">
        <f t="shared" si="4"/>
        <v>0.16</v>
      </c>
      <c r="S6" s="29">
        <f t="shared" si="5"/>
        <v>0.092414464381463154</v>
      </c>
      <c r="T6" s="31"/>
      <c r="U6" s="32" t="s">
        <v>43</v>
      </c>
      <c r="V6" s="33" t="s">
        <v>44</v>
      </c>
      <c r="W6" s="19" t="s">
        <v>45</v>
      </c>
      <c r="X6" s="31"/>
    </row>
    <row r="7" ht="19.949999999999999" customHeight="1">
      <c r="B7" s="19" t="s">
        <v>24</v>
      </c>
      <c r="C7" s="19" t="s">
        <v>25</v>
      </c>
      <c r="D7" s="19" t="s">
        <v>26</v>
      </c>
      <c r="E7" s="20"/>
      <c r="F7" s="21">
        <v>1</v>
      </c>
      <c r="G7" s="22">
        <v>90</v>
      </c>
      <c r="H7" s="23">
        <v>0</v>
      </c>
      <c r="I7" s="24">
        <f>H7*368</f>
        <v>0</v>
      </c>
      <c r="J7" s="25">
        <f t="shared" si="1"/>
        <v>1000000</v>
      </c>
      <c r="K7" s="26">
        <f>J7/368</f>
        <v>2717.391304347826</v>
      </c>
      <c r="L7" s="27" t="s">
        <v>27</v>
      </c>
      <c r="M7" s="25">
        <f t="shared" si="2"/>
        <v>28</v>
      </c>
      <c r="N7" s="22" t="s">
        <v>28</v>
      </c>
      <c r="O7" s="22">
        <v>100</v>
      </c>
      <c r="P7" s="28">
        <v>236.12</v>
      </c>
      <c r="Q7" s="28">
        <f>P7*M7*O7</f>
        <v>661136</v>
      </c>
      <c r="R7" s="65">
        <f>Q7/1000000/3</f>
        <v>0.22037866666666664</v>
      </c>
      <c r="S7" s="29">
        <f t="shared" si="5"/>
        <v>0.38186580827064387</v>
      </c>
      <c r="T7" s="31">
        <f>1800/10</f>
        <v>180</v>
      </c>
      <c r="U7" s="32" t="s">
        <v>29</v>
      </c>
      <c r="V7" s="33" t="s">
        <v>30</v>
      </c>
      <c r="W7" s="19" t="s">
        <v>31</v>
      </c>
      <c r="X7" s="31"/>
    </row>
    <row r="8" ht="19.949999999999999" customHeight="1">
      <c r="B8" s="19" t="s">
        <v>32</v>
      </c>
      <c r="C8" s="19" t="s">
        <v>25</v>
      </c>
      <c r="D8" s="19" t="s">
        <v>33</v>
      </c>
      <c r="E8" s="20"/>
      <c r="F8" s="21">
        <v>0</v>
      </c>
      <c r="G8" s="22">
        <v>0</v>
      </c>
      <c r="H8" s="23">
        <f t="shared" si="0"/>
        <v>0</v>
      </c>
      <c r="I8" s="24">
        <v>0</v>
      </c>
      <c r="J8" s="25">
        <f t="shared" si="1"/>
        <v>1000000</v>
      </c>
      <c r="K8" s="26">
        <f t="shared" ref="K8:K9" si="6">J8/92</f>
        <v>10869.565217391304</v>
      </c>
      <c r="L8" s="27" t="s">
        <v>27</v>
      </c>
      <c r="M8" s="25">
        <f t="shared" si="2"/>
        <v>2174</v>
      </c>
      <c r="N8" s="22" t="s">
        <v>34</v>
      </c>
      <c r="O8" s="22">
        <v>5</v>
      </c>
      <c r="P8" s="28">
        <v>145</v>
      </c>
      <c r="Q8" s="28">
        <f t="shared" ref="Q8:Q9" si="7">P8*M8</f>
        <v>315230</v>
      </c>
      <c r="R8" s="65">
        <f t="shared" ref="R8:R9" si="8">Q8/1000000</f>
        <v>0.31523000000000001</v>
      </c>
      <c r="S8" s="29">
        <f t="shared" si="5"/>
        <v>0.18207382254355392</v>
      </c>
      <c r="T8" s="31"/>
      <c r="U8" s="32" t="s">
        <v>35</v>
      </c>
      <c r="V8" s="33" t="s">
        <v>36</v>
      </c>
      <c r="W8" s="19" t="s">
        <v>37</v>
      </c>
      <c r="X8" s="31"/>
    </row>
    <row r="9" ht="19.949999999999999" customHeight="1">
      <c r="B9" s="19" t="s">
        <v>38</v>
      </c>
      <c r="C9" s="19" t="s">
        <v>39</v>
      </c>
      <c r="D9" s="19" t="s">
        <v>40</v>
      </c>
      <c r="E9" s="20"/>
      <c r="F9" s="21">
        <v>0</v>
      </c>
      <c r="G9" s="22">
        <v>0</v>
      </c>
      <c r="H9" s="23">
        <f t="shared" si="0"/>
        <v>0</v>
      </c>
      <c r="I9" s="24">
        <v>0</v>
      </c>
      <c r="J9" s="25">
        <f t="shared" si="1"/>
        <v>1000000</v>
      </c>
      <c r="K9" s="26">
        <f t="shared" si="6"/>
        <v>10869.565217391304</v>
      </c>
      <c r="L9" s="27" t="s">
        <v>27</v>
      </c>
      <c r="M9" s="25">
        <f t="shared" si="2"/>
        <v>1087</v>
      </c>
      <c r="N9" s="22" t="s">
        <v>34</v>
      </c>
      <c r="O9" s="22">
        <v>10</v>
      </c>
      <c r="P9" s="28">
        <v>200</v>
      </c>
      <c r="Q9" s="28">
        <f t="shared" si="7"/>
        <v>217400</v>
      </c>
      <c r="R9" s="28">
        <f t="shared" si="8"/>
        <v>0.21740000000000001</v>
      </c>
      <c r="S9" s="29">
        <f t="shared" si="5"/>
        <v>0.12556815347831304</v>
      </c>
      <c r="T9" s="31"/>
      <c r="U9" s="32" t="s">
        <v>35</v>
      </c>
      <c r="V9" s="33" t="s">
        <v>41</v>
      </c>
      <c r="W9" s="19" t="s">
        <v>37</v>
      </c>
      <c r="X9" s="31"/>
    </row>
    <row r="10" ht="19.949999999999999" customHeight="1">
      <c r="B10" s="19" t="s">
        <v>63</v>
      </c>
      <c r="C10" s="19" t="s">
        <v>64</v>
      </c>
      <c r="D10" s="19" t="s">
        <v>33</v>
      </c>
      <c r="E10" s="20"/>
      <c r="F10" s="21">
        <v>15000</v>
      </c>
      <c r="G10" s="22">
        <v>2</v>
      </c>
      <c r="H10" s="23">
        <f t="shared" si="0"/>
        <v>30000</v>
      </c>
      <c r="I10" s="24">
        <f>H10*1</f>
        <v>30000</v>
      </c>
      <c r="J10" s="25">
        <f t="shared" si="1"/>
        <v>970000</v>
      </c>
      <c r="K10" s="26">
        <f>J10</f>
        <v>970000</v>
      </c>
      <c r="L10" s="27" t="s">
        <v>65</v>
      </c>
      <c r="M10" s="25">
        <f t="shared" si="2"/>
        <v>324</v>
      </c>
      <c r="N10" s="22" t="s">
        <v>66</v>
      </c>
      <c r="O10" s="22">
        <v>3000</v>
      </c>
      <c r="P10" s="28">
        <f>2343.7/70000*O10</f>
        <v>100.44428571428571</v>
      </c>
      <c r="Q10" s="28">
        <f t="shared" ref="Q10:Q11" si="9">P10*M10</f>
        <v>32543.948571428569</v>
      </c>
      <c r="R10" s="28">
        <f t="shared" ref="R10:R12" si="10">Q10/1000000</f>
        <v>0.032543948571428567</v>
      </c>
      <c r="S10" s="29">
        <f t="shared" si="5"/>
        <v>0.018797072350540338</v>
      </c>
      <c r="T10" s="31"/>
      <c r="U10" s="32" t="s">
        <v>67</v>
      </c>
      <c r="V10" s="33" t="s">
        <v>68</v>
      </c>
      <c r="W10" s="19" t="s">
        <v>69</v>
      </c>
      <c r="X10" s="31"/>
    </row>
    <row r="11" ht="19.949999999999999" customHeight="1">
      <c r="B11" s="19" t="s">
        <v>61</v>
      </c>
      <c r="C11" s="19" t="s">
        <v>25</v>
      </c>
      <c r="D11" s="19" t="s">
        <v>33</v>
      </c>
      <c r="E11" s="20"/>
      <c r="F11" s="21">
        <v>100</v>
      </c>
      <c r="G11" s="22">
        <v>4</v>
      </c>
      <c r="H11" s="23">
        <f t="shared" si="0"/>
        <v>400</v>
      </c>
      <c r="I11" s="24">
        <f>H11*368</f>
        <v>147200</v>
      </c>
      <c r="J11" s="25">
        <f t="shared" ref="J11:J12" si="11">$J$2-I11</f>
        <v>852800</v>
      </c>
      <c r="K11" s="26">
        <f>J11/368</f>
        <v>2317.391304347826</v>
      </c>
      <c r="L11" s="27" t="s">
        <v>27</v>
      </c>
      <c r="M11" s="25">
        <f t="shared" si="2"/>
        <v>24</v>
      </c>
      <c r="N11" s="22" t="s">
        <v>28</v>
      </c>
      <c r="O11" s="22">
        <v>100</v>
      </c>
      <c r="P11" s="28">
        <v>1688.8699999999999</v>
      </c>
      <c r="Q11" s="28">
        <f t="shared" si="9"/>
        <v>40532.879999999997</v>
      </c>
      <c r="R11" s="28">
        <f t="shared" si="10"/>
        <v>0.04053288</v>
      </c>
      <c r="S11" s="29">
        <f t="shared" si="5"/>
        <v>0.023411402468988249</v>
      </c>
      <c r="T11" s="31"/>
      <c r="U11" s="32" t="s">
        <v>29</v>
      </c>
      <c r="V11" s="33" t="s">
        <v>30</v>
      </c>
      <c r="W11" s="19" t="s">
        <v>62</v>
      </c>
      <c r="X11" s="31"/>
    </row>
    <row r="12" ht="19.949999999999999" customHeight="1">
      <c r="B12" s="19" t="s">
        <v>73</v>
      </c>
      <c r="C12" s="19" t="s">
        <v>55</v>
      </c>
      <c r="D12" s="19" t="s">
        <v>33</v>
      </c>
      <c r="E12" s="20"/>
      <c r="F12" s="21">
        <v>0</v>
      </c>
      <c r="G12" s="22">
        <v>0</v>
      </c>
      <c r="H12" s="23">
        <f t="shared" si="0"/>
        <v>0</v>
      </c>
      <c r="I12" s="24">
        <f>H12*10*368</f>
        <v>0</v>
      </c>
      <c r="J12" s="25">
        <f t="shared" si="11"/>
        <v>1000000</v>
      </c>
      <c r="K12" s="26">
        <f>J12/10/368</f>
        <v>271.73913043478262</v>
      </c>
      <c r="L12" s="27" t="s">
        <v>56</v>
      </c>
      <c r="M12" s="25">
        <v>1</v>
      </c>
      <c r="N12" s="22" t="s">
        <v>57</v>
      </c>
      <c r="O12" s="22">
        <v>7680</v>
      </c>
      <c r="P12" s="28">
        <v>7368.6400000000003</v>
      </c>
      <c r="Q12" s="28">
        <v>7368.6400000000003</v>
      </c>
      <c r="R12" s="28">
        <f t="shared" si="10"/>
        <v>0.0073686400000000001</v>
      </c>
      <c r="S12" s="29">
        <f t="shared" si="5"/>
        <v>0.0042560557426239041</v>
      </c>
      <c r="T12" s="31"/>
      <c r="U12" s="32" t="s">
        <v>74</v>
      </c>
      <c r="V12" s="33" t="s">
        <v>75</v>
      </c>
      <c r="W12" s="19" t="s">
        <v>60</v>
      </c>
      <c r="X12" s="31"/>
    </row>
    <row r="13" ht="19.949999999999999" customHeight="1">
      <c r="B13" s="19" t="s">
        <v>54</v>
      </c>
      <c r="C13" s="19" t="s">
        <v>55</v>
      </c>
      <c r="D13" s="19" t="s">
        <v>33</v>
      </c>
      <c r="E13" s="20"/>
      <c r="F13" s="21">
        <v>5</v>
      </c>
      <c r="G13" s="22">
        <v>9</v>
      </c>
      <c r="H13" s="23">
        <f t="shared" si="0"/>
        <v>45</v>
      </c>
      <c r="I13" s="24">
        <v>0</v>
      </c>
      <c r="J13" s="25">
        <f t="shared" si="1"/>
        <v>1000000</v>
      </c>
      <c r="K13" s="26">
        <f>J13/10/92</f>
        <v>1086.9565217391305</v>
      </c>
      <c r="L13" s="27" t="s">
        <v>56</v>
      </c>
      <c r="M13" s="25">
        <v>1</v>
      </c>
      <c r="N13" s="22" t="s">
        <v>57</v>
      </c>
      <c r="O13" s="22">
        <v>4800</v>
      </c>
      <c r="P13" s="28">
        <v>44738.160000000003</v>
      </c>
      <c r="Q13" s="28">
        <f>M13*P13</f>
        <v>44738.160000000003</v>
      </c>
      <c r="R13" s="28">
        <f>44738.16/2000000</f>
        <v>0.022369080000000003</v>
      </c>
      <c r="S13" s="29">
        <f t="shared" si="5"/>
        <v>0.025840331836326249</v>
      </c>
      <c r="T13" s="31"/>
      <c r="U13" s="32" t="s">
        <v>58</v>
      </c>
      <c r="V13" s="33" t="s">
        <v>59</v>
      </c>
      <c r="W13" s="19" t="s">
        <v>60</v>
      </c>
      <c r="X13" s="31"/>
    </row>
    <row r="14" ht="19.949999999999999" customHeight="1">
      <c r="B14" s="19" t="s">
        <v>76</v>
      </c>
      <c r="C14" s="19" t="s">
        <v>77</v>
      </c>
      <c r="D14" s="19" t="s">
        <v>78</v>
      </c>
      <c r="E14" s="20"/>
      <c r="F14" s="21">
        <v>1</v>
      </c>
      <c r="G14" s="22">
        <v>1</v>
      </c>
      <c r="H14" s="23">
        <f t="shared" si="0"/>
        <v>1</v>
      </c>
      <c r="I14" s="24">
        <f>H14*4500*1472</f>
        <v>6624000</v>
      </c>
      <c r="J14" s="25">
        <f>$J$2-I14</f>
        <v>-5624000</v>
      </c>
      <c r="K14" s="26">
        <v>0</v>
      </c>
      <c r="L14" s="27" t="s">
        <v>79</v>
      </c>
      <c r="M14" s="25">
        <f>IFERROR(ROUNDUP((K14/O14),0),0)</f>
        <v>0</v>
      </c>
      <c r="N14" s="22" t="str">
        <f>D14</f>
        <v>Unitario</v>
      </c>
      <c r="O14" s="22">
        <v>1</v>
      </c>
      <c r="P14" s="28">
        <v>0</v>
      </c>
      <c r="Q14" s="28">
        <v>0</v>
      </c>
      <c r="R14" s="28">
        <v>0</v>
      </c>
      <c r="S14" s="29">
        <f t="shared" si="5"/>
        <v>0</v>
      </c>
      <c r="T14" s="31"/>
      <c r="U14" s="32" t="s">
        <v>80</v>
      </c>
      <c r="V14" s="33" t="s">
        <v>81</v>
      </c>
      <c r="W14" s="19" t="s">
        <v>45</v>
      </c>
      <c r="X14" s="31"/>
    </row>
    <row r="15" ht="19.949999999999999" customHeight="1">
      <c r="B15" s="19" t="s">
        <v>82</v>
      </c>
      <c r="C15" s="19" t="s">
        <v>83</v>
      </c>
      <c r="D15" s="19" t="s">
        <v>84</v>
      </c>
      <c r="E15" s="20"/>
      <c r="F15" s="21">
        <v>1</v>
      </c>
      <c r="G15" s="22">
        <v>100</v>
      </c>
      <c r="H15" s="23">
        <f t="shared" si="0"/>
        <v>100</v>
      </c>
      <c r="I15" s="24">
        <f>H15*368</f>
        <v>36800</v>
      </c>
      <c r="J15" s="25">
        <f>($J$2-I15)*0.1</f>
        <v>96320</v>
      </c>
      <c r="K15" s="26">
        <f>J15/368</f>
        <v>261.73913043478262</v>
      </c>
      <c r="L15" s="27" t="s">
        <v>85</v>
      </c>
      <c r="M15" s="25">
        <f>ROUNDUP((K15/O15),0)</f>
        <v>3</v>
      </c>
      <c r="N15" s="22" t="s">
        <v>28</v>
      </c>
      <c r="O15" s="22">
        <v>100</v>
      </c>
      <c r="P15" s="28">
        <v>1050</v>
      </c>
      <c r="Q15" s="28">
        <f t="shared" ref="Q15:Q29" si="12">P15*M15</f>
        <v>3150</v>
      </c>
      <c r="R15" s="28">
        <f t="shared" ref="R15:R29" si="13">Q15/1000000</f>
        <v>0.00315</v>
      </c>
      <c r="S15" s="29">
        <f t="shared" si="5"/>
        <v>0.0018194097675100556</v>
      </c>
      <c r="T15" s="31"/>
      <c r="U15" s="32" t="s">
        <v>29</v>
      </c>
      <c r="V15" s="33" t="s">
        <v>86</v>
      </c>
      <c r="W15" s="19" t="s">
        <v>37</v>
      </c>
      <c r="X15" s="31"/>
    </row>
    <row r="16" ht="19.949999999999999" customHeight="1">
      <c r="B16" s="19" t="s">
        <v>87</v>
      </c>
      <c r="C16" s="19" t="s">
        <v>55</v>
      </c>
      <c r="D16" s="19" t="s">
        <v>88</v>
      </c>
      <c r="E16" s="20"/>
      <c r="F16" s="21">
        <v>500</v>
      </c>
      <c r="G16" s="22">
        <v>1</v>
      </c>
      <c r="H16" s="23">
        <f t="shared" si="0"/>
        <v>500</v>
      </c>
      <c r="I16" s="24">
        <f>H16*1472</f>
        <v>736000</v>
      </c>
      <c r="J16" s="25">
        <f t="shared" ref="J16:J19" si="14">$J$2-I16</f>
        <v>264000</v>
      </c>
      <c r="K16" s="26">
        <f>J16/1472</f>
        <v>179.34782608695653</v>
      </c>
      <c r="L16" s="27" t="s">
        <v>56</v>
      </c>
      <c r="M16" s="25">
        <f>IFERROR(ROUNDUP((K16/O16),0),0)</f>
        <v>1</v>
      </c>
      <c r="N16" s="22" t="s">
        <v>66</v>
      </c>
      <c r="O16" s="22">
        <v>1000</v>
      </c>
      <c r="P16" s="28">
        <f>47.9</f>
        <v>47.899999999999999</v>
      </c>
      <c r="Q16" s="28">
        <f t="shared" si="12"/>
        <v>47.899999999999999</v>
      </c>
      <c r="R16" s="28">
        <f t="shared" si="13"/>
        <v>4.7899999999999999e-05</v>
      </c>
      <c r="S16" s="29">
        <f t="shared" si="5"/>
        <v>2.7666580274200529e-05</v>
      </c>
      <c r="T16" s="31"/>
      <c r="U16" s="32" t="s">
        <v>43</v>
      </c>
      <c r="V16" s="33" t="s">
        <v>89</v>
      </c>
      <c r="W16" s="19" t="s">
        <v>90</v>
      </c>
      <c r="X16" s="31"/>
    </row>
    <row r="17" ht="19.949999999999999" customHeight="1">
      <c r="B17" s="19" t="s">
        <v>91</v>
      </c>
      <c r="C17" s="19" t="s">
        <v>55</v>
      </c>
      <c r="D17" s="19" t="s">
        <v>88</v>
      </c>
      <c r="E17" s="20"/>
      <c r="F17" s="21">
        <v>500</v>
      </c>
      <c r="G17" s="22">
        <v>4</v>
      </c>
      <c r="H17" s="23">
        <f t="shared" si="0"/>
        <v>2000</v>
      </c>
      <c r="I17" s="24">
        <f>H17*4*368</f>
        <v>2944000</v>
      </c>
      <c r="J17" s="25">
        <f t="shared" si="14"/>
        <v>-1944000</v>
      </c>
      <c r="K17" s="26">
        <v>0</v>
      </c>
      <c r="L17" s="27" t="s">
        <v>56</v>
      </c>
      <c r="M17" s="25">
        <v>0</v>
      </c>
      <c r="N17" s="22" t="s">
        <v>66</v>
      </c>
      <c r="O17" s="22">
        <v>1000</v>
      </c>
      <c r="P17" s="28">
        <v>20</v>
      </c>
      <c r="Q17" s="28">
        <f t="shared" si="12"/>
        <v>0</v>
      </c>
      <c r="R17" s="28">
        <v>0</v>
      </c>
      <c r="S17" s="29">
        <f t="shared" si="5"/>
        <v>0</v>
      </c>
      <c r="T17" s="31"/>
      <c r="U17" s="32" t="s">
        <v>92</v>
      </c>
      <c r="V17" s="33" t="s">
        <v>93</v>
      </c>
      <c r="W17" s="19" t="s">
        <v>90</v>
      </c>
      <c r="X17" s="31"/>
    </row>
    <row r="18" ht="19.949999999999999" customHeight="1">
      <c r="B18" s="19" t="s">
        <v>94</v>
      </c>
      <c r="C18" s="19" t="s">
        <v>55</v>
      </c>
      <c r="D18" s="19" t="s">
        <v>88</v>
      </c>
      <c r="E18" s="20"/>
      <c r="F18" s="21">
        <v>500</v>
      </c>
      <c r="G18" s="22">
        <v>1</v>
      </c>
      <c r="H18" s="23">
        <f t="shared" si="0"/>
        <v>500</v>
      </c>
      <c r="I18" s="24">
        <f>H18*4*1472</f>
        <v>2944000</v>
      </c>
      <c r="J18" s="25">
        <f t="shared" si="14"/>
        <v>-1944000</v>
      </c>
      <c r="K18" s="26">
        <v>0</v>
      </c>
      <c r="L18" s="27" t="s">
        <v>56</v>
      </c>
      <c r="M18" s="25">
        <f t="shared" ref="M18:M30" si="15">IFERROR(ROUNDUP((K18/O18),0),0)</f>
        <v>0</v>
      </c>
      <c r="N18" s="22" t="s">
        <v>66</v>
      </c>
      <c r="O18" s="22">
        <v>500</v>
      </c>
      <c r="P18" s="28">
        <v>20</v>
      </c>
      <c r="Q18" s="28">
        <v>0</v>
      </c>
      <c r="R18" s="28">
        <v>0</v>
      </c>
      <c r="S18" s="29">
        <f t="shared" si="5"/>
        <v>0</v>
      </c>
      <c r="T18" s="31"/>
      <c r="U18" s="32" t="s">
        <v>95</v>
      </c>
      <c r="V18" s="33" t="s">
        <v>96</v>
      </c>
      <c r="W18" s="19" t="s">
        <v>90</v>
      </c>
      <c r="X18" s="31"/>
    </row>
    <row r="19" ht="19.949999999999999" customHeight="1">
      <c r="B19" s="19" t="s">
        <v>46</v>
      </c>
      <c r="C19" s="19" t="s">
        <v>47</v>
      </c>
      <c r="D19" s="19" t="s">
        <v>48</v>
      </c>
      <c r="E19" s="20"/>
      <c r="F19" s="21">
        <v>125</v>
      </c>
      <c r="G19" s="22">
        <v>2</v>
      </c>
      <c r="H19" s="23">
        <f t="shared" si="0"/>
        <v>250</v>
      </c>
      <c r="I19" s="24">
        <f>H19*1000</f>
        <v>250000</v>
      </c>
      <c r="J19" s="25">
        <f t="shared" si="14"/>
        <v>750000</v>
      </c>
      <c r="K19" s="26">
        <f>J19/1000</f>
        <v>750</v>
      </c>
      <c r="L19" s="27" t="s">
        <v>49</v>
      </c>
      <c r="M19" s="25">
        <f t="shared" si="15"/>
        <v>6</v>
      </c>
      <c r="N19" s="22" t="s">
        <v>50</v>
      </c>
      <c r="O19" s="22">
        <v>125</v>
      </c>
      <c r="P19" s="28">
        <v>18234.52</v>
      </c>
      <c r="Q19" s="28">
        <f t="shared" si="12"/>
        <v>109407.12</v>
      </c>
      <c r="R19" s="28">
        <f t="shared" si="13"/>
        <v>0.10940712</v>
      </c>
      <c r="S19" s="29">
        <f t="shared" si="5"/>
        <v>0.063192502464490402</v>
      </c>
      <c r="T19" s="31"/>
      <c r="U19" s="32" t="s">
        <v>51</v>
      </c>
      <c r="V19" s="33" t="s">
        <v>52</v>
      </c>
      <c r="W19" s="19" t="s">
        <v>53</v>
      </c>
      <c r="X19" s="31"/>
    </row>
    <row r="20" ht="19.949999999999999" customHeight="1">
      <c r="B20" s="19" t="s">
        <v>97</v>
      </c>
      <c r="C20" s="19" t="s">
        <v>47</v>
      </c>
      <c r="D20" s="19" t="s">
        <v>98</v>
      </c>
      <c r="E20" s="20"/>
      <c r="F20" s="21">
        <v>1</v>
      </c>
      <c r="G20" s="22">
        <v>1</v>
      </c>
      <c r="H20" s="23">
        <v>1</v>
      </c>
      <c r="I20" s="24">
        <f>H20*20000</f>
        <v>20000</v>
      </c>
      <c r="J20" s="25">
        <f t="shared" si="1"/>
        <v>980000</v>
      </c>
      <c r="K20" s="26">
        <f>J20/20000</f>
        <v>49</v>
      </c>
      <c r="L20" s="27" t="s">
        <v>48</v>
      </c>
      <c r="M20" s="25">
        <f t="shared" si="15"/>
        <v>49</v>
      </c>
      <c r="N20" s="22" t="str">
        <f t="shared" ref="N20:N30" si="16">D20</f>
        <v>lt</v>
      </c>
      <c r="O20" s="22">
        <v>1</v>
      </c>
      <c r="P20" s="28">
        <v>55</v>
      </c>
      <c r="Q20" s="28">
        <f t="shared" si="12"/>
        <v>2695</v>
      </c>
      <c r="R20" s="28">
        <f t="shared" si="13"/>
        <v>0.0026949999999999999</v>
      </c>
      <c r="S20" s="29">
        <f t="shared" si="5"/>
        <v>0.0015566061344252698</v>
      </c>
      <c r="T20" s="31"/>
      <c r="U20" s="32" t="s">
        <v>99</v>
      </c>
      <c r="V20" s="33" t="s">
        <v>100</v>
      </c>
      <c r="W20" s="19" t="s">
        <v>101</v>
      </c>
      <c r="X20" s="31"/>
    </row>
    <row r="21" ht="19.949999999999999" customHeight="1">
      <c r="B21" s="19" t="s">
        <v>102</v>
      </c>
      <c r="C21" s="19" t="s">
        <v>47</v>
      </c>
      <c r="D21" s="19" t="s">
        <v>98</v>
      </c>
      <c r="E21" s="20"/>
      <c r="F21" s="21">
        <v>1</v>
      </c>
      <c r="G21" s="22">
        <v>21</v>
      </c>
      <c r="H21" s="23">
        <f t="shared" si="0"/>
        <v>21</v>
      </c>
      <c r="I21" s="24">
        <f>H21*8000</f>
        <v>168000</v>
      </c>
      <c r="J21" s="25">
        <f t="shared" ref="J21:J30" si="17">$J$2-I21</f>
        <v>832000</v>
      </c>
      <c r="K21" s="26">
        <f>J21/8000</f>
        <v>104</v>
      </c>
      <c r="L21" s="27" t="s">
        <v>48</v>
      </c>
      <c r="M21" s="25">
        <f t="shared" si="15"/>
        <v>104</v>
      </c>
      <c r="N21" s="22" t="str">
        <f t="shared" si="16"/>
        <v>lt</v>
      </c>
      <c r="O21" s="22">
        <v>1</v>
      </c>
      <c r="P21" s="28">
        <v>30</v>
      </c>
      <c r="Q21" s="28">
        <f t="shared" si="12"/>
        <v>3120</v>
      </c>
      <c r="R21" s="28">
        <f t="shared" si="13"/>
        <v>0.0031199999999999999</v>
      </c>
      <c r="S21" s="29">
        <f t="shared" si="5"/>
        <v>0.0018020820554385314</v>
      </c>
      <c r="T21" s="31"/>
      <c r="U21" s="32" t="s">
        <v>103</v>
      </c>
      <c r="V21" s="33" t="s">
        <v>104</v>
      </c>
      <c r="W21" s="19" t="s">
        <v>101</v>
      </c>
      <c r="X21" s="31"/>
    </row>
    <row r="22" ht="19.949999999999999" customHeight="1">
      <c r="B22" s="19" t="s">
        <v>105</v>
      </c>
      <c r="C22" s="19" t="s">
        <v>47</v>
      </c>
      <c r="D22" s="19" t="s">
        <v>106</v>
      </c>
      <c r="E22" s="20"/>
      <c r="F22" s="21">
        <v>25000</v>
      </c>
      <c r="G22" s="22">
        <v>1</v>
      </c>
      <c r="H22" s="23">
        <v>20000</v>
      </c>
      <c r="I22" s="24">
        <f t="shared" ref="I22:I29" si="18">H22/U22</f>
        <v>1000000</v>
      </c>
      <c r="J22" s="25">
        <f t="shared" si="17"/>
        <v>0</v>
      </c>
      <c r="K22" s="26">
        <f t="shared" ref="K22:K30" si="19">J22*U22</f>
        <v>0</v>
      </c>
      <c r="L22" s="27" t="s">
        <v>106</v>
      </c>
      <c r="M22" s="25">
        <f t="shared" si="15"/>
        <v>0</v>
      </c>
      <c r="N22" s="22" t="str">
        <f t="shared" si="16"/>
        <v>g</v>
      </c>
      <c r="O22" s="22">
        <v>1</v>
      </c>
      <c r="P22" s="28">
        <v>1.1499999999999999</v>
      </c>
      <c r="Q22" s="28">
        <f t="shared" si="12"/>
        <v>0</v>
      </c>
      <c r="R22" s="28">
        <f t="shared" si="13"/>
        <v>0</v>
      </c>
      <c r="S22" s="29">
        <f t="shared" si="5"/>
        <v>0</v>
      </c>
      <c r="T22" s="31"/>
      <c r="U22" s="32">
        <f>20000/1000000</f>
        <v>0.02</v>
      </c>
      <c r="V22" s="33" t="s">
        <v>100</v>
      </c>
      <c r="W22" s="19" t="s">
        <v>101</v>
      </c>
      <c r="X22" s="31"/>
    </row>
    <row r="23" ht="19.949999999999999" customHeight="1">
      <c r="B23" s="19" t="s">
        <v>107</v>
      </c>
      <c r="C23" s="19" t="s">
        <v>47</v>
      </c>
      <c r="D23" s="19" t="s">
        <v>106</v>
      </c>
      <c r="E23" s="20"/>
      <c r="F23" s="21">
        <v>1000</v>
      </c>
      <c r="G23" s="22">
        <v>4</v>
      </c>
      <c r="H23" s="23">
        <f t="shared" ref="H23:H30" si="20">G23*F23</f>
        <v>4000</v>
      </c>
      <c r="I23" s="24">
        <f t="shared" si="18"/>
        <v>245098.03921568627</v>
      </c>
      <c r="J23" s="25">
        <f t="shared" si="17"/>
        <v>754901.96078431373</v>
      </c>
      <c r="K23" s="26">
        <f t="shared" si="19"/>
        <v>12320.000000000002</v>
      </c>
      <c r="L23" s="27" t="s">
        <v>106</v>
      </c>
      <c r="M23" s="25">
        <f t="shared" si="15"/>
        <v>12321</v>
      </c>
      <c r="N23" s="22" t="str">
        <f t="shared" si="16"/>
        <v>g</v>
      </c>
      <c r="O23" s="22">
        <v>1</v>
      </c>
      <c r="P23" s="28">
        <v>0.053999999999999999</v>
      </c>
      <c r="Q23" s="28">
        <f t="shared" si="12"/>
        <v>665.33399999999995</v>
      </c>
      <c r="R23" s="28">
        <f t="shared" si="13"/>
        <v>0.00066533399999999996</v>
      </c>
      <c r="S23" s="29">
        <f t="shared" si="5"/>
        <v>0.00038429053277985248</v>
      </c>
      <c r="T23" s="31"/>
      <c r="U23" s="32">
        <f>16320/1000000</f>
        <v>0.016320000000000001</v>
      </c>
      <c r="V23" s="33" t="s">
        <v>100</v>
      </c>
      <c r="W23" s="19" t="s">
        <v>101</v>
      </c>
      <c r="X23" s="31"/>
    </row>
    <row r="24" ht="19.949999999999999" customHeight="1">
      <c r="B24" s="35" t="s">
        <v>108</v>
      </c>
      <c r="C24" s="19" t="s">
        <v>47</v>
      </c>
      <c r="D24" s="19" t="s">
        <v>109</v>
      </c>
      <c r="E24" s="20"/>
      <c r="F24" s="21">
        <v>1</v>
      </c>
      <c r="G24" s="22">
        <v>1</v>
      </c>
      <c r="H24" s="23">
        <f t="shared" si="20"/>
        <v>1</v>
      </c>
      <c r="I24" s="24">
        <f t="shared" si="18"/>
        <v>277777.77777777775</v>
      </c>
      <c r="J24" s="25">
        <f t="shared" si="17"/>
        <v>722222.22222222225</v>
      </c>
      <c r="K24" s="26">
        <f t="shared" si="19"/>
        <v>2.6000000000000001</v>
      </c>
      <c r="L24" s="27" t="s">
        <v>109</v>
      </c>
      <c r="M24" s="25">
        <f t="shared" si="15"/>
        <v>3</v>
      </c>
      <c r="N24" s="22" t="str">
        <f t="shared" si="16"/>
        <v>kg</v>
      </c>
      <c r="O24" s="22">
        <v>1</v>
      </c>
      <c r="P24" s="28">
        <f>58</f>
        <v>58</v>
      </c>
      <c r="Q24" s="28">
        <f t="shared" si="12"/>
        <v>174</v>
      </c>
      <c r="R24" s="28">
        <f t="shared" si="13"/>
        <v>0.000174</v>
      </c>
      <c r="S24" s="29">
        <f t="shared" si="5"/>
        <v>0.00010050073001484117</v>
      </c>
      <c r="T24" s="31"/>
      <c r="U24" s="32">
        <f>3.6/1000000</f>
        <v>3.6000000000000003e-06</v>
      </c>
      <c r="V24" s="33" t="s">
        <v>100</v>
      </c>
      <c r="W24" s="19" t="s">
        <v>101</v>
      </c>
      <c r="X24" s="31"/>
    </row>
    <row r="25" ht="19.949999999999999" customHeight="1">
      <c r="B25" s="35" t="s">
        <v>110</v>
      </c>
      <c r="C25" s="19" t="s">
        <v>47</v>
      </c>
      <c r="D25" s="19" t="s">
        <v>109</v>
      </c>
      <c r="E25" s="20"/>
      <c r="F25" s="21">
        <v>1</v>
      </c>
      <c r="G25" s="22">
        <v>1</v>
      </c>
      <c r="H25" s="23">
        <f t="shared" si="20"/>
        <v>1</v>
      </c>
      <c r="I25" s="24">
        <f t="shared" si="18"/>
        <v>4166666.666666667</v>
      </c>
      <c r="J25" s="25">
        <f t="shared" si="17"/>
        <v>-3166666.666666667</v>
      </c>
      <c r="K25" s="26">
        <v>0</v>
      </c>
      <c r="L25" s="27" t="s">
        <v>109</v>
      </c>
      <c r="M25" s="25">
        <f t="shared" si="15"/>
        <v>0</v>
      </c>
      <c r="N25" s="22" t="str">
        <f t="shared" si="16"/>
        <v>kg</v>
      </c>
      <c r="O25" s="22">
        <v>1</v>
      </c>
      <c r="P25" s="28">
        <v>63</v>
      </c>
      <c r="Q25" s="28">
        <f t="shared" si="12"/>
        <v>0</v>
      </c>
      <c r="R25" s="28">
        <f t="shared" si="13"/>
        <v>0</v>
      </c>
      <c r="S25" s="29">
        <f t="shared" si="5"/>
        <v>0</v>
      </c>
      <c r="T25" s="31"/>
      <c r="U25" s="32">
        <f>0.24/1000000</f>
        <v>2.3999999999999998e-07</v>
      </c>
      <c r="V25" s="33" t="s">
        <v>100</v>
      </c>
      <c r="W25" s="19" t="s">
        <v>101</v>
      </c>
      <c r="X25" s="31"/>
    </row>
    <row r="26" ht="19.949999999999999" customHeight="1">
      <c r="B26" s="19" t="s">
        <v>111</v>
      </c>
      <c r="C26" s="19" t="s">
        <v>47</v>
      </c>
      <c r="D26" s="19" t="s">
        <v>106</v>
      </c>
      <c r="E26" s="20"/>
      <c r="F26" s="21">
        <v>500</v>
      </c>
      <c r="G26" s="22">
        <v>2</v>
      </c>
      <c r="H26" s="23">
        <f t="shared" si="20"/>
        <v>1000</v>
      </c>
      <c r="I26" s="24">
        <f t="shared" si="18"/>
        <v>130039.01170351106</v>
      </c>
      <c r="J26" s="25">
        <f t="shared" si="17"/>
        <v>869960.988296489</v>
      </c>
      <c r="K26" s="26">
        <f t="shared" si="19"/>
        <v>6690</v>
      </c>
      <c r="L26" s="27" t="s">
        <v>106</v>
      </c>
      <c r="M26" s="25">
        <f t="shared" si="15"/>
        <v>6690</v>
      </c>
      <c r="N26" s="22" t="str">
        <f t="shared" si="16"/>
        <v>g</v>
      </c>
      <c r="O26" s="22">
        <v>1</v>
      </c>
      <c r="P26" s="28">
        <f>3480/1000</f>
        <v>3.48</v>
      </c>
      <c r="Q26" s="28">
        <f t="shared" si="12"/>
        <v>23281.200000000001</v>
      </c>
      <c r="R26" s="28">
        <f t="shared" si="13"/>
        <v>0.023281200000000002</v>
      </c>
      <c r="S26" s="29">
        <f t="shared" si="5"/>
        <v>0.013446997675985749</v>
      </c>
      <c r="T26" s="31"/>
      <c r="U26" s="32">
        <f>7690/1000000</f>
        <v>0.0076899999999999998</v>
      </c>
      <c r="V26" s="33" t="s">
        <v>100</v>
      </c>
      <c r="W26" s="19" t="s">
        <v>101</v>
      </c>
      <c r="X26" s="31"/>
    </row>
    <row r="27" ht="19.949999999999999" customHeight="1">
      <c r="B27" s="19" t="s">
        <v>112</v>
      </c>
      <c r="C27" s="19" t="s">
        <v>47</v>
      </c>
      <c r="D27" s="19" t="s">
        <v>48</v>
      </c>
      <c r="E27" s="20"/>
      <c r="F27" s="21">
        <v>1000</v>
      </c>
      <c r="G27" s="22">
        <v>5</v>
      </c>
      <c r="H27" s="23">
        <f t="shared" si="20"/>
        <v>5000</v>
      </c>
      <c r="I27" s="24">
        <f t="shared" si="18"/>
        <v>833333.33333333337</v>
      </c>
      <c r="J27" s="25">
        <f t="shared" si="17"/>
        <v>166666.66666666663</v>
      </c>
      <c r="K27" s="26">
        <f t="shared" si="19"/>
        <v>999.99999999999977</v>
      </c>
      <c r="L27" s="27" t="s">
        <v>48</v>
      </c>
      <c r="M27" s="25">
        <v>1</v>
      </c>
      <c r="N27" s="22" t="s">
        <v>113</v>
      </c>
      <c r="O27" s="22">
        <v>1</v>
      </c>
      <c r="P27" s="28">
        <v>56.799999999999997</v>
      </c>
      <c r="Q27" s="28">
        <f t="shared" si="12"/>
        <v>56.799999999999997</v>
      </c>
      <c r="R27" s="28">
        <f t="shared" si="13"/>
        <v>5.6799999999999998e-05</v>
      </c>
      <c r="S27" s="29">
        <f t="shared" si="5"/>
        <v>3.2807134855419413e-05</v>
      </c>
      <c r="T27" s="31"/>
      <c r="U27" s="32">
        <f>6000/1000000</f>
        <v>0.0060000000000000001</v>
      </c>
      <c r="V27" s="33" t="s">
        <v>100</v>
      </c>
      <c r="W27" s="19" t="s">
        <v>101</v>
      </c>
      <c r="X27" s="31"/>
    </row>
    <row r="28" ht="19.949999999999999" customHeight="1">
      <c r="B28" s="19" t="s">
        <v>114</v>
      </c>
      <c r="C28" s="19" t="s">
        <v>47</v>
      </c>
      <c r="D28" s="19" t="s">
        <v>106</v>
      </c>
      <c r="E28" s="20"/>
      <c r="F28" s="21">
        <v>500</v>
      </c>
      <c r="G28" s="22">
        <v>1</v>
      </c>
      <c r="H28" s="23">
        <f t="shared" si="20"/>
        <v>500</v>
      </c>
      <c r="I28" s="24">
        <f t="shared" si="18"/>
        <v>207468.87966804981</v>
      </c>
      <c r="J28" s="25">
        <f t="shared" si="17"/>
        <v>792531.12033195025</v>
      </c>
      <c r="K28" s="26">
        <f t="shared" si="19"/>
        <v>1910</v>
      </c>
      <c r="L28" s="27" t="s">
        <v>106</v>
      </c>
      <c r="M28" s="25">
        <f t="shared" si="15"/>
        <v>1910</v>
      </c>
      <c r="N28" s="22" t="str">
        <f t="shared" si="16"/>
        <v>g</v>
      </c>
      <c r="O28" s="22">
        <v>1</v>
      </c>
      <c r="P28" s="28">
        <f>940/1000</f>
        <v>0.93999999999999995</v>
      </c>
      <c r="Q28" s="28">
        <f t="shared" si="12"/>
        <v>1795.3999999999999</v>
      </c>
      <c r="R28" s="28">
        <f t="shared" si="13"/>
        <v>0.0017953999999999999</v>
      </c>
      <c r="S28" s="29">
        <f t="shared" si="5"/>
        <v>0.0010370058084404933</v>
      </c>
      <c r="T28" s="31"/>
      <c r="U28" s="32">
        <f>2410/1000000</f>
        <v>0.0024099999999999998</v>
      </c>
      <c r="V28" s="33" t="s">
        <v>100</v>
      </c>
      <c r="W28" s="19" t="s">
        <v>101</v>
      </c>
      <c r="X28" s="31"/>
    </row>
    <row r="29" ht="19.949999999999999" customHeight="1">
      <c r="B29" s="19" t="s">
        <v>115</v>
      </c>
      <c r="C29" s="19" t="s">
        <v>47</v>
      </c>
      <c r="D29" s="19" t="s">
        <v>109</v>
      </c>
      <c r="E29" s="20"/>
      <c r="F29" s="21">
        <v>1</v>
      </c>
      <c r="G29" s="22">
        <v>0</v>
      </c>
      <c r="H29" s="23">
        <v>0</v>
      </c>
      <c r="I29" s="24">
        <f t="shared" si="18"/>
        <v>0</v>
      </c>
      <c r="J29" s="25">
        <f t="shared" si="17"/>
        <v>1000000</v>
      </c>
      <c r="K29" s="26">
        <f t="shared" si="19"/>
        <v>6</v>
      </c>
      <c r="L29" s="27" t="s">
        <v>109</v>
      </c>
      <c r="M29" s="25">
        <f t="shared" si="15"/>
        <v>6</v>
      </c>
      <c r="N29" s="22" t="str">
        <f t="shared" si="16"/>
        <v>kg</v>
      </c>
      <c r="O29" s="22">
        <v>1</v>
      </c>
      <c r="P29" s="28">
        <f>4720.82/1000</f>
        <v>4.7208199999999998</v>
      </c>
      <c r="Q29" s="28">
        <f t="shared" si="12"/>
        <v>28.324919999999999</v>
      </c>
      <c r="R29" s="28">
        <f t="shared" si="13"/>
        <v>2.8324919999999998e-05</v>
      </c>
      <c r="S29" s="29">
        <f t="shared" si="5"/>
        <v>1.6360201940298707e-05</v>
      </c>
      <c r="T29" s="31"/>
      <c r="U29" s="32">
        <f>6/1000000</f>
        <v>6.0000000000000002e-06</v>
      </c>
      <c r="V29" s="33" t="s">
        <v>100</v>
      </c>
      <c r="W29" s="19" t="s">
        <v>101</v>
      </c>
      <c r="X29" s="31"/>
    </row>
    <row r="30" ht="19.949999999999999" customHeight="1">
      <c r="B30" s="19" t="s">
        <v>116</v>
      </c>
      <c r="C30" s="19" t="s">
        <v>47</v>
      </c>
      <c r="D30" s="19" t="s">
        <v>48</v>
      </c>
      <c r="E30" s="20"/>
      <c r="F30" s="21">
        <v>1000</v>
      </c>
      <c r="G30" s="22">
        <v>1</v>
      </c>
      <c r="H30" s="23">
        <f t="shared" si="20"/>
        <v>1000</v>
      </c>
      <c r="I30" s="24">
        <f>H30*U30</f>
        <v>1000000</v>
      </c>
      <c r="J30" s="25">
        <f t="shared" si="17"/>
        <v>0</v>
      </c>
      <c r="K30" s="26">
        <f t="shared" si="19"/>
        <v>0</v>
      </c>
      <c r="L30" s="27" t="s">
        <v>48</v>
      </c>
      <c r="M30" s="25">
        <f t="shared" si="15"/>
        <v>0</v>
      </c>
      <c r="N30" s="22" t="str">
        <f t="shared" si="16"/>
        <v>ml</v>
      </c>
      <c r="O30" s="22">
        <v>1</v>
      </c>
      <c r="P30" s="28">
        <v>0</v>
      </c>
      <c r="Q30" s="28">
        <v>0</v>
      </c>
      <c r="R30" s="28">
        <v>0</v>
      </c>
      <c r="S30" s="29">
        <f t="shared" si="5"/>
        <v>0</v>
      </c>
      <c r="T30" s="31"/>
      <c r="U30" s="36">
        <v>1000</v>
      </c>
      <c r="V30" s="33" t="s">
        <v>100</v>
      </c>
      <c r="W30" s="19" t="s">
        <v>101</v>
      </c>
      <c r="X30" s="31"/>
    </row>
    <row r="31" s="37" customFormat="1" ht="19.949999999999999" customHeight="1">
      <c r="B31" s="38" t="s">
        <v>117</v>
      </c>
      <c r="C31" s="38" t="s">
        <v>47</v>
      </c>
      <c r="D31" s="38" t="s">
        <v>118</v>
      </c>
      <c r="E31" s="39"/>
      <c r="F31" s="40"/>
      <c r="G31" s="41"/>
      <c r="H31" s="42"/>
      <c r="I31" s="43">
        <v>0</v>
      </c>
      <c r="J31" s="44">
        <f t="shared" ref="J31:J36" si="21">$J$2*U31</f>
        <v>700000</v>
      </c>
      <c r="K31" s="45">
        <f t="shared" ref="K31:K36" si="22">J31</f>
        <v>700000</v>
      </c>
      <c r="L31" s="46"/>
      <c r="M31" s="44">
        <v>2</v>
      </c>
      <c r="N31" s="41"/>
      <c r="O31" s="41"/>
      <c r="P31" s="47">
        <v>0.014999999999999999</v>
      </c>
      <c r="Q31" s="47">
        <f t="shared" ref="Q31:Q36" si="23">P31*K31*M31</f>
        <v>21000</v>
      </c>
      <c r="R31" s="47">
        <f t="shared" ref="R31:R36" si="24">P31</f>
        <v>0.014999999999999999</v>
      </c>
      <c r="S31" s="29">
        <f t="shared" si="5"/>
        <v>0.012129398450067039</v>
      </c>
      <c r="T31" s="39"/>
      <c r="U31" s="48">
        <v>0.69999999999999996</v>
      </c>
      <c r="V31" s="49" t="s">
        <v>119</v>
      </c>
      <c r="W31" s="38" t="s">
        <v>53</v>
      </c>
      <c r="X31" s="39"/>
    </row>
    <row r="32" s="37" customFormat="1" ht="19.949999999999999" customHeight="1">
      <c r="B32" s="38" t="s">
        <v>120</v>
      </c>
      <c r="C32" s="38" t="s">
        <v>47</v>
      </c>
      <c r="D32" s="38" t="s">
        <v>118</v>
      </c>
      <c r="E32" s="39"/>
      <c r="F32" s="40"/>
      <c r="G32" s="41"/>
      <c r="H32" s="42"/>
      <c r="I32" s="43">
        <v>0</v>
      </c>
      <c r="J32" s="44">
        <f t="shared" si="21"/>
        <v>700000</v>
      </c>
      <c r="K32" s="45">
        <f t="shared" si="22"/>
        <v>700000</v>
      </c>
      <c r="L32" s="46"/>
      <c r="M32" s="44">
        <v>2</v>
      </c>
      <c r="N32" s="41"/>
      <c r="O32" s="41"/>
      <c r="P32" s="47">
        <v>0.035000000000000003</v>
      </c>
      <c r="Q32" s="47">
        <f t="shared" si="23"/>
        <v>49000.000000000007</v>
      </c>
      <c r="R32" s="47">
        <f t="shared" si="24"/>
        <v>0.035000000000000003</v>
      </c>
      <c r="S32" s="29">
        <f t="shared" si="5"/>
        <v>0.028301929716823094</v>
      </c>
      <c r="T32" s="39"/>
      <c r="U32" s="48">
        <v>0.69999999999999996</v>
      </c>
      <c r="V32" s="49" t="s">
        <v>119</v>
      </c>
      <c r="W32" s="38" t="s">
        <v>53</v>
      </c>
      <c r="X32" s="39"/>
    </row>
    <row r="33" s="37" customFormat="1" ht="19.949999999999999" customHeight="1">
      <c r="B33" s="38" t="s">
        <v>121</v>
      </c>
      <c r="C33" s="38" t="s">
        <v>47</v>
      </c>
      <c r="D33" s="38" t="s">
        <v>118</v>
      </c>
      <c r="E33" s="39"/>
      <c r="F33" s="40"/>
      <c r="G33" s="41"/>
      <c r="H33" s="42"/>
      <c r="I33" s="43">
        <v>0</v>
      </c>
      <c r="J33" s="44">
        <f t="shared" si="21"/>
        <v>200000</v>
      </c>
      <c r="K33" s="45">
        <f t="shared" si="22"/>
        <v>200000</v>
      </c>
      <c r="L33" s="46"/>
      <c r="M33" s="44">
        <v>2</v>
      </c>
      <c r="N33" s="41"/>
      <c r="O33" s="41"/>
      <c r="P33" s="47">
        <v>0.0155</v>
      </c>
      <c r="Q33" s="47">
        <f t="shared" si="23"/>
        <v>6200</v>
      </c>
      <c r="R33" s="47">
        <f t="shared" si="24"/>
        <v>0.0155</v>
      </c>
      <c r="S33" s="29">
        <f t="shared" si="5"/>
        <v>0.003581060494781697</v>
      </c>
      <c r="T33" s="39"/>
      <c r="U33" s="48">
        <v>0.20000000000000001</v>
      </c>
      <c r="V33" s="49" t="s">
        <v>119</v>
      </c>
      <c r="W33" s="38" t="s">
        <v>53</v>
      </c>
      <c r="X33" s="39"/>
    </row>
    <row r="34" s="37" customFormat="1" ht="19.949999999999999" customHeight="1">
      <c r="B34" s="38" t="s">
        <v>122</v>
      </c>
      <c r="C34" s="38" t="s">
        <v>47</v>
      </c>
      <c r="D34" s="38" t="s">
        <v>118</v>
      </c>
      <c r="E34" s="39"/>
      <c r="F34" s="40"/>
      <c r="G34" s="41"/>
      <c r="H34" s="42"/>
      <c r="I34" s="43">
        <v>0</v>
      </c>
      <c r="J34" s="44">
        <f t="shared" si="21"/>
        <v>200000</v>
      </c>
      <c r="K34" s="45">
        <f t="shared" si="22"/>
        <v>200000</v>
      </c>
      <c r="L34" s="46"/>
      <c r="M34" s="44">
        <v>2</v>
      </c>
      <c r="N34" s="41"/>
      <c r="O34" s="41"/>
      <c r="P34" s="47">
        <v>0.035499999999999997</v>
      </c>
      <c r="Q34" s="47">
        <f t="shared" si="23"/>
        <v>14199.999999999998</v>
      </c>
      <c r="R34" s="47">
        <f t="shared" si="24"/>
        <v>0.035499999999999997</v>
      </c>
      <c r="S34" s="29">
        <f t="shared" si="5"/>
        <v>0.0082017837138548527</v>
      </c>
      <c r="T34" s="39"/>
      <c r="U34" s="48">
        <v>0.20000000000000001</v>
      </c>
      <c r="V34" s="49" t="s">
        <v>119</v>
      </c>
      <c r="W34" s="38" t="s">
        <v>53</v>
      </c>
      <c r="X34" s="39"/>
    </row>
    <row r="35" s="37" customFormat="1" ht="19.949999999999999" customHeight="1">
      <c r="B35" s="38" t="s">
        <v>123</v>
      </c>
      <c r="C35" s="38" t="s">
        <v>47</v>
      </c>
      <c r="D35" s="38" t="s">
        <v>118</v>
      </c>
      <c r="E35" s="39"/>
      <c r="F35" s="40"/>
      <c r="G35" s="41"/>
      <c r="H35" s="42"/>
      <c r="I35" s="43">
        <v>0</v>
      </c>
      <c r="J35" s="44">
        <f t="shared" si="21"/>
        <v>100000</v>
      </c>
      <c r="K35" s="45">
        <f t="shared" si="22"/>
        <v>100000</v>
      </c>
      <c r="L35" s="46"/>
      <c r="M35" s="44">
        <v>2</v>
      </c>
      <c r="N35" s="41"/>
      <c r="O35" s="41"/>
      <c r="P35" s="47">
        <v>0.014999999999999999</v>
      </c>
      <c r="Q35" s="47">
        <f t="shared" si="23"/>
        <v>3000</v>
      </c>
      <c r="R35" s="47">
        <f t="shared" si="24"/>
        <v>0.014999999999999999</v>
      </c>
      <c r="S35" s="29">
        <f t="shared" si="5"/>
        <v>0.001732771207152434</v>
      </c>
      <c r="T35" s="39"/>
      <c r="U35" s="48">
        <v>0.10000000000000001</v>
      </c>
      <c r="V35" s="49" t="s">
        <v>119</v>
      </c>
      <c r="W35" s="38" t="s">
        <v>53</v>
      </c>
      <c r="X35" s="39"/>
    </row>
    <row r="36" s="37" customFormat="1" ht="19.949999999999999" customHeight="1">
      <c r="B36" s="38" t="s">
        <v>124</v>
      </c>
      <c r="C36" s="38" t="s">
        <v>47</v>
      </c>
      <c r="D36" s="38" t="s">
        <v>118</v>
      </c>
      <c r="E36" s="39"/>
      <c r="F36" s="40"/>
      <c r="G36" s="41"/>
      <c r="H36" s="42"/>
      <c r="I36" s="43">
        <v>0</v>
      </c>
      <c r="J36" s="44">
        <f t="shared" si="21"/>
        <v>100000</v>
      </c>
      <c r="K36" s="45">
        <f t="shared" si="22"/>
        <v>100000</v>
      </c>
      <c r="L36" s="46"/>
      <c r="M36" s="44">
        <v>2</v>
      </c>
      <c r="N36" s="41"/>
      <c r="O36" s="41"/>
      <c r="P36" s="47">
        <v>0.035000000000000003</v>
      </c>
      <c r="Q36" s="47">
        <f t="shared" si="23"/>
        <v>7000.0000000000009</v>
      </c>
      <c r="R36" s="47">
        <f t="shared" si="24"/>
        <v>0.035000000000000003</v>
      </c>
      <c r="S36" s="29">
        <f t="shared" si="5"/>
        <v>0.0040431328166890129</v>
      </c>
      <c r="T36" s="39"/>
      <c r="U36" s="48">
        <v>0.10000000000000001</v>
      </c>
      <c r="V36" s="49" t="s">
        <v>119</v>
      </c>
      <c r="W36" s="38" t="s">
        <v>53</v>
      </c>
      <c r="X36" s="39"/>
    </row>
    <row r="37" s="50" customFormat="1" ht="19.949999999999999" customHeight="1">
      <c r="B37" s="51"/>
      <c r="C37" s="51"/>
      <c r="D37" s="51"/>
      <c r="E37" s="52"/>
      <c r="F37" s="53"/>
      <c r="G37" s="54"/>
      <c r="H37" s="55"/>
      <c r="I37" s="56"/>
      <c r="J37" s="57"/>
      <c r="K37" s="58"/>
      <c r="L37" s="59"/>
      <c r="M37" s="57"/>
      <c r="N37" s="54"/>
      <c r="O37" s="54"/>
      <c r="P37" s="60"/>
      <c r="Q37" s="61"/>
      <c r="R37" s="62"/>
      <c r="S37" s="52"/>
      <c r="T37" s="52"/>
      <c r="U37" s="63"/>
      <c r="V37" s="64"/>
      <c r="W37" s="51"/>
      <c r="X37" s="52"/>
    </row>
  </sheetData>
  <conditionalFormatting sqref="Q5:Q36">
    <cfRule type="colorScale" priority="1">
      <colorScale>
        <cfvo type="min"/>
        <cfvo type="max"/>
        <color rgb="FFFCFCFF"/>
        <color rgb="FFF8696B"/>
      </colorScale>
    </cfRule>
  </conditionalFormatting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:A"/>
    </sheetView>
  </sheetViews>
  <sheetFormatPr defaultRowHeight="14.4"/>
  <cols>
    <col bestFit="1" customWidth="1" min="1" max="1" width="11.6640625"/>
    <col bestFit="1" customWidth="1" min="2" max="2" width="9.44140625"/>
    <col bestFit="1" customWidth="1" min="4" max="4" width="10.33203125"/>
  </cols>
  <sheetData>
    <row r="1">
      <c r="A1" s="66" t="s">
        <v>126</v>
      </c>
      <c r="B1" s="67">
        <v>260.94999999999999</v>
      </c>
      <c r="C1" s="66">
        <v>3</v>
      </c>
      <c r="D1" s="67">
        <f t="shared" ref="D1:D2" si="25">B1*C1</f>
        <v>782.84999999999991</v>
      </c>
      <c r="E1" s="68"/>
    </row>
    <row r="2">
      <c r="A2" s="66" t="s">
        <v>127</v>
      </c>
      <c r="B2" s="67">
        <v>2066.6100000000001</v>
      </c>
      <c r="C2" s="66">
        <v>2</v>
      </c>
      <c r="D2" s="67">
        <f t="shared" si="25"/>
        <v>4133.2200000000003</v>
      </c>
      <c r="E2" s="68"/>
    </row>
    <row r="3">
      <c r="A3" s="66" t="s">
        <v>128</v>
      </c>
      <c r="B3" s="66"/>
      <c r="C3" s="66"/>
      <c r="D3" s="67">
        <f>D1+D2</f>
        <v>4916.0699999999997</v>
      </c>
      <c r="E3" s="68"/>
    </row>
    <row r="4">
      <c r="A4" s="66"/>
      <c r="B4" s="66"/>
      <c r="C4" s="66"/>
      <c r="D4" s="66"/>
      <c r="E4" s="68"/>
    </row>
    <row r="5">
      <c r="A5" s="66"/>
      <c r="B5" s="66"/>
      <c r="C5" s="66"/>
      <c r="D5" s="66">
        <v>200000</v>
      </c>
      <c r="E5" s="68"/>
    </row>
    <row r="6">
      <c r="A6" s="66"/>
      <c r="B6" s="66"/>
      <c r="C6" s="66"/>
      <c r="D6" s="69">
        <f>D3/D5</f>
        <v>0.024580349999999997</v>
      </c>
      <c r="E6" s="68"/>
    </row>
    <row r="7">
      <c r="A7" s="66"/>
      <c r="B7" s="66"/>
      <c r="C7" s="66"/>
      <c r="D7" s="66">
        <v>600000</v>
      </c>
      <c r="E7" s="68" t="s">
        <v>129</v>
      </c>
    </row>
    <row r="8">
      <c r="A8" s="66"/>
      <c r="B8" s="66"/>
      <c r="C8" s="66"/>
      <c r="D8" s="67">
        <f>D6*D7</f>
        <v>14748.209999999999</v>
      </c>
      <c r="E8" s="68"/>
    </row>
    <row r="9">
      <c r="A9" s="66"/>
      <c r="B9" s="66"/>
      <c r="C9" s="66"/>
      <c r="D9" s="66">
        <v>2</v>
      </c>
      <c r="E9" s="68" t="s">
        <v>130</v>
      </c>
    </row>
    <row r="10">
      <c r="A10" s="66"/>
      <c r="B10" s="66"/>
      <c r="C10" s="66"/>
      <c r="D10" s="70">
        <f>D8*D9</f>
        <v>29496.419999999998</v>
      </c>
      <c r="E10" s="68" t="s">
        <v>128</v>
      </c>
    </row>
    <row r="11">
      <c r="A11" s="66"/>
      <c r="B11" s="66"/>
      <c r="C11" s="66"/>
      <c r="D11" s="66"/>
      <c r="E11" s="68"/>
    </row>
    <row r="12">
      <c r="A12" s="66"/>
      <c r="B12" s="66"/>
      <c r="C12" s="66"/>
      <c r="D12" s="66"/>
      <c r="E12" s="68"/>
    </row>
    <row r="13">
      <c r="A13" s="66" t="s">
        <v>126</v>
      </c>
      <c r="B13" s="67">
        <v>260.94999999999999</v>
      </c>
      <c r="C13" s="66">
        <v>4</v>
      </c>
      <c r="D13" s="67">
        <f t="shared" ref="D13:D14" si="26">B13*C13</f>
        <v>1043.8</v>
      </c>
      <c r="E13" s="68"/>
    </row>
    <row r="14">
      <c r="A14" s="66" t="s">
        <v>127</v>
      </c>
      <c r="B14" s="67">
        <v>2066.6100000000001</v>
      </c>
      <c r="C14" s="66">
        <v>2</v>
      </c>
      <c r="D14" s="67">
        <f t="shared" si="26"/>
        <v>4133.2200000000003</v>
      </c>
      <c r="E14" s="68"/>
    </row>
    <row r="15">
      <c r="A15" s="66" t="s">
        <v>131</v>
      </c>
      <c r="B15" s="66"/>
      <c r="C15" s="66"/>
      <c r="D15" s="67">
        <f>D13+D14</f>
        <v>5177.0200000000004</v>
      </c>
      <c r="E15" s="68"/>
    </row>
    <row r="16">
      <c r="A16" s="66"/>
      <c r="B16" s="66"/>
      <c r="C16" s="66"/>
      <c r="D16" s="66"/>
      <c r="E16" s="68"/>
    </row>
    <row r="17">
      <c r="A17" s="66"/>
      <c r="B17" s="66"/>
      <c r="C17" s="66"/>
      <c r="D17" s="66">
        <v>200000</v>
      </c>
      <c r="E17" s="68"/>
    </row>
    <row r="18">
      <c r="A18" s="66"/>
      <c r="B18" s="66"/>
      <c r="C18" s="66"/>
      <c r="D18" s="69">
        <f>D15/D17</f>
        <v>0.025885100000000001</v>
      </c>
      <c r="E18" s="68"/>
    </row>
    <row r="19">
      <c r="A19" s="66"/>
      <c r="B19" s="66"/>
      <c r="C19" s="66"/>
      <c r="D19" s="66">
        <v>300000</v>
      </c>
      <c r="E19" s="68"/>
    </row>
    <row r="20">
      <c r="A20" s="66"/>
      <c r="B20" s="66"/>
      <c r="C20" s="66"/>
      <c r="D20" s="67">
        <f>D18*D19</f>
        <v>7765.5300000000007</v>
      </c>
      <c r="E20" s="68"/>
    </row>
    <row r="21">
      <c r="A21" s="66"/>
      <c r="B21" s="66"/>
      <c r="C21" s="66"/>
      <c r="D21" s="66">
        <v>2</v>
      </c>
      <c r="E21" s="68"/>
    </row>
    <row r="22">
      <c r="A22" s="66"/>
      <c r="B22" s="66"/>
      <c r="C22" s="66"/>
      <c r="D22" s="70">
        <f>D20*D21</f>
        <v>15531.060000000001</v>
      </c>
      <c r="E22" s="68"/>
    </row>
    <row r="23">
      <c r="A23" s="66"/>
      <c r="B23" s="66"/>
      <c r="C23" s="66"/>
      <c r="D23" s="66"/>
      <c r="E23" s="68"/>
    </row>
    <row r="24">
      <c r="A24" s="66"/>
      <c r="B24" s="66"/>
      <c r="C24" s="66"/>
      <c r="D24" s="66"/>
      <c r="E24" s="68"/>
    </row>
    <row r="25">
      <c r="A25" s="66"/>
      <c r="B25" s="66"/>
      <c r="C25" s="66"/>
      <c r="D25" s="66"/>
      <c r="E25" s="68"/>
    </row>
    <row r="26">
      <c r="A26" s="66" t="s">
        <v>126</v>
      </c>
      <c r="B26" s="67">
        <v>260.94999999999999</v>
      </c>
      <c r="C26" s="66">
        <v>3</v>
      </c>
      <c r="D26" s="67">
        <f t="shared" ref="D26:D27" si="27">B26*C26</f>
        <v>782.84999999999991</v>
      </c>
      <c r="E26" s="68"/>
    </row>
    <row r="27">
      <c r="A27" s="66" t="s">
        <v>127</v>
      </c>
      <c r="B27" s="67">
        <v>2066.6100000000001</v>
      </c>
      <c r="C27" s="66">
        <v>2</v>
      </c>
      <c r="D27" s="67">
        <f t="shared" si="27"/>
        <v>4133.2200000000003</v>
      </c>
      <c r="E27" s="68"/>
    </row>
    <row r="28">
      <c r="A28" s="66" t="s">
        <v>132</v>
      </c>
      <c r="B28" s="66"/>
      <c r="C28" s="66"/>
      <c r="D28" s="67">
        <f>D26+D27</f>
        <v>4916.0699999999997</v>
      </c>
      <c r="E28" s="68"/>
    </row>
    <row r="29">
      <c r="A29" s="66"/>
      <c r="B29" s="66"/>
      <c r="C29" s="66"/>
      <c r="D29" s="66"/>
      <c r="E29" s="68"/>
    </row>
    <row r="30">
      <c r="A30" s="66"/>
      <c r="B30" s="66"/>
      <c r="C30" s="66"/>
      <c r="D30" s="66">
        <v>200000</v>
      </c>
      <c r="E30" s="68"/>
    </row>
    <row r="31">
      <c r="A31" s="66"/>
      <c r="B31" s="66"/>
      <c r="C31" s="66"/>
      <c r="D31" s="69">
        <f>D28/D30</f>
        <v>0.024580349999999997</v>
      </c>
      <c r="E31" s="68"/>
    </row>
    <row r="32">
      <c r="A32" s="66"/>
      <c r="B32" s="66"/>
      <c r="C32" s="66"/>
      <c r="D32" s="66">
        <v>100000</v>
      </c>
      <c r="E32" s="68"/>
    </row>
    <row r="33">
      <c r="A33" s="66"/>
      <c r="B33" s="66"/>
      <c r="C33" s="66"/>
      <c r="D33" s="67">
        <f>D31*D32</f>
        <v>2458.0349999999999</v>
      </c>
      <c r="E33" s="68"/>
    </row>
    <row r="34">
      <c r="A34" s="66"/>
      <c r="B34" s="66"/>
      <c r="C34" s="66"/>
      <c r="D34" s="66">
        <v>2</v>
      </c>
      <c r="E34" s="68"/>
    </row>
    <row r="35">
      <c r="A35" s="66"/>
      <c r="B35" s="66"/>
      <c r="C35" s="66"/>
      <c r="D35" s="70">
        <f>D33*D34</f>
        <v>4916.0699999999997</v>
      </c>
      <c r="E35" s="68"/>
    </row>
    <row r="36">
      <c r="A36" s="66"/>
      <c r="B36" s="66"/>
      <c r="C36" s="66"/>
      <c r="D36" s="66"/>
      <c r="E36" s="68"/>
    </row>
    <row r="37">
      <c r="A37" s="66"/>
      <c r="B37" s="66"/>
      <c r="C37" s="66"/>
      <c r="D37" s="66"/>
      <c r="E37" s="68"/>
    </row>
    <row r="38">
      <c r="A38" s="66"/>
      <c r="B38" s="66"/>
      <c r="C38" s="66"/>
      <c r="D38" s="70">
        <f>D35+D10+D22</f>
        <v>49943.550000000003</v>
      </c>
      <c r="E38" s="68"/>
    </row>
    <row r="39">
      <c r="A39" s="66"/>
      <c r="B39" s="66"/>
      <c r="C39" s="66"/>
      <c r="D39" s="71">
        <f>D38/1000000</f>
        <v>0.049943550000000003</v>
      </c>
      <c r="E39" s="68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1" activeCellId="0" sqref="D11"/>
    </sheetView>
  </sheetViews>
  <sheetFormatPr defaultRowHeight="14.4"/>
  <cols>
    <col bestFit="1" customWidth="1" min="2" max="2" width="65.5546875"/>
    <col customWidth="1" min="3" max="3" width="36.21875"/>
    <col customWidth="1" min="4" max="4" width="23.77734375"/>
    <col customWidth="1" min="5" max="5" width="15"/>
    <col bestFit="1" customWidth="1" min="7" max="7" width="17.21875"/>
  </cols>
  <sheetData>
    <row r="1">
      <c r="A1" s="72" t="s">
        <v>133</v>
      </c>
      <c r="B1" s="72" t="s">
        <v>134</v>
      </c>
      <c r="C1" s="72" t="s">
        <v>135</v>
      </c>
      <c r="D1" s="72" t="s">
        <v>23</v>
      </c>
      <c r="E1" s="72" t="s">
        <v>136</v>
      </c>
      <c r="F1" s="72" t="s">
        <v>137</v>
      </c>
      <c r="G1" s="72" t="s">
        <v>138</v>
      </c>
    </row>
    <row r="2">
      <c r="A2" s="72">
        <v>1</v>
      </c>
      <c r="B2" s="72" t="s">
        <v>139</v>
      </c>
      <c r="C2" s="72" t="s">
        <v>140</v>
      </c>
      <c r="D2" s="72" t="s">
        <v>31</v>
      </c>
      <c r="E2" s="72" t="s">
        <v>15</v>
      </c>
      <c r="F2" s="72"/>
      <c r="G2" s="72"/>
    </row>
    <row r="3">
      <c r="A3" s="72">
        <v>2</v>
      </c>
      <c r="B3" s="72" t="s">
        <v>141</v>
      </c>
      <c r="C3" s="72" t="s">
        <v>142</v>
      </c>
      <c r="D3" s="72" t="s">
        <v>69</v>
      </c>
      <c r="E3" s="72" t="s">
        <v>143</v>
      </c>
      <c r="F3" s="72"/>
      <c r="G3" s="72"/>
    </row>
    <row r="4">
      <c r="A4" s="72">
        <v>3</v>
      </c>
      <c r="B4" s="72" t="s">
        <v>144</v>
      </c>
      <c r="C4" s="72" t="s">
        <v>145</v>
      </c>
      <c r="D4" s="72" t="s">
        <v>146</v>
      </c>
      <c r="E4" s="72" t="s">
        <v>143</v>
      </c>
      <c r="F4" s="72"/>
      <c r="G4" s="72"/>
    </row>
    <row r="5">
      <c r="A5" s="72">
        <v>4</v>
      </c>
      <c r="B5" s="72" t="s">
        <v>147</v>
      </c>
      <c r="C5" s="72" t="s">
        <v>145</v>
      </c>
      <c r="D5" s="72" t="s">
        <v>146</v>
      </c>
      <c r="E5" s="72" t="s">
        <v>143</v>
      </c>
      <c r="F5" s="72"/>
      <c r="G5" s="72"/>
    </row>
    <row r="6">
      <c r="A6" s="72">
        <v>5</v>
      </c>
      <c r="B6" s="72" t="s">
        <v>148</v>
      </c>
      <c r="C6" s="72" t="s">
        <v>149</v>
      </c>
      <c r="D6" s="72" t="s">
        <v>146</v>
      </c>
      <c r="E6" s="72" t="s">
        <v>143</v>
      </c>
      <c r="F6" s="72"/>
      <c r="G6" s="72"/>
    </row>
    <row r="7">
      <c r="A7" s="72">
        <v>6</v>
      </c>
      <c r="B7" s="72" t="s">
        <v>150</v>
      </c>
      <c r="C7" s="72" t="s">
        <v>151</v>
      </c>
      <c r="D7" s="72" t="s">
        <v>146</v>
      </c>
      <c r="E7" s="72" t="s">
        <v>143</v>
      </c>
      <c r="F7" s="72"/>
      <c r="G7" s="72"/>
    </row>
    <row r="8">
      <c r="A8" s="72">
        <v>7</v>
      </c>
      <c r="B8" s="72" t="s">
        <v>152</v>
      </c>
      <c r="C8" s="72" t="s">
        <v>151</v>
      </c>
      <c r="D8" s="72" t="s">
        <v>146</v>
      </c>
      <c r="E8" s="72" t="s">
        <v>143</v>
      </c>
      <c r="F8" s="72"/>
      <c r="G8" s="72"/>
    </row>
    <row r="9">
      <c r="A9" s="72">
        <v>8</v>
      </c>
      <c r="B9" s="72" t="s">
        <v>153</v>
      </c>
      <c r="C9" s="72" t="s">
        <v>151</v>
      </c>
      <c r="D9" s="72" t="s">
        <v>146</v>
      </c>
      <c r="E9" s="72" t="s">
        <v>143</v>
      </c>
      <c r="F9" s="72"/>
      <c r="G9" s="72"/>
    </row>
    <row r="10">
      <c r="A10" s="72">
        <v>9</v>
      </c>
      <c r="B10" s="72" t="s">
        <v>154</v>
      </c>
      <c r="C10" s="72" t="s">
        <v>151</v>
      </c>
      <c r="D10" s="72" t="s">
        <v>146</v>
      </c>
      <c r="E10" s="72" t="s">
        <v>143</v>
      </c>
      <c r="F10" s="72"/>
      <c r="G10" s="72"/>
    </row>
    <row r="11">
      <c r="A11" s="72">
        <v>10</v>
      </c>
      <c r="B11" s="72" t="s">
        <v>155</v>
      </c>
      <c r="C11" s="72" t="s">
        <v>151</v>
      </c>
      <c r="D11" s="72" t="s">
        <v>146</v>
      </c>
      <c r="E11" s="72" t="s">
        <v>143</v>
      </c>
      <c r="F11" s="72"/>
      <c r="G11" s="72"/>
    </row>
    <row r="12">
      <c r="A12" s="72">
        <v>11</v>
      </c>
      <c r="B12" s="72" t="s">
        <v>156</v>
      </c>
      <c r="C12" s="72" t="s">
        <v>157</v>
      </c>
      <c r="D12" s="72" t="s">
        <v>60</v>
      </c>
      <c r="E12" s="72" t="s">
        <v>143</v>
      </c>
      <c r="F12" s="72"/>
      <c r="G12" s="72"/>
    </row>
    <row r="13">
      <c r="A13" s="72">
        <v>12</v>
      </c>
      <c r="B13" s="72" t="s">
        <v>158</v>
      </c>
      <c r="C13" s="72" t="s">
        <v>157</v>
      </c>
      <c r="D13" s="72" t="s">
        <v>60</v>
      </c>
      <c r="E13" s="72" t="s">
        <v>143</v>
      </c>
      <c r="F13" s="72"/>
      <c r="G13" s="72"/>
    </row>
    <row r="14">
      <c r="A14" s="72">
        <v>13</v>
      </c>
      <c r="B14" s="72" t="s">
        <v>159</v>
      </c>
      <c r="C14" s="72" t="s">
        <v>157</v>
      </c>
      <c r="D14" s="72" t="s">
        <v>60</v>
      </c>
      <c r="E14" s="72" t="s">
        <v>143</v>
      </c>
      <c r="F14" s="72"/>
      <c r="G14" s="72"/>
    </row>
    <row r="15">
      <c r="A15" s="72">
        <v>14</v>
      </c>
      <c r="B15" s="72" t="s">
        <v>160</v>
      </c>
      <c r="C15" s="72" t="s">
        <v>161</v>
      </c>
      <c r="D15" s="72" t="s">
        <v>60</v>
      </c>
      <c r="E15" s="72" t="s">
        <v>143</v>
      </c>
      <c r="F15" s="72">
        <v>1</v>
      </c>
      <c r="G15" s="72" t="s">
        <v>162</v>
      </c>
    </row>
    <row r="16">
      <c r="A16" s="72">
        <v>15</v>
      </c>
      <c r="B16" s="72" t="s">
        <v>163</v>
      </c>
      <c r="C16" s="72" t="s">
        <v>164</v>
      </c>
      <c r="D16" s="72" t="s">
        <v>101</v>
      </c>
      <c r="E16" s="72" t="s">
        <v>143</v>
      </c>
      <c r="F16" s="72"/>
      <c r="G16" s="72"/>
    </row>
    <row r="17">
      <c r="A17" s="72">
        <v>16</v>
      </c>
      <c r="B17" s="72" t="s">
        <v>165</v>
      </c>
      <c r="C17" s="72" t="s">
        <v>166</v>
      </c>
      <c r="D17" s="72" t="s">
        <v>101</v>
      </c>
      <c r="E17" s="72" t="s">
        <v>143</v>
      </c>
      <c r="F17" s="72"/>
      <c r="G17" s="72"/>
    </row>
    <row r="18">
      <c r="A18" s="72">
        <v>17</v>
      </c>
      <c r="B18" s="72" t="s">
        <v>167</v>
      </c>
      <c r="C18" s="72" t="s">
        <v>166</v>
      </c>
      <c r="D18" s="72" t="s">
        <v>101</v>
      </c>
      <c r="E18" s="72" t="s">
        <v>143</v>
      </c>
      <c r="F18" s="72"/>
      <c r="G18" s="72"/>
    </row>
    <row r="19">
      <c r="A19" s="72">
        <v>18</v>
      </c>
      <c r="B19" s="72" t="s">
        <v>168</v>
      </c>
      <c r="C19" s="72" t="s">
        <v>166</v>
      </c>
      <c r="D19" s="72" t="s">
        <v>101</v>
      </c>
      <c r="E19" s="72" t="s">
        <v>15</v>
      </c>
      <c r="F19" s="72"/>
      <c r="G19" s="72"/>
    </row>
    <row r="20">
      <c r="A20" s="72">
        <v>19</v>
      </c>
      <c r="B20" s="72" t="s">
        <v>169</v>
      </c>
      <c r="C20" s="72" t="s">
        <v>170</v>
      </c>
      <c r="D20" s="72" t="s">
        <v>101</v>
      </c>
      <c r="E20" s="72" t="s">
        <v>15</v>
      </c>
      <c r="F20" s="72"/>
      <c r="G20" s="72"/>
    </row>
    <row r="21">
      <c r="A21" s="72">
        <v>20</v>
      </c>
      <c r="B21" s="72" t="s">
        <v>171</v>
      </c>
      <c r="C21" s="72" t="s">
        <v>172</v>
      </c>
      <c r="D21" s="72" t="s">
        <v>101</v>
      </c>
      <c r="E21" s="72" t="s">
        <v>15</v>
      </c>
      <c r="F21" s="72"/>
      <c r="G21" s="72"/>
    </row>
    <row r="22">
      <c r="A22" s="72">
        <v>21</v>
      </c>
      <c r="B22" s="72" t="s">
        <v>173</v>
      </c>
      <c r="C22" s="72" t="s">
        <v>174</v>
      </c>
      <c r="D22" s="72" t="s">
        <v>101</v>
      </c>
      <c r="E22" s="72" t="s">
        <v>15</v>
      </c>
      <c r="F22" s="72"/>
      <c r="G22" s="72"/>
    </row>
    <row r="23">
      <c r="A23" s="72">
        <v>22</v>
      </c>
      <c r="B23" s="72" t="s">
        <v>175</v>
      </c>
      <c r="C23" s="72" t="s">
        <v>176</v>
      </c>
      <c r="D23" s="72" t="s">
        <v>101</v>
      </c>
      <c r="E23" s="72" t="s">
        <v>15</v>
      </c>
      <c r="F23" s="72"/>
      <c r="G23" s="72"/>
    </row>
    <row r="24">
      <c r="A24" s="72">
        <v>23</v>
      </c>
      <c r="B24" s="72" t="s">
        <v>177</v>
      </c>
      <c r="C24" s="72" t="s">
        <v>178</v>
      </c>
      <c r="D24" s="72" t="s">
        <v>101</v>
      </c>
      <c r="E24" s="72" t="s">
        <v>15</v>
      </c>
      <c r="F24" s="72"/>
      <c r="G24" s="72"/>
    </row>
    <row r="25">
      <c r="A25" s="72">
        <v>24</v>
      </c>
      <c r="B25" s="72" t="s">
        <v>179</v>
      </c>
      <c r="C25" s="72" t="s">
        <v>180</v>
      </c>
      <c r="D25" s="72" t="s">
        <v>101</v>
      </c>
      <c r="E25" s="72" t="s">
        <v>15</v>
      </c>
      <c r="F25" s="72"/>
      <c r="G25" s="72"/>
    </row>
    <row r="26">
      <c r="A26" s="72">
        <v>25</v>
      </c>
      <c r="B26" s="72" t="s">
        <v>181</v>
      </c>
      <c r="C26" s="72" t="s">
        <v>182</v>
      </c>
      <c r="D26" s="72" t="s">
        <v>101</v>
      </c>
      <c r="E26" s="72" t="s">
        <v>15</v>
      </c>
      <c r="F26" s="72"/>
      <c r="G26" s="72"/>
    </row>
    <row r="27">
      <c r="A27" s="72">
        <v>26</v>
      </c>
      <c r="B27" s="72" t="s">
        <v>183</v>
      </c>
      <c r="C27" s="72" t="s">
        <v>184</v>
      </c>
      <c r="D27" s="72" t="s">
        <v>185</v>
      </c>
      <c r="E27" s="72" t="s">
        <v>15</v>
      </c>
      <c r="F27" s="72"/>
      <c r="G27" s="72"/>
    </row>
    <row r="28">
      <c r="A28" s="72">
        <v>27</v>
      </c>
      <c r="B28" s="72" t="s">
        <v>186</v>
      </c>
      <c r="C28" s="72" t="s">
        <v>187</v>
      </c>
      <c r="D28" s="72" t="s">
        <v>185</v>
      </c>
      <c r="E28" s="72" t="s">
        <v>15</v>
      </c>
      <c r="F28" s="72"/>
      <c r="G28" s="72"/>
    </row>
    <row r="29">
      <c r="A29" s="72">
        <v>28</v>
      </c>
      <c r="B29" s="72" t="s">
        <v>188</v>
      </c>
      <c r="C29" s="72" t="s">
        <v>189</v>
      </c>
      <c r="D29" s="72" t="s">
        <v>185</v>
      </c>
      <c r="E29" s="72" t="s">
        <v>15</v>
      </c>
      <c r="F29" s="72"/>
      <c r="G29" s="72"/>
    </row>
    <row r="30">
      <c r="A30" s="72">
        <v>29</v>
      </c>
      <c r="B30" s="72" t="s">
        <v>190</v>
      </c>
      <c r="C30" s="72" t="s">
        <v>191</v>
      </c>
      <c r="D30" s="72" t="s">
        <v>185</v>
      </c>
      <c r="E30" s="72" t="s">
        <v>15</v>
      </c>
      <c r="F30" s="72"/>
      <c r="G30" s="72"/>
    </row>
    <row r="31">
      <c r="A31" s="72">
        <v>30</v>
      </c>
      <c r="B31" s="72" t="s">
        <v>192</v>
      </c>
      <c r="C31" s="72" t="s">
        <v>193</v>
      </c>
      <c r="D31" s="72" t="s">
        <v>185</v>
      </c>
      <c r="E31" s="72" t="s">
        <v>15</v>
      </c>
      <c r="F31" s="72"/>
      <c r="G31" s="72"/>
    </row>
    <row r="32">
      <c r="A32" s="72">
        <v>31</v>
      </c>
      <c r="B32" s="72" t="s">
        <v>194</v>
      </c>
      <c r="C32" s="72" t="s">
        <v>170</v>
      </c>
      <c r="D32" s="72" t="s">
        <v>185</v>
      </c>
      <c r="E32" s="72" t="s">
        <v>15</v>
      </c>
      <c r="F32" s="72"/>
      <c r="G32" s="72"/>
    </row>
    <row r="33">
      <c r="A33" s="72">
        <v>32</v>
      </c>
      <c r="B33" s="72" t="s">
        <v>195</v>
      </c>
      <c r="C33" s="72" t="s">
        <v>172</v>
      </c>
      <c r="D33" s="72" t="s">
        <v>185</v>
      </c>
      <c r="E33" s="72" t="s">
        <v>15</v>
      </c>
      <c r="F33" s="72"/>
      <c r="G33" s="72"/>
    </row>
    <row r="34">
      <c r="A34" s="72">
        <v>33</v>
      </c>
      <c r="B34" s="72" t="s">
        <v>196</v>
      </c>
      <c r="C34" s="72" t="s">
        <v>197</v>
      </c>
      <c r="D34" s="72" t="s">
        <v>185</v>
      </c>
      <c r="E34" s="72" t="s">
        <v>15</v>
      </c>
      <c r="F34" s="72"/>
      <c r="G34" s="72"/>
    </row>
    <row r="35">
      <c r="A35" s="72">
        <v>34</v>
      </c>
      <c r="B35" s="72" t="s">
        <v>198</v>
      </c>
      <c r="C35" s="72" t="s">
        <v>199</v>
      </c>
      <c r="D35" s="72" t="s">
        <v>185</v>
      </c>
      <c r="E35" s="72" t="s">
        <v>15</v>
      </c>
      <c r="F35" s="72"/>
      <c r="G35" s="72"/>
    </row>
    <row r="36">
      <c r="A36" s="72">
        <v>35</v>
      </c>
      <c r="B36" s="72" t="s">
        <v>200</v>
      </c>
      <c r="C36" s="72" t="s">
        <v>201</v>
      </c>
      <c r="D36" s="72" t="s">
        <v>45</v>
      </c>
      <c r="E36" s="72" t="s">
        <v>143</v>
      </c>
      <c r="F36" s="72"/>
      <c r="G36" s="72"/>
    </row>
    <row r="37">
      <c r="A37" s="72">
        <v>36</v>
      </c>
      <c r="B37" s="72" t="s">
        <v>168</v>
      </c>
      <c r="C37" s="72" t="s">
        <v>166</v>
      </c>
      <c r="D37" s="72" t="s">
        <v>45</v>
      </c>
      <c r="E37" s="72" t="s">
        <v>143</v>
      </c>
      <c r="F37" s="72"/>
      <c r="G37" s="72"/>
    </row>
    <row r="38">
      <c r="A38" s="72">
        <v>37</v>
      </c>
      <c r="B38" s="72" t="s">
        <v>202</v>
      </c>
      <c r="C38" s="72" t="s">
        <v>203</v>
      </c>
      <c r="D38" s="72" t="s">
        <v>45</v>
      </c>
      <c r="E38" s="72" t="s">
        <v>143</v>
      </c>
      <c r="F38" s="72"/>
      <c r="G38" s="72"/>
    </row>
    <row r="39">
      <c r="A39" s="72">
        <v>38</v>
      </c>
      <c r="B39" s="72" t="s">
        <v>204</v>
      </c>
      <c r="C39" s="72" t="s">
        <v>205</v>
      </c>
      <c r="D39" s="72" t="s">
        <v>45</v>
      </c>
      <c r="E39" s="72" t="s">
        <v>143</v>
      </c>
      <c r="F39" s="72">
        <v>1</v>
      </c>
      <c r="G39" s="72" t="s">
        <v>162</v>
      </c>
    </row>
    <row r="40">
      <c r="A40" s="72">
        <v>39</v>
      </c>
      <c r="B40" s="72" t="s">
        <v>206</v>
      </c>
      <c r="C40" s="72" t="s">
        <v>206</v>
      </c>
      <c r="D40" s="72" t="s">
        <v>45</v>
      </c>
      <c r="E40" s="72" t="s">
        <v>143</v>
      </c>
      <c r="F40" s="72">
        <v>1</v>
      </c>
      <c r="G40" s="72" t="s">
        <v>162</v>
      </c>
    </row>
    <row r="41">
      <c r="A41" s="72">
        <v>40</v>
      </c>
      <c r="B41" s="72" t="s">
        <v>207</v>
      </c>
      <c r="C41" s="72" t="s">
        <v>208</v>
      </c>
      <c r="D41" s="72" t="s">
        <v>37</v>
      </c>
      <c r="E41" s="72" t="s">
        <v>143</v>
      </c>
      <c r="F41" s="72"/>
      <c r="G41" s="72"/>
    </row>
    <row r="42">
      <c r="A42" s="72">
        <v>41</v>
      </c>
      <c r="B42" s="72" t="s">
        <v>209</v>
      </c>
      <c r="C42" s="72" t="s">
        <v>210</v>
      </c>
      <c r="D42" s="72" t="s">
        <v>37</v>
      </c>
      <c r="E42" s="72" t="s">
        <v>143</v>
      </c>
      <c r="F42" s="72"/>
      <c r="G42" s="72"/>
    </row>
    <row r="43">
      <c r="A43" s="72">
        <v>42</v>
      </c>
      <c r="B43" s="72" t="s">
        <v>211</v>
      </c>
      <c r="C43" s="72" t="s">
        <v>212</v>
      </c>
      <c r="D43" s="72" t="s">
        <v>37</v>
      </c>
      <c r="E43" s="72" t="s">
        <v>15</v>
      </c>
      <c r="F43" s="72"/>
      <c r="G43" s="72"/>
    </row>
    <row r="44">
      <c r="A44" s="72">
        <v>43</v>
      </c>
      <c r="B44" s="72" t="s">
        <v>213</v>
      </c>
      <c r="C44" s="72" t="s">
        <v>214</v>
      </c>
      <c r="D44" s="72" t="s">
        <v>37</v>
      </c>
      <c r="E44" s="72" t="s">
        <v>143</v>
      </c>
      <c r="F44" s="72">
        <v>1</v>
      </c>
      <c r="G44" s="72" t="s">
        <v>162</v>
      </c>
    </row>
    <row r="45">
      <c r="A45" s="72">
        <v>44</v>
      </c>
      <c r="B45" s="72" t="s">
        <v>215</v>
      </c>
      <c r="C45" s="72" t="s">
        <v>216</v>
      </c>
      <c r="D45" s="72" t="s">
        <v>37</v>
      </c>
      <c r="E45" s="72" t="s">
        <v>143</v>
      </c>
      <c r="F45" s="72"/>
      <c r="G45" s="72"/>
    </row>
    <row r="46">
      <c r="A46" s="72">
        <v>45</v>
      </c>
      <c r="B46" s="72" t="s">
        <v>217</v>
      </c>
      <c r="C46" s="72" t="s">
        <v>218</v>
      </c>
      <c r="D46" s="72" t="s">
        <v>219</v>
      </c>
      <c r="E46" s="72" t="s">
        <v>15</v>
      </c>
      <c r="F46" s="72"/>
      <c r="G46" s="72"/>
    </row>
    <row r="47">
      <c r="A47" s="72">
        <v>46</v>
      </c>
      <c r="B47" s="72" t="s">
        <v>220</v>
      </c>
      <c r="C47" s="72" t="s">
        <v>184</v>
      </c>
      <c r="D47" s="72" t="s">
        <v>219</v>
      </c>
      <c r="E47" s="72" t="s">
        <v>15</v>
      </c>
      <c r="F47" s="72"/>
      <c r="G47" s="72"/>
    </row>
    <row r="48">
      <c r="A48" s="72">
        <v>47</v>
      </c>
      <c r="B48" s="72" t="s">
        <v>221</v>
      </c>
      <c r="C48" s="72" t="s">
        <v>222</v>
      </c>
      <c r="D48" s="72" t="s">
        <v>219</v>
      </c>
      <c r="E48" s="72" t="s">
        <v>15</v>
      </c>
      <c r="F48" s="72"/>
      <c r="G48" s="72"/>
    </row>
    <row r="49">
      <c r="A49" s="72">
        <v>48</v>
      </c>
      <c r="B49" s="72" t="s">
        <v>223</v>
      </c>
      <c r="C49" s="72" t="s">
        <v>224</v>
      </c>
      <c r="D49" s="72" t="s">
        <v>219</v>
      </c>
      <c r="E49" s="72" t="s">
        <v>15</v>
      </c>
      <c r="F49" s="72"/>
      <c r="G49" s="72"/>
    </row>
    <row r="50">
      <c r="A50" s="72">
        <v>49</v>
      </c>
      <c r="B50" s="72" t="s">
        <v>225</v>
      </c>
      <c r="C50" s="72" t="s">
        <v>191</v>
      </c>
      <c r="D50" s="72" t="s">
        <v>219</v>
      </c>
      <c r="E50" s="72" t="s">
        <v>15</v>
      </c>
      <c r="F50" s="72"/>
      <c r="G50" s="72"/>
    </row>
    <row r="51">
      <c r="A51" s="72">
        <v>50</v>
      </c>
      <c r="B51" s="72" t="s">
        <v>226</v>
      </c>
      <c r="C51" s="72" t="s">
        <v>191</v>
      </c>
      <c r="D51" s="72" t="s">
        <v>219</v>
      </c>
      <c r="E51" s="72" t="s">
        <v>15</v>
      </c>
      <c r="F51" s="72"/>
      <c r="G51" s="72"/>
    </row>
    <row r="52">
      <c r="A52" s="72">
        <v>51</v>
      </c>
      <c r="B52" s="72" t="s">
        <v>227</v>
      </c>
      <c r="C52" s="72" t="s">
        <v>228</v>
      </c>
      <c r="D52" s="72" t="s">
        <v>219</v>
      </c>
      <c r="E52" s="72" t="s">
        <v>15</v>
      </c>
      <c r="F52" s="72"/>
      <c r="G52" s="72"/>
    </row>
    <row r="53">
      <c r="A53" s="72">
        <v>52</v>
      </c>
      <c r="B53" s="72" t="s">
        <v>97</v>
      </c>
      <c r="C53" s="72" t="s">
        <v>172</v>
      </c>
      <c r="D53" s="72" t="s">
        <v>219</v>
      </c>
      <c r="E53" s="72" t="s">
        <v>15</v>
      </c>
      <c r="F53" s="72"/>
      <c r="G53" s="72"/>
    </row>
    <row r="54">
      <c r="A54" s="72">
        <v>53</v>
      </c>
      <c r="B54" s="72" t="s">
        <v>229</v>
      </c>
      <c r="C54" s="72" t="s">
        <v>230</v>
      </c>
      <c r="D54" s="72" t="s">
        <v>219</v>
      </c>
      <c r="E54" s="72" t="s">
        <v>15</v>
      </c>
      <c r="F54" s="72"/>
      <c r="G54" s="72"/>
    </row>
    <row r="55">
      <c r="A55" s="72">
        <v>54</v>
      </c>
      <c r="B55" s="72" t="s">
        <v>231</v>
      </c>
      <c r="C55" s="72" t="s">
        <v>232</v>
      </c>
      <c r="D55" s="72" t="s">
        <v>219</v>
      </c>
      <c r="E55" s="72" t="s">
        <v>15</v>
      </c>
      <c r="F55" s="72"/>
      <c r="G55" s="72"/>
    </row>
    <row r="56">
      <c r="A56" s="72">
        <v>55</v>
      </c>
      <c r="B56" s="72" t="s">
        <v>233</v>
      </c>
      <c r="C56" s="72" t="s">
        <v>234</v>
      </c>
      <c r="D56" s="72" t="s">
        <v>219</v>
      </c>
      <c r="E56" s="72" t="s">
        <v>15</v>
      </c>
      <c r="F56" s="72"/>
      <c r="G56" s="72"/>
    </row>
    <row r="57">
      <c r="A57" s="72">
        <v>56</v>
      </c>
      <c r="B57" s="72" t="s">
        <v>235</v>
      </c>
      <c r="C57" s="72" t="s">
        <v>235</v>
      </c>
      <c r="D57" s="72" t="s">
        <v>219</v>
      </c>
      <c r="E57" s="72" t="s">
        <v>15</v>
      </c>
      <c r="F57" s="72"/>
      <c r="G57" s="72"/>
    </row>
    <row r="58">
      <c r="A58" s="72">
        <v>57</v>
      </c>
      <c r="B58" s="72" t="s">
        <v>236</v>
      </c>
      <c r="C58" s="72"/>
      <c r="D58" s="72" t="s">
        <v>237</v>
      </c>
      <c r="E58" s="72" t="s">
        <v>15</v>
      </c>
      <c r="F58" s="72"/>
      <c r="G58" s="72"/>
    </row>
    <row r="59">
      <c r="A59" s="72">
        <v>58</v>
      </c>
      <c r="B59" s="72" t="s">
        <v>238</v>
      </c>
      <c r="C59" s="72"/>
      <c r="D59" s="72" t="s">
        <v>237</v>
      </c>
      <c r="E59" s="72" t="s">
        <v>15</v>
      </c>
      <c r="F59" s="72"/>
      <c r="G59" s="72"/>
    </row>
    <row r="60">
      <c r="A60" s="72">
        <v>59</v>
      </c>
      <c r="B60" s="72" t="s">
        <v>239</v>
      </c>
      <c r="C60" s="72"/>
      <c r="D60" s="72" t="s">
        <v>237</v>
      </c>
      <c r="E60" s="72" t="s">
        <v>15</v>
      </c>
      <c r="F60" s="72"/>
      <c r="G60" s="72"/>
    </row>
    <row r="61">
      <c r="A61" s="72">
        <v>60</v>
      </c>
      <c r="B61" s="72" t="s">
        <v>240</v>
      </c>
      <c r="C61" s="72"/>
      <c r="D61" s="72" t="s">
        <v>237</v>
      </c>
      <c r="E61" s="72" t="s">
        <v>15</v>
      </c>
      <c r="F61" s="72"/>
      <c r="G61" s="72"/>
    </row>
    <row r="62">
      <c r="A62" s="72">
        <v>61</v>
      </c>
      <c r="B62" s="72" t="s">
        <v>241</v>
      </c>
      <c r="C62" s="72"/>
      <c r="D62" s="72" t="s">
        <v>237</v>
      </c>
      <c r="E62" s="72" t="s">
        <v>15</v>
      </c>
      <c r="F62" s="72"/>
      <c r="G62" s="72"/>
    </row>
    <row r="63">
      <c r="A63" s="72">
        <v>62</v>
      </c>
      <c r="B63" s="72" t="s">
        <v>242</v>
      </c>
      <c r="C63" s="72"/>
      <c r="D63" s="72" t="s">
        <v>237</v>
      </c>
      <c r="E63" s="72" t="s">
        <v>15</v>
      </c>
      <c r="F63" s="72"/>
      <c r="G63" s="72"/>
    </row>
    <row r="64">
      <c r="A64" s="72">
        <v>63</v>
      </c>
      <c r="B64" s="72" t="s">
        <v>243</v>
      </c>
      <c r="C64" s="72"/>
      <c r="D64" s="72" t="s">
        <v>237</v>
      </c>
      <c r="E64" s="72" t="s">
        <v>15</v>
      </c>
      <c r="F64" s="72"/>
      <c r="G64" s="72"/>
    </row>
    <row r="65">
      <c r="A65" s="72">
        <v>64</v>
      </c>
      <c r="B65" s="72" t="s">
        <v>244</v>
      </c>
      <c r="C65" s="72"/>
      <c r="D65" s="72" t="s">
        <v>237</v>
      </c>
      <c r="E65" s="72" t="s">
        <v>15</v>
      </c>
      <c r="F65" s="72"/>
      <c r="G65" s="72"/>
    </row>
    <row r="66">
      <c r="A66" s="72">
        <v>65</v>
      </c>
      <c r="B66" s="72" t="s">
        <v>245</v>
      </c>
      <c r="C66" s="72"/>
      <c r="D66" s="72" t="s">
        <v>237</v>
      </c>
      <c r="E66" s="72" t="s">
        <v>15</v>
      </c>
      <c r="F66" s="72"/>
      <c r="G66" s="72"/>
    </row>
    <row r="67">
      <c r="A67" s="72">
        <v>66</v>
      </c>
      <c r="B67" s="72" t="s">
        <v>246</v>
      </c>
      <c r="C67" s="72"/>
      <c r="D67" s="72" t="s">
        <v>237</v>
      </c>
      <c r="E67" s="72" t="s">
        <v>15</v>
      </c>
      <c r="F67" s="72"/>
      <c r="G67" s="72"/>
    </row>
    <row r="68">
      <c r="A68" s="72">
        <v>67</v>
      </c>
      <c r="B68" s="72" t="s">
        <v>247</v>
      </c>
      <c r="C68" s="72"/>
      <c r="D68" s="72" t="s">
        <v>237</v>
      </c>
      <c r="E68" s="72" t="s">
        <v>15</v>
      </c>
      <c r="F68" s="72"/>
      <c r="G68" s="72"/>
    </row>
    <row r="69">
      <c r="A69" s="72">
        <v>68</v>
      </c>
      <c r="B69" s="72" t="s">
        <v>248</v>
      </c>
      <c r="C69" s="72"/>
      <c r="D69" s="72" t="s">
        <v>237</v>
      </c>
      <c r="E69" s="72" t="s">
        <v>15</v>
      </c>
      <c r="F69" s="72"/>
      <c r="G69" s="72"/>
    </row>
    <row r="70">
      <c r="A70" s="72">
        <v>69</v>
      </c>
      <c r="B70" s="72" t="s">
        <v>249</v>
      </c>
      <c r="C70" s="72"/>
      <c r="D70" s="72" t="s">
        <v>237</v>
      </c>
      <c r="E70" s="72" t="s">
        <v>15</v>
      </c>
      <c r="F70" s="72"/>
      <c r="G70" s="72"/>
    </row>
    <row r="71">
      <c r="A71" s="72">
        <v>70</v>
      </c>
      <c r="B71" s="72" t="s">
        <v>250</v>
      </c>
      <c r="C71" s="72"/>
      <c r="D71" s="72" t="s">
        <v>237</v>
      </c>
      <c r="E71" s="72" t="s">
        <v>15</v>
      </c>
      <c r="F71" s="72"/>
      <c r="G71" s="72"/>
    </row>
    <row r="72">
      <c r="A72" s="72">
        <v>71</v>
      </c>
      <c r="B72" s="72" t="s">
        <v>251</v>
      </c>
      <c r="C72" s="72"/>
      <c r="D72" s="72" t="s">
        <v>252</v>
      </c>
      <c r="E72" s="72" t="s">
        <v>15</v>
      </c>
      <c r="F72" s="72"/>
      <c r="G72" s="72"/>
    </row>
    <row r="73">
      <c r="A73" s="72">
        <v>72</v>
      </c>
      <c r="B73" s="72" t="s">
        <v>253</v>
      </c>
      <c r="C73" s="72"/>
      <c r="D73" s="72" t="s">
        <v>252</v>
      </c>
      <c r="E73" s="72" t="s">
        <v>15</v>
      </c>
      <c r="F73" s="72"/>
      <c r="G73" s="72"/>
    </row>
    <row r="74">
      <c r="A74" s="72">
        <v>73</v>
      </c>
      <c r="B74" s="72" t="s">
        <v>251</v>
      </c>
      <c r="C74" s="72"/>
      <c r="D74" s="72" t="s">
        <v>252</v>
      </c>
      <c r="E74" s="72" t="s">
        <v>15</v>
      </c>
      <c r="F74" s="72"/>
      <c r="G74" s="72"/>
    </row>
    <row r="75">
      <c r="A75" s="72">
        <v>74</v>
      </c>
      <c r="B75" s="72" t="s">
        <v>254</v>
      </c>
      <c r="C75" s="72" t="s">
        <v>151</v>
      </c>
      <c r="D75" s="72" t="s">
        <v>53</v>
      </c>
      <c r="E75" s="72" t="s">
        <v>143</v>
      </c>
      <c r="F75" s="72"/>
      <c r="G75" s="72"/>
    </row>
    <row r="76">
      <c r="A76" s="72">
        <v>75</v>
      </c>
      <c r="B76" s="72" t="s">
        <v>255</v>
      </c>
      <c r="C76" s="72" t="s">
        <v>256</v>
      </c>
      <c r="D76" s="72" t="s">
        <v>53</v>
      </c>
      <c r="E76" s="72" t="s">
        <v>143</v>
      </c>
      <c r="F76" s="72"/>
      <c r="G76" s="72"/>
    </row>
    <row r="77">
      <c r="A77" s="72">
        <v>76</v>
      </c>
      <c r="B77" s="72" t="s">
        <v>257</v>
      </c>
      <c r="C77" s="72" t="s">
        <v>151</v>
      </c>
      <c r="D77" s="72" t="s">
        <v>53</v>
      </c>
      <c r="E77" s="72" t="s">
        <v>143</v>
      </c>
      <c r="F77" s="72"/>
      <c r="G77" s="72"/>
    </row>
    <row r="78">
      <c r="A78" s="72">
        <v>77</v>
      </c>
      <c r="B78" s="72" t="s">
        <v>258</v>
      </c>
      <c r="C78" s="72" t="s">
        <v>259</v>
      </c>
      <c r="D78" s="72" t="s">
        <v>53</v>
      </c>
      <c r="E78" s="72" t="s">
        <v>143</v>
      </c>
      <c r="F78" s="72"/>
      <c r="G78" s="72"/>
    </row>
    <row r="79">
      <c r="A79" s="72">
        <v>78</v>
      </c>
      <c r="B79" s="72" t="s">
        <v>260</v>
      </c>
      <c r="C79" s="72" t="s">
        <v>261</v>
      </c>
      <c r="D79" s="72" t="s">
        <v>53</v>
      </c>
      <c r="E79" s="72" t="s">
        <v>143</v>
      </c>
      <c r="F79" s="72"/>
      <c r="G79" s="72"/>
    </row>
    <row r="80">
      <c r="A80" s="72">
        <v>79</v>
      </c>
      <c r="B80" s="72" t="s">
        <v>258</v>
      </c>
      <c r="C80" s="72" t="s">
        <v>262</v>
      </c>
      <c r="D80" s="72" t="s">
        <v>53</v>
      </c>
      <c r="E80" s="72" t="s">
        <v>143</v>
      </c>
      <c r="F80" s="72"/>
      <c r="G80" s="72"/>
    </row>
    <row r="81">
      <c r="A81" s="72">
        <v>80</v>
      </c>
      <c r="B81" s="72" t="s">
        <v>263</v>
      </c>
      <c r="C81" s="72" t="s">
        <v>264</v>
      </c>
      <c r="D81" s="72" t="s">
        <v>53</v>
      </c>
      <c r="E81" s="72" t="s">
        <v>143</v>
      </c>
      <c r="F81" s="72"/>
      <c r="G81" s="72"/>
    </row>
    <row r="82">
      <c r="A82" s="72">
        <v>81</v>
      </c>
      <c r="B82" s="72" t="s">
        <v>265</v>
      </c>
      <c r="C82" s="72"/>
      <c r="D82" s="72" t="s">
        <v>266</v>
      </c>
      <c r="E82" s="72" t="s">
        <v>143</v>
      </c>
      <c r="F82" s="72">
        <v>2</v>
      </c>
      <c r="G82" s="72" t="s">
        <v>162</v>
      </c>
    </row>
    <row r="83">
      <c r="A83" s="72"/>
      <c r="B83" s="72" t="s">
        <v>267</v>
      </c>
      <c r="C83" s="72"/>
      <c r="D83" s="72"/>
      <c r="E83" s="72"/>
      <c r="F83" s="72"/>
      <c r="G83" s="72"/>
    </row>
    <row r="84">
      <c r="A84" s="72"/>
      <c r="B84" s="72" t="s">
        <v>268</v>
      </c>
      <c r="C84" s="72" t="s">
        <v>268</v>
      </c>
      <c r="D84" s="72" t="s">
        <v>269</v>
      </c>
      <c r="E84" s="72"/>
      <c r="F84" s="72">
        <v>1</v>
      </c>
      <c r="G84" s="72" t="s">
        <v>162</v>
      </c>
    </row>
    <row r="85">
      <c r="A85" s="72"/>
      <c r="B85" s="72" t="s">
        <v>270</v>
      </c>
      <c r="C85" s="72"/>
      <c r="D85" s="72" t="s">
        <v>266</v>
      </c>
      <c r="E85" s="72"/>
      <c r="F85" s="72">
        <v>1</v>
      </c>
      <c r="G85" s="72" t="s">
        <v>162</v>
      </c>
    </row>
    <row r="86">
      <c r="A86" s="72"/>
      <c r="B86" s="72" t="s">
        <v>271</v>
      </c>
      <c r="C86" s="72"/>
      <c r="D86" s="72" t="s">
        <v>53</v>
      </c>
      <c r="E86" s="72"/>
      <c r="F86" s="72">
        <v>1</v>
      </c>
      <c r="G86" s="72" t="s">
        <v>162</v>
      </c>
    </row>
    <row r="87">
      <c r="A87" s="72"/>
      <c r="B87" s="72" t="s">
        <v>272</v>
      </c>
      <c r="C87" s="72"/>
      <c r="D87" s="72" t="s">
        <v>273</v>
      </c>
      <c r="E87" s="72"/>
      <c r="F87" s="72">
        <v>1</v>
      </c>
      <c r="G87" s="72" t="s">
        <v>162</v>
      </c>
    </row>
    <row r="88">
      <c r="A88" s="72"/>
      <c r="B88" s="72" t="s">
        <v>274</v>
      </c>
      <c r="C88" s="72"/>
      <c r="D88" s="72" t="s">
        <v>273</v>
      </c>
      <c r="E88" s="72"/>
      <c r="F88" s="72">
        <v>1</v>
      </c>
      <c r="G88" s="72" t="s">
        <v>162</v>
      </c>
    </row>
    <row r="89">
      <c r="A89" s="72"/>
      <c r="B89" s="72" t="s">
        <v>275</v>
      </c>
      <c r="C89" s="72"/>
      <c r="D89" s="72" t="s">
        <v>273</v>
      </c>
      <c r="E89" s="72"/>
      <c r="F89" s="72">
        <v>1</v>
      </c>
      <c r="G89" s="72" t="s">
        <v>162</v>
      </c>
    </row>
    <row r="90">
      <c r="A90" s="72"/>
      <c r="B90" s="72" t="s">
        <v>276</v>
      </c>
      <c r="C90" s="72"/>
      <c r="D90" s="72" t="s">
        <v>277</v>
      </c>
      <c r="E90" s="72"/>
      <c r="F90" s="72">
        <v>1</v>
      </c>
      <c r="G90" s="72" t="s">
        <v>162</v>
      </c>
    </row>
    <row r="91">
      <c r="A91" s="72"/>
      <c r="B91" s="72" t="s">
        <v>278</v>
      </c>
      <c r="C91" s="72"/>
      <c r="D91" s="72" t="s">
        <v>279</v>
      </c>
      <c r="E91" s="72"/>
      <c r="F91" s="72">
        <v>1</v>
      </c>
      <c r="G91" s="72" t="s">
        <v>162</v>
      </c>
    </row>
    <row r="92">
      <c r="A92" s="72"/>
      <c r="B92" s="72" t="s">
        <v>280</v>
      </c>
      <c r="C92" s="72"/>
      <c r="D92" s="72" t="s">
        <v>281</v>
      </c>
      <c r="E92" s="72"/>
      <c r="F92" s="72">
        <v>1</v>
      </c>
      <c r="G92" s="72" t="s">
        <v>162</v>
      </c>
    </row>
    <row r="93">
      <c r="A93" s="72"/>
      <c r="B93" s="72" t="s">
        <v>282</v>
      </c>
      <c r="C93" s="72"/>
      <c r="D93" s="72" t="s">
        <v>279</v>
      </c>
      <c r="E93" s="72"/>
      <c r="F93" s="72">
        <v>1</v>
      </c>
      <c r="G93" s="72" t="s">
        <v>162</v>
      </c>
    </row>
    <row r="94">
      <c r="A94" s="72"/>
      <c r="B94" s="72" t="s">
        <v>283</v>
      </c>
      <c r="C94" s="72"/>
      <c r="D94" s="72" t="s">
        <v>284</v>
      </c>
      <c r="E94" s="72"/>
      <c r="F94" s="72">
        <v>1</v>
      </c>
      <c r="G94" s="72" t="s">
        <v>162</v>
      </c>
    </row>
    <row r="95">
      <c r="A95" s="72"/>
      <c r="B95" s="72" t="s">
        <v>285</v>
      </c>
      <c r="C95" s="72"/>
      <c r="D95" s="72" t="s">
        <v>53</v>
      </c>
      <c r="E95" s="72"/>
      <c r="F95" s="72">
        <v>1</v>
      </c>
      <c r="G95" s="72" t="s">
        <v>162</v>
      </c>
    </row>
    <row r="96">
      <c r="A96" s="72"/>
      <c r="B96" s="72" t="s">
        <v>286</v>
      </c>
      <c r="C96" s="72"/>
      <c r="D96" s="72" t="s">
        <v>287</v>
      </c>
      <c r="E96" s="72"/>
      <c r="F96" s="72">
        <v>2</v>
      </c>
      <c r="G96" s="72" t="s">
        <v>162</v>
      </c>
    </row>
    <row r="97">
      <c r="A97" s="72"/>
      <c r="B97" s="72" t="s">
        <v>288</v>
      </c>
      <c r="C97" s="72"/>
      <c r="D97" s="72" t="s">
        <v>289</v>
      </c>
      <c r="E97" s="72"/>
      <c r="F97" s="72">
        <v>1</v>
      </c>
      <c r="G97" s="72" t="s">
        <v>162</v>
      </c>
    </row>
    <row r="98">
      <c r="A98" s="72"/>
      <c r="B98" s="72" t="s">
        <v>290</v>
      </c>
      <c r="C98" s="72"/>
      <c r="D98" s="72" t="s">
        <v>291</v>
      </c>
      <c r="E98" s="72"/>
      <c r="F98" s="72">
        <v>1</v>
      </c>
      <c r="G98" s="72" t="s">
        <v>162</v>
      </c>
    </row>
    <row r="99">
      <c r="A99" s="72"/>
      <c r="B99" s="72" t="s">
        <v>292</v>
      </c>
      <c r="C99" s="72"/>
      <c r="D99" s="72"/>
      <c r="E99" s="72"/>
      <c r="F99" s="72">
        <v>1</v>
      </c>
      <c r="G99" s="72" t="s">
        <v>162</v>
      </c>
    </row>
    <row r="100">
      <c r="A100" s="72"/>
      <c r="B100" s="72" t="s">
        <v>293</v>
      </c>
      <c r="C100" s="72"/>
      <c r="D100" s="72" t="s">
        <v>273</v>
      </c>
      <c r="E100" s="72"/>
      <c r="F100" s="72">
        <v>1</v>
      </c>
      <c r="G100" s="72" t="s">
        <v>162</v>
      </c>
    </row>
    <row r="101">
      <c r="A101" s="72"/>
      <c r="B101" s="72" t="s">
        <v>294</v>
      </c>
      <c r="C101" s="72"/>
      <c r="D101" s="72" t="s">
        <v>295</v>
      </c>
      <c r="E101" s="72"/>
      <c r="F101" s="72">
        <v>1</v>
      </c>
      <c r="G101" s="72" t="s">
        <v>162</v>
      </c>
    </row>
    <row r="102">
      <c r="A102" s="72"/>
      <c r="B102" s="72" t="s">
        <v>296</v>
      </c>
      <c r="C102" s="72"/>
      <c r="D102" s="72" t="s">
        <v>297</v>
      </c>
      <c r="E102" s="72"/>
      <c r="F102" s="72">
        <v>1</v>
      </c>
      <c r="G102" s="72" t="s">
        <v>162</v>
      </c>
    </row>
  </sheetData>
  <dataValidations count="1" disablePrompts="0">
    <dataValidation sqref="D2:D1048576" type="list" allowBlank="1" errorStyle="stop" imeMode="noControl" operator="between" showDropDown="0" showErrorMessage="1" showInputMessage="1">
      <formula1>'Fornecedores-Cadastro'!$B$2:$B$76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30" activeCellId="0" sqref="B30"/>
    </sheetView>
  </sheetViews>
  <sheetFormatPr defaultRowHeight="14.4"/>
  <cols>
    <col bestFit="1" customWidth="1" min="1" max="1" width="7.109375"/>
    <col bestFit="1" customWidth="1" min="2" max="2" width="23.44140625"/>
  </cols>
  <sheetData>
    <row r="1">
      <c r="A1" s="72" t="s">
        <v>298</v>
      </c>
      <c r="B1" s="72" t="s">
        <v>299</v>
      </c>
    </row>
    <row r="2">
      <c r="A2" s="72">
        <v>1</v>
      </c>
      <c r="B2" s="72" t="s">
        <v>31</v>
      </c>
    </row>
    <row r="3">
      <c r="A3" s="72">
        <v>2</v>
      </c>
      <c r="B3" s="72" t="s">
        <v>69</v>
      </c>
    </row>
    <row r="4">
      <c r="A4" s="72">
        <v>3</v>
      </c>
      <c r="B4" s="72" t="s">
        <v>146</v>
      </c>
    </row>
    <row r="5">
      <c r="A5" s="72">
        <v>4</v>
      </c>
      <c r="B5" s="72" t="s">
        <v>60</v>
      </c>
    </row>
    <row r="6">
      <c r="A6" s="72">
        <v>5</v>
      </c>
      <c r="B6" s="72" t="s">
        <v>101</v>
      </c>
    </row>
    <row r="7">
      <c r="A7" s="72">
        <v>6</v>
      </c>
      <c r="B7" s="72" t="s">
        <v>185</v>
      </c>
    </row>
    <row r="8">
      <c r="A8" s="72">
        <v>7</v>
      </c>
      <c r="B8" s="72" t="s">
        <v>45</v>
      </c>
    </row>
    <row r="9">
      <c r="A9" s="72">
        <v>8</v>
      </c>
      <c r="B9" s="72" t="s">
        <v>37</v>
      </c>
    </row>
    <row r="10">
      <c r="A10" s="72">
        <v>9</v>
      </c>
      <c r="B10" s="72" t="s">
        <v>219</v>
      </c>
    </row>
    <row r="11">
      <c r="A11" s="72">
        <v>10</v>
      </c>
      <c r="B11" s="72" t="s">
        <v>237</v>
      </c>
    </row>
    <row r="12">
      <c r="A12" s="72">
        <v>11</v>
      </c>
      <c r="B12" s="72" t="s">
        <v>252</v>
      </c>
    </row>
    <row r="13">
      <c r="A13" s="72">
        <v>12</v>
      </c>
      <c r="B13" s="72" t="s">
        <v>53</v>
      </c>
    </row>
    <row r="14">
      <c r="A14" s="72">
        <v>13</v>
      </c>
      <c r="B14" s="72" t="s">
        <v>266</v>
      </c>
    </row>
    <row r="15">
      <c r="A15" s="72">
        <v>14</v>
      </c>
      <c r="B15" s="72" t="s">
        <v>273</v>
      </c>
    </row>
    <row r="16">
      <c r="A16" s="72">
        <v>15</v>
      </c>
      <c r="B16" s="72" t="s">
        <v>269</v>
      </c>
    </row>
    <row r="17">
      <c r="A17" s="72">
        <v>16</v>
      </c>
      <c r="B17" s="72" t="s">
        <v>277</v>
      </c>
    </row>
    <row r="18">
      <c r="A18" s="72">
        <v>17</v>
      </c>
      <c r="B18" s="72" t="s">
        <v>279</v>
      </c>
    </row>
    <row r="19">
      <c r="A19" s="72">
        <v>18</v>
      </c>
      <c r="B19" s="72" t="s">
        <v>281</v>
      </c>
    </row>
    <row r="20">
      <c r="A20" s="72">
        <v>19</v>
      </c>
      <c r="B20" s="72" t="s">
        <v>284</v>
      </c>
    </row>
    <row r="21">
      <c r="A21" s="72">
        <v>20</v>
      </c>
      <c r="B21" s="72" t="s">
        <v>287</v>
      </c>
    </row>
    <row r="22">
      <c r="A22" s="72">
        <v>21</v>
      </c>
      <c r="B22" s="72" t="s">
        <v>289</v>
      </c>
    </row>
    <row r="23">
      <c r="A23" s="72">
        <v>22</v>
      </c>
      <c r="B23" s="72" t="s">
        <v>45</v>
      </c>
    </row>
    <row r="24">
      <c r="A24" s="72">
        <v>23</v>
      </c>
      <c r="B24" s="72" t="s">
        <v>291</v>
      </c>
    </row>
    <row r="25">
      <c r="A25" s="72">
        <v>24</v>
      </c>
      <c r="B25" s="72" t="s">
        <v>295</v>
      </c>
    </row>
    <row r="26">
      <c r="A26" s="72">
        <v>25</v>
      </c>
      <c r="B26" s="72" t="s">
        <v>297</v>
      </c>
    </row>
    <row r="27">
      <c r="A27" s="72">
        <v>26</v>
      </c>
      <c r="B27" s="72" t="s">
        <v>62</v>
      </c>
    </row>
    <row r="28">
      <c r="A28" s="72">
        <v>27</v>
      </c>
      <c r="B28" s="72" t="s">
        <v>90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kihara</dc:creator>
  <cp:revision>2</cp:revision>
  <dcterms:created xsi:type="dcterms:W3CDTF">2024-11-27T13:31:35Z</dcterms:created>
  <dcterms:modified xsi:type="dcterms:W3CDTF">2025-02-10T12:46:13Z</dcterms:modified>
</cp:coreProperties>
</file>