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" sheetId="1" r:id="rId4"/>
    <sheet state="visible" name="Lookup Tables" sheetId="2" r:id="rId5"/>
  </sheets>
  <definedNames>
    <definedName name="c_con">'Lookup Tables'!$H$4</definedName>
    <definedName name="R_sun">'Lookup Tables'!$H$10</definedName>
    <definedName name="h_con">'Lookup Tables'!$H$6</definedName>
    <definedName name="cminpc">'Lookup Tables'!$H$12</definedName>
    <definedName name="k_con">'Lookup Tables'!$H$8</definedName>
  </definedNames>
  <calcPr/>
  <extLst>
    <ext uri="GoogleSheetsCustomDataVersion2">
      <go:sheetsCustomData xmlns:go="http://customooxmlschemas.google.com/" r:id="rId6" roundtripDataChecksum="/ur/0RXYS3V7LgE5PR9N2XSO2jzHZhkcyRX3SLfVAqQ="/>
    </ext>
  </extLst>
</workbook>
</file>

<file path=xl/sharedStrings.xml><?xml version="1.0" encoding="utf-8"?>
<sst xmlns="http://schemas.openxmlformats.org/spreadsheetml/2006/main" count="147" uniqueCount="105">
  <si>
    <t>M-dwarf information needed for STIS Bright Object Clearance</t>
  </si>
  <si>
    <t>COMPUTED FLUX FOR ETC</t>
  </si>
  <si>
    <t>SCALED CIV METHOD</t>
  </si>
  <si>
    <t>FLUX EXCESS METHOD</t>
  </si>
  <si>
    <t>Target</t>
  </si>
  <si>
    <t>Spectral Type</t>
  </si>
  <si>
    <t>Activity</t>
  </si>
  <si>
    <t>U mag</t>
  </si>
  <si>
    <r>
      <rPr>
        <rFont val="Calibri"/>
        <b/>
        <color theme="1"/>
        <sz val="12.0"/>
      </rPr>
      <t>EW(H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2</t>
    </r>
  </si>
  <si>
    <r>
      <rPr>
        <rFont val="Symbol"/>
        <b/>
        <color theme="1"/>
        <sz val="12.0"/>
      </rPr>
      <t>D</t>
    </r>
    <r>
      <rPr>
        <rFont val="Calibri"/>
        <b/>
        <color theme="1"/>
        <sz val="12.0"/>
      </rPr>
      <t>U</t>
    </r>
    <r>
      <rPr>
        <rFont val="Calibri"/>
        <b/>
        <color theme="1"/>
        <sz val="12.0"/>
        <vertAlign val="superscript"/>
      </rPr>
      <t>1</t>
    </r>
  </si>
  <si>
    <t>U_flare</t>
  </si>
  <si>
    <t>T_eff (K)</t>
  </si>
  <si>
    <r>
      <rPr>
        <rFont val="Calibri"/>
        <b/>
        <color theme="1"/>
        <sz val="12.0"/>
      </rPr>
      <t>distance</t>
    </r>
    <r>
      <rPr>
        <rFont val="Calibri"/>
        <b/>
        <color theme="1"/>
        <sz val="12.0"/>
        <vertAlign val="superscript"/>
      </rPr>
      <t>3</t>
    </r>
  </si>
  <si>
    <r>
      <rPr>
        <rFont val="Calibri"/>
        <b/>
        <color theme="1"/>
        <sz val="12.0"/>
      </rPr>
      <t>Radius</t>
    </r>
    <r>
      <rPr>
        <rFont val="Calibri"/>
        <b/>
        <color theme="1"/>
        <sz val="12.0"/>
        <vertAlign val="superscript"/>
      </rPr>
      <t>3</t>
    </r>
  </si>
  <si>
    <r>
      <rPr>
        <rFont val="Calibri"/>
        <b/>
        <color theme="1"/>
        <sz val="12.0"/>
      </rPr>
      <t>f(C IV)</t>
    </r>
    <r>
      <rPr>
        <rFont val="Calibri"/>
        <b/>
        <color theme="1"/>
        <sz val="12.0"/>
        <vertAlign val="superscript"/>
      </rPr>
      <t>6</t>
    </r>
  </si>
  <si>
    <r>
      <rPr>
        <rFont val="Calibri"/>
        <b/>
        <color theme="1"/>
        <sz val="12.0"/>
      </rPr>
      <t>f(Si IV)</t>
    </r>
    <r>
      <rPr>
        <rFont val="Calibri"/>
        <b/>
        <color theme="1"/>
        <sz val="12.0"/>
        <vertAlign val="superscript"/>
      </rPr>
      <t>6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</si>
  <si>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6,7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</si>
  <si>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6,8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</si>
  <si>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6,9</t>
    </r>
  </si>
  <si>
    <t>ACQUISITION SETUP</t>
  </si>
  <si>
    <t xml:space="preserve"> ACQ. ETC ID</t>
  </si>
  <si>
    <r>
      <rPr>
        <rFont val="Calibri"/>
        <b/>
        <color theme="1"/>
        <sz val="12.0"/>
      </rPr>
      <t>ACQ. LOCAL</t>
    </r>
    <r>
      <rPr>
        <rFont val="Calibri"/>
        <b/>
        <color theme="1"/>
        <sz val="12.0"/>
        <vertAlign val="superscript"/>
      </rPr>
      <t>4</t>
    </r>
  </si>
  <si>
    <t>SCIENCE SETUP</t>
  </si>
  <si>
    <t>SCI. ETC ID</t>
  </si>
  <si>
    <r>
      <rPr>
        <rFont val="Calibri"/>
        <b/>
        <color theme="1"/>
        <sz val="12.0"/>
      </rPr>
      <t>SCI. LOCAL</t>
    </r>
    <r>
      <rPr>
        <rFont val="Calibri"/>
        <b/>
        <color theme="1"/>
        <sz val="12.0"/>
        <vertAlign val="superscript"/>
      </rPr>
      <t>5</t>
    </r>
  </si>
  <si>
    <r>
      <rPr>
        <rFont val="Calibri"/>
        <b/>
        <color theme="1"/>
        <sz val="12.0"/>
      </rPr>
      <t>SCI. GLOBAL</t>
    </r>
    <r>
      <rPr>
        <rFont val="Calibri"/>
        <b/>
        <color theme="1"/>
        <sz val="12.0"/>
        <vertAlign val="superscript"/>
      </rPr>
      <t>5</t>
    </r>
  </si>
  <si>
    <t>f_U 3650</t>
  </si>
  <si>
    <t>X_fl</t>
  </si>
  <si>
    <t>F_FUV ex</t>
  </si>
  <si>
    <t>F Lya st surf</t>
  </si>
  <si>
    <t>---</t>
  </si>
  <si>
    <t>(mag)</t>
  </si>
  <si>
    <t>(Å)</t>
  </si>
  <si>
    <t>(K)</t>
  </si>
  <si>
    <t>(pc)</t>
  </si>
  <si>
    <t>(R_sun)</t>
  </si>
  <si>
    <t>(erg/cm2/s)</t>
  </si>
  <si>
    <t>AU Mic</t>
  </si>
  <si>
    <t>M0-M2</t>
  </si>
  <si>
    <t>active</t>
  </si>
  <si>
    <t>Ad Leo</t>
  </si>
  <si>
    <t>M3-5</t>
  </si>
  <si>
    <t>TRAPPIST-1</t>
  </si>
  <si>
    <t>M6-9</t>
  </si>
  <si>
    <t>GJ 667 C</t>
  </si>
  <si>
    <t>inactive</t>
  </si>
  <si>
    <t>GJ 436</t>
  </si>
  <si>
    <t>EXAMPLES BELOW</t>
  </si>
  <si>
    <t>Trappist-1</t>
  </si>
  <si>
    <t>CCD/ACQ</t>
  </si>
  <si>
    <t>NUV-MAMA/G230L/52x2</t>
  </si>
  <si>
    <t>HIP17695</t>
  </si>
  <si>
    <t>FUV-MAMA/G140L/52x2</t>
  </si>
  <si>
    <t>KEY:</t>
  </si>
  <si>
    <t>Instructions</t>
  </si>
  <si>
    <t>Ancillary info.</t>
  </si>
  <si>
    <t xml:space="preserve">1. Please fill in the table with one row per target per science setup (i.e., if there are multiple gratings or cenwaves in the science exposures, enter one row for each). </t>
  </si>
  <si>
    <t>Free form input</t>
  </si>
  <si>
    <t>2. Select a "Spectral Type" and "Activity" from the Drop down menus, and enter "U mag" and EW (if known).  Columns F, G, K and L will automatically compute</t>
  </si>
  <si>
    <t>Drop down input</t>
  </si>
  <si>
    <t>3. For FUV observations covering Lyman alpha, fill in "T_eff", "distance", and "radius". Lyman alpha fluxes will  be automatically computed (columns M, N, and O and ancillary columns W through Z)</t>
  </si>
  <si>
    <t>Calculated output</t>
  </si>
  <si>
    <t>4. Run the ETC for the target aquisition and science observations under flare conditions and enter results in columns P through V</t>
  </si>
  <si>
    <t>Ancillary output</t>
  </si>
  <si>
    <t>5. To add more formatted rows, place your cursor anywhere in the "EXAMPLES BELOW" row and click "Insert --&gt; Rows" from the menu. This should copy the formatting of the row above.</t>
  </si>
  <si>
    <t>General Note:</t>
  </si>
  <si>
    <t xml:space="preserve">Two rows are entered as examples. In this case the second example exceeds the screening limits during a flare, while the first example clears. </t>
  </si>
  <si>
    <r>
      <rPr>
        <rFont val="Calibri"/>
        <color theme="1"/>
      </rPr>
      <t>P</t>
    </r>
    <r>
      <rPr>
        <rFont val="Calibri"/>
        <b/>
        <color theme="1"/>
        <sz val="12.0"/>
      </rPr>
      <t xml:space="preserve">lease note that for acquisition feasibility one should still calculate the expected SNR in the selected ACQ image during quiescence. </t>
    </r>
    <r>
      <rPr>
        <rFont val="Calibri"/>
        <color theme="1"/>
        <sz val="12.0"/>
      </rPr>
      <t>Refer to Section 8.2.3 in the STIS Instrument Handbook for recommended  SNRs</t>
    </r>
  </si>
  <si>
    <t>Footnotes</t>
  </si>
  <si>
    <t>1: Change in U magnitude during flare uses look up tables on the next sheet based on the ISR</t>
  </si>
  <si>
    <r>
      <rPr>
        <rFont val="Calibri"/>
        <color theme="1"/>
      </rPr>
      <t>2: If EW(H</t>
    </r>
    <r>
      <rPr>
        <rFont val="Symbol"/>
        <color theme="1"/>
        <sz val="12.0"/>
      </rPr>
      <t>a</t>
    </r>
    <r>
      <rPr>
        <rFont val="Calibri"/>
        <color theme="1"/>
        <sz val="12.0"/>
      </rPr>
      <t>) is unknown, you must  select "active" for the activity  (the magnetically active case).</t>
    </r>
  </si>
  <si>
    <t>3: The columns in green (distance to the star and stellar radius) are only needed if the observations cover Lyman-alpha, e.g. with G140L/1425.</t>
  </si>
  <si>
    <t xml:space="preserve">4: ACQ.LOCAL is the total counts on the CCD in the brightest pixel for a given exposure time.  It  can be read from the ETC results page. </t>
  </si>
  <si>
    <t>4 (cont'd): NOTE: this is for informational purposes only. There are currently no policies that restrict users from saturating the CCD in case of a flare, but severe saturation could cause an Acquisiton to fail.</t>
  </si>
  <si>
    <t>5: SCI.LOCAL and SCI.GLOBAL are the local and global count rates, respectively, in the science exposure in the event of a flare, in units of counts per second. They can be read from the ETC results page.</t>
  </si>
  <si>
    <t>6: Computed line  fluxes in C IV, Si IV, and Lyman alpha are in units of erg cm^-2 s^-1. These are only needed for FUV observations. They can be calculated as described in equations 2-5 of STIS ISR 2017-02</t>
  </si>
  <si>
    <t>7: "Final" Lyman alpha flux, the greater of the two methods in columns N and O</t>
  </si>
  <si>
    <t>8: Lyman alpha flux from using the flux ratio method (Lyman alpha ~ 37 * C IV flux)</t>
  </si>
  <si>
    <t>9: Lyman alpha flux from the FUV flux excess method</t>
  </si>
  <si>
    <t>Flight Software Limits (cannot be exceeded)</t>
  </si>
  <si>
    <t>Column relationship to equations in STIS ISR 2017-01</t>
  </si>
  <si>
    <t>First Order Spec</t>
  </si>
  <si>
    <t>Other Modes</t>
  </si>
  <si>
    <t>K, L are equations 2 and 3</t>
  </si>
  <si>
    <t>NUV local</t>
  </si>
  <si>
    <t>136 cts/sec/pix</t>
  </si>
  <si>
    <t>O is equation 9</t>
  </si>
  <si>
    <t>NUV global</t>
  </si>
  <si>
    <t>120,000 cts/sec</t>
  </si>
  <si>
    <t>770,000 cts/sec</t>
  </si>
  <si>
    <t>W is equation 6</t>
  </si>
  <si>
    <t xml:space="preserve">FUV local </t>
  </si>
  <si>
    <t>X is equation 7</t>
  </si>
  <si>
    <t>FUV global</t>
  </si>
  <si>
    <t>Y is equation 8. Trapezoidal rule. Blackbody evaluated at 1750 and at 1350</t>
  </si>
  <si>
    <t>Z is equation 4</t>
  </si>
  <si>
    <t>CCD/ACQ Saturation (can be exceeded, but ACQ may be at risk)</t>
  </si>
  <si>
    <t>CCD local</t>
  </si>
  <si>
    <t>SP TYPE</t>
  </si>
  <si>
    <t>Constants</t>
  </si>
  <si>
    <t>c_con</t>
  </si>
  <si>
    <t>h_con</t>
  </si>
  <si>
    <t>k_con</t>
  </si>
  <si>
    <t>R_sun</t>
  </si>
  <si>
    <t>cminpc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</si>
</sst>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2.0"/>
      <color theme="1"/>
      <name val="Calibri"/>
      <scheme val="minor"/>
    </font>
    <font>
      <sz val="12.0"/>
      <color theme="1"/>
      <name val="Calibri"/>
    </font>
    <font>
      <b/>
      <sz val="18.0"/>
      <color rgb="FFC00000"/>
      <name val="Calibri"/>
    </font>
    <font>
      <sz val="12.0"/>
      <color rgb="FF548DD4"/>
      <name val="Calibri"/>
    </font>
    <font>
      <b/>
      <sz val="12.0"/>
      <color theme="1"/>
      <name val="Calibri"/>
    </font>
    <font/>
    <font>
      <i/>
      <sz val="12.0"/>
      <color rgb="FFFF0000"/>
      <name val="Calibri"/>
    </font>
    <font>
      <color theme="1"/>
      <name val="Calibri"/>
      <scheme val="minor"/>
    </font>
    <font>
      <sz val="12.0"/>
      <color theme="0"/>
      <name val="Calibri"/>
    </font>
    <font>
      <sz val="12.0"/>
      <color rgb="FFFF0000"/>
      <name val="Calibri"/>
    </font>
    <font>
      <b/>
      <sz val="12.0"/>
      <color rgb="FF7F7F7F"/>
      <name val="Calibri"/>
    </font>
    <font>
      <sz val="12.0"/>
      <color rgb="FF7F7F7F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DAEEF3"/>
        <bgColor rgb="FFDAEEF3"/>
      </patternFill>
    </fill>
    <fill>
      <patternFill patternType="solid">
        <fgColor rgb="FFD99594"/>
        <bgColor rgb="FFD99594"/>
      </patternFill>
    </fill>
    <fill>
      <patternFill patternType="solid">
        <fgColor rgb="FFD8D8D8"/>
        <bgColor rgb="FFD8D8D8"/>
      </patternFill>
    </fill>
    <fill>
      <patternFill patternType="solid">
        <fgColor rgb="FFFFFC73"/>
        <bgColor rgb="FFFFFC73"/>
      </patternFill>
    </fill>
    <fill>
      <patternFill patternType="solid">
        <fgColor rgb="FF7F7F7F"/>
        <bgColor rgb="FF7F7F7F"/>
      </patternFill>
    </fill>
  </fills>
  <borders count="18">
    <border/>
    <border>
      <bottom style="medium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horizontal="center"/>
    </xf>
    <xf borderId="1" fillId="0" fontId="5" numFmtId="0" xfId="0" applyBorder="1" applyFont="1"/>
    <xf borderId="2" fillId="2" fontId="4" numFmtId="0" xfId="0" applyBorder="1" applyFill="1" applyFont="1"/>
    <xf borderId="2" fillId="3" fontId="4" numFmtId="0" xfId="0" applyBorder="1" applyFill="1" applyFont="1"/>
    <xf borderId="2" fillId="4" fontId="4" numFmtId="0" xfId="0" applyBorder="1" applyFill="1" applyFont="1"/>
    <xf borderId="2" fillId="5" fontId="4" numFmtId="0" xfId="0" applyBorder="1" applyFill="1" applyFont="1"/>
    <xf borderId="3" fillId="5" fontId="4" numFmtId="11" xfId="0" applyBorder="1" applyFont="1" applyNumberFormat="1"/>
    <xf borderId="4" fillId="5" fontId="4" numFmtId="11" xfId="0" applyBorder="1" applyFont="1" applyNumberFormat="1"/>
    <xf borderId="5" fillId="5" fontId="4" numFmtId="11" xfId="0" applyBorder="1" applyFont="1" applyNumberFormat="1"/>
    <xf borderId="2" fillId="5" fontId="4" numFmtId="11" xfId="0" applyBorder="1" applyFont="1" applyNumberFormat="1"/>
    <xf borderId="2" fillId="6" fontId="4" numFmtId="0" xfId="0" applyBorder="1" applyFill="1" applyFont="1"/>
    <xf quotePrefix="1" borderId="6" fillId="2" fontId="4" numFmtId="0" xfId="0" applyBorder="1" applyFont="1"/>
    <xf quotePrefix="1" borderId="6" fillId="3" fontId="4" numFmtId="0" xfId="0" applyBorder="1" applyFont="1"/>
    <xf quotePrefix="1" borderId="6" fillId="4" fontId="4" numFmtId="0" xfId="0" applyBorder="1" applyFont="1"/>
    <xf borderId="6" fillId="4" fontId="4" numFmtId="0" xfId="0" applyBorder="1" applyFont="1"/>
    <xf borderId="6" fillId="5" fontId="4" numFmtId="0" xfId="0" applyBorder="1" applyFont="1"/>
    <xf borderId="7" fillId="5" fontId="4" numFmtId="11" xfId="0" applyBorder="1" applyFont="1" applyNumberFormat="1"/>
    <xf borderId="6" fillId="5" fontId="4" numFmtId="11" xfId="0" applyBorder="1" applyFont="1" applyNumberFormat="1"/>
    <xf borderId="8" fillId="5" fontId="4" numFmtId="11" xfId="0" applyBorder="1" applyFont="1" applyNumberFormat="1"/>
    <xf borderId="6" fillId="6" fontId="4" numFmtId="11" xfId="0" applyBorder="1" applyFont="1" applyNumberFormat="1"/>
    <xf borderId="0" fillId="0" fontId="6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7" numFmtId="0" xfId="0" applyFont="1"/>
    <xf borderId="0" fillId="0" fontId="7" numFmtId="0" xfId="0" applyFont="1"/>
    <xf borderId="9" fillId="7" fontId="1" numFmtId="11" xfId="0" applyBorder="1" applyFill="1" applyFont="1" applyNumberFormat="1"/>
    <xf borderId="10" fillId="7" fontId="1" numFmtId="11" xfId="0" applyBorder="1" applyFont="1" applyNumberFormat="1"/>
    <xf borderId="11" fillId="7" fontId="1" numFmtId="11" xfId="0" applyBorder="1" applyFont="1" applyNumberFormat="1"/>
    <xf borderId="0" fillId="0" fontId="1" numFmtId="11" xfId="0" applyFont="1" applyNumberFormat="1"/>
    <xf borderId="0" fillId="0" fontId="6" numFmtId="0" xfId="0" applyFont="1"/>
    <xf borderId="10" fillId="8" fontId="8" numFmtId="0" xfId="0" applyBorder="1" applyFill="1" applyFont="1"/>
    <xf borderId="10" fillId="8" fontId="8" numFmtId="2" xfId="0" applyBorder="1" applyFont="1" applyNumberFormat="1"/>
    <xf borderId="9" fillId="8" fontId="8" numFmtId="11" xfId="0" applyBorder="1" applyFont="1" applyNumberFormat="1"/>
    <xf borderId="10" fillId="8" fontId="8" numFmtId="11" xfId="0" applyBorder="1" applyFont="1" applyNumberFormat="1"/>
    <xf borderId="0" fillId="0" fontId="1" numFmtId="2" xfId="0" applyFont="1" applyNumberFormat="1"/>
    <xf borderId="1" fillId="0" fontId="1" numFmtId="0" xfId="0" applyBorder="1" applyFont="1"/>
    <xf borderId="1" fillId="0" fontId="1" numFmtId="2" xfId="0" applyBorder="1" applyFont="1" applyNumberFormat="1"/>
    <xf borderId="1" fillId="0" fontId="1" numFmtId="164" xfId="0" applyBorder="1" applyFont="1" applyNumberFormat="1"/>
    <xf borderId="12" fillId="0" fontId="1" numFmtId="11" xfId="0" applyBorder="1" applyFont="1" applyNumberFormat="1"/>
    <xf borderId="1" fillId="0" fontId="1" numFmtId="11" xfId="0" applyBorder="1" applyFont="1" applyNumberFormat="1"/>
    <xf borderId="13" fillId="0" fontId="1" numFmtId="11" xfId="0" applyBorder="1" applyFont="1" applyNumberFormat="1"/>
    <xf borderId="14" fillId="0" fontId="4" numFmtId="0" xfId="0" applyAlignment="1" applyBorder="1" applyFont="1">
      <alignment horizontal="center"/>
    </xf>
    <xf borderId="0" fillId="0" fontId="4" numFmtId="0" xfId="0" applyFont="1"/>
    <xf borderId="0" fillId="0" fontId="1" numFmtId="164" xfId="0" applyFont="1" applyNumberFormat="1"/>
    <xf borderId="15" fillId="2" fontId="1" numFmtId="0" xfId="0" applyBorder="1" applyFont="1"/>
    <xf borderId="15" fillId="4" fontId="1" numFmtId="0" xfId="0" applyBorder="1" applyFont="1"/>
    <xf borderId="15" fillId="3" fontId="1" numFmtId="0" xfId="0" applyBorder="1" applyFont="1"/>
    <xf borderId="16" fillId="5" fontId="1" numFmtId="0" xfId="0" applyBorder="1" applyFont="1"/>
    <xf borderId="16" fillId="6" fontId="1" numFmtId="0" xfId="0" applyBorder="1" applyFont="1"/>
    <xf borderId="0" fillId="0" fontId="9" numFmtId="0" xfId="0" applyFont="1"/>
    <xf borderId="0" fillId="0" fontId="1" numFmtId="20" xfId="0" applyFont="1" applyNumberFormat="1"/>
    <xf borderId="0" fillId="0" fontId="10" numFmtId="0" xfId="0" applyFont="1"/>
    <xf borderId="17" fillId="0" fontId="10" numFmtId="0" xfId="0" applyBorder="1" applyFont="1"/>
    <xf borderId="0" fillId="0" fontId="11" numFmtId="0" xfId="0" applyFont="1"/>
    <xf borderId="0" fillId="0" fontId="1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17.44"/>
    <col customWidth="1" min="2" max="3" width="14.0"/>
    <col customWidth="1" min="4" max="5" width="10.56"/>
    <col customWidth="1" min="6" max="7" width="6.44"/>
    <col customWidth="1" min="8" max="8" width="12.11"/>
    <col customWidth="1" min="9" max="9" width="8.33"/>
    <col customWidth="1" min="10" max="13" width="9.0"/>
    <col customWidth="1" min="14" max="14" width="18.44"/>
    <col customWidth="1" min="15" max="16" width="19.78"/>
    <col customWidth="1" min="17" max="17" width="12.33"/>
    <col customWidth="1" min="18" max="18" width="12.67"/>
    <col customWidth="1" min="19" max="19" width="22.33"/>
    <col customWidth="1" min="20" max="21" width="10.56"/>
    <col customWidth="1" min="22" max="22" width="12.44"/>
    <col customWidth="1" min="23" max="26" width="10.56"/>
  </cols>
  <sheetData>
    <row r="1" ht="27.7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1"/>
      <c r="K1" s="4" t="s">
        <v>1</v>
      </c>
      <c r="L1" s="5"/>
      <c r="M1" s="5"/>
      <c r="N1" s="1" t="s">
        <v>2</v>
      </c>
      <c r="O1" s="1" t="s">
        <v>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6" t="s">
        <v>4</v>
      </c>
      <c r="B2" s="7" t="s">
        <v>5</v>
      </c>
      <c r="C2" s="7" t="s">
        <v>6</v>
      </c>
      <c r="D2" s="8" t="s">
        <v>7</v>
      </c>
      <c r="E2" s="8" t="s">
        <v>8</v>
      </c>
      <c r="F2" s="9" t="s">
        <v>9</v>
      </c>
      <c r="G2" s="9" t="s">
        <v>10</v>
      </c>
      <c r="H2" s="8" t="s">
        <v>11</v>
      </c>
      <c r="I2" s="8" t="s">
        <v>12</v>
      </c>
      <c r="J2" s="8" t="s">
        <v>13</v>
      </c>
      <c r="K2" s="10" t="s">
        <v>14</v>
      </c>
      <c r="L2" s="11" t="s">
        <v>15</v>
      </c>
      <c r="M2" s="12" t="s">
        <v>16</v>
      </c>
      <c r="N2" s="13" t="s">
        <v>17</v>
      </c>
      <c r="O2" s="13" t="s">
        <v>18</v>
      </c>
      <c r="P2" s="6" t="s">
        <v>19</v>
      </c>
      <c r="Q2" s="6" t="s">
        <v>20</v>
      </c>
      <c r="R2" s="6" t="s">
        <v>21</v>
      </c>
      <c r="S2" s="6" t="s">
        <v>22</v>
      </c>
      <c r="T2" s="6" t="s">
        <v>23</v>
      </c>
      <c r="U2" s="6" t="s">
        <v>24</v>
      </c>
      <c r="V2" s="6" t="s">
        <v>25</v>
      </c>
      <c r="W2" s="14" t="s">
        <v>26</v>
      </c>
      <c r="X2" s="14" t="s">
        <v>27</v>
      </c>
      <c r="Y2" s="14" t="s">
        <v>28</v>
      </c>
      <c r="Z2" s="14" t="s">
        <v>29</v>
      </c>
    </row>
    <row r="3" ht="15.75" customHeight="1">
      <c r="A3" s="15" t="s">
        <v>30</v>
      </c>
      <c r="B3" s="16" t="s">
        <v>30</v>
      </c>
      <c r="C3" s="16" t="s">
        <v>30</v>
      </c>
      <c r="D3" s="17" t="s">
        <v>31</v>
      </c>
      <c r="E3" s="18" t="s">
        <v>32</v>
      </c>
      <c r="F3" s="19" t="s">
        <v>31</v>
      </c>
      <c r="G3" s="19" t="s">
        <v>31</v>
      </c>
      <c r="H3" s="18" t="s">
        <v>33</v>
      </c>
      <c r="I3" s="18" t="s">
        <v>34</v>
      </c>
      <c r="J3" s="18" t="s">
        <v>35</v>
      </c>
      <c r="K3" s="20" t="s">
        <v>36</v>
      </c>
      <c r="L3" s="21" t="s">
        <v>36</v>
      </c>
      <c r="M3" s="22"/>
      <c r="N3" s="21"/>
      <c r="O3" s="21" t="s">
        <v>36</v>
      </c>
      <c r="P3" s="15" t="s">
        <v>30</v>
      </c>
      <c r="Q3" s="15" t="s">
        <v>30</v>
      </c>
      <c r="R3" s="15" t="s">
        <v>30</v>
      </c>
      <c r="S3" s="15" t="s">
        <v>30</v>
      </c>
      <c r="T3" s="15" t="s">
        <v>30</v>
      </c>
      <c r="U3" s="15" t="s">
        <v>30</v>
      </c>
      <c r="V3" s="15" t="s">
        <v>30</v>
      </c>
      <c r="W3" s="23" t="s">
        <v>36</v>
      </c>
      <c r="X3" s="23" t="s">
        <v>36</v>
      </c>
      <c r="Y3" s="23" t="s">
        <v>36</v>
      </c>
      <c r="Z3" s="23" t="s">
        <v>36</v>
      </c>
    </row>
    <row r="4" ht="15.75" customHeight="1">
      <c r="A4" s="24" t="s">
        <v>37</v>
      </c>
      <c r="B4" s="25" t="s">
        <v>38</v>
      </c>
      <c r="C4" s="25" t="s">
        <v>39</v>
      </c>
      <c r="D4" s="1">
        <f>10.05+1.19</f>
        <v>11.24</v>
      </c>
      <c r="E4" s="1"/>
      <c r="F4" s="26">
        <f>VLOOKUP(B4,'Lookup Tables'!$D$2:$F$4,MATCH(C4,'Lookup Tables'!$D$1:$F$1),FALSE)</f>
        <v>-2.8</v>
      </c>
      <c r="G4" s="26">
        <f t="shared" ref="G4:G8" si="1">D4+F4</f>
        <v>8.44</v>
      </c>
      <c r="H4" s="25">
        <v>3678.0</v>
      </c>
      <c r="I4" s="27">
        <v>9.7221</v>
      </c>
      <c r="J4" s="25">
        <v>0.744</v>
      </c>
      <c r="K4" s="28">
        <f t="shared" ref="K4:K8" si="2">10^(0.32+0.92*LOG10(W4))</f>
        <v>0</v>
      </c>
      <c r="L4" s="29">
        <f t="shared" ref="L4:L8" si="3">10^(2.4+1.1*LOG10(W4))</f>
        <v>0</v>
      </c>
      <c r="M4" s="30">
        <f t="shared" ref="M4:M8" si="4">MAX(N4:O4)</f>
        <v>0.000000001192234607</v>
      </c>
      <c r="N4" s="31">
        <f t="shared" ref="N4:N8" si="5">37*K4</f>
        <v>0.000000001192234607</v>
      </c>
      <c r="O4" s="31">
        <f>Z4*((J4*R_sun)/(I4*cminpc))^2</f>
        <v>0</v>
      </c>
      <c r="P4" s="1"/>
      <c r="Q4" s="1"/>
      <c r="R4" s="1"/>
      <c r="S4" s="1"/>
      <c r="T4" s="1"/>
      <c r="U4" s="1"/>
      <c r="V4" s="1"/>
      <c r="W4" s="31">
        <f t="shared" ref="W4:W8" si="6">10^(-0.4*(D4+F4+20.94))</f>
        <v>0</v>
      </c>
      <c r="X4" s="31">
        <f>(W4*100000000-((J4*R_sun)/(I4*cminpc))^2*PI()*((2*h_con*c_con^2/0.0000365^5)*(1/(EXP(h_con*c_con/(0.0000365*k_con*H4))-1))))/(((J4*R_sun)/(I4*cminpc))^2*PI()*((2*h_con*c_con^2/0.0000365^5)*(1/(EXP(h_con*c_con/(0.0000365*k_con*9000))-1))))</f>
        <v>0.00636999496</v>
      </c>
      <c r="Y4" s="31">
        <f>X4*PI()*(((2*h_con*c_con^2/0.0000135^5)*(1/(EXP(h_con*c_con/(0.0000135*k_con*9000))-1)))+((2*h_con*c_con^2/0.0000175^5)*(1/(EXP(h_con*c_con/(0.0000175*k_con*9000))-1))))/2*(1750-1350)/100000000</f>
        <v>38969674.25</v>
      </c>
      <c r="Z4" s="31">
        <f t="shared" ref="Z4:Z8" si="7">10^(0.43*LOG10(Y4)+3.97)</f>
        <v>17140066.93</v>
      </c>
    </row>
    <row r="5" ht="15.75" customHeight="1">
      <c r="A5" s="32" t="s">
        <v>40</v>
      </c>
      <c r="B5" s="1" t="s">
        <v>41</v>
      </c>
      <c r="C5" s="1" t="s">
        <v>39</v>
      </c>
      <c r="D5" s="1">
        <f>1.222+10.82</f>
        <v>12.042</v>
      </c>
      <c r="E5" s="1">
        <v>1.0</v>
      </c>
      <c r="F5" s="26">
        <f>VLOOKUP(B5,'Lookup Tables'!$D$2:$F$4,MATCH(C5,'Lookup Tables'!$D$1:$F$1),FALSE)</f>
        <v>-8</v>
      </c>
      <c r="G5" s="26">
        <f t="shared" si="1"/>
        <v>4.042</v>
      </c>
      <c r="H5" s="25">
        <v>3414.0</v>
      </c>
      <c r="I5" s="25">
        <v>4.97</v>
      </c>
      <c r="J5" s="25">
        <v>0.38</v>
      </c>
      <c r="K5" s="28">
        <f t="shared" si="2"/>
        <v>0.000000001338517335</v>
      </c>
      <c r="L5" s="29">
        <f t="shared" si="3"/>
        <v>0.000000002558114621</v>
      </c>
      <c r="M5" s="30">
        <f t="shared" si="4"/>
        <v>0.00000004952514139</v>
      </c>
      <c r="N5" s="31">
        <f t="shared" si="5"/>
        <v>0.00000004952514139</v>
      </c>
      <c r="O5" s="31">
        <f>Z5*((J5*R_sun)/(I5*cminpc))^2</f>
        <v>0.0000000003225902359</v>
      </c>
      <c r="P5" s="1"/>
      <c r="Q5" s="1"/>
      <c r="R5" s="1"/>
      <c r="S5" s="1"/>
      <c r="T5" s="1"/>
      <c r="U5" s="1"/>
      <c r="V5" s="1"/>
      <c r="W5" s="31">
        <f t="shared" si="6"/>
        <v>0.00000000010167168</v>
      </c>
      <c r="X5" s="31">
        <f>(W5*100000000-((J5*R_sun)/(I5*cminpc))^2*PI()*((2*h_con*c_con^2/0.0000365^5)*(1/(EXP(h_con*c_con/(0.0000365*k_con*H5))-1))))/(((J5*R_sun)/(I5*cminpc))^2*PI()*((2*h_con*c_con^2/0.0000365^5)*(1/(EXP(h_con*c_con/(0.0000365*k_con*9000))-1))))</f>
        <v>0.4662645571</v>
      </c>
      <c r="Y5" s="31">
        <f>X5*PI()*(((2*h_con*c_con^2/0.0000135^5)*(1/(EXP(h_con*c_con/(0.0000135*k_con*9000))-1)))+((2*h_con*c_con^2/0.0000175^5)*(1/(EXP(h_con*c_con/(0.0000175*k_con*9000))-1))))/2*(1750-1350)/100000000</f>
        <v>2852463466</v>
      </c>
      <c r="Z5" s="31">
        <f t="shared" si="7"/>
        <v>108578700.4</v>
      </c>
    </row>
    <row r="6" ht="15.75" customHeight="1">
      <c r="A6" s="24" t="s">
        <v>42</v>
      </c>
      <c r="B6" s="25" t="s">
        <v>43</v>
      </c>
      <c r="C6" s="25" t="s">
        <v>39</v>
      </c>
      <c r="D6" s="26">
        <v>22.43</v>
      </c>
      <c r="E6" s="26">
        <v>7.7</v>
      </c>
      <c r="F6" s="26">
        <f>VLOOKUP(B6,'Lookup Tables'!$D$2:$F$4,MATCH(C6,'Lookup Tables'!$D$1:$F$1),FALSE)</f>
        <v>-2.8</v>
      </c>
      <c r="G6" s="26">
        <f t="shared" si="1"/>
        <v>19.63</v>
      </c>
      <c r="H6" s="25">
        <v>2566.0</v>
      </c>
      <c r="I6" s="25">
        <v>12.43</v>
      </c>
      <c r="J6" s="25">
        <v>0.1192</v>
      </c>
      <c r="K6" s="28">
        <f t="shared" si="2"/>
        <v>0</v>
      </c>
      <c r="L6" s="29">
        <f t="shared" si="3"/>
        <v>0</v>
      </c>
      <c r="M6" s="30">
        <f t="shared" si="4"/>
        <v>0</v>
      </c>
      <c r="N6" s="31">
        <f t="shared" si="5"/>
        <v>0</v>
      </c>
      <c r="O6" s="31">
        <f>Z6*((J6*R_sun)/(I6*cminpc))^2</f>
        <v>0</v>
      </c>
      <c r="P6" s="1"/>
      <c r="Q6" s="1"/>
      <c r="R6" s="1"/>
      <c r="S6" s="1"/>
      <c r="T6" s="1"/>
      <c r="U6" s="1"/>
      <c r="V6" s="1"/>
      <c r="W6" s="31">
        <f t="shared" si="6"/>
        <v>0</v>
      </c>
      <c r="X6" s="31">
        <f>(W6*100000000-((J6*R_sun)/(I6*cminpc))^2*PI()*((2*h_con*c_con^2/0.0000365^5)*(1/(EXP(h_con*c_con/(0.0000365*k_con*H6))-1))))/(((J6*R_sun)/(I6*cminpc))^2*PI()*((2*h_con*c_con^2/0.0000365^5)*(1/(EXP(h_con*c_con/(0.0000365*k_con*9000))-1))))</f>
        <v>0.0000004817301398</v>
      </c>
      <c r="Y6" s="31">
        <f>X6*PI()*(((2*h_con*c_con^2/0.0000135^5)*(1/(EXP(h_con*c_con/(0.0000135*k_con*9000))-1)))+((2*h_con*c_con^2/0.0000175^5)*(1/(EXP(h_con*c_con/(0.0000175*k_con*9000))-1))))/2*(1750-1350)/100000000</f>
        <v>2947.077155</v>
      </c>
      <c r="Z6" s="31">
        <f t="shared" si="7"/>
        <v>289626.5343</v>
      </c>
    </row>
    <row r="7" ht="15.75" customHeight="1">
      <c r="A7" s="24" t="s">
        <v>44</v>
      </c>
      <c r="B7" s="25" t="s">
        <v>38</v>
      </c>
      <c r="C7" s="25" t="s">
        <v>45</v>
      </c>
      <c r="D7" s="25">
        <v>12.96</v>
      </c>
      <c r="E7" s="1"/>
      <c r="F7" s="26">
        <f>VLOOKUP(B7,'Lookup Tables'!$D$2:$F$4,MATCH(C7,'Lookup Tables'!$D$1:$F$1),FALSE)</f>
        <v>-2.3</v>
      </c>
      <c r="G7" s="26">
        <f t="shared" si="1"/>
        <v>10.66</v>
      </c>
      <c r="H7" s="25">
        <v>3713.0</v>
      </c>
      <c r="I7" s="25">
        <v>6.97107</v>
      </c>
      <c r="J7" s="25">
        <v>0.425</v>
      </c>
      <c r="K7" s="28">
        <f t="shared" si="2"/>
        <v>0</v>
      </c>
      <c r="L7" s="29">
        <f t="shared" si="3"/>
        <v>0</v>
      </c>
      <c r="M7" s="30" t="str">
        <f t="shared" si="4"/>
        <v>#NUM!</v>
      </c>
      <c r="N7" s="31">
        <f t="shared" si="5"/>
        <v>0.0000000001817195799</v>
      </c>
      <c r="O7" s="31" t="str">
        <f>Z7*((J7*R_sun)/(I7*cminpc))^2</f>
        <v>#NUM!</v>
      </c>
      <c r="P7" s="1"/>
      <c r="Q7" s="1"/>
      <c r="R7" s="1"/>
      <c r="S7" s="1"/>
      <c r="T7" s="1"/>
      <c r="U7" s="1"/>
      <c r="V7" s="1"/>
      <c r="W7" s="31">
        <f t="shared" si="6"/>
        <v>0</v>
      </c>
      <c r="X7" s="31">
        <f>(W7*100000000-((J7*R_sun)/(I7*cminpc))^2*PI()*((2*h_con*c_con^2/0.0000365^5)*(1/(EXP(h_con*c_con/(0.0000365*k_con*H7))-1))))/(((J7*R_sun)/(I7*cminpc))^2*PI()*((2*h_con*c_con^2/0.0000365^5)*(1/(EXP(h_con*c_con/(0.0000365*k_con*9000))-1))))</f>
        <v>-0.0002771380516</v>
      </c>
      <c r="Y7" s="31">
        <f>X7*PI()*(((2*h_con*c_con^2/0.0000135^5)*(1/(EXP(h_con*c_con/(0.0000135*k_con*9000))-1)))+((2*h_con*c_con^2/0.0000175^5)*(1/(EXP(h_con*c_con/(0.0000175*k_con*9000))-1))))/2*(1750-1350)/100000000</f>
        <v>-1695445.548</v>
      </c>
      <c r="Z7" s="31" t="str">
        <f t="shared" si="7"/>
        <v>#NUM!</v>
      </c>
    </row>
    <row r="8" ht="15.75" customHeight="1">
      <c r="A8" s="24" t="s">
        <v>46</v>
      </c>
      <c r="B8" s="25" t="s">
        <v>41</v>
      </c>
      <c r="C8" s="25" t="s">
        <v>45</v>
      </c>
      <c r="D8" s="1">
        <f>12.06+1.181</f>
        <v>13.241</v>
      </c>
      <c r="E8" s="1"/>
      <c r="F8" s="26">
        <f>VLOOKUP(B8,'Lookup Tables'!$D$2:$F$4,MATCH(C8,'Lookup Tables'!$D$1:$F$1),FALSE)</f>
        <v>-2.3</v>
      </c>
      <c r="G8" s="26">
        <f t="shared" si="1"/>
        <v>10.941</v>
      </c>
      <c r="H8" s="25">
        <v>3310.0</v>
      </c>
      <c r="I8" s="25">
        <v>9.75321</v>
      </c>
      <c r="J8" s="25">
        <v>0.493</v>
      </c>
      <c r="K8" s="28">
        <f t="shared" si="2"/>
        <v>0</v>
      </c>
      <c r="L8" s="29">
        <f t="shared" si="3"/>
        <v>0</v>
      </c>
      <c r="M8" s="30">
        <f t="shared" si="4"/>
        <v>0.0000000001432167203</v>
      </c>
      <c r="N8" s="31">
        <f t="shared" si="5"/>
        <v>0.0000000001432167203</v>
      </c>
      <c r="O8" s="31">
        <f>Z8*((J8*R_sun)/(I8*cminpc))^2</f>
        <v>0</v>
      </c>
      <c r="P8" s="1"/>
      <c r="Q8" s="1"/>
      <c r="R8" s="1"/>
      <c r="S8" s="1"/>
      <c r="T8" s="1"/>
      <c r="U8" s="1"/>
      <c r="V8" s="1"/>
      <c r="W8" s="31">
        <f t="shared" si="6"/>
        <v>0</v>
      </c>
      <c r="X8" s="31">
        <f>(W8*100000000-((J8*R_sun)/(I8*cminpc))^2*PI()*((2*h_con*c_con^2/0.0000365^5)*(1/(EXP(h_con*c_con/(0.0000365*k_con*H8))-1))))/(((J8*R_sun)/(I8*cminpc))^2*PI()*((2*h_con*c_con^2/0.0000365^5)*(1/(EXP(h_con*c_con/(0.0000365*k_con*9000))-1))))</f>
        <v>0.001328139975</v>
      </c>
      <c r="Y8" s="31">
        <f>X8*PI()*(((2*h_con*c_con^2/0.0000135^5)*(1/(EXP(h_con*c_con/(0.0000135*k_con*9000))-1)))+((2*h_con*c_con^2/0.0000175^5)*(1/(EXP(h_con*c_con/(0.0000175*k_con*9000))-1))))/2*(1750-1350)/100000000</f>
        <v>8125152.769</v>
      </c>
      <c r="Z8" s="31">
        <f t="shared" si="7"/>
        <v>8734289.049</v>
      </c>
    </row>
    <row r="9" ht="15.75" customHeight="1">
      <c r="A9" s="33" t="s">
        <v>47</v>
      </c>
      <c r="B9" s="33"/>
      <c r="C9" s="33"/>
      <c r="D9" s="33"/>
      <c r="E9" s="34"/>
      <c r="F9" s="33"/>
      <c r="G9" s="33"/>
      <c r="H9" s="33"/>
      <c r="I9" s="34"/>
      <c r="J9" s="34"/>
      <c r="K9" s="35"/>
      <c r="L9" s="36"/>
      <c r="M9" s="36"/>
      <c r="N9" s="36"/>
      <c r="O9" s="36"/>
      <c r="P9" s="33"/>
      <c r="Q9" s="33"/>
      <c r="R9" s="33"/>
      <c r="S9" s="33"/>
      <c r="T9" s="33"/>
      <c r="U9" s="33"/>
      <c r="V9" s="33"/>
      <c r="W9" s="36"/>
      <c r="X9" s="36"/>
      <c r="Y9" s="36"/>
      <c r="Z9" s="36"/>
    </row>
    <row r="10" ht="15.75" customHeight="1">
      <c r="A10" s="1" t="s">
        <v>48</v>
      </c>
      <c r="B10" s="26" t="s">
        <v>43</v>
      </c>
      <c r="C10" s="26" t="s">
        <v>39</v>
      </c>
      <c r="D10" s="26">
        <v>22.43</v>
      </c>
      <c r="E10" s="26">
        <v>7.7</v>
      </c>
      <c r="F10" s="26">
        <f>VLOOKUP(B10,'Lookup Tables'!$D$2:$F$4,MATCH(C10,'Lookup Tables'!$D$1:$F$1),FALSE)</f>
        <v>-2.8</v>
      </c>
      <c r="G10" s="26">
        <f t="shared" ref="G10:G11" si="8">D10+F10</f>
        <v>19.63</v>
      </c>
      <c r="H10" s="26">
        <v>2500.0</v>
      </c>
      <c r="I10" s="26">
        <v>12.11</v>
      </c>
      <c r="J10" s="26">
        <v>0.11</v>
      </c>
      <c r="K10" s="28">
        <f t="shared" ref="K10:K11" si="9">10^(0.32+0.92*LOG10(W10))</f>
        <v>0</v>
      </c>
      <c r="L10" s="29">
        <f t="shared" ref="L10:L11" si="10">10^(2.4+1.1*LOG10(W10))</f>
        <v>0</v>
      </c>
      <c r="M10" s="30">
        <f t="shared" ref="M10:M11" si="11">MAX(N10:O10)</f>
        <v>0</v>
      </c>
      <c r="N10" s="31">
        <f t="shared" ref="N10:N11" si="12">37*K10</f>
        <v>0</v>
      </c>
      <c r="O10" s="31">
        <f>Z10*((J10*R_sun)/(I10*cminpc))^2</f>
        <v>0</v>
      </c>
      <c r="P10" s="26" t="s">
        <v>49</v>
      </c>
      <c r="Q10" s="26">
        <v>1167198.0</v>
      </c>
      <c r="R10" s="26">
        <v>946.0</v>
      </c>
      <c r="S10" s="26" t="s">
        <v>50</v>
      </c>
      <c r="T10" s="26">
        <v>1167200.0</v>
      </c>
      <c r="U10" s="26">
        <v>0.006</v>
      </c>
      <c r="V10" s="26">
        <v>1599.0</v>
      </c>
      <c r="W10" s="31">
        <f t="shared" ref="W10:W11" si="13">10^(-0.4*(D10+F10+20.94))</f>
        <v>0</v>
      </c>
      <c r="X10" s="31">
        <f>(W10*100000000-((J10*R_sun)/(I10*cminpc))^2*PI()*((2*h_con*c_con^2/0.0000365^5)*(1/(EXP(h_con*c_con/(0.0000365*k_con*H10))-1))))/(((J10*R_sun)/(I10*cminpc))^2*PI()*((2*h_con*c_con^2/0.0000365^5)*(1/(EXP(h_con*c_con/(0.0000365*k_con*9000))-1))))</f>
        <v>0.000008059351179</v>
      </c>
      <c r="Y10" s="31">
        <f>X10*PI()*(((2*h_con*c_con^2/0.0000135^5)*(1/(EXP(h_con*c_con/(0.0000135*k_con*9000))-1)))+((2*h_con*c_con^2/0.0000175^5)*(1/(EXP(h_con*c_con/(0.0000175*k_con*9000))-1))))/2*(1750-1350)/100000000</f>
        <v>49304.63715</v>
      </c>
      <c r="Z10" s="31">
        <f t="shared" ref="Z10:Z11" si="14">10^(0.43*LOG10(Y10)+3.97)</f>
        <v>972616.7394</v>
      </c>
    </row>
    <row r="11" ht="15.75" customHeight="1">
      <c r="A11" s="26" t="s">
        <v>51</v>
      </c>
      <c r="B11" s="26" t="s">
        <v>41</v>
      </c>
      <c r="C11" s="26" t="s">
        <v>39</v>
      </c>
      <c r="D11" s="26">
        <v>14.052</v>
      </c>
      <c r="E11" s="37">
        <v>1.0</v>
      </c>
      <c r="F11" s="26">
        <f>VLOOKUP(B11,'Lookup Tables'!$D$2:$F$4,MATCH(C11,'Lookup Tables'!$D$1:$F$1),FALSE)</f>
        <v>-8</v>
      </c>
      <c r="G11" s="26">
        <f t="shared" si="8"/>
        <v>6.052</v>
      </c>
      <c r="H11" s="26">
        <v>3250.0</v>
      </c>
      <c r="I11" s="37">
        <v>16.0</v>
      </c>
      <c r="J11" s="37">
        <v>0.39</v>
      </c>
      <c r="K11" s="28">
        <f t="shared" si="9"/>
        <v>0.0000000002437496496</v>
      </c>
      <c r="L11" s="29">
        <f t="shared" si="10"/>
        <v>0.0000000003338258781</v>
      </c>
      <c r="M11" s="30">
        <f t="shared" si="11"/>
        <v>0.000000009018737034</v>
      </c>
      <c r="N11" s="31">
        <f t="shared" si="12"/>
        <v>0.000000009018737034</v>
      </c>
      <c r="O11" s="31">
        <f>Z11*((J11*R_sun)/(I11*cminpc))^2</f>
        <v>0</v>
      </c>
      <c r="P11" s="26" t="s">
        <v>49</v>
      </c>
      <c r="Q11" s="26">
        <v>1167205.0</v>
      </c>
      <c r="R11" s="26">
        <v>35092.0</v>
      </c>
      <c r="S11" s="26" t="s">
        <v>52</v>
      </c>
      <c r="T11" s="26">
        <v>1167194.0</v>
      </c>
      <c r="U11" s="26">
        <v>952.0</v>
      </c>
      <c r="V11" s="26">
        <v>44205.0</v>
      </c>
      <c r="W11" s="31">
        <f t="shared" si="13"/>
        <v>0</v>
      </c>
      <c r="X11" s="31">
        <f>(W11*100000000-((J11*R_sun)/(I11*cminpc))^2*PI()*((2*h_con*c_con^2/0.0000365^5)*(1/(EXP(h_con*c_con/(0.0000365*k_con*H11))-1))))/(((J11*R_sun)/(I11*cminpc))^2*PI()*((2*h_con*c_con^2/0.0000365^5)*(1/(EXP(h_con*c_con/(0.0000365*k_con*9000))-1))))</f>
        <v>0.7211919701</v>
      </c>
      <c r="Y11" s="31">
        <f>X11*PI()*(((2*h_con*c_con^2/0.0000135^5)*(1/(EXP(h_con*c_con/(0.0000135*k_con*9000))-1)))+((2*h_con*c_con^2/0.0000175^5)*(1/(EXP(h_con*c_con/(0.0000175*k_con*9000))-1))))/2*(1750-1350)/100000000</f>
        <v>4412031144</v>
      </c>
      <c r="Z11" s="31">
        <f t="shared" si="14"/>
        <v>130976863.1</v>
      </c>
    </row>
    <row r="12" ht="15.75" customHeight="1">
      <c r="A12" s="38"/>
      <c r="B12" s="38"/>
      <c r="C12" s="38"/>
      <c r="D12" s="38"/>
      <c r="E12" s="39"/>
      <c r="F12" s="40"/>
      <c r="G12" s="40"/>
      <c r="H12" s="38"/>
      <c r="I12" s="39"/>
      <c r="J12" s="39"/>
      <c r="K12" s="41"/>
      <c r="L12" s="42"/>
      <c r="M12" s="43"/>
      <c r="N12" s="42"/>
      <c r="O12" s="42"/>
      <c r="P12" s="38"/>
      <c r="Q12" s="38"/>
      <c r="R12" s="38"/>
      <c r="S12" s="38"/>
      <c r="T12" s="38"/>
      <c r="U12" s="38"/>
      <c r="V12" s="38"/>
      <c r="W12" s="42"/>
      <c r="X12" s="42"/>
      <c r="Y12" s="42"/>
      <c r="Z12" s="42"/>
    </row>
    <row r="13" ht="15.75" customHeight="1">
      <c r="A13" s="44" t="s">
        <v>53</v>
      </c>
      <c r="B13" s="45" t="s">
        <v>54</v>
      </c>
      <c r="F13" s="46"/>
      <c r="G13" s="46"/>
      <c r="I13" s="37"/>
      <c r="J13" s="37"/>
      <c r="K13" s="37"/>
      <c r="L13" s="37"/>
      <c r="M13" s="37"/>
      <c r="N13" s="37"/>
      <c r="O13" s="37"/>
      <c r="W13" s="31"/>
      <c r="X13" s="31"/>
      <c r="Y13" s="31"/>
      <c r="Z13" s="31"/>
    </row>
    <row r="14" ht="15.75" customHeight="1">
      <c r="A14" s="47" t="s">
        <v>55</v>
      </c>
      <c r="B14" s="26" t="s">
        <v>56</v>
      </c>
      <c r="F14" s="46"/>
      <c r="G14" s="46"/>
      <c r="I14" s="37"/>
      <c r="J14" s="37"/>
      <c r="K14" s="37"/>
      <c r="L14" s="37"/>
      <c r="M14" s="37"/>
      <c r="N14" s="37"/>
      <c r="O14" s="37"/>
      <c r="W14" s="31"/>
      <c r="X14" s="31"/>
      <c r="Y14" s="31"/>
      <c r="Z14" s="31"/>
    </row>
    <row r="15" ht="15.75" customHeight="1">
      <c r="A15" s="48" t="s">
        <v>57</v>
      </c>
      <c r="B15" s="26" t="s">
        <v>58</v>
      </c>
      <c r="F15" s="46"/>
      <c r="G15" s="46"/>
      <c r="I15" s="37"/>
      <c r="J15" s="37"/>
      <c r="K15" s="37"/>
      <c r="L15" s="37"/>
      <c r="M15" s="37"/>
      <c r="N15" s="37"/>
      <c r="O15" s="37"/>
      <c r="W15" s="31"/>
      <c r="X15" s="31"/>
      <c r="Y15" s="31"/>
      <c r="Z15" s="31"/>
    </row>
    <row r="16" ht="15.75" customHeight="1">
      <c r="A16" s="49" t="s">
        <v>59</v>
      </c>
      <c r="B16" s="26" t="s">
        <v>60</v>
      </c>
      <c r="F16" s="46"/>
      <c r="G16" s="46"/>
      <c r="I16" s="37"/>
      <c r="J16" s="37"/>
      <c r="K16" s="37"/>
      <c r="L16" s="37"/>
      <c r="M16" s="37"/>
      <c r="N16" s="37"/>
      <c r="O16" s="37"/>
      <c r="W16" s="31"/>
      <c r="X16" s="31"/>
      <c r="Y16" s="31"/>
      <c r="Z16" s="31"/>
    </row>
    <row r="17" ht="15.75" customHeight="1">
      <c r="A17" s="50" t="s">
        <v>61</v>
      </c>
      <c r="B17" s="26" t="s">
        <v>62</v>
      </c>
      <c r="F17" s="46"/>
      <c r="G17" s="46"/>
      <c r="I17" s="37"/>
      <c r="J17" s="37"/>
      <c r="K17" s="37"/>
      <c r="L17" s="37"/>
      <c r="M17" s="37"/>
      <c r="N17" s="37"/>
      <c r="O17" s="37"/>
      <c r="W17" s="31"/>
      <c r="X17" s="31"/>
      <c r="Y17" s="31"/>
      <c r="Z17" s="31"/>
    </row>
    <row r="18" ht="15.75" customHeight="1">
      <c r="A18" s="51" t="s">
        <v>63</v>
      </c>
      <c r="B18" s="26" t="s">
        <v>64</v>
      </c>
    </row>
    <row r="19" ht="15.75" customHeight="1">
      <c r="A19" s="1"/>
    </row>
    <row r="20" ht="15.75" customHeight="1">
      <c r="A20" s="1"/>
      <c r="B20" s="45" t="s">
        <v>65</v>
      </c>
    </row>
    <row r="21" ht="15.75" customHeight="1">
      <c r="B21" s="26" t="s">
        <v>66</v>
      </c>
    </row>
    <row r="22" ht="15.75" customHeight="1">
      <c r="B22" s="26" t="s">
        <v>67</v>
      </c>
      <c r="F22" s="46"/>
      <c r="G22" s="46"/>
      <c r="I22" s="37"/>
      <c r="J22" s="37"/>
      <c r="K22" s="37"/>
      <c r="L22" s="37"/>
      <c r="M22" s="37"/>
      <c r="N22" s="37"/>
      <c r="O22" s="37"/>
      <c r="W22" s="31"/>
      <c r="X22" s="31"/>
      <c r="Y22" s="31"/>
      <c r="Z22" s="31"/>
    </row>
    <row r="23" ht="15.75" customHeight="1"/>
    <row r="24" ht="15.75" customHeight="1">
      <c r="A24" s="52"/>
      <c r="B24" s="45" t="s">
        <v>68</v>
      </c>
    </row>
    <row r="25" ht="15.75" customHeight="1">
      <c r="A25" s="52"/>
      <c r="B25" s="53" t="s">
        <v>69</v>
      </c>
      <c r="W25" s="31"/>
      <c r="X25" s="31"/>
      <c r="Y25" s="31"/>
      <c r="Z25" s="31"/>
    </row>
    <row r="26" ht="15.75" customHeight="1">
      <c r="A26" s="1"/>
      <c r="B26" s="26" t="s">
        <v>70</v>
      </c>
      <c r="W26" s="31"/>
      <c r="X26" s="31"/>
      <c r="Y26" s="31"/>
      <c r="Z26" s="31"/>
    </row>
    <row r="27" ht="15.75" customHeight="1">
      <c r="A27" s="1"/>
      <c r="B27" s="26" t="s">
        <v>71</v>
      </c>
      <c r="W27" s="31"/>
      <c r="X27" s="31"/>
      <c r="Y27" s="31"/>
      <c r="Z27" s="31"/>
    </row>
    <row r="28" ht="15.75" customHeight="1">
      <c r="A28" s="1"/>
      <c r="B28" s="26" t="s">
        <v>72</v>
      </c>
      <c r="W28" s="31"/>
      <c r="X28" s="31"/>
      <c r="Y28" s="31"/>
      <c r="Z28" s="31"/>
    </row>
    <row r="29" ht="15.75" customHeight="1">
      <c r="A29" s="1"/>
      <c r="B29" s="26" t="s">
        <v>73</v>
      </c>
      <c r="W29" s="31"/>
      <c r="X29" s="31"/>
      <c r="Y29" s="31"/>
      <c r="Z29" s="31"/>
    </row>
    <row r="30" ht="15.75" customHeight="1">
      <c r="A30" s="1"/>
      <c r="B30" s="26" t="s">
        <v>74</v>
      </c>
      <c r="W30" s="31"/>
      <c r="X30" s="31"/>
      <c r="Y30" s="31"/>
      <c r="Z30" s="31"/>
    </row>
    <row r="31" ht="15.75" customHeight="1">
      <c r="A31" s="1"/>
      <c r="B31" s="26" t="s">
        <v>75</v>
      </c>
      <c r="W31" s="31"/>
      <c r="X31" s="31"/>
      <c r="Y31" s="31"/>
      <c r="Z31" s="31"/>
    </row>
    <row r="32" ht="15.75" customHeight="1">
      <c r="A32" s="1"/>
      <c r="B32" s="26" t="s">
        <v>76</v>
      </c>
      <c r="W32" s="31"/>
      <c r="X32" s="31"/>
      <c r="Y32" s="31"/>
      <c r="Z32" s="31"/>
    </row>
    <row r="33" ht="15.75" customHeight="1">
      <c r="A33" s="1"/>
      <c r="B33" s="26" t="s">
        <v>77</v>
      </c>
      <c r="W33" s="31"/>
      <c r="X33" s="31"/>
      <c r="Y33" s="31"/>
      <c r="Z33" s="31"/>
    </row>
    <row r="34" ht="15.75" customHeight="1">
      <c r="A34" s="1"/>
      <c r="B34" s="26" t="s">
        <v>78</v>
      </c>
      <c r="W34" s="31"/>
      <c r="X34" s="31"/>
      <c r="Y34" s="31"/>
      <c r="Z34" s="31"/>
    </row>
    <row r="35" ht="15.75" customHeight="1">
      <c r="A35" s="1"/>
      <c r="W35" s="31"/>
      <c r="X35" s="31"/>
      <c r="Y35" s="31"/>
      <c r="Z35" s="31"/>
    </row>
    <row r="36" ht="15.75" customHeight="1">
      <c r="B36" s="45" t="s">
        <v>79</v>
      </c>
      <c r="I36" s="45" t="s">
        <v>80</v>
      </c>
    </row>
    <row r="37" ht="15.75" customHeight="1">
      <c r="A37" s="1"/>
      <c r="B37" s="45"/>
      <c r="C37" s="45" t="s">
        <v>81</v>
      </c>
      <c r="F37" s="45" t="s">
        <v>82</v>
      </c>
      <c r="G37" s="45"/>
      <c r="I37" s="26" t="s">
        <v>83</v>
      </c>
    </row>
    <row r="38" ht="15.75" customHeight="1">
      <c r="A38" s="1"/>
      <c r="B38" s="26" t="s">
        <v>84</v>
      </c>
      <c r="C38" s="26" t="s">
        <v>85</v>
      </c>
      <c r="F38" s="26" t="s">
        <v>85</v>
      </c>
      <c r="I38" s="26" t="s">
        <v>86</v>
      </c>
    </row>
    <row r="39" ht="15.75" customHeight="1">
      <c r="A39" s="1"/>
      <c r="B39" s="26" t="s">
        <v>87</v>
      </c>
      <c r="C39" s="26" t="s">
        <v>88</v>
      </c>
      <c r="F39" s="26" t="s">
        <v>89</v>
      </c>
      <c r="I39" s="1" t="s">
        <v>90</v>
      </c>
    </row>
    <row r="40" ht="15.75" customHeight="1">
      <c r="A40" s="1"/>
      <c r="B40" s="26" t="s">
        <v>91</v>
      </c>
      <c r="C40" s="26" t="s">
        <v>85</v>
      </c>
      <c r="F40" s="26" t="s">
        <v>85</v>
      </c>
      <c r="I40" s="1" t="s">
        <v>92</v>
      </c>
    </row>
    <row r="41" ht="15.75" customHeight="1">
      <c r="A41" s="1"/>
      <c r="B41" s="26" t="s">
        <v>93</v>
      </c>
      <c r="C41" s="26" t="s">
        <v>88</v>
      </c>
      <c r="F41" s="26" t="s">
        <v>89</v>
      </c>
      <c r="I41" s="1" t="s">
        <v>94</v>
      </c>
    </row>
    <row r="42" ht="15.75" customHeight="1">
      <c r="A42" s="1"/>
      <c r="I42" s="1" t="s">
        <v>95</v>
      </c>
    </row>
    <row r="43" ht="15.75" customHeight="1">
      <c r="A43" s="1"/>
      <c r="B43" s="45" t="s">
        <v>96</v>
      </c>
    </row>
    <row r="44" ht="15.75" customHeight="1">
      <c r="B44" s="26" t="s">
        <v>97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>
      <c r="H52" s="1"/>
    </row>
    <row r="53" ht="15.75" customHeight="1">
      <c r="H53" s="31"/>
    </row>
    <row r="54" ht="15.75" customHeight="1">
      <c r="H54" s="1"/>
    </row>
    <row r="55" ht="15.75" customHeight="1">
      <c r="H55" s="31"/>
    </row>
    <row r="56" ht="15.75" customHeight="1">
      <c r="H56" s="1"/>
    </row>
    <row r="57" ht="15.75" customHeight="1">
      <c r="H57" s="1"/>
    </row>
    <row r="58" ht="15.75" customHeight="1">
      <c r="H58" s="31"/>
    </row>
    <row r="59" ht="15.75" customHeight="1">
      <c r="H59" s="1"/>
    </row>
    <row r="60" ht="15.75" customHeight="1">
      <c r="C60" s="45"/>
      <c r="H60" s="1"/>
    </row>
    <row r="61" ht="15.75" customHeight="1">
      <c r="H61" s="31"/>
    </row>
    <row r="62" ht="15.75" customHeight="1">
      <c r="H62" s="1"/>
    </row>
    <row r="63" ht="15.75" customHeight="1">
      <c r="H63" s="31"/>
    </row>
    <row r="64" ht="15.75" customHeight="1">
      <c r="H64" s="1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K1:M1"/>
  </mergeCells>
  <dataValidations>
    <dataValidation type="list" allowBlank="1" showErrorMessage="1" sqref="B4:B8 B10:B11">
      <formula1>'Lookup Tables'!$A$1:$A$3</formula1>
    </dataValidation>
    <dataValidation type="list" allowBlank="1" showErrorMessage="1" sqref="C4:C8 C10:C11">
      <formula1>'Lookup Tables'!$C$1:$C$2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6" t="s">
        <v>38</v>
      </c>
      <c r="C1" s="26" t="s">
        <v>39</v>
      </c>
      <c r="D1" s="26" t="s">
        <v>98</v>
      </c>
      <c r="E1" s="26" t="s">
        <v>39</v>
      </c>
      <c r="F1" s="26" t="s">
        <v>45</v>
      </c>
      <c r="H1" s="54" t="s">
        <v>99</v>
      </c>
    </row>
    <row r="2" ht="15.75" customHeight="1">
      <c r="A2" s="26" t="s">
        <v>41</v>
      </c>
      <c r="C2" s="26" t="s">
        <v>45</v>
      </c>
      <c r="D2" s="26" t="s">
        <v>38</v>
      </c>
      <c r="E2" s="26">
        <v>-2.8</v>
      </c>
      <c r="F2" s="26">
        <v>-2.3</v>
      </c>
      <c r="H2" s="55"/>
    </row>
    <row r="3" ht="15.75" customHeight="1">
      <c r="A3" s="26" t="s">
        <v>43</v>
      </c>
      <c r="D3" s="26" t="s">
        <v>41</v>
      </c>
      <c r="E3" s="26">
        <v>-8.0</v>
      </c>
      <c r="F3" s="26">
        <v>-2.3</v>
      </c>
      <c r="H3" s="56" t="s">
        <v>100</v>
      </c>
    </row>
    <row r="4" ht="15.75" customHeight="1">
      <c r="D4" s="26" t="s">
        <v>43</v>
      </c>
      <c r="E4" s="26">
        <v>-2.8</v>
      </c>
      <c r="F4" s="26">
        <v>0.0</v>
      </c>
      <c r="H4" s="57">
        <v>2.99792E10</v>
      </c>
    </row>
    <row r="5" ht="15.75" customHeight="1">
      <c r="H5" s="56" t="s">
        <v>101</v>
      </c>
    </row>
    <row r="6" ht="15.75" customHeight="1">
      <c r="H6" s="57">
        <v>6.62607E-27</v>
      </c>
    </row>
    <row r="7" ht="15.75" customHeight="1">
      <c r="H7" s="56" t="s">
        <v>102</v>
      </c>
    </row>
    <row r="8" ht="15.75" customHeight="1">
      <c r="H8" s="57">
        <v>1.38065E-16</v>
      </c>
    </row>
    <row r="9" ht="15.75" customHeight="1">
      <c r="H9" s="56" t="s">
        <v>103</v>
      </c>
    </row>
    <row r="10" ht="15.75" customHeight="1">
      <c r="H10" s="57">
        <v>6.957E10</v>
      </c>
    </row>
    <row r="11" ht="15.75" customHeight="1">
      <c r="H11" s="56" t="s">
        <v>104</v>
      </c>
    </row>
    <row r="12" ht="15.75" customHeight="1">
      <c r="H12" s="57">
        <v>3.086E18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2017-07-31T16:02:56Z</dcterms:created>
  <dc:creator>Andrew Fox</dc:creator>
</cp:coreProperties>
</file>