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drawings/drawing8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jhonn\Desktop\"/>
    </mc:Choice>
  </mc:AlternateContent>
  <xr:revisionPtr revIDLastSave="0" documentId="13_ncr:1_{849E24C9-EE5E-430A-AC2D-E6BCD134B006}" xr6:coauthVersionLast="47" xr6:coauthVersionMax="47" xr10:uidLastSave="{00000000-0000-0000-0000-000000000000}"/>
  <bookViews>
    <workbookView xWindow="-120" yWindow="-120" windowWidth="20640" windowHeight="11040" xr2:uid="{00000000-000D-0000-FFFF-FFFF00000000}"/>
  </bookViews>
  <sheets>
    <sheet name="Seleccion de Personal" sheetId="1" r:id="rId1"/>
    <sheet name="Nomina" sheetId="2" r:id="rId2"/>
    <sheet name="Materia Prima" sheetId="3" r:id="rId3"/>
    <sheet name="Costos de Administracion" sheetId="5" r:id="rId4"/>
    <sheet name="Plan de Inversion" sheetId="4" r:id="rId5"/>
    <sheet name="Total de Inversion" sheetId="6" r:id="rId6"/>
    <sheet name="Presupuesto de ventas" sheetId="7" r:id="rId7"/>
    <sheet name="Presupuesto de compras y ventas" sheetId="8" r:id="rId8"/>
    <sheet name="Presupuesto de Costos y G año 1" sheetId="9" r:id="rId9"/>
    <sheet name="Creditos" sheetId="10" r:id="rId10"/>
    <sheet name="Estado de Perdida y Ganancias" sheetId="11" r:id="rId11"/>
    <sheet name="Balance General" sheetId="12" r:id="rId12"/>
    <sheet name="Flujo de Caja Mensual" sheetId="13" r:id="rId13"/>
    <sheet name="Estado Financieros" sheetId="14" r:id="rId14"/>
  </sheets>
  <externalReferences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0" l="1"/>
  <c r="E14" i="4"/>
  <c r="C92" i="7" l="1"/>
  <c r="C2" i="7"/>
  <c r="E26" i="4"/>
  <c r="E9" i="4"/>
  <c r="B8" i="8" l="1"/>
  <c r="C51" i="7"/>
  <c r="E51" i="7" s="1"/>
  <c r="E8" i="8" s="1"/>
  <c r="B51" i="7"/>
  <c r="G7" i="7"/>
  <c r="F7" i="7"/>
  <c r="F22" i="4"/>
  <c r="E15" i="4"/>
  <c r="E16" i="4"/>
  <c r="H14" i="2"/>
  <c r="H15" i="2"/>
  <c r="E14" i="2"/>
  <c r="E15" i="2"/>
  <c r="D14" i="2"/>
  <c r="D15" i="2"/>
  <c r="C14" i="2"/>
  <c r="C15" i="2"/>
  <c r="O15" i="2" l="1"/>
  <c r="N15" i="2"/>
  <c r="P15" i="2" s="1"/>
  <c r="M15" i="2"/>
  <c r="Q15" i="2" s="1"/>
  <c r="O14" i="2"/>
  <c r="N14" i="2"/>
  <c r="M14" i="2"/>
  <c r="B6" i="7"/>
  <c r="B50" i="7" s="1"/>
  <c r="P14" i="2" l="1"/>
  <c r="Q14" i="2" s="1"/>
  <c r="C50" i="7"/>
  <c r="C18" i="14"/>
  <c r="B18" i="14"/>
  <c r="B30" i="14" s="1"/>
  <c r="C35" i="13"/>
  <c r="O35" i="13" s="1"/>
  <c r="C34" i="13"/>
  <c r="O34" i="13" s="1"/>
  <c r="C21" i="13"/>
  <c r="D21" i="13" s="1"/>
  <c r="E21" i="13" s="1"/>
  <c r="F21" i="13" s="1"/>
  <c r="G21" i="13" s="1"/>
  <c r="H21" i="13" s="1"/>
  <c r="I21" i="13" s="1"/>
  <c r="J21" i="13" s="1"/>
  <c r="K21" i="13" s="1"/>
  <c r="L21" i="13" s="1"/>
  <c r="M21" i="13" s="1"/>
  <c r="N21" i="13" s="1"/>
  <c r="E12" i="13"/>
  <c r="F12" i="13" s="1"/>
  <c r="G12" i="13" s="1"/>
  <c r="H12" i="13" s="1"/>
  <c r="I12" i="13" s="1"/>
  <c r="J12" i="13" s="1"/>
  <c r="K12" i="13" s="1"/>
  <c r="L12" i="13" s="1"/>
  <c r="M12" i="13" s="1"/>
  <c r="N12" i="13" s="1"/>
  <c r="O48" i="13"/>
  <c r="P48" i="13" s="1"/>
  <c r="O47" i="13"/>
  <c r="P47" i="13" s="1"/>
  <c r="Q47" i="13" s="1"/>
  <c r="R46" i="13"/>
  <c r="Q46" i="13"/>
  <c r="P46" i="13"/>
  <c r="R45" i="13"/>
  <c r="Q45" i="13"/>
  <c r="P45" i="13"/>
  <c r="P42" i="13"/>
  <c r="O38" i="13"/>
  <c r="P29" i="13"/>
  <c r="P28" i="13"/>
  <c r="Q28" i="13" s="1"/>
  <c r="P27" i="13"/>
  <c r="Q27" i="13" s="1"/>
  <c r="Q16" i="13"/>
  <c r="R16" i="13"/>
  <c r="P16" i="13"/>
  <c r="S16" i="13"/>
  <c r="O16" i="13"/>
  <c r="S6" i="13"/>
  <c r="R6" i="13"/>
  <c r="Q6" i="13"/>
  <c r="P6" i="13"/>
  <c r="S5" i="13"/>
  <c r="R5" i="13"/>
  <c r="R10" i="13" s="1"/>
  <c r="Q5" i="13"/>
  <c r="Q52" i="13" s="1"/>
  <c r="P5" i="13"/>
  <c r="P52" i="13" s="1"/>
  <c r="H55" i="13"/>
  <c r="D55" i="13"/>
  <c r="H29" i="12"/>
  <c r="H28" i="12"/>
  <c r="H30" i="12" s="1"/>
  <c r="C20" i="12"/>
  <c r="E20" i="12"/>
  <c r="F20" i="12"/>
  <c r="G20" i="12"/>
  <c r="H20" i="12"/>
  <c r="D20" i="12"/>
  <c r="H18" i="11"/>
  <c r="E22" i="5"/>
  <c r="E21" i="5"/>
  <c r="E20" i="5"/>
  <c r="E19" i="5"/>
  <c r="Q10" i="13" l="1"/>
  <c r="Q11" i="13" s="1"/>
  <c r="Q12" i="13" s="1"/>
  <c r="Q13" i="13" s="1"/>
  <c r="R27" i="13"/>
  <c r="S27" i="13" s="1"/>
  <c r="S52" i="13"/>
  <c r="S10" i="13"/>
  <c r="F55" i="13"/>
  <c r="J55" i="13"/>
  <c r="N55" i="13"/>
  <c r="R52" i="13"/>
  <c r="R11" i="13"/>
  <c r="R12" i="13" s="1"/>
  <c r="R13" i="13" s="1"/>
  <c r="P10" i="13"/>
  <c r="O21" i="13"/>
  <c r="P21" i="13" s="1"/>
  <c r="Q21" i="13" s="1"/>
  <c r="R21" i="13" s="1"/>
  <c r="S21" i="13" s="1"/>
  <c r="O19" i="13"/>
  <c r="P19" i="13" s="1"/>
  <c r="Q19" i="13" s="1"/>
  <c r="R19" i="13" s="1"/>
  <c r="S19" i="13" s="1"/>
  <c r="P49" i="13"/>
  <c r="R28" i="13"/>
  <c r="S28" i="13" s="1"/>
  <c r="Q29" i="13"/>
  <c r="R29" i="13" s="1"/>
  <c r="R47" i="13"/>
  <c r="Q48" i="13"/>
  <c r="Q49" i="13" s="1"/>
  <c r="P24" i="13" l="1"/>
  <c r="I55" i="13"/>
  <c r="C55" i="13"/>
  <c r="S29" i="13"/>
  <c r="P26" i="13"/>
  <c r="Q26" i="13" s="1"/>
  <c r="R26" i="13" s="1"/>
  <c r="S26" i="13" s="1"/>
  <c r="S47" i="13"/>
  <c r="K55" i="13"/>
  <c r="M55" i="13"/>
  <c r="S11" i="13"/>
  <c r="S12" i="13" s="1"/>
  <c r="S13" i="13" s="1"/>
  <c r="R48" i="13"/>
  <c r="R49" i="13" s="1"/>
  <c r="P11" i="13"/>
  <c r="P12" i="13" s="1"/>
  <c r="P13" i="13" s="1"/>
  <c r="G55" i="13"/>
  <c r="O30" i="13" l="1"/>
  <c r="S48" i="13"/>
  <c r="S49" i="13" s="1"/>
  <c r="Q24" i="13"/>
  <c r="P25" i="13"/>
  <c r="P30" i="13" s="1"/>
  <c r="O53" i="13"/>
  <c r="P53" i="13" s="1"/>
  <c r="E55" i="13"/>
  <c r="R24" i="13" l="1"/>
  <c r="Q25" i="13"/>
  <c r="Q30" i="13" s="1"/>
  <c r="Q53" i="13"/>
  <c r="P55" i="13"/>
  <c r="O12" i="13"/>
  <c r="S24" i="13" l="1"/>
  <c r="R25" i="13"/>
  <c r="R30" i="13" s="1"/>
  <c r="R53" i="13"/>
  <c r="Q55" i="13"/>
  <c r="S25" i="13" l="1"/>
  <c r="S30" i="13" s="1"/>
  <c r="S53" i="13"/>
  <c r="S55" i="13" s="1"/>
  <c r="R55" i="13"/>
  <c r="M34" i="2" l="1"/>
  <c r="M33" i="2"/>
  <c r="M32" i="2"/>
  <c r="M31" i="2"/>
  <c r="B7" i="8"/>
  <c r="O36" i="8"/>
  <c r="O37" i="8"/>
  <c r="O38" i="8"/>
  <c r="O39" i="8"/>
  <c r="O40" i="8"/>
  <c r="O41" i="8"/>
  <c r="O42" i="8"/>
  <c r="O43" i="8"/>
  <c r="O44" i="8"/>
  <c r="O45" i="8"/>
  <c r="O46" i="8"/>
  <c r="O35" i="8"/>
  <c r="L36" i="8"/>
  <c r="L37" i="8"/>
  <c r="L38" i="8"/>
  <c r="L39" i="8"/>
  <c r="L40" i="8"/>
  <c r="L41" i="8"/>
  <c r="L42" i="8"/>
  <c r="L43" i="8"/>
  <c r="L44" i="8"/>
  <c r="L45" i="8"/>
  <c r="L46" i="8"/>
  <c r="L35" i="8"/>
  <c r="L47" i="8" s="1"/>
  <c r="I36" i="8"/>
  <c r="I37" i="8"/>
  <c r="I38" i="8"/>
  <c r="I39" i="8"/>
  <c r="I40" i="8"/>
  <c r="I41" i="8"/>
  <c r="I42" i="8"/>
  <c r="I43" i="8"/>
  <c r="I44" i="8"/>
  <c r="I45" i="8"/>
  <c r="I46" i="8"/>
  <c r="I35" i="8"/>
  <c r="F36" i="8"/>
  <c r="F37" i="8"/>
  <c r="F38" i="8"/>
  <c r="F39" i="8"/>
  <c r="F40" i="8"/>
  <c r="F41" i="8"/>
  <c r="F42" i="8"/>
  <c r="F43" i="8"/>
  <c r="F44" i="8"/>
  <c r="F45" i="8"/>
  <c r="F46" i="8"/>
  <c r="F35" i="8"/>
  <c r="C36" i="8"/>
  <c r="C37" i="8"/>
  <c r="C38" i="8"/>
  <c r="C39" i="8"/>
  <c r="C40" i="8"/>
  <c r="C41" i="8"/>
  <c r="C42" i="8"/>
  <c r="C43" i="8"/>
  <c r="C44" i="8"/>
  <c r="C45" i="8"/>
  <c r="C46" i="8"/>
  <c r="C35" i="8"/>
  <c r="D55" i="3"/>
  <c r="D56" i="3"/>
  <c r="D57" i="3"/>
  <c r="D58" i="3"/>
  <c r="D59" i="3"/>
  <c r="D60" i="3"/>
  <c r="D61" i="3"/>
  <c r="D62" i="3"/>
  <c r="D63" i="3"/>
  <c r="D64" i="3"/>
  <c r="D65" i="3"/>
  <c r="D54" i="3"/>
  <c r="D66" i="3" s="1"/>
  <c r="D27" i="3"/>
  <c r="C27" i="3"/>
  <c r="E41" i="3"/>
  <c r="E40" i="3"/>
  <c r="E39" i="3"/>
  <c r="E38" i="3"/>
  <c r="D64" i="7"/>
  <c r="D63" i="7"/>
  <c r="D62" i="7"/>
  <c r="D61" i="7"/>
  <c r="H8" i="8" s="1"/>
  <c r="K8" i="8" s="1"/>
  <c r="N8" i="8" s="1"/>
  <c r="Q8" i="8" s="1"/>
  <c r="D56" i="7"/>
  <c r="D33" i="7"/>
  <c r="E33" i="7" s="1"/>
  <c r="B39" i="7"/>
  <c r="H33" i="7"/>
  <c r="H39" i="7" s="1"/>
  <c r="B33" i="7"/>
  <c r="E12" i="7"/>
  <c r="C12" i="7"/>
  <c r="C10" i="7"/>
  <c r="G6" i="7"/>
  <c r="G12" i="7" s="1"/>
  <c r="F6" i="7"/>
  <c r="F47" i="8" l="1"/>
  <c r="I47" i="8"/>
  <c r="O47" i="8"/>
  <c r="D33" i="3"/>
  <c r="E57" i="3" s="1"/>
  <c r="C8" i="8"/>
  <c r="F12" i="7"/>
  <c r="C7" i="8"/>
  <c r="F7" i="8" s="1"/>
  <c r="E56" i="3"/>
  <c r="C47" i="8"/>
  <c r="E39" i="7"/>
  <c r="G33" i="7"/>
  <c r="G39" i="7" s="1"/>
  <c r="E50" i="7"/>
  <c r="C56" i="7"/>
  <c r="E65" i="3" l="1"/>
  <c r="E59" i="3"/>
  <c r="E54" i="3"/>
  <c r="E63" i="3"/>
  <c r="E64" i="3"/>
  <c r="E58" i="3"/>
  <c r="E60" i="3"/>
  <c r="E61" i="3"/>
  <c r="E62" i="3"/>
  <c r="E55" i="3"/>
  <c r="I8" i="8"/>
  <c r="F8" i="8"/>
  <c r="F14" i="8" s="1"/>
  <c r="O8" i="8"/>
  <c r="L8" i="8"/>
  <c r="C14" i="8"/>
  <c r="E56" i="7"/>
  <c r="E7" i="8"/>
  <c r="G30" i="14"/>
  <c r="G37" i="14" s="1"/>
  <c r="I7" i="8"/>
  <c r="O7" i="8"/>
  <c r="L7" i="8"/>
  <c r="D91" i="7"/>
  <c r="D46" i="8" s="1"/>
  <c r="D89" i="7"/>
  <c r="D44" i="8" s="1"/>
  <c r="D87" i="7"/>
  <c r="D42" i="8" s="1"/>
  <c r="D85" i="7"/>
  <c r="D40" i="8" s="1"/>
  <c r="D83" i="7"/>
  <c r="D38" i="8" s="1"/>
  <c r="D81" i="7"/>
  <c r="D36" i="8" s="1"/>
  <c r="D90" i="7"/>
  <c r="D45" i="8" s="1"/>
  <c r="D88" i="7"/>
  <c r="D43" i="8" s="1"/>
  <c r="D86" i="7"/>
  <c r="D41" i="8" s="1"/>
  <c r="D84" i="7"/>
  <c r="D39" i="8" s="1"/>
  <c r="D82" i="7"/>
  <c r="D37" i="8" s="1"/>
  <c r="D80" i="7"/>
  <c r="L14" i="8" l="1"/>
  <c r="M40" i="8" s="1"/>
  <c r="E66" i="3"/>
  <c r="I14" i="8"/>
  <c r="J35" i="8" s="1"/>
  <c r="G39" i="8"/>
  <c r="G41" i="8"/>
  <c r="G45" i="8"/>
  <c r="G46" i="8"/>
  <c r="G43" i="8"/>
  <c r="G42" i="8"/>
  <c r="G40" i="8"/>
  <c r="G38" i="8"/>
  <c r="G37" i="8"/>
  <c r="G44" i="8"/>
  <c r="G36" i="8"/>
  <c r="G35" i="8"/>
  <c r="O14" i="8"/>
  <c r="P41" i="8" s="1"/>
  <c r="E14" i="8"/>
  <c r="D8" i="11" s="1"/>
  <c r="F30" i="14"/>
  <c r="F37" i="14" s="1"/>
  <c r="H7" i="8"/>
  <c r="D92" i="7"/>
  <c r="E89" i="7" s="1"/>
  <c r="E44" i="8" s="1"/>
  <c r="L5" i="13" s="1"/>
  <c r="D35" i="8"/>
  <c r="D47" i="8" s="1"/>
  <c r="M37" i="8"/>
  <c r="M42" i="8"/>
  <c r="M36" i="8"/>
  <c r="M39" i="8"/>
  <c r="M35" i="8"/>
  <c r="M45" i="8" l="1"/>
  <c r="M46" i="8"/>
  <c r="M43" i="8"/>
  <c r="M38" i="8"/>
  <c r="M41" i="8"/>
  <c r="M44" i="8"/>
  <c r="P37" i="8"/>
  <c r="P46" i="8"/>
  <c r="P36" i="8"/>
  <c r="J38" i="8"/>
  <c r="J44" i="8"/>
  <c r="J42" i="8"/>
  <c r="P42" i="8"/>
  <c r="P43" i="8"/>
  <c r="P44" i="8"/>
  <c r="G47" i="8"/>
  <c r="J41" i="8"/>
  <c r="J37" i="8"/>
  <c r="P40" i="8"/>
  <c r="P35" i="8"/>
  <c r="P38" i="8"/>
  <c r="J36" i="8"/>
  <c r="J46" i="8"/>
  <c r="J39" i="8"/>
  <c r="J43" i="8"/>
  <c r="P39" i="8"/>
  <c r="P45" i="8"/>
  <c r="J40" i="8"/>
  <c r="J45" i="8"/>
  <c r="E91" i="7"/>
  <c r="E46" i="8" s="1"/>
  <c r="N5" i="13" s="1"/>
  <c r="N10" i="13" s="1"/>
  <c r="N13" i="13" s="1"/>
  <c r="E90" i="7"/>
  <c r="E45" i="8" s="1"/>
  <c r="M5" i="13" s="1"/>
  <c r="M10" i="13" s="1"/>
  <c r="E82" i="7"/>
  <c r="E37" i="8" s="1"/>
  <c r="E5" i="13" s="1"/>
  <c r="E10" i="13" s="1"/>
  <c r="E13" i="13" s="1"/>
  <c r="E83" i="7"/>
  <c r="E38" i="8" s="1"/>
  <c r="F5" i="13" s="1"/>
  <c r="F10" i="13" s="1"/>
  <c r="F13" i="13" s="1"/>
  <c r="E81" i="7"/>
  <c r="E36" i="8" s="1"/>
  <c r="D5" i="13" s="1"/>
  <c r="D10" i="13" s="1"/>
  <c r="D13" i="13" s="1"/>
  <c r="E84" i="7"/>
  <c r="E39" i="8" s="1"/>
  <c r="G5" i="13" s="1"/>
  <c r="G10" i="13" s="1"/>
  <c r="E87" i="7"/>
  <c r="E42" i="8" s="1"/>
  <c r="J5" i="13" s="1"/>
  <c r="J10" i="13" s="1"/>
  <c r="J13" i="13" s="1"/>
  <c r="E85" i="7"/>
  <c r="E40" i="8" s="1"/>
  <c r="H5" i="13" s="1"/>
  <c r="H10" i="13" s="1"/>
  <c r="H13" i="13" s="1"/>
  <c r="E86" i="7"/>
  <c r="E41" i="8" s="1"/>
  <c r="I5" i="13" s="1"/>
  <c r="I10" i="13" s="1"/>
  <c r="I13" i="13" s="1"/>
  <c r="J18" i="14"/>
  <c r="E80" i="7"/>
  <c r="E35" i="8" s="1"/>
  <c r="C5" i="13" s="1"/>
  <c r="E88" i="7"/>
  <c r="E43" i="8" s="1"/>
  <c r="K5" i="13" s="1"/>
  <c r="K10" i="13" s="1"/>
  <c r="K13" i="13" s="1"/>
  <c r="L55" i="13"/>
  <c r="L10" i="13"/>
  <c r="K7" i="8"/>
  <c r="H14" i="8"/>
  <c r="M47" i="8" l="1"/>
  <c r="P47" i="8"/>
  <c r="J47" i="8"/>
  <c r="K11" i="13"/>
  <c r="D13" i="12"/>
  <c r="N11" i="13"/>
  <c r="E11" i="13"/>
  <c r="J24" i="14"/>
  <c r="E30" i="14" s="1"/>
  <c r="E37" i="14" s="1"/>
  <c r="I11" i="13"/>
  <c r="H11" i="13"/>
  <c r="D11" i="13"/>
  <c r="F11" i="13"/>
  <c r="E92" i="7"/>
  <c r="M11" i="13"/>
  <c r="M13" i="13"/>
  <c r="E8" i="11"/>
  <c r="H42" i="8"/>
  <c r="H43" i="8"/>
  <c r="H41" i="8"/>
  <c r="H36" i="8"/>
  <c r="H40" i="8"/>
  <c r="H46" i="8"/>
  <c r="H39" i="8"/>
  <c r="H45" i="8"/>
  <c r="H37" i="8"/>
  <c r="H38" i="8"/>
  <c r="H44" i="8"/>
  <c r="H35" i="8"/>
  <c r="G11" i="13"/>
  <c r="G13" i="13"/>
  <c r="N7" i="8"/>
  <c r="K14" i="8"/>
  <c r="E47" i="8"/>
  <c r="C10" i="13"/>
  <c r="O5" i="13"/>
  <c r="L11" i="13"/>
  <c r="L13" i="13"/>
  <c r="J11" i="13"/>
  <c r="E13" i="12" l="1"/>
  <c r="C11" i="13"/>
  <c r="O10" i="13"/>
  <c r="O13" i="13" s="1"/>
  <c r="C13" i="13"/>
  <c r="H47" i="8"/>
  <c r="F8" i="11"/>
  <c r="K43" i="8"/>
  <c r="K39" i="8"/>
  <c r="K35" i="8"/>
  <c r="K40" i="8"/>
  <c r="K45" i="8"/>
  <c r="K44" i="8"/>
  <c r="K36" i="8"/>
  <c r="K41" i="8"/>
  <c r="K37" i="8"/>
  <c r="K46" i="8"/>
  <c r="K38" i="8"/>
  <c r="K42" i="8"/>
  <c r="O52" i="13"/>
  <c r="O55" i="13" s="1"/>
  <c r="Q7" i="8"/>
  <c r="Q14" i="8" s="1"/>
  <c r="N14" i="8"/>
  <c r="F13" i="12" l="1"/>
  <c r="O11" i="13"/>
  <c r="K47" i="8"/>
  <c r="H8" i="11"/>
  <c r="Q37" i="8"/>
  <c r="Q46" i="8"/>
  <c r="Q45" i="8"/>
  <c r="Q43" i="8"/>
  <c r="Q38" i="8"/>
  <c r="Q44" i="8"/>
  <c r="Q42" i="8"/>
  <c r="Q40" i="8"/>
  <c r="Q41" i="8"/>
  <c r="Q35" i="8"/>
  <c r="Q36" i="8"/>
  <c r="Q39" i="8"/>
  <c r="G8" i="11"/>
  <c r="N38" i="8"/>
  <c r="N37" i="8"/>
  <c r="N46" i="8"/>
  <c r="N45" i="8"/>
  <c r="N40" i="8"/>
  <c r="N42" i="8"/>
  <c r="N41" i="8"/>
  <c r="N43" i="8"/>
  <c r="N35" i="8"/>
  <c r="N39" i="8"/>
  <c r="N44" i="8"/>
  <c r="N36" i="8"/>
  <c r="H13" i="12" l="1"/>
  <c r="G13" i="12"/>
  <c r="N47" i="8"/>
  <c r="Q47" i="8"/>
  <c r="C11" i="2"/>
  <c r="D15" i="5" l="1"/>
  <c r="E13" i="6" s="1"/>
  <c r="H11" i="6" s="1"/>
  <c r="E9" i="5"/>
  <c r="E10" i="5"/>
  <c r="E11" i="5"/>
  <c r="E12" i="5"/>
  <c r="E13" i="5"/>
  <c r="E14" i="5"/>
  <c r="C20" i="13" s="1"/>
  <c r="E25" i="4"/>
  <c r="E29" i="4"/>
  <c r="E30" i="4"/>
  <c r="E31" i="4"/>
  <c r="E32" i="4"/>
  <c r="E24" i="4"/>
  <c r="G33" i="4"/>
  <c r="F33" i="4"/>
  <c r="C37" i="13" s="1"/>
  <c r="O37" i="13" s="1"/>
  <c r="G22" i="4"/>
  <c r="E13" i="4"/>
  <c r="E10" i="4"/>
  <c r="E11" i="4"/>
  <c r="D8" i="12" s="1"/>
  <c r="E8" i="12" s="1"/>
  <c r="F8" i="12" s="1"/>
  <c r="G8" i="12" s="1"/>
  <c r="H8" i="12" s="1"/>
  <c r="G11" i="4"/>
  <c r="F11" i="4"/>
  <c r="C23" i="12" l="1"/>
  <c r="C25" i="12" s="1"/>
  <c r="D23" i="12"/>
  <c r="E23" i="12" s="1"/>
  <c r="F23" i="12" s="1"/>
  <c r="G23" i="12" s="1"/>
  <c r="H23" i="12" s="1"/>
  <c r="C36" i="13"/>
  <c r="E22" i="4"/>
  <c r="D20" i="13"/>
  <c r="E20" i="13" s="1"/>
  <c r="F20" i="13" s="1"/>
  <c r="G20" i="13" s="1"/>
  <c r="H20" i="13" s="1"/>
  <c r="I20" i="13" s="1"/>
  <c r="J20" i="13" s="1"/>
  <c r="K20" i="13" s="1"/>
  <c r="L20" i="13" s="1"/>
  <c r="M20" i="13" s="1"/>
  <c r="N20" i="13" s="1"/>
  <c r="G18" i="13"/>
  <c r="K18" i="13"/>
  <c r="C18" i="13"/>
  <c r="I18" i="13"/>
  <c r="M18" i="13"/>
  <c r="D18" i="13"/>
  <c r="H18" i="13"/>
  <c r="L18" i="13"/>
  <c r="E18" i="13"/>
  <c r="F18" i="13"/>
  <c r="J18" i="13"/>
  <c r="N18" i="13"/>
  <c r="G17" i="13"/>
  <c r="G22" i="13" s="1"/>
  <c r="K17" i="13"/>
  <c r="K22" i="13" s="1"/>
  <c r="C17" i="13"/>
  <c r="M17" i="13"/>
  <c r="D17" i="13"/>
  <c r="H17" i="13"/>
  <c r="L17" i="13"/>
  <c r="E17" i="13"/>
  <c r="I17" i="13"/>
  <c r="F17" i="13"/>
  <c r="F22" i="13" s="1"/>
  <c r="J17" i="13"/>
  <c r="N17" i="13"/>
  <c r="N22" i="13" s="1"/>
  <c r="G34" i="4"/>
  <c r="C15" i="10" s="1"/>
  <c r="F34" i="4"/>
  <c r="C42" i="13" s="1"/>
  <c r="E15" i="5"/>
  <c r="D13" i="11" s="1"/>
  <c r="E13" i="11" s="1"/>
  <c r="F13" i="11" s="1"/>
  <c r="G13" i="11" s="1"/>
  <c r="H13" i="11" s="1"/>
  <c r="E33" i="4"/>
  <c r="I22" i="13" l="1"/>
  <c r="J22" i="13"/>
  <c r="H22" i="13"/>
  <c r="O20" i="13"/>
  <c r="P20" i="13" s="1"/>
  <c r="Q20" i="13" s="1"/>
  <c r="R20" i="13" s="1"/>
  <c r="S20" i="13" s="1"/>
  <c r="E34" i="4"/>
  <c r="E14" i="6" s="1"/>
  <c r="D10" i="12"/>
  <c r="E10" i="12" s="1"/>
  <c r="F10" i="12" s="1"/>
  <c r="G10" i="12" s="1"/>
  <c r="H10" i="12" s="1"/>
  <c r="C10" i="12"/>
  <c r="C41" i="13"/>
  <c r="O41" i="13" s="1"/>
  <c r="C23" i="10"/>
  <c r="F22" i="10"/>
  <c r="O42" i="13"/>
  <c r="O36" i="13"/>
  <c r="O39" i="13" s="1"/>
  <c r="C39" i="13"/>
  <c r="D9" i="12"/>
  <c r="C9" i="12"/>
  <c r="D22" i="13"/>
  <c r="E22" i="13"/>
  <c r="M22" i="13"/>
  <c r="L22" i="13"/>
  <c r="C22" i="13"/>
  <c r="O17" i="13"/>
  <c r="O18" i="13"/>
  <c r="P18" i="13" s="1"/>
  <c r="Q18" i="13" s="1"/>
  <c r="R18" i="13" s="1"/>
  <c r="S18" i="13" s="1"/>
  <c r="G9" i="3"/>
  <c r="G10" i="3"/>
  <c r="G11" i="3"/>
  <c r="G12" i="3"/>
  <c r="G13" i="3"/>
  <c r="G14" i="3"/>
  <c r="G15" i="3"/>
  <c r="G16" i="3"/>
  <c r="G17" i="3"/>
  <c r="G18" i="3"/>
  <c r="G8" i="3"/>
  <c r="Q16" i="2"/>
  <c r="Q17" i="2"/>
  <c r="Q18" i="2"/>
  <c r="Q19" i="2"/>
  <c r="Q20" i="2"/>
  <c r="I21" i="2"/>
  <c r="J21" i="2"/>
  <c r="K21" i="2"/>
  <c r="L21" i="2"/>
  <c r="H12" i="2"/>
  <c r="H13" i="2"/>
  <c r="H11" i="2"/>
  <c r="N11" i="2" s="1"/>
  <c r="E12" i="2"/>
  <c r="E13" i="2"/>
  <c r="E11" i="2"/>
  <c r="D12" i="2"/>
  <c r="D13" i="2"/>
  <c r="D11" i="2"/>
  <c r="C12" i="2"/>
  <c r="C13" i="2"/>
  <c r="O13" i="2" l="1"/>
  <c r="N13" i="2"/>
  <c r="P13" i="2" s="1"/>
  <c r="M13" i="2"/>
  <c r="O12" i="2"/>
  <c r="N12" i="2"/>
  <c r="M12" i="2"/>
  <c r="C11" i="12"/>
  <c r="O43" i="13"/>
  <c r="C43" i="13"/>
  <c r="C45" i="13"/>
  <c r="C24" i="10"/>
  <c r="D23" i="10"/>
  <c r="E9" i="12"/>
  <c r="D11" i="12"/>
  <c r="C29" i="12" s="1"/>
  <c r="P17" i="13"/>
  <c r="O22" i="13"/>
  <c r="O31" i="13" s="1"/>
  <c r="O32" i="13" s="1"/>
  <c r="G19" i="3"/>
  <c r="M11" i="2"/>
  <c r="O11" i="2"/>
  <c r="H21" i="2"/>
  <c r="Q13" i="2" l="1"/>
  <c r="M21" i="2"/>
  <c r="P12" i="2"/>
  <c r="Q12" i="2" s="1"/>
  <c r="E23" i="10"/>
  <c r="C46" i="13"/>
  <c r="C49" i="13" s="1"/>
  <c r="D45" i="13"/>
  <c r="C25" i="10"/>
  <c r="F9" i="12"/>
  <c r="E11" i="12"/>
  <c r="D29" i="12" s="1"/>
  <c r="Q17" i="13"/>
  <c r="P22" i="13"/>
  <c r="P31" i="13" s="1"/>
  <c r="P32" i="13" s="1"/>
  <c r="P50" i="13" s="1"/>
  <c r="P56" i="13" s="1"/>
  <c r="E12" i="6"/>
  <c r="D18" i="14"/>
  <c r="G18" i="14" s="1"/>
  <c r="H18" i="14" s="1"/>
  <c r="I18" i="14" s="1"/>
  <c r="K18" i="14" s="1"/>
  <c r="K24" i="14" s="1"/>
  <c r="C24" i="13"/>
  <c r="D24" i="13" s="1"/>
  <c r="E24" i="13" s="1"/>
  <c r="F24" i="13" s="1"/>
  <c r="G24" i="13" s="1"/>
  <c r="H24" i="13" s="1"/>
  <c r="I24" i="13" s="1"/>
  <c r="J24" i="13" s="1"/>
  <c r="K24" i="13" s="1"/>
  <c r="L24" i="13" s="1"/>
  <c r="M24" i="13" s="1"/>
  <c r="N24" i="13" s="1"/>
  <c r="E27" i="3"/>
  <c r="F27" i="3" s="1"/>
  <c r="D8" i="8" s="1"/>
  <c r="G8" i="8" s="1"/>
  <c r="J8" i="8" s="1"/>
  <c r="M8" i="8" s="1"/>
  <c r="P8" i="8" s="1"/>
  <c r="N21" i="2"/>
  <c r="O21" i="2"/>
  <c r="P11" i="2"/>
  <c r="F34" i="2"/>
  <c r="D11" i="9" s="1"/>
  <c r="F38" i="2"/>
  <c r="D15" i="9" s="1"/>
  <c r="E15" i="9" s="1"/>
  <c r="F15" i="9" s="1"/>
  <c r="G15" i="9" s="1"/>
  <c r="H15" i="9" s="1"/>
  <c r="F35" i="2"/>
  <c r="D12" i="9" s="1"/>
  <c r="E12" i="9" s="1"/>
  <c r="F12" i="9" s="1"/>
  <c r="G12" i="9" s="1"/>
  <c r="H12" i="9" s="1"/>
  <c r="F39" i="2"/>
  <c r="D16" i="9" s="1"/>
  <c r="E16" i="9" s="1"/>
  <c r="F16" i="9" s="1"/>
  <c r="G16" i="9" s="1"/>
  <c r="H16" i="9" s="1"/>
  <c r="F32" i="2"/>
  <c r="D9" i="9" s="1"/>
  <c r="E9" i="9" s="1"/>
  <c r="F9" i="9" s="1"/>
  <c r="G9" i="9" s="1"/>
  <c r="H9" i="9" s="1"/>
  <c r="F36" i="2"/>
  <c r="D13" i="9" s="1"/>
  <c r="E13" i="9" s="1"/>
  <c r="F13" i="9" s="1"/>
  <c r="G13" i="9" s="1"/>
  <c r="H13" i="9" s="1"/>
  <c r="F31" i="2"/>
  <c r="D8" i="9" s="1"/>
  <c r="F33" i="2"/>
  <c r="D10" i="9" s="1"/>
  <c r="E10" i="9" s="1"/>
  <c r="F10" i="9" s="1"/>
  <c r="G10" i="9" s="1"/>
  <c r="H10" i="9" s="1"/>
  <c r="F37" i="2"/>
  <c r="D14" i="9" s="1"/>
  <c r="E14" i="9" s="1"/>
  <c r="F14" i="9" s="1"/>
  <c r="G14" i="9" s="1"/>
  <c r="H14" i="9" s="1"/>
  <c r="E45" i="13" l="1"/>
  <c r="C26" i="10"/>
  <c r="F23" i="10"/>
  <c r="G9" i="12"/>
  <c r="F11" i="12"/>
  <c r="E29" i="12" s="1"/>
  <c r="R17" i="13"/>
  <c r="Q22" i="13"/>
  <c r="Q31" i="13" s="1"/>
  <c r="Q32" i="13" s="1"/>
  <c r="Q50" i="13" s="1"/>
  <c r="Q56" i="13" s="1"/>
  <c r="F33" i="3"/>
  <c r="D7" i="8"/>
  <c r="E11" i="9"/>
  <c r="D14" i="12"/>
  <c r="D15" i="12"/>
  <c r="E8" i="9"/>
  <c r="P21" i="2"/>
  <c r="Q11" i="2"/>
  <c r="Q21" i="2" s="1"/>
  <c r="F40" i="2"/>
  <c r="D24" i="10" l="1"/>
  <c r="F45" i="13"/>
  <c r="C27" i="10"/>
  <c r="H9" i="12"/>
  <c r="H11" i="12" s="1"/>
  <c r="G29" i="12" s="1"/>
  <c r="G11" i="12"/>
  <c r="F29" i="12" s="1"/>
  <c r="S17" i="13"/>
  <c r="S22" i="13" s="1"/>
  <c r="S31" i="13" s="1"/>
  <c r="S32" i="13" s="1"/>
  <c r="S50" i="13" s="1"/>
  <c r="S56" i="13" s="1"/>
  <c r="R22" i="13"/>
  <c r="R31" i="13" s="1"/>
  <c r="R32" i="13" s="1"/>
  <c r="R50" i="13" s="1"/>
  <c r="R56" i="13" s="1"/>
  <c r="G7" i="8"/>
  <c r="D14" i="8"/>
  <c r="D9" i="11" s="1"/>
  <c r="F59" i="3"/>
  <c r="H6" i="13" s="1"/>
  <c r="H25" i="13" s="1"/>
  <c r="H26" i="13" s="1"/>
  <c r="H30" i="13" s="1"/>
  <c r="H31" i="13" s="1"/>
  <c r="H32" i="13" s="1"/>
  <c r="F54" i="3"/>
  <c r="F65" i="3"/>
  <c r="N6" i="13" s="1"/>
  <c r="N25" i="13" s="1"/>
  <c r="N26" i="13" s="1"/>
  <c r="N30" i="13" s="1"/>
  <c r="N31" i="13" s="1"/>
  <c r="N32" i="13" s="1"/>
  <c r="F56" i="3"/>
  <c r="E6" i="13" s="1"/>
  <c r="E25" i="13" s="1"/>
  <c r="E26" i="13" s="1"/>
  <c r="E30" i="13" s="1"/>
  <c r="E31" i="13" s="1"/>
  <c r="E32" i="13" s="1"/>
  <c r="F57" i="3"/>
  <c r="F6" i="13" s="1"/>
  <c r="F25" i="13" s="1"/>
  <c r="F26" i="13" s="1"/>
  <c r="F30" i="13" s="1"/>
  <c r="F31" i="13" s="1"/>
  <c r="F32" i="13" s="1"/>
  <c r="F62" i="3"/>
  <c r="K6" i="13" s="1"/>
  <c r="K25" i="13" s="1"/>
  <c r="K26" i="13" s="1"/>
  <c r="K30" i="13" s="1"/>
  <c r="K31" i="13" s="1"/>
  <c r="K32" i="13" s="1"/>
  <c r="F64" i="3"/>
  <c r="M6" i="13" s="1"/>
  <c r="M25" i="13" s="1"/>
  <c r="M26" i="13" s="1"/>
  <c r="M30" i="13" s="1"/>
  <c r="M31" i="13" s="1"/>
  <c r="M32" i="13" s="1"/>
  <c r="F63" i="3"/>
  <c r="L6" i="13" s="1"/>
  <c r="L25" i="13" s="1"/>
  <c r="L26" i="13" s="1"/>
  <c r="L30" i="13" s="1"/>
  <c r="L31" i="13" s="1"/>
  <c r="L32" i="13" s="1"/>
  <c r="F58" i="3"/>
  <c r="G6" i="13" s="1"/>
  <c r="G25" i="13" s="1"/>
  <c r="G26" i="13" s="1"/>
  <c r="G30" i="13" s="1"/>
  <c r="G31" i="13" s="1"/>
  <c r="G32" i="13" s="1"/>
  <c r="F61" i="3"/>
  <c r="J6" i="13" s="1"/>
  <c r="J25" i="13" s="1"/>
  <c r="J26" i="13" s="1"/>
  <c r="J30" i="13" s="1"/>
  <c r="J31" i="13" s="1"/>
  <c r="J32" i="13" s="1"/>
  <c r="F60" i="3"/>
  <c r="I6" i="13" s="1"/>
  <c r="I25" i="13" s="1"/>
  <c r="I26" i="13" s="1"/>
  <c r="I30" i="13" s="1"/>
  <c r="I31" i="13" s="1"/>
  <c r="I32" i="13" s="1"/>
  <c r="F55" i="3"/>
  <c r="D6" i="13" s="1"/>
  <c r="D25" i="13" s="1"/>
  <c r="D26" i="13" s="1"/>
  <c r="D30" i="13" s="1"/>
  <c r="D31" i="13" s="1"/>
  <c r="D32" i="13" s="1"/>
  <c r="F11" i="9"/>
  <c r="E14" i="12"/>
  <c r="F8" i="9"/>
  <c r="E15" i="12"/>
  <c r="I30" i="2"/>
  <c r="E11" i="6" s="1"/>
  <c r="H10" i="6" s="1"/>
  <c r="G45" i="13" l="1"/>
  <c r="C28" i="10"/>
  <c r="D46" i="13"/>
  <c r="E24" i="10"/>
  <c r="C9" i="14"/>
  <c r="D10" i="11"/>
  <c r="D11" i="11" s="1"/>
  <c r="C6" i="13"/>
  <c r="F66" i="3"/>
  <c r="G14" i="8"/>
  <c r="E9" i="11" s="1"/>
  <c r="J7" i="8"/>
  <c r="G11" i="9"/>
  <c r="F14" i="12"/>
  <c r="G8" i="9"/>
  <c r="F15" i="12"/>
  <c r="E15" i="6"/>
  <c r="C63" i="13" s="1"/>
  <c r="D49" i="13" l="1"/>
  <c r="D50" i="13" s="1"/>
  <c r="D56" i="13" s="1"/>
  <c r="H45" i="13"/>
  <c r="C29" i="10"/>
  <c r="F24" i="10"/>
  <c r="C7" i="14"/>
  <c r="M7" i="8"/>
  <c r="J14" i="8"/>
  <c r="F9" i="11" s="1"/>
  <c r="C25" i="13"/>
  <c r="C30" i="13" s="1"/>
  <c r="C31" i="13" s="1"/>
  <c r="C32" i="13" s="1"/>
  <c r="C50" i="13" s="1"/>
  <c r="C56" i="13" s="1"/>
  <c r="C58" i="13" s="1"/>
  <c r="O6" i="13"/>
  <c r="E10" i="11"/>
  <c r="E11" i="11" s="1"/>
  <c r="D9" i="14"/>
  <c r="H11" i="9"/>
  <c r="H14" i="12" s="1"/>
  <c r="G14" i="12"/>
  <c r="H14" i="6"/>
  <c r="G16" i="13"/>
  <c r="K16" i="13"/>
  <c r="C16" i="13"/>
  <c r="D16" i="13"/>
  <c r="H16" i="13"/>
  <c r="L16" i="13"/>
  <c r="F16" i="13"/>
  <c r="N16" i="13"/>
  <c r="E16" i="13"/>
  <c r="I16" i="13"/>
  <c r="M16" i="13"/>
  <c r="J16" i="13"/>
  <c r="D7" i="9"/>
  <c r="H8" i="9"/>
  <c r="H15" i="12" s="1"/>
  <c r="G15" i="12"/>
  <c r="I45" i="13" l="1"/>
  <c r="C30" i="10"/>
  <c r="D25" i="10"/>
  <c r="P7" i="8"/>
  <c r="P14" i="8" s="1"/>
  <c r="H9" i="11" s="1"/>
  <c r="M14" i="8"/>
  <c r="G9" i="11" s="1"/>
  <c r="D57" i="13"/>
  <c r="D58" i="13" s="1"/>
  <c r="C60" i="13"/>
  <c r="D63" i="13" s="1"/>
  <c r="D64" i="13" s="1"/>
  <c r="D7" i="14"/>
  <c r="E9" i="14"/>
  <c r="F10" i="11"/>
  <c r="F11" i="11" s="1"/>
  <c r="G17" i="12"/>
  <c r="G21" i="12" s="1"/>
  <c r="H17" i="12"/>
  <c r="H21" i="12" s="1"/>
  <c r="D17" i="9"/>
  <c r="E7" i="9"/>
  <c r="E46" i="13" l="1"/>
  <c r="E25" i="10"/>
  <c r="J45" i="13"/>
  <c r="C31" i="10"/>
  <c r="E57" i="13"/>
  <c r="D60" i="13"/>
  <c r="E63" i="13" s="1"/>
  <c r="E64" i="13" s="1"/>
  <c r="G10" i="11"/>
  <c r="G11" i="11" s="1"/>
  <c r="F9" i="14"/>
  <c r="E7" i="14"/>
  <c r="H10" i="11"/>
  <c r="H11" i="11" s="1"/>
  <c r="G9" i="14"/>
  <c r="G6" i="14"/>
  <c r="F6" i="14"/>
  <c r="E17" i="9"/>
  <c r="E12" i="11" s="1"/>
  <c r="E14" i="11" s="1"/>
  <c r="E15" i="11" s="1"/>
  <c r="D8" i="14" s="1"/>
  <c r="F7" i="9"/>
  <c r="D28" i="14"/>
  <c r="C30" i="14" s="1"/>
  <c r="D12" i="11"/>
  <c r="D14" i="11" s="1"/>
  <c r="D15" i="11" s="1"/>
  <c r="C8" i="14" s="1"/>
  <c r="F25" i="10" l="1"/>
  <c r="K45" i="13"/>
  <c r="C32" i="10"/>
  <c r="E49" i="13"/>
  <c r="E50" i="13" s="1"/>
  <c r="E56" i="13" s="1"/>
  <c r="E58" i="13" s="1"/>
  <c r="F7" i="14"/>
  <c r="H19" i="11"/>
  <c r="H24" i="12" s="1"/>
  <c r="H25" i="12" s="1"/>
  <c r="H26" i="12" s="1"/>
  <c r="G28" i="12" s="1"/>
  <c r="G30" i="12" s="1"/>
  <c r="G7" i="14"/>
  <c r="D30" i="14"/>
  <c r="H30" i="14"/>
  <c r="H37" i="14" s="1"/>
  <c r="C12" i="14" s="1"/>
  <c r="J6" i="7" s="1"/>
  <c r="C37" i="14"/>
  <c r="G7" i="9"/>
  <c r="F17" i="9"/>
  <c r="F12" i="11" s="1"/>
  <c r="F14" i="11" s="1"/>
  <c r="F15" i="11" s="1"/>
  <c r="E8" i="14" s="1"/>
  <c r="E60" i="13" l="1"/>
  <c r="F63" i="13" s="1"/>
  <c r="F64" i="13" s="1"/>
  <c r="F57" i="13"/>
  <c r="D26" i="10"/>
  <c r="L45" i="13"/>
  <c r="C33" i="10"/>
  <c r="G5" i="14"/>
  <c r="I30" i="14"/>
  <c r="I37" i="14" s="1"/>
  <c r="D37" i="14"/>
  <c r="H7" i="9"/>
  <c r="H17" i="9" s="1"/>
  <c r="H12" i="11" s="1"/>
  <c r="H14" i="11" s="1"/>
  <c r="H15" i="11" s="1"/>
  <c r="G8" i="14" s="1"/>
  <c r="G17" i="9"/>
  <c r="G12" i="11" s="1"/>
  <c r="G14" i="11" s="1"/>
  <c r="G15" i="11" s="1"/>
  <c r="F8" i="14" s="1"/>
  <c r="F46" i="13" l="1"/>
  <c r="E26" i="10"/>
  <c r="M45" i="13"/>
  <c r="C34" i="10"/>
  <c r="F26" i="10" l="1"/>
  <c r="N45" i="13"/>
  <c r="C35" i="10"/>
  <c r="F49" i="13"/>
  <c r="F50" i="13" s="1"/>
  <c r="F56" i="13" s="1"/>
  <c r="F58" i="13" s="1"/>
  <c r="C36" i="10" l="1"/>
  <c r="G57" i="13"/>
  <c r="F60" i="13"/>
  <c r="G63" i="13" s="1"/>
  <c r="G64" i="13" s="1"/>
  <c r="D27" i="10"/>
  <c r="O45" i="13"/>
  <c r="G46" i="13" l="1"/>
  <c r="G49" i="13" s="1"/>
  <c r="G50" i="13" s="1"/>
  <c r="G56" i="13" s="1"/>
  <c r="G58" i="13" s="1"/>
  <c r="E27" i="10"/>
  <c r="C37" i="10"/>
  <c r="H57" i="13" l="1"/>
  <c r="G60" i="13"/>
  <c r="H63" i="13" s="1"/>
  <c r="H64" i="13" s="1"/>
  <c r="F27" i="10"/>
  <c r="D28" i="10" s="1"/>
  <c r="C38" i="10"/>
  <c r="H46" i="13" l="1"/>
  <c r="H49" i="13" s="1"/>
  <c r="H50" i="13" s="1"/>
  <c r="H56" i="13" s="1"/>
  <c r="H58" i="13" s="1"/>
  <c r="E28" i="10"/>
  <c r="F28" i="10" s="1"/>
  <c r="D29" i="10" s="1"/>
  <c r="C39" i="10"/>
  <c r="I46" i="13" l="1"/>
  <c r="I49" i="13" s="1"/>
  <c r="I50" i="13" s="1"/>
  <c r="I56" i="13" s="1"/>
  <c r="E29" i="10"/>
  <c r="F29" i="10" s="1"/>
  <c r="D30" i="10" s="1"/>
  <c r="C40" i="10"/>
  <c r="I57" i="13"/>
  <c r="H60" i="13"/>
  <c r="I63" i="13" s="1"/>
  <c r="I64" i="13" s="1"/>
  <c r="I58" i="13" l="1"/>
  <c r="I60" i="13" s="1"/>
  <c r="J63" i="13" s="1"/>
  <c r="J64" i="13" s="1"/>
  <c r="C41" i="10"/>
  <c r="J46" i="13"/>
  <c r="J49" i="13" s="1"/>
  <c r="J50" i="13" s="1"/>
  <c r="J56" i="13" s="1"/>
  <c r="E30" i="10"/>
  <c r="F30" i="10" s="1"/>
  <c r="D31" i="10" s="1"/>
  <c r="J57" i="13" l="1"/>
  <c r="J58" i="13" s="1"/>
  <c r="K46" i="13"/>
  <c r="K49" i="13" s="1"/>
  <c r="K50" i="13" s="1"/>
  <c r="K56" i="13" s="1"/>
  <c r="E31" i="10"/>
  <c r="F31" i="10" s="1"/>
  <c r="D32" i="10" s="1"/>
  <c r="C42" i="10"/>
  <c r="C43" i="10" s="1"/>
  <c r="C44" i="10" s="1"/>
  <c r="C45" i="10" s="1"/>
  <c r="C46" i="10" s="1"/>
  <c r="C47" i="10" s="1"/>
  <c r="C48" i="10" l="1"/>
  <c r="J60" i="13"/>
  <c r="K63" i="13" s="1"/>
  <c r="K64" i="13" s="1"/>
  <c r="K57" i="13"/>
  <c r="K58" i="13" s="1"/>
  <c r="L46" i="13"/>
  <c r="L49" i="13" s="1"/>
  <c r="L50" i="13" s="1"/>
  <c r="L56" i="13" s="1"/>
  <c r="E32" i="10"/>
  <c r="F32" i="10" s="1"/>
  <c r="D33" i="10" s="1"/>
  <c r="L57" i="13" l="1"/>
  <c r="L58" i="13" s="1"/>
  <c r="K60" i="13"/>
  <c r="L63" i="13" s="1"/>
  <c r="L64" i="13" s="1"/>
  <c r="M46" i="13"/>
  <c r="M49" i="13" s="1"/>
  <c r="M50" i="13" s="1"/>
  <c r="M56" i="13" s="1"/>
  <c r="E33" i="10"/>
  <c r="F33" i="10" s="1"/>
  <c r="C49" i="10"/>
  <c r="D34" i="10" l="1"/>
  <c r="C50" i="10"/>
  <c r="L60" i="13"/>
  <c r="M63" i="13" s="1"/>
  <c r="M57" i="13"/>
  <c r="C51" i="10" l="1"/>
  <c r="M64" i="13"/>
  <c r="N46" i="13"/>
  <c r="E34" i="10"/>
  <c r="D16" i="11"/>
  <c r="D18" i="11" s="1"/>
  <c r="D19" i="11" s="1"/>
  <c r="M58" i="13"/>
  <c r="O46" i="13" l="1"/>
  <c r="O49" i="13" s="1"/>
  <c r="O50" i="13" s="1"/>
  <c r="O56" i="13" s="1"/>
  <c r="N49" i="13"/>
  <c r="N50" i="13" s="1"/>
  <c r="N56" i="13" s="1"/>
  <c r="C16" i="12"/>
  <c r="C17" i="12" s="1"/>
  <c r="C21" i="12" s="1"/>
  <c r="C26" i="12" s="1"/>
  <c r="F34" i="10"/>
  <c r="M60" i="13"/>
  <c r="N63" i="13" s="1"/>
  <c r="N57" i="13"/>
  <c r="O57" i="13" s="1"/>
  <c r="D24" i="12"/>
  <c r="D25" i="12" s="1"/>
  <c r="C5" i="14"/>
  <c r="C52" i="10"/>
  <c r="O58" i="13" l="1"/>
  <c r="P57" i="13" s="1"/>
  <c r="P58" i="13" s="1"/>
  <c r="C53" i="10"/>
  <c r="N64" i="13"/>
  <c r="C10" i="14" s="1"/>
  <c r="J4" i="7" s="1"/>
  <c r="C11" i="14"/>
  <c r="J5" i="7" s="1"/>
  <c r="U63" i="13"/>
  <c r="N58" i="13"/>
  <c r="N60" i="13" s="1"/>
  <c r="D35" i="10"/>
  <c r="O60" i="13" l="1"/>
  <c r="C54" i="10"/>
  <c r="C55" i="10" s="1"/>
  <c r="C56" i="10" s="1"/>
  <c r="C57" i="10" s="1"/>
  <c r="C58" i="10" s="1"/>
  <c r="P60" i="13"/>
  <c r="Q57" i="13"/>
  <c r="Q58" i="13" s="1"/>
  <c r="E35" i="10"/>
  <c r="Q60" i="13" l="1"/>
  <c r="R57" i="13"/>
  <c r="R58" i="13" s="1"/>
  <c r="F35" i="10"/>
  <c r="C59" i="10"/>
  <c r="D36" i="10" l="1"/>
  <c r="R60" i="13"/>
  <c r="S57" i="13"/>
  <c r="S58" i="13" s="1"/>
  <c r="S60" i="13" s="1"/>
  <c r="C60" i="10"/>
  <c r="C61" i="10" l="1"/>
  <c r="E36" i="10"/>
  <c r="F36" i="10" l="1"/>
  <c r="C62" i="10"/>
  <c r="C63" i="10" l="1"/>
  <c r="D37" i="10"/>
  <c r="E37" i="10" l="1"/>
  <c r="C64" i="10"/>
  <c r="C65" i="10" l="1"/>
  <c r="F37" i="10"/>
  <c r="D38" i="10" l="1"/>
  <c r="C66" i="10"/>
  <c r="C67" i="10" s="1"/>
  <c r="C68" i="10" s="1"/>
  <c r="C69" i="10" s="1"/>
  <c r="C70" i="10" s="1"/>
  <c r="E38" i="10" l="1"/>
  <c r="F38" i="10" l="1"/>
  <c r="D39" i="10" l="1"/>
  <c r="E39" i="10" l="1"/>
  <c r="F39" i="10" s="1"/>
  <c r="D40" i="10" l="1"/>
  <c r="E40" i="10" s="1"/>
  <c r="F40" i="10" s="1"/>
  <c r="D41" i="10" s="1"/>
  <c r="E41" i="10" s="1"/>
  <c r="F41" i="10" s="1"/>
  <c r="D42" i="10" s="1"/>
  <c r="E42" i="10" s="1"/>
  <c r="F42" i="10" s="1"/>
  <c r="D43" i="10" s="1"/>
  <c r="E43" i="10" s="1"/>
  <c r="F43" i="10" s="1"/>
  <c r="D44" i="10" s="1"/>
  <c r="E44" i="10" s="1"/>
  <c r="F44" i="10" s="1"/>
  <c r="D45" i="10" s="1"/>
  <c r="E45" i="10" s="1"/>
  <c r="F45" i="10" s="1"/>
  <c r="D46" i="10" l="1"/>
  <c r="E46" i="10" l="1"/>
  <c r="E16" i="11"/>
  <c r="E18" i="11" s="1"/>
  <c r="E19" i="11" s="1"/>
  <c r="E24" i="12" l="1"/>
  <c r="E25" i="12" s="1"/>
  <c r="D5" i="14"/>
  <c r="D16" i="12"/>
  <c r="D17" i="12" s="1"/>
  <c r="D21" i="12" s="1"/>
  <c r="F46" i="10"/>
  <c r="C6" i="14" l="1"/>
  <c r="D26" i="12"/>
  <c r="C28" i="12" s="1"/>
  <c r="C30" i="12" s="1"/>
  <c r="D47" i="10"/>
  <c r="E47" i="10" l="1"/>
  <c r="F47" i="10" l="1"/>
  <c r="D48" i="10" l="1"/>
  <c r="E48" i="10" l="1"/>
  <c r="F48" i="10" l="1"/>
  <c r="D49" i="10" l="1"/>
  <c r="E49" i="10" l="1"/>
  <c r="F49" i="10" l="1"/>
  <c r="D50" i="10" l="1"/>
  <c r="E50" i="10" l="1"/>
  <c r="F50" i="10" l="1"/>
  <c r="D51" i="10" l="1"/>
  <c r="E51" i="10" l="1"/>
  <c r="F51" i="10" l="1"/>
  <c r="D52" i="10" l="1"/>
  <c r="E52" i="10" s="1"/>
  <c r="F52" i="10" s="1"/>
  <c r="D53" i="10" s="1"/>
  <c r="E53" i="10" s="1"/>
  <c r="F53" i="10" s="1"/>
  <c r="D54" i="10" s="1"/>
  <c r="E54" i="10" s="1"/>
  <c r="F54" i="10" s="1"/>
  <c r="D55" i="10" s="1"/>
  <c r="E55" i="10" s="1"/>
  <c r="F55" i="10" s="1"/>
  <c r="D56" i="10" s="1"/>
  <c r="E56" i="10" s="1"/>
  <c r="F56" i="10" s="1"/>
  <c r="D57" i="10" s="1"/>
  <c r="E57" i="10" s="1"/>
  <c r="F57" i="10" s="1"/>
  <c r="D58" i="10" l="1"/>
  <c r="E58" i="10" l="1"/>
  <c r="F16" i="11"/>
  <c r="F18" i="11" s="1"/>
  <c r="F19" i="11" s="1"/>
  <c r="F24" i="12" l="1"/>
  <c r="F25" i="12" s="1"/>
  <c r="E5" i="14"/>
  <c r="E16" i="12"/>
  <c r="E17" i="12" s="1"/>
  <c r="E21" i="12" s="1"/>
  <c r="F58" i="10"/>
  <c r="D6" i="14" l="1"/>
  <c r="E26" i="12"/>
  <c r="D28" i="12" s="1"/>
  <c r="D30" i="12" s="1"/>
  <c r="D59" i="10"/>
  <c r="E59" i="10" l="1"/>
  <c r="F59" i="10" l="1"/>
  <c r="D60" i="10" l="1"/>
  <c r="E60" i="10" l="1"/>
  <c r="F60" i="10" l="1"/>
  <c r="D61" i="10" l="1"/>
  <c r="E61" i="10" l="1"/>
  <c r="F61" i="10" l="1"/>
  <c r="D62" i="10" l="1"/>
  <c r="E62" i="10" l="1"/>
  <c r="F62" i="10" l="1"/>
  <c r="D63" i="10" l="1"/>
  <c r="E63" i="10" s="1"/>
  <c r="F63" i="10" s="1"/>
  <c r="D64" i="10" l="1"/>
  <c r="E64" i="10" s="1"/>
  <c r="F64" i="10" s="1"/>
  <c r="D65" i="10" s="1"/>
  <c r="E65" i="10" s="1"/>
  <c r="F65" i="10" s="1"/>
  <c r="D66" i="10" s="1"/>
  <c r="E66" i="10" s="1"/>
  <c r="F66" i="10" s="1"/>
  <c r="D67" i="10" s="1"/>
  <c r="E67" i="10" s="1"/>
  <c r="F67" i="10" s="1"/>
  <c r="D68" i="10" s="1"/>
  <c r="E68" i="10" s="1"/>
  <c r="F68" i="10" s="1"/>
  <c r="D69" i="10" s="1"/>
  <c r="E69" i="10" s="1"/>
  <c r="F69" i="10" s="1"/>
  <c r="D70" i="10" l="1"/>
  <c r="E70" i="10" l="1"/>
  <c r="G16" i="11"/>
  <c r="G18" i="11" s="1"/>
  <c r="G19" i="11" s="1"/>
  <c r="F16" i="12" l="1"/>
  <c r="F17" i="12" s="1"/>
  <c r="F21" i="12" s="1"/>
  <c r="F70" i="10"/>
  <c r="G24" i="12"/>
  <c r="G25" i="12" s="1"/>
  <c r="G26" i="12" s="1"/>
  <c r="F28" i="12" s="1"/>
  <c r="F30" i="12" s="1"/>
  <c r="F5" i="14"/>
  <c r="E6" i="14" l="1"/>
  <c r="F26" i="12"/>
  <c r="E28" i="12" s="1"/>
  <c r="E30" i="12" s="1"/>
</calcChain>
</file>

<file path=xl/sharedStrings.xml><?xml version="1.0" encoding="utf-8"?>
<sst xmlns="http://schemas.openxmlformats.org/spreadsheetml/2006/main" count="530" uniqueCount="341">
  <si>
    <t>Nombre</t>
  </si>
  <si>
    <t>Apellido</t>
  </si>
  <si>
    <t>Responsabilidades</t>
  </si>
  <si>
    <t>Telefono</t>
  </si>
  <si>
    <t>Correo Electronico</t>
  </si>
  <si>
    <t>Item</t>
  </si>
  <si>
    <t>Roles</t>
  </si>
  <si>
    <t>Scrum Master</t>
  </si>
  <si>
    <t>Scrum Development</t>
  </si>
  <si>
    <t>Profesion</t>
  </si>
  <si>
    <t>Tecnico Programacion</t>
  </si>
  <si>
    <t>Tecnologo en Programacion</t>
  </si>
  <si>
    <t>Ingeniero de Desarrollo</t>
  </si>
  <si>
    <t>Ingeniero de Sistemas</t>
  </si>
  <si>
    <t>Diseñador Grafico</t>
  </si>
  <si>
    <t>Profesiones</t>
  </si>
  <si>
    <t>Programador</t>
  </si>
  <si>
    <t>Analista de Información</t>
  </si>
  <si>
    <t>Diseñador Web</t>
  </si>
  <si>
    <t>Desarrollador Base de Datos</t>
  </si>
  <si>
    <t>Salud</t>
  </si>
  <si>
    <t>Pensiones</t>
  </si>
  <si>
    <t>Salario Devengado</t>
  </si>
  <si>
    <t>Cargo</t>
  </si>
  <si>
    <t>Dias Liquidados</t>
  </si>
  <si>
    <t>Salario Básico</t>
  </si>
  <si>
    <t>Horas Extras</t>
  </si>
  <si>
    <t>Recargos Nocturnos</t>
  </si>
  <si>
    <t>Trabajo Dominical</t>
  </si>
  <si>
    <t>Auxilio de Transporte</t>
  </si>
  <si>
    <t>Total Devengado</t>
  </si>
  <si>
    <t xml:space="preserve"> Devengado</t>
  </si>
  <si>
    <t>Total Deducciones</t>
  </si>
  <si>
    <t>Deducciones</t>
  </si>
  <si>
    <t>Neto a Pagar</t>
  </si>
  <si>
    <t>Datos del Empleado</t>
  </si>
  <si>
    <t>Parafiscales</t>
  </si>
  <si>
    <t>Tasa</t>
  </si>
  <si>
    <t>Caja de Compensacion</t>
  </si>
  <si>
    <t>ICBF</t>
  </si>
  <si>
    <t>SENA</t>
  </si>
  <si>
    <t>Pension</t>
  </si>
  <si>
    <t>Cesantias</t>
  </si>
  <si>
    <t>Intereses Cesantias</t>
  </si>
  <si>
    <t>Prima de Servicios</t>
  </si>
  <si>
    <t>Vacaciones</t>
  </si>
  <si>
    <t>Producto</t>
  </si>
  <si>
    <t>Unidad de Producción</t>
  </si>
  <si>
    <t>Material</t>
  </si>
  <si>
    <t>Unidad de Medida</t>
  </si>
  <si>
    <t>Valor Unitario</t>
  </si>
  <si>
    <t>Cantidad por Unidad</t>
  </si>
  <si>
    <t>Total de Costos</t>
  </si>
  <si>
    <t>Base de Datos Mysql</t>
  </si>
  <si>
    <t>Servidor Xampp</t>
  </si>
  <si>
    <t>Lenguaje de Programacion</t>
  </si>
  <si>
    <t>Total</t>
  </si>
  <si>
    <t>Pagos Parafiscales</t>
  </si>
  <si>
    <t>Costos Nomina</t>
  </si>
  <si>
    <t>Terrenos</t>
  </si>
  <si>
    <t>Construcciones</t>
  </si>
  <si>
    <t>Recursos</t>
  </si>
  <si>
    <t>Propios</t>
  </si>
  <si>
    <t>Creditos</t>
  </si>
  <si>
    <t>Activos Fijos (Discriminados)</t>
  </si>
  <si>
    <t>Total Activos Fijos</t>
  </si>
  <si>
    <t>Cantidad</t>
  </si>
  <si>
    <t>Escritorios</t>
  </si>
  <si>
    <t>Valor Unitarios</t>
  </si>
  <si>
    <t>Total Recursos</t>
  </si>
  <si>
    <t>Total Maquinaria y Equipo</t>
  </si>
  <si>
    <t>Muebles y Enseres</t>
  </si>
  <si>
    <t>Maquinaria y Equipo</t>
  </si>
  <si>
    <t>Impresora Multifuncional</t>
  </si>
  <si>
    <t>Total de Inversion</t>
  </si>
  <si>
    <t>Concepto</t>
  </si>
  <si>
    <t>Energia</t>
  </si>
  <si>
    <t>Agua</t>
  </si>
  <si>
    <t>Suministros de Oficina</t>
  </si>
  <si>
    <t>Publicidad</t>
  </si>
  <si>
    <t>Valor Mensual</t>
  </si>
  <si>
    <t>Valor Anual</t>
  </si>
  <si>
    <t>Costos de Nomina</t>
  </si>
  <si>
    <t>Materia Prima</t>
  </si>
  <si>
    <t>Costos de Administracion</t>
  </si>
  <si>
    <t>Costos del Proyecto</t>
  </si>
  <si>
    <t>Plan de Inversion</t>
  </si>
  <si>
    <t xml:space="preserve">Costos del Proyecto </t>
  </si>
  <si>
    <t>Unidad</t>
  </si>
  <si>
    <t>Total Muebles y Enseres</t>
  </si>
  <si>
    <t>Nomina</t>
  </si>
  <si>
    <t>Gastos</t>
  </si>
  <si>
    <t>1 er Año</t>
  </si>
  <si>
    <t>Inicio</t>
  </si>
  <si>
    <t>Estructura del Mercado en Unidades</t>
  </si>
  <si>
    <t>VAN</t>
  </si>
  <si>
    <t>Mercado Objetivo</t>
  </si>
  <si>
    <t>Consumo Anual Percapita</t>
  </si>
  <si>
    <t>Ventas Unidades al año 1</t>
  </si>
  <si>
    <t>Participación % del mercado Objetivo</t>
  </si>
  <si>
    <t>Mensual</t>
  </si>
  <si>
    <t>TIR</t>
  </si>
  <si>
    <t>Punto de equilibrio en ventas</t>
  </si>
  <si>
    <t>Totales</t>
  </si>
  <si>
    <t>Capacidad Instalada Mano de Obra</t>
  </si>
  <si>
    <t>Horas año Operario Turno</t>
  </si>
  <si>
    <t>Unidades Hora Hombre</t>
  </si>
  <si>
    <t>Capacidad instalada por Operario año</t>
  </si>
  <si>
    <t>Tiempo de Duración  % año 1</t>
  </si>
  <si>
    <t>Capacidad Instalada</t>
  </si>
  <si>
    <t>Capacidad Requerida</t>
  </si>
  <si>
    <t>Ventas Anuales por Producto</t>
  </si>
  <si>
    <t>Unidades a vender</t>
  </si>
  <si>
    <t>Precio de Venta Unitario</t>
  </si>
  <si>
    <t>Venta Totales Año 1</t>
  </si>
  <si>
    <t>Periodo</t>
  </si>
  <si>
    <t>Incremento Anual Precio</t>
  </si>
  <si>
    <t>Base + Incremento</t>
  </si>
  <si>
    <t>Año 2</t>
  </si>
  <si>
    <t>Año 3</t>
  </si>
  <si>
    <t>Año 4</t>
  </si>
  <si>
    <t>Año 5</t>
  </si>
  <si>
    <t>REVISAR PROYECCIONES DE INFLACION</t>
  </si>
  <si>
    <t>Ciclicidad de ventas en el Año</t>
  </si>
  <si>
    <t>Calificacion de Comportamiento</t>
  </si>
  <si>
    <t>Calificacion</t>
  </si>
  <si>
    <t>Muy alto</t>
  </si>
  <si>
    <t>Alto</t>
  </si>
  <si>
    <t>Normal</t>
  </si>
  <si>
    <t>Bajo</t>
  </si>
  <si>
    <t>De acuerdo a la estacionalidad de su portafolio califique los meses según  la tabla anterior</t>
  </si>
  <si>
    <t>Año 1</t>
  </si>
  <si>
    <t>Unidades</t>
  </si>
  <si>
    <t>Ventas $</t>
  </si>
  <si>
    <t>Enero</t>
  </si>
  <si>
    <t>Febrero</t>
  </si>
  <si>
    <t>Marzo</t>
  </si>
  <si>
    <t>Abirl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</si>
  <si>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</si>
  <si>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</si>
  <si>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</si>
  <si>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</si>
  <si>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</si>
  <si>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</si>
  <si>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</si>
  <si>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</si>
  <si>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Nombre del Producto</t>
  </si>
  <si>
    <t>Unidades a Producir</t>
  </si>
  <si>
    <t>Unidades de Año 1</t>
  </si>
  <si>
    <t>Costo Unitario</t>
  </si>
  <si>
    <t>Costo Total Año 1</t>
  </si>
  <si>
    <t>Incremento Anual Costos %</t>
  </si>
  <si>
    <t>PROYECCIONES DEL IPP O DEL IPC</t>
  </si>
  <si>
    <t>Calificacion de Comportamiento de Compras</t>
  </si>
  <si>
    <t>Muy Alto</t>
  </si>
  <si>
    <t>Meses</t>
  </si>
  <si>
    <t>Unidades Año 1</t>
  </si>
  <si>
    <t>Compras Año 1</t>
  </si>
  <si>
    <t>Abril</t>
  </si>
  <si>
    <t xml:space="preserve">Octubre </t>
  </si>
  <si>
    <t>Resumen  Presupuesto de Ingresos y Costos de Insumos</t>
  </si>
  <si>
    <t>Total Unidades</t>
  </si>
  <si>
    <t>Total Costos</t>
  </si>
  <si>
    <t>Ventas en $</t>
  </si>
  <si>
    <t>Ventas Meses y Anualizados</t>
  </si>
  <si>
    <t>Ciclicidad</t>
  </si>
  <si>
    <t>Ventas</t>
  </si>
  <si>
    <t>Requerimiento de Personal</t>
  </si>
  <si>
    <t>Sueldo</t>
  </si>
  <si>
    <t>Incremento %</t>
  </si>
  <si>
    <t>PROYECCION DE INCREMENTO DE SALARIOS</t>
  </si>
  <si>
    <t>Plan de inversion y financiación</t>
  </si>
  <si>
    <t>Impuestos</t>
  </si>
  <si>
    <t>%</t>
  </si>
  <si>
    <t>Impuesto de renta</t>
  </si>
  <si>
    <t>Iva</t>
  </si>
  <si>
    <t>Valor del prestamo</t>
  </si>
  <si>
    <t>Tasa Efectiva</t>
  </si>
  <si>
    <t>Tasa Nominal</t>
  </si>
  <si>
    <t>Interes Mensual</t>
  </si>
  <si>
    <t>Plazo</t>
  </si>
  <si>
    <t>Cuota No.</t>
  </si>
  <si>
    <t>Valor Cuota</t>
  </si>
  <si>
    <t>Intereses</t>
  </si>
  <si>
    <t>Capital</t>
  </si>
  <si>
    <t>Saldo</t>
  </si>
  <si>
    <t>Costos Materia Prima</t>
  </si>
  <si>
    <t>Total Costo de Ventas</t>
  </si>
  <si>
    <t>Utilidad Bruta</t>
  </si>
  <si>
    <t>Intereses del Credito</t>
  </si>
  <si>
    <t>Gastos Administracion</t>
  </si>
  <si>
    <t>Bases Incremento</t>
  </si>
  <si>
    <t>PROYECCION DEL IPC O IPP</t>
  </si>
  <si>
    <t>Otros Intereses</t>
  </si>
  <si>
    <t>Total Gastos No Operacionales</t>
  </si>
  <si>
    <t xml:space="preserve">Utilidad Neta </t>
  </si>
  <si>
    <t>Balance General</t>
  </si>
  <si>
    <t>Activos Fijos</t>
  </si>
  <si>
    <t>Total Activos</t>
  </si>
  <si>
    <t>Iva por Pagar</t>
  </si>
  <si>
    <t>Labores por pagar(Cesantias e Intereses)</t>
  </si>
  <si>
    <t>Parafiscales y Provisiones</t>
  </si>
  <si>
    <t>Obligaciones (Creditos)</t>
  </si>
  <si>
    <t>Total Pasivos (Corrientes)</t>
  </si>
  <si>
    <t>Otros Pasivos</t>
  </si>
  <si>
    <t>Total Pasivo Mediano Plazo</t>
  </si>
  <si>
    <t>Total Pasivo</t>
  </si>
  <si>
    <t>Pasivos</t>
  </si>
  <si>
    <t>Patrimonio</t>
  </si>
  <si>
    <t>Utilidad del Ejercicio</t>
  </si>
  <si>
    <t>Total Patrimonio</t>
  </si>
  <si>
    <t>Total Pasivo + Patrimonio</t>
  </si>
  <si>
    <t>Cuadre de Caja</t>
  </si>
  <si>
    <t>Año 0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</si>
  <si>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</si>
  <si>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</si>
  <si>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</si>
  <si>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</si>
  <si>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</si>
  <si>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</si>
  <si>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</si>
  <si>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</si>
  <si>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</si>
  <si>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</si>
  <si>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</si>
  <si>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</si>
  <si>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Total Año 1</t>
  </si>
  <si>
    <t>Total Año 2</t>
  </si>
  <si>
    <t>Total Año 3</t>
  </si>
  <si>
    <t>Total Año 4</t>
  </si>
  <si>
    <t>Total Año 5</t>
  </si>
  <si>
    <t>Compras e Insumos</t>
  </si>
  <si>
    <t>Concepto/Meses</t>
  </si>
  <si>
    <t>Total Año</t>
  </si>
  <si>
    <t>Ingresos Operativos</t>
  </si>
  <si>
    <t>1. Venta de Contado</t>
  </si>
  <si>
    <t>2. Venta de Credito</t>
  </si>
  <si>
    <t>3. Recuperacion de Cartera</t>
  </si>
  <si>
    <t>Total ingresos Operativos</t>
  </si>
  <si>
    <t>Gastos Operativos</t>
  </si>
  <si>
    <t>1. Pagos Laborales</t>
  </si>
  <si>
    <t>2. Arrendamientos</t>
  </si>
  <si>
    <t>3. Servicios</t>
  </si>
  <si>
    <t>4. Mantenimiento</t>
  </si>
  <si>
    <t>5. Publicidad</t>
  </si>
  <si>
    <t>Subtotal</t>
  </si>
  <si>
    <t>Variables</t>
  </si>
  <si>
    <t>1. Compra de Contado materia prima</t>
  </si>
  <si>
    <t>2. Compra a Credito de materia prima e insumos</t>
  </si>
  <si>
    <t>3. Pagos de compra a credito</t>
  </si>
  <si>
    <t>4. Compra de Insumos para inventarios</t>
  </si>
  <si>
    <t>5. Pago de proveedores historicos</t>
  </si>
  <si>
    <t>6. Pago M O y gastos de fabricacion</t>
  </si>
  <si>
    <t>Total Gastos Operativos</t>
  </si>
  <si>
    <t>SuperAvit/(deficit)Operativo</t>
  </si>
  <si>
    <t>Inversiones Fijas</t>
  </si>
  <si>
    <t>1. Terrenos</t>
  </si>
  <si>
    <t>2. Edificaciones</t>
  </si>
  <si>
    <t>3. Maquinaria y equipo</t>
  </si>
  <si>
    <t>5. Vehiculos</t>
  </si>
  <si>
    <t>Recursos Obtenidos</t>
  </si>
  <si>
    <t>1. Prestamo linea de emprendimiento</t>
  </si>
  <si>
    <t>2. Recursos propios</t>
  </si>
  <si>
    <t>Amortizacion Pasivos Finacieros</t>
  </si>
  <si>
    <t>1. Cuota de capital credito propuesto</t>
  </si>
  <si>
    <t>2. Intereses de credito propuesto</t>
  </si>
  <si>
    <t>3. Ley MiPyme</t>
  </si>
  <si>
    <t>4.Imporrenta</t>
  </si>
  <si>
    <t>SuperAvit/(deficit)Financiero</t>
  </si>
  <si>
    <t>Pago de Impuestos</t>
  </si>
  <si>
    <t>Iva Cobrado</t>
  </si>
  <si>
    <t>Iva Pagado</t>
  </si>
  <si>
    <t>Iporrenta</t>
  </si>
  <si>
    <t>SuperAvit/(deficit) Caja</t>
  </si>
  <si>
    <t>Caja Final</t>
  </si>
  <si>
    <t>AÑO 1</t>
  </si>
  <si>
    <t>AÑO 2</t>
  </si>
  <si>
    <t>AÑO 3</t>
  </si>
  <si>
    <t>AÑO 4</t>
  </si>
  <si>
    <t>AÑO 5</t>
  </si>
  <si>
    <t>Saldo neto caja mensual</t>
  </si>
  <si>
    <t>Calculo de tir</t>
  </si>
  <si>
    <t>Calculo de la van</t>
  </si>
  <si>
    <t>6.Dotaciones</t>
  </si>
  <si>
    <t>3. Muebles y Enseres</t>
  </si>
  <si>
    <t>Indicadores</t>
  </si>
  <si>
    <t>Capacidad de Pago</t>
  </si>
  <si>
    <t>Endeudamiento</t>
  </si>
  <si>
    <t>Rentabilidad Bruta</t>
  </si>
  <si>
    <t>Rentabilidad Operacional</t>
  </si>
  <si>
    <t>Total Gastos de Operaciones</t>
  </si>
  <si>
    <t>Utilidad Operacional</t>
  </si>
  <si>
    <t>Margen de Contribucion</t>
  </si>
  <si>
    <t>PUNTO EQUILIBRIO</t>
  </si>
  <si>
    <t>Punto de Equilibrio</t>
  </si>
  <si>
    <t>Margen de Contirbucion</t>
  </si>
  <si>
    <t>Productos</t>
  </si>
  <si>
    <t>Precio en venta</t>
  </si>
  <si>
    <t>Materias Primas</t>
  </si>
  <si>
    <t>M.O Variable</t>
  </si>
  <si>
    <t>Gastos/Ventas</t>
  </si>
  <si>
    <t>Total Costo Variable</t>
  </si>
  <si>
    <t>Contibucion en ventas</t>
  </si>
  <si>
    <t>Margen Total</t>
  </si>
  <si>
    <t>Margen de Contribución</t>
  </si>
  <si>
    <t>Punto de Equilibrio 1 año</t>
  </si>
  <si>
    <t>Ventas Anuales</t>
  </si>
  <si>
    <t>Ventas Proyectadas</t>
  </si>
  <si>
    <t>Diferencia  de Ventas Punto de equilibrio</t>
  </si>
  <si>
    <t>Unidades Anuales</t>
  </si>
  <si>
    <t>Porcentaje</t>
  </si>
  <si>
    <t>Pesos</t>
  </si>
  <si>
    <t xml:space="preserve">Pesos </t>
  </si>
  <si>
    <t>Rentabilidad del Proyecto entre el dinero que ingresa a la empresa y valor que invirtio</t>
  </si>
  <si>
    <t>Tasa de rendimiento del Proyecto de la Inversion</t>
  </si>
  <si>
    <t>Umbral de Rentabilidad del Proyecto</t>
  </si>
  <si>
    <t>Mercado Potencial</t>
  </si>
  <si>
    <t>Nicho Mercado</t>
  </si>
  <si>
    <t>Supermercado</t>
  </si>
  <si>
    <t>Bogota</t>
  </si>
  <si>
    <t>Todos</t>
  </si>
  <si>
    <t>Mediana Superficies</t>
  </si>
  <si>
    <t>Bosa</t>
  </si>
  <si>
    <t>Office 365</t>
  </si>
  <si>
    <t>Computador Portatil</t>
  </si>
  <si>
    <t xml:space="preserve">Andres Mauricio </t>
  </si>
  <si>
    <t>Briceño</t>
  </si>
  <si>
    <t>Jhon Sebastian</t>
  </si>
  <si>
    <t>Salinas</t>
  </si>
  <si>
    <t>Angela Patricia</t>
  </si>
  <si>
    <t>Soto</t>
  </si>
  <si>
    <t>Arnol Steven</t>
  </si>
  <si>
    <t>Santa</t>
  </si>
  <si>
    <t>Sistema de inventarios distribuidora de dulces</t>
  </si>
  <si>
    <t>Internet</t>
  </si>
  <si>
    <t>Mesas</t>
  </si>
  <si>
    <t>Sillas Ergonomicas</t>
  </si>
  <si>
    <t>Archivador</t>
  </si>
  <si>
    <t>Visual Paradign</t>
  </si>
  <si>
    <t>Workbench</t>
  </si>
  <si>
    <t>Visual Studio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</si>
</sst>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\ #,##0;[Red]\-&quot;$&quot;\ #,##0"/>
    <numFmt numFmtId="41" formatCode="_-* #,##0_-;\-* #,##0_-;_-* &quot;-&quot;_-;_-@_-"/>
    <numFmt numFmtId="44" formatCode="_-&quot;$&quot;\ * #,##0.00_-;\-&quot;$&quot;\ * #,##0.00_-;_-&quot;$&quot;\ * &quot;-&quot;??_-;_-@_-"/>
    <numFmt numFmtId="164" formatCode="0.0%"/>
    <numFmt numFmtId="165" formatCode="&quot;$&quot;#,##0;[Red]\-&quot;$&quot;#,##0"/>
    <numFmt numFmtId="166" formatCode="#,##0.0"/>
    <numFmt numFmtId="167" formatCode="&quot;$&quot;\ #,##0"/>
    <numFmt numFmtId="168" formatCode="&quot;$&quot;#,##0"/>
    <numFmt numFmtId="169" formatCode="_-&quot;$&quot;\ * #,##0_-;\-&quot;$&quot;\ * #,##0_-;_-&quot;$&quot;\ 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sz val="9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7" borderId="0" applyNumberFormat="0" applyBorder="0" applyAlignment="0" applyProtection="0"/>
  </cellStyleXfs>
  <cellXfs count="154">
    <xf numFmtId="0" fontId="0" fillId="0" borderId="0" xfId="0"/>
    <xf numFmtId="0" fontId="0" fillId="0" borderId="1" xfId="0" applyBorder="1"/>
    <xf numFmtId="0" fontId="0" fillId="0" borderId="0" xfId="0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3" fillId="0" borderId="1" xfId="2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44" fontId="0" fillId="0" borderId="1" xfId="1" applyFont="1" applyBorder="1"/>
    <xf numFmtId="0" fontId="0" fillId="0" borderId="0" xfId="0" applyBorder="1" applyAlignment="1">
      <alignment horizontal="center" vertical="center"/>
    </xf>
    <xf numFmtId="44" fontId="0" fillId="0" borderId="1" xfId="0" applyNumberFormat="1" applyBorder="1"/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2" borderId="1" xfId="0" applyFill="1" applyBorder="1"/>
    <xf numFmtId="44" fontId="2" fillId="3" borderId="1" xfId="0" applyNumberFormat="1" applyFont="1" applyFill="1" applyBorder="1"/>
    <xf numFmtId="1" fontId="0" fillId="0" borderId="1" xfId="1" applyNumberFormat="1" applyFont="1" applyBorder="1"/>
    <xf numFmtId="44" fontId="4" fillId="0" borderId="1" xfId="1" applyFont="1" applyBorder="1"/>
    <xf numFmtId="44" fontId="2" fillId="4" borderId="1" xfId="0" applyNumberFormat="1" applyFont="1" applyFill="1" applyBorder="1"/>
    <xf numFmtId="9" fontId="0" fillId="0" borderId="1" xfId="0" applyNumberFormat="1" applyBorder="1"/>
    <xf numFmtId="164" fontId="0" fillId="0" borderId="1" xfId="0" applyNumberFormat="1" applyBorder="1"/>
    <xf numFmtId="10" fontId="0" fillId="0" borderId="1" xfId="0" applyNumberFormat="1" applyBorder="1"/>
    <xf numFmtId="0" fontId="0" fillId="2" borderId="1" xfId="0" applyFill="1" applyBorder="1" applyAlignment="1">
      <alignment horizontal="center"/>
    </xf>
    <xf numFmtId="44" fontId="2" fillId="5" borderId="1" xfId="0" applyNumberFormat="1" applyFont="1" applyFill="1" applyBorder="1"/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/>
    <xf numFmtId="44" fontId="0" fillId="0" borderId="1" xfId="1" applyFont="1" applyFill="1" applyBorder="1"/>
    <xf numFmtId="0" fontId="2" fillId="4" borderId="1" xfId="0" applyFont="1" applyFill="1" applyBorder="1"/>
    <xf numFmtId="44" fontId="2" fillId="3" borderId="1" xfId="1" applyFont="1" applyFill="1" applyBorder="1"/>
    <xf numFmtId="0" fontId="2" fillId="6" borderId="1" xfId="0" applyFont="1" applyFill="1" applyBorder="1"/>
    <xf numFmtId="44" fontId="2" fillId="6" borderId="1" xfId="1" applyFont="1" applyFill="1" applyBorder="1"/>
    <xf numFmtId="44" fontId="2" fillId="6" borderId="1" xfId="0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8" borderId="1" xfId="0" applyFont="1" applyFill="1" applyBorder="1"/>
    <xf numFmtId="0" fontId="0" fillId="9" borderId="1" xfId="0" applyFill="1" applyBorder="1" applyAlignment="1">
      <alignment horizontal="center"/>
    </xf>
    <xf numFmtId="165" fontId="0" fillId="0" borderId="1" xfId="0" applyNumberFormat="1" applyBorder="1"/>
    <xf numFmtId="0" fontId="2" fillId="8" borderId="1" xfId="0" applyFont="1" applyFill="1" applyBorder="1" applyAlignment="1">
      <alignment horizontal="center"/>
    </xf>
    <xf numFmtId="9" fontId="0" fillId="0" borderId="1" xfId="4" applyNumberFormat="1" applyFont="1" applyBorder="1"/>
    <xf numFmtId="0" fontId="0" fillId="0" borderId="11" xfId="0" applyFont="1" applyBorder="1" applyAlignment="1"/>
    <xf numFmtId="3" fontId="0" fillId="0" borderId="11" xfId="0" applyNumberFormat="1" applyFont="1" applyBorder="1" applyAlignment="1"/>
    <xf numFmtId="10" fontId="0" fillId="9" borderId="1" xfId="4" applyNumberFormat="1" applyFont="1" applyFill="1" applyBorder="1"/>
    <xf numFmtId="166" fontId="0" fillId="0" borderId="1" xfId="0" applyNumberFormat="1" applyBorder="1"/>
    <xf numFmtId="3" fontId="0" fillId="0" borderId="1" xfId="0" applyNumberFormat="1" applyBorder="1"/>
    <xf numFmtId="0" fontId="7" fillId="0" borderId="11" xfId="0" applyFont="1" applyBorder="1"/>
    <xf numFmtId="0" fontId="6" fillId="0" borderId="1" xfId="0" applyFont="1" applyFill="1" applyBorder="1"/>
    <xf numFmtId="3" fontId="2" fillId="8" borderId="1" xfId="0" applyNumberFormat="1" applyFont="1" applyFill="1" applyBorder="1"/>
    <xf numFmtId="10" fontId="0" fillId="6" borderId="1" xfId="4" applyNumberFormat="1" applyFont="1" applyFill="1" applyBorder="1"/>
    <xf numFmtId="0" fontId="2" fillId="8" borderId="1" xfId="0" applyFont="1" applyFill="1" applyBorder="1" applyAlignment="1">
      <alignment horizontal="center" vertical="center"/>
    </xf>
    <xf numFmtId="0" fontId="0" fillId="9" borderId="1" xfId="0" applyFill="1" applyBorder="1"/>
    <xf numFmtId="3" fontId="0" fillId="0" borderId="11" xfId="0" applyNumberFormat="1" applyFont="1" applyBorder="1"/>
    <xf numFmtId="2" fontId="0" fillId="9" borderId="1" xfId="4" applyNumberFormat="1" applyFont="1" applyFill="1" applyBorder="1"/>
    <xf numFmtId="1" fontId="0" fillId="9" borderId="1" xfId="0" applyNumberFormat="1" applyFill="1" applyBorder="1"/>
    <xf numFmtId="9" fontId="0" fillId="0" borderId="1" xfId="4" applyFont="1" applyBorder="1"/>
    <xf numFmtId="3" fontId="0" fillId="9" borderId="1" xfId="0" applyNumberFormat="1" applyFill="1" applyBorder="1"/>
    <xf numFmtId="1" fontId="0" fillId="0" borderId="1" xfId="0" applyNumberFormat="1" applyBorder="1"/>
    <xf numFmtId="1" fontId="2" fillId="8" borderId="1" xfId="0" applyNumberFormat="1" applyFont="1" applyFill="1" applyBorder="1"/>
    <xf numFmtId="167" fontId="0" fillId="0" borderId="1" xfId="0" applyNumberFormat="1" applyBorder="1"/>
    <xf numFmtId="0" fontId="0" fillId="8" borderId="1" xfId="0" applyFill="1" applyBorder="1"/>
    <xf numFmtId="9" fontId="0" fillId="0" borderId="11" xfId="0" applyNumberFormat="1" applyFont="1" applyBorder="1" applyAlignment="1"/>
    <xf numFmtId="9" fontId="0" fillId="9" borderId="1" xfId="0" applyNumberFormat="1" applyFill="1" applyBorder="1"/>
    <xf numFmtId="9" fontId="0" fillId="0" borderId="11" xfId="0" applyNumberFormat="1" applyFont="1" applyBorder="1"/>
    <xf numFmtId="0" fontId="0" fillId="0" borderId="0" xfId="0" applyBorder="1"/>
    <xf numFmtId="0" fontId="0" fillId="0" borderId="11" xfId="0" applyFont="1" applyBorder="1"/>
    <xf numFmtId="0" fontId="5" fillId="7" borderId="1" xfId="5" applyBorder="1"/>
    <xf numFmtId="0" fontId="5" fillId="7" borderId="11" xfId="5" applyBorder="1"/>
    <xf numFmtId="9" fontId="0" fillId="9" borderId="1" xfId="4" applyFont="1" applyFill="1" applyBorder="1"/>
    <xf numFmtId="0" fontId="2" fillId="8" borderId="1" xfId="0" applyFont="1" applyFill="1" applyBorder="1" applyAlignment="1">
      <alignment horizontal="center" vertical="center" wrapText="1"/>
    </xf>
    <xf numFmtId="44" fontId="0" fillId="9" borderId="1" xfId="1" applyFont="1" applyFill="1" applyBorder="1"/>
    <xf numFmtId="44" fontId="2" fillId="8" borderId="1" xfId="1" applyFont="1" applyFill="1" applyBorder="1"/>
    <xf numFmtId="0" fontId="2" fillId="0" borderId="0" xfId="0" applyFont="1" applyFill="1" applyBorder="1"/>
    <xf numFmtId="0" fontId="2" fillId="8" borderId="1" xfId="0" applyFont="1" applyFill="1" applyBorder="1" applyAlignment="1">
      <alignment horizontal="center" vertical="center"/>
    </xf>
    <xf numFmtId="0" fontId="0" fillId="3" borderId="1" xfId="0" applyFill="1" applyBorder="1"/>
    <xf numFmtId="44" fontId="2" fillId="10" borderId="1" xfId="1" applyFont="1" applyFill="1" applyBorder="1"/>
    <xf numFmtId="3" fontId="0" fillId="0" borderId="0" xfId="0" applyNumberFormat="1"/>
    <xf numFmtId="41" fontId="0" fillId="0" borderId="0" xfId="3" applyFont="1"/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3" fontId="0" fillId="0" borderId="0" xfId="0" applyNumberFormat="1" applyFill="1" applyBorder="1"/>
    <xf numFmtId="3" fontId="2" fillId="0" borderId="0" xfId="0" applyNumberFormat="1" applyFont="1" applyFill="1" applyBorder="1"/>
    <xf numFmtId="44" fontId="0" fillId="0" borderId="0" xfId="0" applyNumberFormat="1"/>
    <xf numFmtId="0" fontId="2" fillId="0" borderId="0" xfId="0" applyFont="1" applyFill="1" applyBorder="1" applyAlignment="1">
      <alignment horizontal="center"/>
    </xf>
    <xf numFmtId="0" fontId="8" fillId="0" borderId="0" xfId="0" applyFont="1"/>
    <xf numFmtId="0" fontId="0" fillId="10" borderId="1" xfId="0" applyFill="1" applyBorder="1"/>
    <xf numFmtId="0" fontId="2" fillId="10" borderId="0" xfId="0" applyFont="1" applyFill="1" applyBorder="1" applyAlignment="1">
      <alignment horizontal="center" vertical="center"/>
    </xf>
    <xf numFmtId="44" fontId="2" fillId="3" borderId="1" xfId="1" applyFont="1" applyFill="1" applyBorder="1" applyAlignment="1">
      <alignment horizontal="center" vertical="center"/>
    </xf>
    <xf numFmtId="0" fontId="0" fillId="0" borderId="1" xfId="0" applyFill="1" applyBorder="1"/>
    <xf numFmtId="0" fontId="2" fillId="0" borderId="0" xfId="0" applyFont="1" applyFill="1" applyBorder="1" applyAlignment="1"/>
    <xf numFmtId="10" fontId="0" fillId="0" borderId="1" xfId="4" applyNumberFormat="1" applyFont="1" applyFill="1" applyBorder="1"/>
    <xf numFmtId="10" fontId="9" fillId="9" borderId="1" xfId="4" applyNumberFormat="1" applyFont="1" applyFill="1" applyBorder="1" applyAlignment="1">
      <alignment horizontal="right"/>
    </xf>
    <xf numFmtId="10" fontId="0" fillId="9" borderId="1" xfId="4" applyNumberFormat="1" applyFont="1" applyFill="1" applyBorder="1" applyAlignment="1">
      <alignment horizontal="right"/>
    </xf>
    <xf numFmtId="3" fontId="2" fillId="8" borderId="1" xfId="0" applyNumberFormat="1" applyFont="1" applyFill="1" applyBorder="1" applyAlignment="1">
      <alignment horizontal="center"/>
    </xf>
    <xf numFmtId="165" fontId="0" fillId="9" borderId="1" xfId="0" applyNumberFormat="1" applyFill="1" applyBorder="1"/>
    <xf numFmtId="168" fontId="0" fillId="9" borderId="1" xfId="0" applyNumberFormat="1" applyFill="1" applyBorder="1"/>
    <xf numFmtId="44" fontId="0" fillId="0" borderId="0" xfId="1" applyFont="1"/>
    <xf numFmtId="0" fontId="0" fillId="10" borderId="1" xfId="0" applyFill="1" applyBorder="1" applyAlignment="1">
      <alignment horizontal="center"/>
    </xf>
    <xf numFmtId="0" fontId="2" fillId="10" borderId="1" xfId="0" applyFont="1" applyFill="1" applyBorder="1"/>
    <xf numFmtId="0" fontId="2" fillId="10" borderId="1" xfId="0" applyFont="1" applyFill="1" applyBorder="1" applyAlignment="1">
      <alignment horizontal="center"/>
    </xf>
    <xf numFmtId="44" fontId="2" fillId="10" borderId="1" xfId="1" applyFont="1" applyFill="1" applyBorder="1" applyAlignment="1">
      <alignment horizontal="center"/>
    </xf>
    <xf numFmtId="0" fontId="0" fillId="0" borderId="1" xfId="0" applyFont="1" applyFill="1" applyBorder="1"/>
    <xf numFmtId="44" fontId="1" fillId="0" borderId="1" xfId="1" applyFont="1" applyFill="1" applyBorder="1"/>
    <xf numFmtId="0" fontId="0" fillId="11" borderId="1" xfId="0" applyFill="1" applyBorder="1"/>
    <xf numFmtId="44" fontId="2" fillId="10" borderId="1" xfId="0" applyNumberFormat="1" applyFont="1" applyFill="1" applyBorder="1"/>
    <xf numFmtId="3" fontId="0" fillId="8" borderId="1" xfId="0" applyNumberFormat="1" applyFill="1" applyBorder="1"/>
    <xf numFmtId="3" fontId="0" fillId="8" borderId="1" xfId="0" applyNumberFormat="1" applyFont="1" applyFill="1" applyBorder="1"/>
    <xf numFmtId="44" fontId="0" fillId="8" borderId="1" xfId="1" applyFont="1" applyFill="1" applyBorder="1"/>
    <xf numFmtId="44" fontId="0" fillId="9" borderId="1" xfId="0" applyNumberFormat="1" applyFill="1" applyBorder="1" applyAlignment="1">
      <alignment wrapText="1"/>
    </xf>
    <xf numFmtId="44" fontId="0" fillId="9" borderId="1" xfId="0" applyNumberFormat="1" applyFill="1" applyBorder="1"/>
    <xf numFmtId="9" fontId="0" fillId="0" borderId="0" xfId="0" applyNumberFormat="1"/>
    <xf numFmtId="2" fontId="0" fillId="0" borderId="1" xfId="0" applyNumberFormat="1" applyBorder="1" applyAlignment="1">
      <alignment wrapText="1"/>
    </xf>
    <xf numFmtId="2" fontId="0" fillId="0" borderId="1" xfId="0" applyNumberFormat="1" applyBorder="1"/>
    <xf numFmtId="169" fontId="0" fillId="9" borderId="1" xfId="1" applyNumberFormat="1" applyFont="1" applyFill="1" applyBorder="1"/>
    <xf numFmtId="169" fontId="0" fillId="0" borderId="0" xfId="0" applyNumberFormat="1"/>
    <xf numFmtId="9" fontId="0" fillId="0" borderId="0" xfId="4" applyFont="1"/>
    <xf numFmtId="44" fontId="0" fillId="9" borderId="1" xfId="1" applyNumberFormat="1" applyFont="1" applyFill="1" applyBorder="1"/>
    <xf numFmtId="2" fontId="0" fillId="0" borderId="8" xfId="0" applyNumberFormat="1" applyBorder="1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6" fontId="2" fillId="12" borderId="1" xfId="0" applyNumberFormat="1" applyFont="1" applyFill="1" applyBorder="1"/>
    <xf numFmtId="9" fontId="2" fillId="12" borderId="1" xfId="0" applyNumberFormat="1" applyFont="1" applyFill="1" applyBorder="1"/>
    <xf numFmtId="169" fontId="2" fillId="12" borderId="1" xfId="1" applyNumberFormat="1" applyFont="1" applyFill="1" applyBorder="1"/>
    <xf numFmtId="44" fontId="2" fillId="9" borderId="1" xfId="1" applyFont="1" applyFill="1" applyBorder="1" applyAlignment="1">
      <alignment horizontal="right"/>
    </xf>
    <xf numFmtId="165" fontId="0" fillId="0" borderId="0" xfId="0" applyNumberFormat="1"/>
    <xf numFmtId="0" fontId="0" fillId="0" borderId="1" xfId="0" applyFont="1" applyBorder="1"/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2" borderId="8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2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center" wrapText="1"/>
    </xf>
    <xf numFmtId="0" fontId="0" fillId="12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6">
    <cellStyle name="Hipervínculo" xfId="2" builtinId="8"/>
    <cellStyle name="Millares [0]" xfId="3" builtinId="6"/>
    <cellStyle name="Moneda" xfId="1" builtinId="4"/>
    <cellStyle name="Neutral" xfId="5" builtinId="28"/>
    <cellStyle name="Normal" xfId="0" builtinId="0"/>
    <cellStyle name="Porcentaje" xfId="4" builtinId="5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Mercado por unidades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8215432042213336E-2"/>
          <c:y val="0.22600539515893847"/>
          <c:w val="0.85703719062061512"/>
          <c:h val="0.56490995917177023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('Presupuesto de ventas'!$C$5,'Presupuesto de ventas'!$E$5)</c:f>
              <c:strCache>
                <c:ptCount val="2"/>
                <c:pt idx="0">
                  <c:v>Mercado Objetivo</c:v>
                </c:pt>
                <c:pt idx="1">
                  <c:v>Ventas Unidades al año 1</c:v>
                </c:pt>
              </c:strCache>
            </c:strRef>
          </c:cat>
          <c:val>
            <c:numRef>
              <c:f>('Presupuesto de ventas'!$C$12,'Presupuesto de ventas'!$E$12)</c:f>
              <c:numCache>
                <c:formatCode>#,##0</c:formatCode>
                <c:ptCount val="2"/>
                <c:pt idx="0">
                  <c:v>150</c:v>
                </c:pt>
                <c:pt idx="1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70-4417-8013-C9820F12429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extLst/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aseline="0"/>
              <a:t>	Costo de Insumos a 5 Años</a:t>
            </a:r>
            <a:endParaRPr lang="es-CO"/>
          </a:p>
        </c:rich>
      </c:tx>
      <c:layout>
        <c:manualLayout>
          <c:xMode val="edge"/>
          <c:yMode val="edge"/>
          <c:x val="8.5937445319335073E-2"/>
          <c:y val="9.506831257113749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Costos Año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Costos a 5 Años</c:v>
              </c:pt>
            </c:strLit>
          </c:cat>
          <c:val>
            <c:numRef>
              <c:f>'Presupuesto de compras y ventas'!$D$14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A-40B6-9C72-1F949BFE5882}"/>
            </c:ext>
          </c:extLst>
        </c:ser>
        <c:ser>
          <c:idx val="1"/>
          <c:order val="1"/>
          <c:tx>
            <c:v>Costos año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Costos a 5 Años</c:v>
              </c:pt>
            </c:strLit>
          </c:cat>
          <c:val>
            <c:numRef>
              <c:f>'Presupuesto de compras y ventas'!$G$14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4A-40B6-9C72-1F949BFE5882}"/>
            </c:ext>
          </c:extLst>
        </c:ser>
        <c:ser>
          <c:idx val="2"/>
          <c:order val="2"/>
          <c:tx>
            <c:v>Costos Año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Costos a 5 Años</c:v>
              </c:pt>
            </c:strLit>
          </c:cat>
          <c:val>
            <c:numRef>
              <c:f>'Presupuesto de compras y ventas'!$J$14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4A-40B6-9C72-1F949BFE5882}"/>
            </c:ext>
          </c:extLst>
        </c:ser>
        <c:ser>
          <c:idx val="3"/>
          <c:order val="3"/>
          <c:tx>
            <c:v>Costos Año 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Costos a 5 Años</c:v>
              </c:pt>
            </c:strLit>
          </c:cat>
          <c:val>
            <c:numRef>
              <c:f>'Presupuesto de compras y ventas'!$M$14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4A-40B6-9C72-1F949BFE5882}"/>
            </c:ext>
          </c:extLst>
        </c:ser>
        <c:ser>
          <c:idx val="4"/>
          <c:order val="4"/>
          <c:tx>
            <c:v>Costos Año 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Costos a 5 Años</c:v>
              </c:pt>
            </c:strLit>
          </c:cat>
          <c:val>
            <c:numRef>
              <c:f>'Presupuesto de compras y ventas'!$P$14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4A-40B6-9C72-1F949BFE58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1413464"/>
        <c:axId val="541413856"/>
      </c:barChart>
      <c:catAx>
        <c:axId val="541413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1413856"/>
        <c:crosses val="autoZero"/>
        <c:auto val="1"/>
        <c:lblAlgn val="ctr"/>
        <c:lblOffset val="100"/>
        <c:noMultiLvlLbl val="0"/>
      </c:catAx>
      <c:valAx>
        <c:axId val="54141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1413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aseline="0"/>
              <a:t>Presupuesto de ingreso a 5 Años</a:t>
            </a:r>
            <a:endParaRPr lang="es-CO"/>
          </a:p>
        </c:rich>
      </c:tx>
      <c:layout>
        <c:manualLayout>
          <c:xMode val="edge"/>
          <c:yMode val="edge"/>
          <c:x val="0.37611789151356084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Ventas año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º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20E1-4563-8737-67AE0F37CE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Ventas a 5 años</c:v>
              </c:pt>
            </c:strLit>
          </c:cat>
          <c:val>
            <c:numRef>
              <c:f>'Presupuesto de compras y ventas'!$E$14</c:f>
              <c:numCache>
                <c:formatCode>_("$"* #,##0.00_);_("$"* \(#,##0.00\);_("$"* "-"??_);_(@_)</c:formatCode>
                <c:ptCount val="1"/>
                <c:pt idx="0">
                  <c:v>96000000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E1-4563-8737-67AE0F37CEE0}"/>
            </c:ext>
          </c:extLst>
        </c:ser>
        <c:ser>
          <c:idx val="1"/>
          <c:order val="1"/>
          <c:tx>
            <c:v>Ventas año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Ventas a 5 años</c:v>
              </c:pt>
            </c:strLit>
          </c:cat>
          <c:val>
            <c:numRef>
              <c:f>'Presupuesto de compras y ventas'!$H$14</c:f>
              <c:numCache>
                <c:formatCode>_("$"* #,##0.00_);_("$"* \(#,##0.00\);_("$"* "-"??_);_(@_)</c:formatCode>
                <c:ptCount val="1"/>
                <c:pt idx="0">
                  <c:v>97920000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E1-4563-8737-67AE0F37CEE0}"/>
            </c:ext>
          </c:extLst>
        </c:ser>
        <c:ser>
          <c:idx val="2"/>
          <c:order val="2"/>
          <c:tx>
            <c:v>Ventas año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Ventas a 5 años</c:v>
              </c:pt>
            </c:strLit>
          </c:cat>
          <c:val>
            <c:numRef>
              <c:f>'Presupuesto de compras y ventas'!$K$14</c:f>
              <c:numCache>
                <c:formatCode>_("$"* #,##0.00_);_("$"* \(#,##0.00\);_("$"* "-"??_);_(@_)</c:formatCode>
                <c:ptCount val="1"/>
                <c:pt idx="0">
                  <c:v>100857600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E1-4563-8737-67AE0F37CEE0}"/>
            </c:ext>
          </c:extLst>
        </c:ser>
        <c:ser>
          <c:idx val="3"/>
          <c:order val="3"/>
          <c:tx>
            <c:v>Ventas año 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Ventas a 5 años</c:v>
              </c:pt>
            </c:strLit>
          </c:cat>
          <c:val>
            <c:numRef>
              <c:f>'Presupuesto de compras y ventas'!$N$14</c:f>
              <c:numCache>
                <c:formatCode>_("$"* #,##0.00_);_("$"* \(#,##0.00\);_("$"* "-"??_);_(@_)</c:formatCode>
                <c:ptCount val="1"/>
                <c:pt idx="0">
                  <c:v>104891904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E1-4563-8737-67AE0F37CEE0}"/>
            </c:ext>
          </c:extLst>
        </c:ser>
        <c:ser>
          <c:idx val="4"/>
          <c:order val="4"/>
          <c:tx>
            <c:v>Ventas años 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Ventas a 5 años</c:v>
              </c:pt>
            </c:strLit>
          </c:cat>
          <c:val>
            <c:numRef>
              <c:f>'Presupuesto de compras y ventas'!$Q$14</c:f>
              <c:numCache>
                <c:formatCode>_("$"* #,##0.00_);_("$"* \(#,##0.00\);_("$"* "-"??_);_(@_)</c:formatCode>
                <c:ptCount val="1"/>
                <c:pt idx="0">
                  <c:v>109087580.16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E1-4563-8737-67AE0F37CE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1417384"/>
        <c:axId val="541418560"/>
      </c:barChart>
      <c:catAx>
        <c:axId val="541417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1418560"/>
        <c:crosses val="autoZero"/>
        <c:auto val="1"/>
        <c:lblAlgn val="ctr"/>
        <c:lblOffset val="100"/>
        <c:noMultiLvlLbl val="0"/>
      </c:catAx>
      <c:valAx>
        <c:axId val="54141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1417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Ventas Anualizadas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Ventas año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Ventas</c:v>
              </c:pt>
            </c:strLit>
          </c:cat>
          <c:val>
            <c:numRef>
              <c:f>'Presupuesto de compras y ventas'!$E$47</c:f>
              <c:numCache>
                <c:formatCode>_("$"* #,##0.00_);_("$"* \(#,##0.00\);_("$"* "-"??_);_(@_)</c:formatCode>
                <c:ptCount val="1"/>
                <c:pt idx="0">
                  <c:v>96000000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C-436D-8C6C-F30BAA0EF303}"/>
            </c:ext>
          </c:extLst>
        </c:ser>
        <c:ser>
          <c:idx val="1"/>
          <c:order val="1"/>
          <c:tx>
            <c:v>Ventas año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Ventas</c:v>
              </c:pt>
            </c:strLit>
          </c:cat>
          <c:val>
            <c:numRef>
              <c:f>'Presupuesto de compras y ventas'!$H$47</c:f>
              <c:numCache>
                <c:formatCode>_("$"* #,##0.00_);_("$"* \(#,##0.00\);_("$"* "-"??_);_(@_)</c:formatCode>
                <c:ptCount val="1"/>
                <c:pt idx="0">
                  <c:v>97920000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7C-436D-8C6C-F30BAA0EF303}"/>
            </c:ext>
          </c:extLst>
        </c:ser>
        <c:ser>
          <c:idx val="2"/>
          <c:order val="2"/>
          <c:tx>
            <c:v>Ventas año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Ventas</c:v>
              </c:pt>
            </c:strLit>
          </c:cat>
          <c:val>
            <c:numRef>
              <c:f>'Presupuesto de compras y ventas'!$K$47</c:f>
              <c:numCache>
                <c:formatCode>#,##0</c:formatCode>
                <c:ptCount val="1"/>
                <c:pt idx="0">
                  <c:v>100857600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7C-436D-8C6C-F30BAA0EF303}"/>
            </c:ext>
          </c:extLst>
        </c:ser>
        <c:ser>
          <c:idx val="3"/>
          <c:order val="3"/>
          <c:tx>
            <c:v>Ventas año 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Ventas</c:v>
              </c:pt>
            </c:strLit>
          </c:cat>
          <c:val>
            <c:numRef>
              <c:f>'Presupuesto de compras y ventas'!$N$47</c:f>
              <c:numCache>
                <c:formatCode>_("$"* #,##0.00_);_("$"* \(#,##0.00\);_("$"* "-"??_);_(@_)</c:formatCode>
                <c:ptCount val="1"/>
                <c:pt idx="0">
                  <c:v>104891904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7C-436D-8C6C-F30BAA0EF303}"/>
            </c:ext>
          </c:extLst>
        </c:ser>
        <c:ser>
          <c:idx val="4"/>
          <c:order val="4"/>
          <c:tx>
            <c:v>Ventas año 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Ventas</c:v>
              </c:pt>
            </c:strLit>
          </c:cat>
          <c:val>
            <c:numRef>
              <c:f>'Presupuesto de compras y ventas'!$Q$47</c:f>
              <c:numCache>
                <c:formatCode>_("$"* #,##0.00_);_("$"* \(#,##0.00\);_("$"* "-"??_);_(@_)</c:formatCode>
                <c:ptCount val="1"/>
                <c:pt idx="0">
                  <c:v>109087580.16000003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7C-436D-8C6C-F30BAA0EF3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1417776"/>
        <c:axId val="541416208"/>
      </c:barChart>
      <c:catAx>
        <c:axId val="54141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1416208"/>
        <c:crosses val="autoZero"/>
        <c:auto val="1"/>
        <c:lblAlgn val="ctr"/>
        <c:lblOffset val="100"/>
        <c:noMultiLvlLbl val="0"/>
      </c:catAx>
      <c:valAx>
        <c:axId val="54141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141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Presupuestos de Costos y Gastos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32362252497851"/>
          <c:y val="9.3597843055843066E-2"/>
          <c:w val="0.86650638280595127"/>
          <c:h val="0.7806654182408170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'Presupuesto de Costos y G año 1'!$D$17:$H$17</c:f>
              <c:numCache>
                <c:formatCode>_("$"* #,##0.00_);_("$"* \(#,##0.00\);_("$"* "-"??_);_(@_)</c:formatCode>
                <c:ptCount val="5"/>
                <c:pt idx="0">
                  <c:v>89689762.156800002</c:v>
                </c:pt>
                <c:pt idx="1">
                  <c:v>95071147.886207998</c:v>
                </c:pt>
                <c:pt idx="2">
                  <c:v>99824705.280518413</c:v>
                </c:pt>
                <c:pt idx="3">
                  <c:v>105814187.59734948</c:v>
                </c:pt>
                <c:pt idx="4">
                  <c:v>111104896.97721699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0-42F3-9B35-E4337D2070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9290336"/>
        <c:axId val="329288376"/>
      </c:barChart>
      <c:catAx>
        <c:axId val="32929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9288376"/>
        <c:crosses val="autoZero"/>
        <c:auto val="1"/>
        <c:lblAlgn val="ctr"/>
        <c:lblOffset val="100"/>
        <c:noMultiLvlLbl val="0"/>
      </c:catAx>
      <c:valAx>
        <c:axId val="32928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929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180974</xdr:rowOff>
    </xdr:from>
    <xdr:to>
      <xdr:col>9</xdr:col>
      <xdr:colOff>19050</xdr:colOff>
      <xdr:row>8</xdr:row>
      <xdr:rowOff>171449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62000" y="1133474"/>
          <a:ext cx="10439400" cy="561975"/>
        </a:xfrm>
        <a:prstGeom prst="rect">
          <a:avLst/>
        </a:prstGeom>
        <a:solidFill>
          <a:schemeClr val="accent6"/>
        </a:solidFill>
        <a:ln>
          <a:solidFill>
            <a:sysClr val="windowText" lastClr="000000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600" b="0" cap="none" spc="0">
              <a:ln w="0"/>
              <a:solidFill>
                <a:sysClr val="windowText" lastClr="000000"/>
              </a:solidFill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a:rPr>
            <a:t>Requerimiento de Personal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161924</xdr:rowOff>
    </xdr:from>
    <xdr:to>
      <xdr:col>17</xdr:col>
      <xdr:colOff>25513</xdr:colOff>
      <xdr:row>7</xdr:row>
      <xdr:rowOff>152399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765402" y="910317"/>
          <a:ext cx="25173214" cy="551770"/>
        </a:xfrm>
        <a:prstGeom prst="rect">
          <a:avLst/>
        </a:prstGeom>
        <a:solidFill>
          <a:schemeClr val="accent6"/>
        </a:solidFill>
        <a:ln>
          <a:solidFill>
            <a:sysClr val="windowText" lastClr="000000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600" b="0" cap="none" spc="0">
              <a:ln w="0"/>
              <a:solidFill>
                <a:sysClr val="windowText" lastClr="000000"/>
              </a:solidFill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a:rPr>
            <a:t>Nomina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9526</xdr:colOff>
      <xdr:row>0</xdr:row>
      <xdr:rowOff>133350</xdr:rowOff>
    </xdr:from>
    <xdr:to>
      <xdr:col>7</xdr:col>
      <xdr:colOff>28576</xdr:colOff>
      <xdr:row>3</xdr:row>
      <xdr:rowOff>123825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533526" y="133350"/>
          <a:ext cx="6724650" cy="561975"/>
        </a:xfrm>
        <a:prstGeom prst="rect">
          <a:avLst/>
        </a:prstGeom>
        <a:solidFill>
          <a:schemeClr val="accent6"/>
        </a:solidFill>
        <a:ln>
          <a:solidFill>
            <a:sysClr val="windowText" lastClr="000000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600" b="0" cap="none" spc="0">
              <a:ln w="0"/>
              <a:solidFill>
                <a:sysClr val="windowText" lastClr="000000"/>
              </a:solidFill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a:rPr>
            <a:t>Materia</a:t>
          </a:r>
          <a:r>
            <a:rPr lang="es-CO" sz="1600" b="0" cap="none" spc="0" baseline="0">
              <a:ln w="0"/>
              <a:solidFill>
                <a:sysClr val="windowText" lastClr="000000"/>
              </a:solidFill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a:rPr>
            <a:t> Prima</a:t>
          </a:r>
          <a:endParaRPr lang="es-CO" sz="1600" b="0" cap="none" spc="0">
            <a:ln w="0"/>
            <a:solidFill>
              <a:sysClr val="windowText" lastClr="000000"/>
            </a:solidFill>
            <a:effectLst>
              <a:outerShdw blurRad="50800" dist="38100" dir="10800000" algn="r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171450</xdr:rowOff>
    </xdr:from>
    <xdr:to>
      <xdr:col>5</xdr:col>
      <xdr:colOff>19050</xdr:colOff>
      <xdr:row>6</xdr:row>
      <xdr:rowOff>161925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524000" y="742950"/>
          <a:ext cx="4305300" cy="561975"/>
        </a:xfrm>
        <a:prstGeom prst="rect">
          <a:avLst/>
        </a:prstGeom>
        <a:solidFill>
          <a:schemeClr val="accent6"/>
        </a:solidFill>
        <a:ln>
          <a:solidFill>
            <a:sysClr val="windowText" lastClr="000000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600" b="0" cap="none" spc="0">
              <a:ln w="0"/>
              <a:solidFill>
                <a:sysClr val="windowText" lastClr="000000"/>
              </a:solidFill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a:rPr>
            <a:t>Costos</a:t>
          </a:r>
          <a:r>
            <a:rPr lang="es-CO" sz="1600" b="0" cap="none" spc="0" baseline="0">
              <a:ln w="0"/>
              <a:solidFill>
                <a:sysClr val="windowText" lastClr="000000"/>
              </a:solidFill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a:rPr>
            <a:t> de Administracion</a:t>
          </a:r>
          <a:endParaRPr lang="es-CO" sz="1600" b="0" cap="none" spc="0">
            <a:ln w="0"/>
            <a:solidFill>
              <a:sysClr val="windowText" lastClr="000000"/>
            </a:solidFill>
            <a:effectLst>
              <a:outerShdw blurRad="50800" dist="38100" dir="10800000" algn="r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3</xdr:row>
      <xdr:rowOff>0</xdr:rowOff>
    </xdr:from>
    <xdr:to>
      <xdr:col>6</xdr:col>
      <xdr:colOff>1581149</xdr:colOff>
      <xdr:row>5</xdr:row>
      <xdr:rowOff>180975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761999" y="571500"/>
          <a:ext cx="10848975" cy="561975"/>
        </a:xfrm>
        <a:prstGeom prst="rect">
          <a:avLst/>
        </a:prstGeom>
        <a:solidFill>
          <a:schemeClr val="accent6"/>
        </a:solidFill>
        <a:ln>
          <a:solidFill>
            <a:sysClr val="windowText" lastClr="000000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600" b="0" cap="none" spc="0">
              <a:ln w="0"/>
              <a:solidFill>
                <a:sysClr val="windowText" lastClr="000000"/>
              </a:solidFill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a:rPr>
            <a:t>Plan</a:t>
          </a:r>
          <a:r>
            <a:rPr lang="es-CO" sz="1600" b="0" cap="none" spc="0" baseline="0">
              <a:ln w="0"/>
              <a:solidFill>
                <a:sysClr val="windowText" lastClr="000000"/>
              </a:solidFill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a:rPr>
            <a:t> de Inversion</a:t>
          </a:r>
          <a:endParaRPr lang="es-CO" sz="1600" b="0" cap="none" spc="0">
            <a:ln w="0"/>
            <a:solidFill>
              <a:sysClr val="windowText" lastClr="000000"/>
            </a:solidFill>
            <a:effectLst>
              <a:outerShdw blurRad="50800" dist="38100" dir="10800000" algn="r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4</xdr:row>
      <xdr:rowOff>180975</xdr:rowOff>
    </xdr:from>
    <xdr:to>
      <xdr:col>8</xdr:col>
      <xdr:colOff>19050</xdr:colOff>
      <xdr:row>7</xdr:row>
      <xdr:rowOff>171450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2295525" y="942975"/>
          <a:ext cx="5781675" cy="561975"/>
        </a:xfrm>
        <a:prstGeom prst="rect">
          <a:avLst/>
        </a:prstGeom>
        <a:solidFill>
          <a:schemeClr val="accent6"/>
        </a:solidFill>
        <a:ln>
          <a:solidFill>
            <a:sysClr val="windowText" lastClr="000000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600" b="0" cap="none" spc="0" baseline="0">
              <a:ln w="0"/>
              <a:solidFill>
                <a:sysClr val="windowText" lastClr="000000"/>
              </a:solidFill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a:rPr>
            <a:t>Total de Inversion</a:t>
          </a:r>
          <a:endParaRPr lang="es-CO" sz="1600" b="0" cap="none" spc="0">
            <a:ln w="0"/>
            <a:solidFill>
              <a:sysClr val="windowText" lastClr="000000"/>
            </a:solidFill>
            <a:effectLst>
              <a:outerShdw blurRad="50800" dist="38100" dir="10800000" algn="r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742949</xdr:colOff>
      <xdr:row>12</xdr:row>
      <xdr:rowOff>157162</xdr:rowOff>
    </xdr:from>
    <xdr:to>
      <xdr:col>6</xdr:col>
      <xdr:colOff>761999</xdr:colOff>
      <xdr:row>27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619125</xdr:colOff>
      <xdr:row>14</xdr:row>
      <xdr:rowOff>185737</xdr:rowOff>
    </xdr:from>
    <xdr:to>
      <xdr:col>8</xdr:col>
      <xdr:colOff>228600</xdr:colOff>
      <xdr:row>29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381000</xdr:colOff>
      <xdr:row>14</xdr:row>
      <xdr:rowOff>180975</xdr:rowOff>
    </xdr:from>
    <xdr:to>
      <xdr:col>15</xdr:col>
      <xdr:colOff>476250</xdr:colOff>
      <xdr:row>29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757421</xdr:colOff>
      <xdr:row>50</xdr:row>
      <xdr:rowOff>1</xdr:rowOff>
    </xdr:from>
    <xdr:to>
      <xdr:col>14</xdr:col>
      <xdr:colOff>-1</xdr:colOff>
      <xdr:row>64</xdr:row>
      <xdr:rowOff>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22411</xdr:colOff>
      <xdr:row>19</xdr:row>
      <xdr:rowOff>7563</xdr:rowOff>
    </xdr:from>
    <xdr:to>
      <xdr:col>8</xdr:col>
      <xdr:colOff>22412</xdr:colOff>
      <xdr:row>45</xdr:row>
      <xdr:rowOff>11205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7320/Downloads/MATRIZ%20FINANCIERA%20OFICIAL2%20correc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Personales"/>
      <sheetName val="Presupuesto de ventas"/>
      <sheetName val="Presupuesto de Compras "/>
      <sheetName val="Presupuesto de costos y gastos "/>
      <sheetName val="Plan de Inversión"/>
      <sheetName val="Presupuesto de compras y ventas"/>
      <sheetName val="Presupuesto de Costos y G año 1"/>
      <sheetName val="Resumen Plan de Inversion"/>
      <sheetName val="Estados de Resultados"/>
      <sheetName val="Balance General"/>
      <sheetName val="Flujo de Caja Mensual"/>
      <sheetName val="Indicadiores financieros"/>
      <sheetName val="Hoja1"/>
    </sheetNames>
    <sheetDataSet>
      <sheetData sheetId="0"/>
      <sheetData sheetId="1"/>
      <sheetData sheetId="2">
        <row r="76">
          <cell r="C76">
            <v>0.04</v>
          </cell>
        </row>
        <row r="77">
          <cell r="C77">
            <v>0.04</v>
          </cell>
        </row>
        <row r="78">
          <cell r="C78">
            <v>0.04</v>
          </cell>
        </row>
        <row r="79">
          <cell r="C79">
            <v>0.04</v>
          </cell>
        </row>
      </sheetData>
      <sheetData sheetId="3">
        <row r="27">
          <cell r="G27">
            <v>0.03</v>
          </cell>
        </row>
        <row r="28">
          <cell r="G28">
            <v>0.05</v>
          </cell>
        </row>
        <row r="29">
          <cell r="G29">
            <v>0.05</v>
          </cell>
        </row>
        <row r="30">
          <cell r="G30">
            <v>0.05</v>
          </cell>
        </row>
      </sheetData>
      <sheetData sheetId="4">
        <row r="12">
          <cell r="C12">
            <v>1</v>
          </cell>
        </row>
      </sheetData>
      <sheetData sheetId="5">
        <row r="14">
          <cell r="G14">
            <v>4264000</v>
          </cell>
          <cell r="H14">
            <v>84460000</v>
          </cell>
          <cell r="J14">
            <v>4434560</v>
          </cell>
          <cell r="K14">
            <v>86993800</v>
          </cell>
          <cell r="M14">
            <v>4611942.4000000004</v>
          </cell>
          <cell r="N14">
            <v>89603614</v>
          </cell>
          <cell r="P14">
            <v>4796420.0960000008</v>
          </cell>
          <cell r="Q14">
            <v>92291722.420000002</v>
          </cell>
        </row>
      </sheetData>
      <sheetData sheetId="6"/>
      <sheetData sheetId="7">
        <row r="73">
          <cell r="D73">
            <v>99612.86819961037</v>
          </cell>
          <cell r="E73">
            <v>168268.13755628222</v>
          </cell>
        </row>
        <row r="74">
          <cell r="D74">
            <v>97425.382411378698</v>
          </cell>
          <cell r="E74">
            <v>170455.62334451391</v>
          </cell>
        </row>
        <row r="75">
          <cell r="D75">
            <v>95209.459307900019</v>
          </cell>
          <cell r="E75">
            <v>172671.54644799259</v>
          </cell>
        </row>
        <row r="76">
          <cell r="D76">
            <v>92964.729204076124</v>
          </cell>
          <cell r="E76">
            <v>174916.2765518165</v>
          </cell>
        </row>
        <row r="77">
          <cell r="D77">
            <v>90690.817608902507</v>
          </cell>
          <cell r="E77">
            <v>177190.18814699008</v>
          </cell>
        </row>
        <row r="78">
          <cell r="D78">
            <v>88387.345162991638</v>
          </cell>
          <cell r="E78">
            <v>179493.66059290097</v>
          </cell>
        </row>
        <row r="79">
          <cell r="D79">
            <v>86053.927575283931</v>
          </cell>
          <cell r="E79">
            <v>181827.07818060869</v>
          </cell>
        </row>
        <row r="80">
          <cell r="D80">
            <v>83690.175558936025</v>
          </cell>
          <cell r="E80">
            <v>184190.83019695658</v>
          </cell>
        </row>
        <row r="81">
          <cell r="D81">
            <v>81295.6947663756</v>
          </cell>
          <cell r="E81">
            <v>186585.31098951702</v>
          </cell>
        </row>
        <row r="82">
          <cell r="D82">
            <v>78870.085723511875</v>
          </cell>
          <cell r="E82">
            <v>189010.92003238073</v>
          </cell>
        </row>
        <row r="83">
          <cell r="D83">
            <v>76412.943763090923</v>
          </cell>
          <cell r="E83">
            <v>191468.06199280167</v>
          </cell>
        </row>
        <row r="84">
          <cell r="D84">
            <v>73923.858957184508</v>
          </cell>
          <cell r="E84">
            <v>193957.1467987081</v>
          </cell>
        </row>
        <row r="85">
          <cell r="D85">
            <v>71402.416048801286</v>
          </cell>
          <cell r="E85">
            <v>196478.58970709133</v>
          </cell>
        </row>
        <row r="86">
          <cell r="D86">
            <v>68848.194382609101</v>
          </cell>
          <cell r="E86">
            <v>199032.8113732835</v>
          </cell>
        </row>
        <row r="87">
          <cell r="D87">
            <v>66260.767834756422</v>
          </cell>
          <cell r="E87">
            <v>201620.2379211362</v>
          </cell>
        </row>
        <row r="88">
          <cell r="D88">
            <v>63639.70474178165</v>
          </cell>
          <cell r="E88">
            <v>204241.30101411097</v>
          </cell>
        </row>
        <row r="89">
          <cell r="D89">
            <v>60984.567828598199</v>
          </cell>
          <cell r="E89">
            <v>206896.43792729441</v>
          </cell>
        </row>
        <row r="90">
          <cell r="D90">
            <v>58294.914135543375</v>
          </cell>
          <cell r="E90">
            <v>209586.09162034924</v>
          </cell>
        </row>
        <row r="91">
          <cell r="D91">
            <v>55570.294944478832</v>
          </cell>
          <cell r="E91">
            <v>212310.71081141377</v>
          </cell>
        </row>
        <row r="92">
          <cell r="D92">
            <v>52810.255703930452</v>
          </cell>
          <cell r="E92">
            <v>215070.75005196215</v>
          </cell>
        </row>
        <row r="93">
          <cell r="D93">
            <v>50014.335953254944</v>
          </cell>
          <cell r="E93">
            <v>217866.66980263765</v>
          </cell>
        </row>
        <row r="94">
          <cell r="D94">
            <v>47182.069245820654</v>
          </cell>
          <cell r="E94">
            <v>220698.93651007194</v>
          </cell>
        </row>
        <row r="95">
          <cell r="D95">
            <v>44312.983071189716</v>
          </cell>
          <cell r="E95">
            <v>223568.02268470288</v>
          </cell>
        </row>
        <row r="96">
          <cell r="D96">
            <v>41406.598776288578</v>
          </cell>
          <cell r="E96">
            <v>226474.40697960404</v>
          </cell>
        </row>
        <row r="97">
          <cell r="D97">
            <v>38462.431485553723</v>
          </cell>
          <cell r="E97">
            <v>229418.57427033887</v>
          </cell>
        </row>
        <row r="98">
          <cell r="D98">
            <v>35479.990020039324</v>
          </cell>
          <cell r="E98">
            <v>232401.01573585329</v>
          </cell>
        </row>
        <row r="99">
          <cell r="D99">
            <v>32458.776815473229</v>
          </cell>
          <cell r="E99">
            <v>235422.22894041939</v>
          </cell>
        </row>
        <row r="100">
          <cell r="D100">
            <v>29398.287839247776</v>
          </cell>
          <cell r="E100">
            <v>238482.71791664482</v>
          </cell>
        </row>
        <row r="101">
          <cell r="D101">
            <v>26298.012506331394</v>
          </cell>
          <cell r="E101">
            <v>241582.9932495612</v>
          </cell>
        </row>
        <row r="102">
          <cell r="D102">
            <v>23157.433594087099</v>
          </cell>
          <cell r="E102">
            <v>244723.5721618055</v>
          </cell>
        </row>
        <row r="103">
          <cell r="D103">
            <v>19976.027155983626</v>
          </cell>
          <cell r="E103">
            <v>247904.97859990899</v>
          </cell>
        </row>
        <row r="104">
          <cell r="D104">
            <v>16753.26243418481</v>
          </cell>
          <cell r="E104">
            <v>251127.74332170779</v>
          </cell>
        </row>
        <row r="105">
          <cell r="D105">
            <v>13488.601771002606</v>
          </cell>
          <cell r="E105">
            <v>254392.40398489</v>
          </cell>
        </row>
        <row r="106">
          <cell r="D106">
            <v>10181.500519199037</v>
          </cell>
          <cell r="E106">
            <v>257699.50523669357</v>
          </cell>
        </row>
        <row r="107">
          <cell r="D107">
            <v>6831.4069511220214</v>
          </cell>
          <cell r="E107">
            <v>261049.59880477059</v>
          </cell>
        </row>
        <row r="108">
          <cell r="D108">
            <v>3437.7621666600035</v>
          </cell>
          <cell r="E108">
            <v>264443.24358923262</v>
          </cell>
        </row>
      </sheetData>
      <sheetData sheetId="8">
        <row r="34">
          <cell r="D34">
            <v>0.19</v>
          </cell>
        </row>
      </sheetData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N20"/>
  <sheetViews>
    <sheetView tabSelected="1" topLeftCell="B2" zoomScale="112" zoomScaleNormal="112" workbookViewId="0">
      <selection activeCell="G11" sqref="G11"/>
    </sheetView>
  </sheetViews>
  <sheetFormatPr baseColWidth="10" defaultRowHeight="15" x14ac:dyDescent="0.25"/>
  <cols>
    <col min="2" max="2" width="5.140625" bestFit="1" customWidth="1"/>
    <col min="3" max="3" width="20" customWidth="1"/>
    <col min="4" max="4" width="20.5703125" customWidth="1"/>
    <col min="5" max="5" width="23.5703125" customWidth="1"/>
    <col min="6" max="6" width="25.7109375" bestFit="1" customWidth="1"/>
    <col min="7" max="7" width="26" bestFit="1" customWidth="1"/>
    <col min="8" max="8" width="14.5703125" customWidth="1"/>
    <col min="9" max="9" width="30.7109375" bestFit="1" customWidth="1"/>
    <col min="12" max="12" width="20.140625" hidden="1" customWidth="1"/>
    <col min="13" max="13" width="25.42578125" hidden="1" customWidth="1"/>
    <col min="14" max="14" width="26" hidden="1" customWidth="1"/>
  </cols>
  <sheetData>
    <row r="7" spans="2:14" x14ac:dyDescent="0.25">
      <c r="B7" s="122"/>
      <c r="C7" s="122"/>
      <c r="D7" s="122"/>
      <c r="E7" s="122"/>
      <c r="F7" s="122"/>
      <c r="G7" s="122"/>
      <c r="H7" s="122"/>
      <c r="I7" s="122"/>
    </row>
    <row r="8" spans="2:14" x14ac:dyDescent="0.25">
      <c r="B8" s="122"/>
      <c r="C8" s="122"/>
      <c r="D8" s="122"/>
      <c r="E8" s="122"/>
      <c r="F8" s="122"/>
      <c r="G8" s="122"/>
      <c r="H8" s="122"/>
      <c r="I8" s="122"/>
    </row>
    <row r="9" spans="2:14" x14ac:dyDescent="0.25">
      <c r="B9" s="123"/>
      <c r="C9" s="123"/>
      <c r="D9" s="123"/>
      <c r="E9" s="123"/>
      <c r="F9" s="123"/>
      <c r="G9" s="123"/>
      <c r="H9" s="123"/>
      <c r="I9" s="123"/>
      <c r="L9" t="s">
        <v>6</v>
      </c>
      <c r="M9" t="s">
        <v>15</v>
      </c>
      <c r="N9" t="s">
        <v>2</v>
      </c>
    </row>
    <row r="10" spans="2:14" x14ac:dyDescent="0.25">
      <c r="B10" s="5" t="s">
        <v>5</v>
      </c>
      <c r="C10" s="6" t="s">
        <v>0</v>
      </c>
      <c r="D10" s="6" t="s">
        <v>1</v>
      </c>
      <c r="E10" s="6" t="s">
        <v>23</v>
      </c>
      <c r="F10" s="6" t="s">
        <v>9</v>
      </c>
      <c r="G10" s="6" t="s">
        <v>2</v>
      </c>
      <c r="H10" s="6" t="s">
        <v>3</v>
      </c>
      <c r="I10" s="6" t="s">
        <v>4</v>
      </c>
      <c r="L10" s="2" t="s">
        <v>8</v>
      </c>
      <c r="M10" t="s">
        <v>10</v>
      </c>
      <c r="N10" t="s">
        <v>16</v>
      </c>
    </row>
    <row r="11" spans="2:14" x14ac:dyDescent="0.25">
      <c r="B11" s="3">
        <v>1</v>
      </c>
      <c r="C11" s="1" t="s">
        <v>325</v>
      </c>
      <c r="D11" s="1" t="s">
        <v>326</v>
      </c>
      <c r="E11" s="1" t="s">
        <v>8</v>
      </c>
      <c r="F11" s="1" t="s">
        <v>11</v>
      </c>
      <c r="G11" s="1" t="s">
        <v>19</v>
      </c>
      <c r="H11" s="1"/>
      <c r="I11" s="4"/>
      <c r="L11" t="s">
        <v>7</v>
      </c>
      <c r="M11" t="s">
        <v>11</v>
      </c>
      <c r="N11" t="s">
        <v>17</v>
      </c>
    </row>
    <row r="12" spans="2:14" x14ac:dyDescent="0.25">
      <c r="B12" s="3">
        <v>2</v>
      </c>
      <c r="C12" s="1" t="s">
        <v>327</v>
      </c>
      <c r="D12" s="1" t="s">
        <v>328</v>
      </c>
      <c r="E12" s="1" t="s">
        <v>7</v>
      </c>
      <c r="F12" s="1" t="s">
        <v>11</v>
      </c>
      <c r="G12" s="1" t="s">
        <v>16</v>
      </c>
      <c r="H12" s="1"/>
      <c r="I12" s="4"/>
      <c r="M12" t="s">
        <v>12</v>
      </c>
      <c r="N12" t="s">
        <v>18</v>
      </c>
    </row>
    <row r="13" spans="2:14" x14ac:dyDescent="0.25">
      <c r="B13" s="3">
        <v>3</v>
      </c>
      <c r="C13" s="1" t="s">
        <v>329</v>
      </c>
      <c r="D13" s="1" t="s">
        <v>330</v>
      </c>
      <c r="E13" s="1" t="s">
        <v>8</v>
      </c>
      <c r="F13" s="1" t="s">
        <v>11</v>
      </c>
      <c r="G13" s="1" t="s">
        <v>17</v>
      </c>
      <c r="H13" s="1"/>
      <c r="I13" s="4"/>
      <c r="M13" t="s">
        <v>13</v>
      </c>
      <c r="N13" t="s">
        <v>19</v>
      </c>
    </row>
    <row r="14" spans="2:14" x14ac:dyDescent="0.25">
      <c r="B14" s="3">
        <v>4</v>
      </c>
      <c r="C14" s="1" t="s">
        <v>331</v>
      </c>
      <c r="D14" s="1" t="s">
        <v>332</v>
      </c>
      <c r="E14" s="1" t="s">
        <v>8</v>
      </c>
      <c r="F14" s="1" t="s">
        <v>11</v>
      </c>
      <c r="G14" s="1" t="s">
        <v>18</v>
      </c>
      <c r="H14" s="1"/>
      <c r="I14" s="4"/>
      <c r="M14" t="s">
        <v>14</v>
      </c>
    </row>
    <row r="15" spans="2:14" x14ac:dyDescent="0.25">
      <c r="B15" s="3">
        <v>5</v>
      </c>
      <c r="C15" s="1"/>
      <c r="D15" s="1"/>
      <c r="E15" s="1"/>
      <c r="F15" s="1"/>
      <c r="G15" s="1"/>
      <c r="H15" s="1"/>
      <c r="I15" s="4"/>
    </row>
    <row r="16" spans="2:14" x14ac:dyDescent="0.25">
      <c r="B16" s="3">
        <v>6</v>
      </c>
      <c r="C16" s="1"/>
      <c r="D16" s="1"/>
      <c r="E16" s="1"/>
      <c r="F16" s="1"/>
      <c r="G16" s="1"/>
      <c r="H16" s="1"/>
      <c r="I16" s="1"/>
    </row>
    <row r="17" spans="2:9" x14ac:dyDescent="0.25">
      <c r="B17" s="3">
        <v>7</v>
      </c>
      <c r="C17" s="1"/>
      <c r="D17" s="1"/>
      <c r="E17" s="1"/>
      <c r="F17" s="1"/>
      <c r="G17" s="1"/>
      <c r="H17" s="1"/>
      <c r="I17" s="1"/>
    </row>
    <row r="18" spans="2:9" x14ac:dyDescent="0.25">
      <c r="B18" s="3">
        <v>8</v>
      </c>
      <c r="C18" s="1"/>
      <c r="D18" s="1"/>
      <c r="E18" s="1"/>
      <c r="F18" s="1"/>
      <c r="G18" s="1"/>
      <c r="H18" s="1"/>
      <c r="I18" s="1"/>
    </row>
    <row r="19" spans="2:9" x14ac:dyDescent="0.25">
      <c r="B19" s="3">
        <v>9</v>
      </c>
      <c r="C19" s="1"/>
      <c r="D19" s="1"/>
      <c r="E19" s="1"/>
      <c r="F19" s="1"/>
      <c r="G19" s="1"/>
      <c r="H19" s="1"/>
      <c r="I19" s="1"/>
    </row>
    <row r="20" spans="2:9" x14ac:dyDescent="0.25">
      <c r="B20" s="3">
        <v>10</v>
      </c>
      <c r="C20" s="1"/>
      <c r="D20" s="1"/>
      <c r="E20" s="1"/>
      <c r="F20" s="1"/>
      <c r="G20" s="1"/>
      <c r="H20" s="1"/>
      <c r="I20" s="1"/>
    </row>
  </sheetData>
  <mergeCells count="1">
    <mergeCell ref="B7:I9"/>
  </mergeCells>
  <dataValidations count="3">
    <dataValidation type="list" allowBlank="1" showInputMessage="1" showErrorMessage="1" sqref="E11:E20" xr:uid="{00000000-0002-0000-0000-000000000000}">
      <formula1>$L$10:$L$11</formula1>
    </dataValidation>
    <dataValidation type="list" allowBlank="1" showInputMessage="1" showErrorMessage="1" sqref="F11:F20" xr:uid="{00000000-0002-0000-0000-000001000000}">
      <formula1>$M$10:$M$14</formula1>
    </dataValidation>
    <dataValidation type="list" allowBlank="1" showInputMessage="1" showErrorMessage="1" sqref="G11:G20" xr:uid="{00000000-0002-0000-0000-000002000000}">
      <formula1>$N$10:$N$13</formula1>
    </dataValidation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/>
  </sheetPr>
  <dimension ref="B5:G70"/>
  <sheetViews>
    <sheetView topLeftCell="A30" zoomScale="86" zoomScaleNormal="86" workbookViewId="0">
      <selection activeCell="E19" sqref="E19"/>
    </sheetView>
  </sheetViews>
  <sheetFormatPr baseColWidth="10" defaultRowHeight="15" x14ac:dyDescent="0.25"/>
  <cols>
    <col min="2" max="2" width="34.7109375" bestFit="1" customWidth="1"/>
    <col min="3" max="3" width="16.5703125" bestFit="1" customWidth="1"/>
    <col min="4" max="4" width="17" bestFit="1" customWidth="1"/>
    <col min="5" max="5" width="11.85546875" bestFit="1" customWidth="1"/>
    <col min="6" max="6" width="23.5703125" bestFit="1" customWidth="1"/>
    <col min="7" max="7" width="12.7109375" bestFit="1" customWidth="1"/>
  </cols>
  <sheetData>
    <row r="5" spans="2:7" x14ac:dyDescent="0.25">
      <c r="B5" s="130" t="s">
        <v>171</v>
      </c>
      <c r="C5" s="130"/>
      <c r="D5" s="130"/>
      <c r="E5" s="130"/>
      <c r="F5" s="130"/>
      <c r="G5" s="130"/>
    </row>
    <row r="7" spans="2:7" x14ac:dyDescent="0.25">
      <c r="B7" s="84"/>
      <c r="C7" s="84"/>
    </row>
    <row r="8" spans="2:7" x14ac:dyDescent="0.25">
      <c r="B8" s="74"/>
      <c r="C8" s="74"/>
    </row>
    <row r="9" spans="2:7" x14ac:dyDescent="0.25">
      <c r="B9" s="130" t="s">
        <v>172</v>
      </c>
      <c r="C9" s="130"/>
    </row>
    <row r="10" spans="2:7" x14ac:dyDescent="0.25">
      <c r="B10" s="74"/>
      <c r="C10" s="74"/>
    </row>
    <row r="11" spans="2:7" x14ac:dyDescent="0.25">
      <c r="B11" s="31" t="s">
        <v>75</v>
      </c>
      <c r="C11" s="31" t="s">
        <v>173</v>
      </c>
    </row>
    <row r="12" spans="2:7" x14ac:dyDescent="0.25">
      <c r="B12" s="31" t="s">
        <v>174</v>
      </c>
      <c r="C12" s="83"/>
    </row>
    <row r="13" spans="2:7" x14ac:dyDescent="0.25">
      <c r="B13" s="31" t="s">
        <v>175</v>
      </c>
      <c r="C13" s="85">
        <v>0.19</v>
      </c>
    </row>
    <row r="14" spans="2:7" x14ac:dyDescent="0.25">
      <c r="B14" s="74"/>
      <c r="C14" s="75"/>
    </row>
    <row r="15" spans="2:7" x14ac:dyDescent="0.25">
      <c r="B15" s="31" t="s">
        <v>176</v>
      </c>
      <c r="C15" s="119">
        <f>'Plan de Inversion'!G34</f>
        <v>6000000</v>
      </c>
    </row>
    <row r="16" spans="2:7" x14ac:dyDescent="0.25">
      <c r="B16" s="31" t="s">
        <v>177</v>
      </c>
      <c r="C16" s="86">
        <v>0.12</v>
      </c>
    </row>
    <row r="17" spans="2:6" x14ac:dyDescent="0.25">
      <c r="B17" s="31" t="s">
        <v>178</v>
      </c>
      <c r="C17" s="87">
        <f>C18*12</f>
        <v>0.156</v>
      </c>
    </row>
    <row r="18" spans="2:6" x14ac:dyDescent="0.25">
      <c r="B18" s="31" t="s">
        <v>179</v>
      </c>
      <c r="C18" s="85">
        <v>1.2999999999999999E-2</v>
      </c>
    </row>
    <row r="19" spans="2:6" x14ac:dyDescent="0.25">
      <c r="B19" s="31" t="s">
        <v>180</v>
      </c>
      <c r="C19" s="83">
        <v>12</v>
      </c>
    </row>
    <row r="21" spans="2:6" x14ac:dyDescent="0.25">
      <c r="B21" s="34" t="s">
        <v>181</v>
      </c>
      <c r="C21" s="34" t="s">
        <v>182</v>
      </c>
      <c r="D21" s="34" t="s">
        <v>183</v>
      </c>
      <c r="E21" s="34" t="s">
        <v>184</v>
      </c>
      <c r="F21" s="34" t="s">
        <v>185</v>
      </c>
    </row>
    <row r="22" spans="2:6" x14ac:dyDescent="0.25">
      <c r="B22" s="34">
        <v>0</v>
      </c>
      <c r="C22" s="34"/>
      <c r="D22" s="34"/>
      <c r="E22" s="34"/>
      <c r="F22" s="88">
        <f>+C15</f>
        <v>6000000</v>
      </c>
    </row>
    <row r="23" spans="2:6" x14ac:dyDescent="0.25">
      <c r="B23" s="32">
        <v>1</v>
      </c>
      <c r="C23" s="89">
        <f>-PMT(C18,C19,C15)</f>
        <v>543250.06615371036</v>
      </c>
      <c r="D23" s="90">
        <f>+F22*$C$18</f>
        <v>78000</v>
      </c>
      <c r="E23" s="89">
        <f>+C23-D23</f>
        <v>465250.06615371036</v>
      </c>
      <c r="F23" s="90">
        <f>F22-E23</f>
        <v>5534749.9338462893</v>
      </c>
    </row>
    <row r="24" spans="2:6" x14ac:dyDescent="0.25">
      <c r="B24" s="32">
        <v>2</v>
      </c>
      <c r="C24" s="89">
        <f>IF(B24&gt;C19,"",+C23)</f>
        <v>543250.06615371036</v>
      </c>
      <c r="D24" s="90">
        <f t="shared" ref="D24:D70" si="0">+F23*$C$18</f>
        <v>71951.749140001761</v>
      </c>
      <c r="E24" s="89">
        <f t="shared" ref="E24:E70" si="1">+C24-D24</f>
        <v>471298.31701370858</v>
      </c>
      <c r="F24" s="90">
        <f>F23-E24</f>
        <v>5063451.6168325804</v>
      </c>
    </row>
    <row r="25" spans="2:6" x14ac:dyDescent="0.25">
      <c r="B25" s="32">
        <v>3</v>
      </c>
      <c r="C25" s="89">
        <f>IF(B25&gt;C19,"",+C24)</f>
        <v>543250.06615371036</v>
      </c>
      <c r="D25" s="90">
        <f t="shared" si="0"/>
        <v>65824.871018823542</v>
      </c>
      <c r="E25" s="89">
        <f t="shared" si="1"/>
        <v>477425.19513488683</v>
      </c>
      <c r="F25" s="90">
        <f t="shared" ref="F25:F57" si="2">F24-E25</f>
        <v>4586026.4216976939</v>
      </c>
    </row>
    <row r="26" spans="2:6" x14ac:dyDescent="0.25">
      <c r="B26" s="32">
        <v>4</v>
      </c>
      <c r="C26" s="89">
        <f>IF(B26&gt;C19,"",+C25)</f>
        <v>543250.06615371036</v>
      </c>
      <c r="D26" s="90">
        <f t="shared" si="0"/>
        <v>59618.34348207002</v>
      </c>
      <c r="E26" s="89">
        <f t="shared" si="1"/>
        <v>483631.72267164034</v>
      </c>
      <c r="F26" s="90">
        <f t="shared" si="2"/>
        <v>4102394.6990260538</v>
      </c>
    </row>
    <row r="27" spans="2:6" x14ac:dyDescent="0.25">
      <c r="B27" s="32">
        <v>5</v>
      </c>
      <c r="C27" s="89">
        <f>IF(B27&gt;C19,"",+C26)</f>
        <v>543250.06615371036</v>
      </c>
      <c r="D27" s="90">
        <f t="shared" si="0"/>
        <v>53331.131087338697</v>
      </c>
      <c r="E27" s="89">
        <f t="shared" si="1"/>
        <v>489918.93506637169</v>
      </c>
      <c r="F27" s="90">
        <f t="shared" si="2"/>
        <v>3612475.7639596821</v>
      </c>
    </row>
    <row r="28" spans="2:6" x14ac:dyDescent="0.25">
      <c r="B28" s="32">
        <v>6</v>
      </c>
      <c r="C28" s="89">
        <f>IF(B28&gt;C19,"",+C27)</f>
        <v>543250.06615371036</v>
      </c>
      <c r="D28" s="90">
        <f t="shared" si="0"/>
        <v>46962.184931475866</v>
      </c>
      <c r="E28" s="89">
        <f t="shared" si="1"/>
        <v>496287.88122223452</v>
      </c>
      <c r="F28" s="90">
        <f t="shared" si="2"/>
        <v>3116187.8827374475</v>
      </c>
    </row>
    <row r="29" spans="2:6" x14ac:dyDescent="0.25">
      <c r="B29" s="32">
        <v>7</v>
      </c>
      <c r="C29" s="89">
        <f>IF(B29&gt;C19,"",+C28)</f>
        <v>543250.06615371036</v>
      </c>
      <c r="D29" s="90">
        <f t="shared" si="0"/>
        <v>40510.442475586817</v>
      </c>
      <c r="E29" s="89">
        <f t="shared" si="1"/>
        <v>502739.62367812352</v>
      </c>
      <c r="F29" s="90">
        <f t="shared" si="2"/>
        <v>2613448.2590593239</v>
      </c>
    </row>
    <row r="30" spans="2:6" x14ac:dyDescent="0.25">
      <c r="B30" s="32">
        <v>8</v>
      </c>
      <c r="C30" s="89">
        <f>IF(B30&gt;C19,"",+C29)</f>
        <v>543250.06615371036</v>
      </c>
      <c r="D30" s="90">
        <f t="shared" si="0"/>
        <v>33974.827367771206</v>
      </c>
      <c r="E30" s="89">
        <f t="shared" si="1"/>
        <v>509275.23878593917</v>
      </c>
      <c r="F30" s="90">
        <f t="shared" si="2"/>
        <v>2104173.0202733846</v>
      </c>
    </row>
    <row r="31" spans="2:6" x14ac:dyDescent="0.25">
      <c r="B31" s="32">
        <v>9</v>
      </c>
      <c r="C31" s="89">
        <f>IF(B31&gt;C19,"",+C30)</f>
        <v>543250.06615371036</v>
      </c>
      <c r="D31" s="90">
        <f t="shared" si="0"/>
        <v>27354.249263554</v>
      </c>
      <c r="E31" s="89">
        <f t="shared" si="1"/>
        <v>515895.81689015636</v>
      </c>
      <c r="F31" s="90">
        <f t="shared" si="2"/>
        <v>1588277.2033832283</v>
      </c>
    </row>
    <row r="32" spans="2:6" x14ac:dyDescent="0.25">
      <c r="B32" s="32">
        <v>10</v>
      </c>
      <c r="C32" s="89">
        <f>IF(B32&gt;C19,"",+C31)</f>
        <v>543250.06615371036</v>
      </c>
      <c r="D32" s="90">
        <f t="shared" si="0"/>
        <v>20647.603643981965</v>
      </c>
      <c r="E32" s="89">
        <f t="shared" si="1"/>
        <v>522602.46250972839</v>
      </c>
      <c r="F32" s="90">
        <f t="shared" si="2"/>
        <v>1065674.7408734998</v>
      </c>
    </row>
    <row r="33" spans="2:6" x14ac:dyDescent="0.25">
      <c r="B33" s="32">
        <v>11</v>
      </c>
      <c r="C33" s="89">
        <f>IF(B33&gt;C19,"",+C32)</f>
        <v>543250.06615371036</v>
      </c>
      <c r="D33" s="90">
        <f t="shared" si="0"/>
        <v>13853.771631355496</v>
      </c>
      <c r="E33" s="89">
        <f t="shared" si="1"/>
        <v>529396.29452235484</v>
      </c>
      <c r="F33" s="90">
        <f t="shared" si="2"/>
        <v>536278.44635114493</v>
      </c>
    </row>
    <row r="34" spans="2:6" x14ac:dyDescent="0.25">
      <c r="B34" s="32">
        <v>12</v>
      </c>
      <c r="C34" s="89">
        <f>IF(B34&gt;C19,"",+C33)</f>
        <v>543250.06615371036</v>
      </c>
      <c r="D34" s="90">
        <f t="shared" si="0"/>
        <v>6971.6198025648837</v>
      </c>
      <c r="E34" s="89">
        <f t="shared" si="1"/>
        <v>536278.44635114551</v>
      </c>
      <c r="F34" s="90">
        <f t="shared" si="2"/>
        <v>0</v>
      </c>
    </row>
    <row r="35" spans="2:6" x14ac:dyDescent="0.25">
      <c r="B35" s="32">
        <v>13</v>
      </c>
      <c r="C35" s="89" t="str">
        <f>IF(B35&gt;C19,"",+C34)</f>
        <v/>
      </c>
      <c r="D35" s="90">
        <f t="shared" si="0"/>
        <v>0</v>
      </c>
      <c r="E35" s="89" t="e">
        <f t="shared" si="1"/>
        <v>#VALUE!</v>
      </c>
      <c r="F35" s="90" t="e">
        <f t="shared" si="2"/>
        <v>#VALUE!</v>
      </c>
    </row>
    <row r="36" spans="2:6" x14ac:dyDescent="0.25">
      <c r="B36" s="32">
        <v>14</v>
      </c>
      <c r="C36" s="89" t="str">
        <f>IF(B36&gt;C19,"",+C35)</f>
        <v/>
      </c>
      <c r="D36" s="90" t="e">
        <f t="shared" si="0"/>
        <v>#VALUE!</v>
      </c>
      <c r="E36" s="89" t="e">
        <f t="shared" si="1"/>
        <v>#VALUE!</v>
      </c>
      <c r="F36" s="90" t="e">
        <f t="shared" si="2"/>
        <v>#VALUE!</v>
      </c>
    </row>
    <row r="37" spans="2:6" x14ac:dyDescent="0.25">
      <c r="B37" s="32">
        <v>15</v>
      </c>
      <c r="C37" s="89" t="str">
        <f>IF(B37&gt;C19,"",+C36)</f>
        <v/>
      </c>
      <c r="D37" s="90" t="e">
        <f t="shared" si="0"/>
        <v>#VALUE!</v>
      </c>
      <c r="E37" s="89" t="e">
        <f t="shared" si="1"/>
        <v>#VALUE!</v>
      </c>
      <c r="F37" s="90" t="e">
        <f t="shared" si="2"/>
        <v>#VALUE!</v>
      </c>
    </row>
    <row r="38" spans="2:6" x14ac:dyDescent="0.25">
      <c r="B38" s="32">
        <v>16</v>
      </c>
      <c r="C38" s="89" t="str">
        <f>IF(B38&gt;C19,"",+C37)</f>
        <v/>
      </c>
      <c r="D38" s="90" t="e">
        <f t="shared" si="0"/>
        <v>#VALUE!</v>
      </c>
      <c r="E38" s="89" t="e">
        <f t="shared" si="1"/>
        <v>#VALUE!</v>
      </c>
      <c r="F38" s="90" t="e">
        <f t="shared" si="2"/>
        <v>#VALUE!</v>
      </c>
    </row>
    <row r="39" spans="2:6" x14ac:dyDescent="0.25">
      <c r="B39" s="32">
        <v>17</v>
      </c>
      <c r="C39" s="89" t="str">
        <f>IF(B39&gt;C19,"",+C38)</f>
        <v/>
      </c>
      <c r="D39" s="90" t="e">
        <f t="shared" si="0"/>
        <v>#VALUE!</v>
      </c>
      <c r="E39" s="89" t="e">
        <f t="shared" si="1"/>
        <v>#VALUE!</v>
      </c>
      <c r="F39" s="90" t="e">
        <f t="shared" si="2"/>
        <v>#VALUE!</v>
      </c>
    </row>
    <row r="40" spans="2:6" x14ac:dyDescent="0.25">
      <c r="B40" s="32">
        <v>18</v>
      </c>
      <c r="C40" s="89" t="str">
        <f>IF(B40&gt;C19,"",+C39)</f>
        <v/>
      </c>
      <c r="D40" s="90" t="e">
        <f t="shared" si="0"/>
        <v>#VALUE!</v>
      </c>
      <c r="E40" s="89" t="e">
        <f t="shared" si="1"/>
        <v>#VALUE!</v>
      </c>
      <c r="F40" s="90" t="e">
        <f t="shared" si="2"/>
        <v>#VALUE!</v>
      </c>
    </row>
    <row r="41" spans="2:6" x14ac:dyDescent="0.25">
      <c r="B41" s="32">
        <v>19</v>
      </c>
      <c r="C41" s="89" t="str">
        <f>IF(B41&gt;C19,"",+C40)</f>
        <v/>
      </c>
      <c r="D41" s="90" t="e">
        <f t="shared" si="0"/>
        <v>#VALUE!</v>
      </c>
      <c r="E41" s="89" t="e">
        <f t="shared" si="1"/>
        <v>#VALUE!</v>
      </c>
      <c r="F41" s="90" t="e">
        <f t="shared" si="2"/>
        <v>#VALUE!</v>
      </c>
    </row>
    <row r="42" spans="2:6" x14ac:dyDescent="0.25">
      <c r="B42" s="32">
        <v>20</v>
      </c>
      <c r="C42" s="89" t="str">
        <f>IF(B42&gt;C19,"",+C41)</f>
        <v/>
      </c>
      <c r="D42" s="90" t="e">
        <f t="shared" si="0"/>
        <v>#VALUE!</v>
      </c>
      <c r="E42" s="89" t="e">
        <f t="shared" si="1"/>
        <v>#VALUE!</v>
      </c>
      <c r="F42" s="90" t="e">
        <f t="shared" si="2"/>
        <v>#VALUE!</v>
      </c>
    </row>
    <row r="43" spans="2:6" x14ac:dyDescent="0.25">
      <c r="B43" s="32">
        <v>21</v>
      </c>
      <c r="C43" s="89" t="str">
        <f>IF(B43&gt;C19,"",+C42)</f>
        <v/>
      </c>
      <c r="D43" s="90" t="e">
        <f t="shared" si="0"/>
        <v>#VALUE!</v>
      </c>
      <c r="E43" s="89" t="e">
        <f t="shared" si="1"/>
        <v>#VALUE!</v>
      </c>
      <c r="F43" s="90" t="e">
        <f t="shared" si="2"/>
        <v>#VALUE!</v>
      </c>
    </row>
    <row r="44" spans="2:6" x14ac:dyDescent="0.25">
      <c r="B44" s="32">
        <v>22</v>
      </c>
      <c r="C44" s="89" t="str">
        <f>IF(B44&gt;C19,"",+C43)</f>
        <v/>
      </c>
      <c r="D44" s="90" t="e">
        <f t="shared" si="0"/>
        <v>#VALUE!</v>
      </c>
      <c r="E44" s="89" t="e">
        <f t="shared" si="1"/>
        <v>#VALUE!</v>
      </c>
      <c r="F44" s="90" t="e">
        <f t="shared" si="2"/>
        <v>#VALUE!</v>
      </c>
    </row>
    <row r="45" spans="2:6" x14ac:dyDescent="0.25">
      <c r="B45" s="32">
        <v>23</v>
      </c>
      <c r="C45" s="89" t="str">
        <f>IF(B45&gt;C19,"",+C44)</f>
        <v/>
      </c>
      <c r="D45" s="90" t="e">
        <f t="shared" si="0"/>
        <v>#VALUE!</v>
      </c>
      <c r="E45" s="89" t="e">
        <f t="shared" si="1"/>
        <v>#VALUE!</v>
      </c>
      <c r="F45" s="90" t="e">
        <f t="shared" si="2"/>
        <v>#VALUE!</v>
      </c>
    </row>
    <row r="46" spans="2:6" x14ac:dyDescent="0.25">
      <c r="B46" s="32">
        <v>24</v>
      </c>
      <c r="C46" s="89" t="str">
        <f>IF(B46&gt;C19,"",+C45)</f>
        <v/>
      </c>
      <c r="D46" s="90" t="e">
        <f t="shared" si="0"/>
        <v>#VALUE!</v>
      </c>
      <c r="E46" s="89" t="e">
        <f t="shared" si="1"/>
        <v>#VALUE!</v>
      </c>
      <c r="F46" s="90" t="e">
        <f t="shared" si="2"/>
        <v>#VALUE!</v>
      </c>
    </row>
    <row r="47" spans="2:6" x14ac:dyDescent="0.25">
      <c r="B47" s="32">
        <v>25</v>
      </c>
      <c r="C47" s="89" t="str">
        <f>IF(B47&gt;C19,"",+C46)</f>
        <v/>
      </c>
      <c r="D47" s="90" t="e">
        <f t="shared" si="0"/>
        <v>#VALUE!</v>
      </c>
      <c r="E47" s="89" t="e">
        <f t="shared" si="1"/>
        <v>#VALUE!</v>
      </c>
      <c r="F47" s="90" t="e">
        <f t="shared" si="2"/>
        <v>#VALUE!</v>
      </c>
    </row>
    <row r="48" spans="2:6" x14ac:dyDescent="0.25">
      <c r="B48" s="32">
        <v>26</v>
      </c>
      <c r="C48" s="89" t="str">
        <f>IF(B48&gt;C19,"",+C47)</f>
        <v/>
      </c>
      <c r="D48" s="90" t="e">
        <f t="shared" si="0"/>
        <v>#VALUE!</v>
      </c>
      <c r="E48" s="89" t="e">
        <f t="shared" si="1"/>
        <v>#VALUE!</v>
      </c>
      <c r="F48" s="90" t="e">
        <f t="shared" si="2"/>
        <v>#VALUE!</v>
      </c>
    </row>
    <row r="49" spans="2:6" x14ac:dyDescent="0.25">
      <c r="B49" s="32">
        <v>27</v>
      </c>
      <c r="C49" s="89" t="str">
        <f>IF(B49&gt;C19,"",+C48)</f>
        <v/>
      </c>
      <c r="D49" s="90" t="e">
        <f t="shared" si="0"/>
        <v>#VALUE!</v>
      </c>
      <c r="E49" s="89" t="e">
        <f t="shared" si="1"/>
        <v>#VALUE!</v>
      </c>
      <c r="F49" s="90" t="e">
        <f t="shared" si="2"/>
        <v>#VALUE!</v>
      </c>
    </row>
    <row r="50" spans="2:6" x14ac:dyDescent="0.25">
      <c r="B50" s="32">
        <v>28</v>
      </c>
      <c r="C50" s="89" t="str">
        <f>IF(B50&gt;C19,"",+C49)</f>
        <v/>
      </c>
      <c r="D50" s="90" t="e">
        <f t="shared" si="0"/>
        <v>#VALUE!</v>
      </c>
      <c r="E50" s="89" t="e">
        <f t="shared" si="1"/>
        <v>#VALUE!</v>
      </c>
      <c r="F50" s="90" t="e">
        <f t="shared" si="2"/>
        <v>#VALUE!</v>
      </c>
    </row>
    <row r="51" spans="2:6" x14ac:dyDescent="0.25">
      <c r="B51" s="32">
        <v>29</v>
      </c>
      <c r="C51" s="89" t="str">
        <f>IF(B51&gt;C19,"",+C50)</f>
        <v/>
      </c>
      <c r="D51" s="90" t="e">
        <f t="shared" si="0"/>
        <v>#VALUE!</v>
      </c>
      <c r="E51" s="89" t="e">
        <f t="shared" si="1"/>
        <v>#VALUE!</v>
      </c>
      <c r="F51" s="90" t="e">
        <f t="shared" si="2"/>
        <v>#VALUE!</v>
      </c>
    </row>
    <row r="52" spans="2:6" x14ac:dyDescent="0.25">
      <c r="B52" s="32">
        <v>30</v>
      </c>
      <c r="C52" s="89" t="str">
        <f>IF(B52&gt;C19,"",+C51)</f>
        <v/>
      </c>
      <c r="D52" s="90" t="e">
        <f t="shared" si="0"/>
        <v>#VALUE!</v>
      </c>
      <c r="E52" s="89" t="e">
        <f t="shared" si="1"/>
        <v>#VALUE!</v>
      </c>
      <c r="F52" s="90" t="e">
        <f t="shared" si="2"/>
        <v>#VALUE!</v>
      </c>
    </row>
    <row r="53" spans="2:6" x14ac:dyDescent="0.25">
      <c r="B53" s="32">
        <v>31</v>
      </c>
      <c r="C53" s="89" t="str">
        <f>IF(B53&gt;C19,"",+C52)</f>
        <v/>
      </c>
      <c r="D53" s="90" t="e">
        <f t="shared" si="0"/>
        <v>#VALUE!</v>
      </c>
      <c r="E53" s="89" t="e">
        <f t="shared" si="1"/>
        <v>#VALUE!</v>
      </c>
      <c r="F53" s="90" t="e">
        <f t="shared" si="2"/>
        <v>#VALUE!</v>
      </c>
    </row>
    <row r="54" spans="2:6" x14ac:dyDescent="0.25">
      <c r="B54" s="32">
        <v>32</v>
      </c>
      <c r="C54" s="89" t="str">
        <f>IF(B54&gt;C19,"",+C53)</f>
        <v/>
      </c>
      <c r="D54" s="90" t="e">
        <f t="shared" si="0"/>
        <v>#VALUE!</v>
      </c>
      <c r="E54" s="89" t="e">
        <f t="shared" si="1"/>
        <v>#VALUE!</v>
      </c>
      <c r="F54" s="90" t="e">
        <f t="shared" si="2"/>
        <v>#VALUE!</v>
      </c>
    </row>
    <row r="55" spans="2:6" x14ac:dyDescent="0.25">
      <c r="B55" s="32">
        <v>33</v>
      </c>
      <c r="C55" s="89" t="str">
        <f>IF(B55&gt;C19,"",+C54)</f>
        <v/>
      </c>
      <c r="D55" s="90" t="e">
        <f t="shared" si="0"/>
        <v>#VALUE!</v>
      </c>
      <c r="E55" s="89" t="e">
        <f t="shared" si="1"/>
        <v>#VALUE!</v>
      </c>
      <c r="F55" s="90" t="e">
        <f t="shared" si="2"/>
        <v>#VALUE!</v>
      </c>
    </row>
    <row r="56" spans="2:6" x14ac:dyDescent="0.25">
      <c r="B56" s="32">
        <v>34</v>
      </c>
      <c r="C56" s="89" t="str">
        <f>IF(B56&gt;C19,"",+C55)</f>
        <v/>
      </c>
      <c r="D56" s="90" t="e">
        <f t="shared" si="0"/>
        <v>#VALUE!</v>
      </c>
      <c r="E56" s="89" t="e">
        <f t="shared" si="1"/>
        <v>#VALUE!</v>
      </c>
      <c r="F56" s="90" t="e">
        <f t="shared" si="2"/>
        <v>#VALUE!</v>
      </c>
    </row>
    <row r="57" spans="2:6" x14ac:dyDescent="0.25">
      <c r="B57" s="32">
        <v>35</v>
      </c>
      <c r="C57" s="89" t="str">
        <f>IF(B57&gt;C19,"",+C56)</f>
        <v/>
      </c>
      <c r="D57" s="90" t="e">
        <f t="shared" si="0"/>
        <v>#VALUE!</v>
      </c>
      <c r="E57" s="89" t="e">
        <f t="shared" si="1"/>
        <v>#VALUE!</v>
      </c>
      <c r="F57" s="90" t="e">
        <f t="shared" si="2"/>
        <v>#VALUE!</v>
      </c>
    </row>
    <row r="58" spans="2:6" x14ac:dyDescent="0.25">
      <c r="B58" s="32">
        <v>36</v>
      </c>
      <c r="C58" s="89" t="str">
        <f>IF(B58&gt;C19,"",+C57)</f>
        <v/>
      </c>
      <c r="D58" s="90" t="e">
        <f t="shared" si="0"/>
        <v>#VALUE!</v>
      </c>
      <c r="E58" s="89" t="e">
        <f t="shared" si="1"/>
        <v>#VALUE!</v>
      </c>
      <c r="F58" s="90" t="e">
        <f>F57-E58</f>
        <v>#VALUE!</v>
      </c>
    </row>
    <row r="59" spans="2:6" x14ac:dyDescent="0.25">
      <c r="B59" s="32">
        <v>37</v>
      </c>
      <c r="C59" s="89" t="str">
        <f>IF(B59&gt;C19,"",+C58)</f>
        <v/>
      </c>
      <c r="D59" s="90" t="e">
        <f t="shared" si="0"/>
        <v>#VALUE!</v>
      </c>
      <c r="E59" s="89" t="e">
        <f t="shared" si="1"/>
        <v>#VALUE!</v>
      </c>
      <c r="F59" s="90" t="e">
        <f t="shared" ref="F59:F70" si="3">F58-E59</f>
        <v>#VALUE!</v>
      </c>
    </row>
    <row r="60" spans="2:6" x14ac:dyDescent="0.25">
      <c r="B60" s="32">
        <v>38</v>
      </c>
      <c r="C60" s="89" t="str">
        <f>IF(B60&gt;C19,"",+C59)</f>
        <v/>
      </c>
      <c r="D60" s="90" t="e">
        <f t="shared" si="0"/>
        <v>#VALUE!</v>
      </c>
      <c r="E60" s="89" t="e">
        <f t="shared" si="1"/>
        <v>#VALUE!</v>
      </c>
      <c r="F60" s="90" t="e">
        <f t="shared" si="3"/>
        <v>#VALUE!</v>
      </c>
    </row>
    <row r="61" spans="2:6" x14ac:dyDescent="0.25">
      <c r="B61" s="32">
        <v>39</v>
      </c>
      <c r="C61" s="89" t="str">
        <f>IF(B61&gt;C19,"",+C60)</f>
        <v/>
      </c>
      <c r="D61" s="90" t="e">
        <f t="shared" si="0"/>
        <v>#VALUE!</v>
      </c>
      <c r="E61" s="89" t="e">
        <f t="shared" si="1"/>
        <v>#VALUE!</v>
      </c>
      <c r="F61" s="90" t="e">
        <f t="shared" si="3"/>
        <v>#VALUE!</v>
      </c>
    </row>
    <row r="62" spans="2:6" x14ac:dyDescent="0.25">
      <c r="B62" s="32">
        <v>40</v>
      </c>
      <c r="C62" s="89" t="str">
        <f>IF(B62&gt;C19,"",+C61)</f>
        <v/>
      </c>
      <c r="D62" s="90" t="e">
        <f t="shared" si="0"/>
        <v>#VALUE!</v>
      </c>
      <c r="E62" s="89" t="e">
        <f t="shared" si="1"/>
        <v>#VALUE!</v>
      </c>
      <c r="F62" s="90" t="e">
        <f t="shared" si="3"/>
        <v>#VALUE!</v>
      </c>
    </row>
    <row r="63" spans="2:6" x14ac:dyDescent="0.25">
      <c r="B63" s="32">
        <v>41</v>
      </c>
      <c r="C63" s="89" t="str">
        <f>IF(B63&gt;C19,"",+C62)</f>
        <v/>
      </c>
      <c r="D63" s="90" t="e">
        <f t="shared" si="0"/>
        <v>#VALUE!</v>
      </c>
      <c r="E63" s="89" t="e">
        <f t="shared" si="1"/>
        <v>#VALUE!</v>
      </c>
      <c r="F63" s="90" t="e">
        <f t="shared" si="3"/>
        <v>#VALUE!</v>
      </c>
    </row>
    <row r="64" spans="2:6" x14ac:dyDescent="0.25">
      <c r="B64" s="32">
        <v>42</v>
      </c>
      <c r="C64" s="89" t="str">
        <f>IF(B64&gt;C19,"",+C63)</f>
        <v/>
      </c>
      <c r="D64" s="90" t="e">
        <f t="shared" si="0"/>
        <v>#VALUE!</v>
      </c>
      <c r="E64" s="89" t="e">
        <f t="shared" si="1"/>
        <v>#VALUE!</v>
      </c>
      <c r="F64" s="90" t="e">
        <f t="shared" si="3"/>
        <v>#VALUE!</v>
      </c>
    </row>
    <row r="65" spans="2:6" x14ac:dyDescent="0.25">
      <c r="B65" s="32">
        <v>43</v>
      </c>
      <c r="C65" s="89" t="str">
        <f>IF(B65&gt;C19,"",+C64)</f>
        <v/>
      </c>
      <c r="D65" s="90" t="e">
        <f t="shared" si="0"/>
        <v>#VALUE!</v>
      </c>
      <c r="E65" s="89" t="e">
        <f t="shared" si="1"/>
        <v>#VALUE!</v>
      </c>
      <c r="F65" s="90" t="e">
        <f t="shared" si="3"/>
        <v>#VALUE!</v>
      </c>
    </row>
    <row r="66" spans="2:6" x14ac:dyDescent="0.25">
      <c r="B66" s="32">
        <v>44</v>
      </c>
      <c r="C66" s="89" t="str">
        <f>IF(B66&gt;C19,"",+C65)</f>
        <v/>
      </c>
      <c r="D66" s="90" t="e">
        <f t="shared" si="0"/>
        <v>#VALUE!</v>
      </c>
      <c r="E66" s="89" t="e">
        <f t="shared" si="1"/>
        <v>#VALUE!</v>
      </c>
      <c r="F66" s="90" t="e">
        <f t="shared" si="3"/>
        <v>#VALUE!</v>
      </c>
    </row>
    <row r="67" spans="2:6" x14ac:dyDescent="0.25">
      <c r="B67" s="32">
        <v>45</v>
      </c>
      <c r="C67" s="89" t="str">
        <f>IF(B67&gt;C19,"",+C66)</f>
        <v/>
      </c>
      <c r="D67" s="90" t="e">
        <f t="shared" si="0"/>
        <v>#VALUE!</v>
      </c>
      <c r="E67" s="89" t="e">
        <f t="shared" si="1"/>
        <v>#VALUE!</v>
      </c>
      <c r="F67" s="90" t="e">
        <f t="shared" si="3"/>
        <v>#VALUE!</v>
      </c>
    </row>
    <row r="68" spans="2:6" x14ac:dyDescent="0.25">
      <c r="B68" s="32">
        <v>46</v>
      </c>
      <c r="C68" s="89" t="str">
        <f>IF(B68&gt;C19,"",+C67)</f>
        <v/>
      </c>
      <c r="D68" s="90" t="e">
        <f t="shared" si="0"/>
        <v>#VALUE!</v>
      </c>
      <c r="E68" s="89" t="e">
        <f t="shared" si="1"/>
        <v>#VALUE!</v>
      </c>
      <c r="F68" s="90" t="e">
        <f t="shared" si="3"/>
        <v>#VALUE!</v>
      </c>
    </row>
    <row r="69" spans="2:6" x14ac:dyDescent="0.25">
      <c r="B69" s="32">
        <v>47</v>
      </c>
      <c r="C69" s="89" t="str">
        <f>IF(B69&gt;C19,"",+C68)</f>
        <v/>
      </c>
      <c r="D69" s="90" t="e">
        <f t="shared" si="0"/>
        <v>#VALUE!</v>
      </c>
      <c r="E69" s="89" t="e">
        <f t="shared" si="1"/>
        <v>#VALUE!</v>
      </c>
      <c r="F69" s="90" t="e">
        <f t="shared" si="3"/>
        <v>#VALUE!</v>
      </c>
    </row>
    <row r="70" spans="2:6" x14ac:dyDescent="0.25">
      <c r="B70" s="32">
        <v>48</v>
      </c>
      <c r="C70" s="89" t="str">
        <f>IF(B70&gt;C19,"",+C69)</f>
        <v/>
      </c>
      <c r="D70" s="90" t="e">
        <f t="shared" si="0"/>
        <v>#VALUE!</v>
      </c>
      <c r="E70" s="89" t="e">
        <f t="shared" si="1"/>
        <v>#VALUE!</v>
      </c>
      <c r="F70" s="90" t="e">
        <f t="shared" si="3"/>
        <v>#VALUE!</v>
      </c>
    </row>
  </sheetData>
  <mergeCells count="2">
    <mergeCell ref="B5:G5"/>
    <mergeCell ref="B9:C9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4:H19"/>
  <sheetViews>
    <sheetView topLeftCell="A4" workbookViewId="0">
      <selection activeCell="E16" sqref="E16"/>
    </sheetView>
  </sheetViews>
  <sheetFormatPr baseColWidth="10" defaultRowHeight="15" x14ac:dyDescent="0.25"/>
  <cols>
    <col min="3" max="3" width="29.7109375" bestFit="1" customWidth="1"/>
    <col min="4" max="7" width="20.28515625" bestFit="1" customWidth="1"/>
    <col min="8" max="8" width="18.28515625" bestFit="1" customWidth="1"/>
  </cols>
  <sheetData>
    <row r="4" spans="3:8" x14ac:dyDescent="0.25">
      <c r="D4" s="91"/>
      <c r="E4" s="91"/>
    </row>
    <row r="5" spans="3:8" x14ac:dyDescent="0.25">
      <c r="D5" s="91"/>
      <c r="E5" s="91"/>
    </row>
    <row r="6" spans="3:8" x14ac:dyDescent="0.25">
      <c r="D6" s="91"/>
      <c r="E6" s="91"/>
    </row>
    <row r="7" spans="3:8" x14ac:dyDescent="0.25">
      <c r="C7" s="93" t="s">
        <v>75</v>
      </c>
      <c r="D7" s="95" t="s">
        <v>131</v>
      </c>
      <c r="E7" s="95" t="s">
        <v>118</v>
      </c>
      <c r="F7" s="94" t="s">
        <v>119</v>
      </c>
      <c r="G7" s="94" t="s">
        <v>120</v>
      </c>
      <c r="H7" s="94" t="s">
        <v>121</v>
      </c>
    </row>
    <row r="8" spans="3:8" x14ac:dyDescent="0.25">
      <c r="C8" s="1" t="s">
        <v>166</v>
      </c>
      <c r="D8" s="7">
        <f>'Presupuesto de compras y ventas'!E14</f>
        <v>96000000</v>
      </c>
      <c r="E8" s="7">
        <f>'Presupuesto de compras y ventas'!H14</f>
        <v>97920000</v>
      </c>
      <c r="F8" s="7">
        <f>'Presupuesto de compras y ventas'!K14</f>
        <v>100857600</v>
      </c>
      <c r="G8" s="7">
        <f>'Presupuesto de compras y ventas'!N14</f>
        <v>104891904</v>
      </c>
      <c r="H8" s="7">
        <f>'Presupuesto de compras y ventas'!Q14</f>
        <v>109087580.16</v>
      </c>
    </row>
    <row r="9" spans="3:8" x14ac:dyDescent="0.25">
      <c r="C9" s="1" t="s">
        <v>186</v>
      </c>
      <c r="D9" s="7">
        <f>'Presupuesto de compras y ventas'!D14</f>
        <v>0</v>
      </c>
      <c r="E9" s="7">
        <f>'Presupuesto de compras y ventas'!G14</f>
        <v>0</v>
      </c>
      <c r="F9" s="7">
        <f>'Presupuesto de compras y ventas'!J14</f>
        <v>0</v>
      </c>
      <c r="G9" s="7">
        <f>'Presupuesto de compras y ventas'!M14</f>
        <v>0</v>
      </c>
      <c r="H9" s="7">
        <f>'Presupuesto de compras y ventas'!P14</f>
        <v>0</v>
      </c>
    </row>
    <row r="10" spans="3:8" x14ac:dyDescent="0.25">
      <c r="C10" s="93" t="s">
        <v>187</v>
      </c>
      <c r="D10" s="70">
        <f>SUM(D8:D9)</f>
        <v>96000000</v>
      </c>
      <c r="E10" s="70">
        <f>SUM(E8:E9)</f>
        <v>97920000</v>
      </c>
      <c r="F10" s="70">
        <f>SUM(F8:F9)</f>
        <v>100857600</v>
      </c>
      <c r="G10" s="70">
        <f>SUM(G8:G9)</f>
        <v>104891904</v>
      </c>
      <c r="H10" s="70">
        <f>SUM(H8:H9)</f>
        <v>109087580.16</v>
      </c>
    </row>
    <row r="11" spans="3:8" x14ac:dyDescent="0.25">
      <c r="C11" s="93" t="s">
        <v>188</v>
      </c>
      <c r="D11" s="70">
        <f>D8-D10</f>
        <v>0</v>
      </c>
      <c r="E11" s="70">
        <f>E8-E10</f>
        <v>0</v>
      </c>
      <c r="F11" s="70">
        <f>F8-F10</f>
        <v>0</v>
      </c>
      <c r="G11" s="70">
        <f>G8-G10</f>
        <v>0</v>
      </c>
      <c r="H11" s="70">
        <f>H8-H10</f>
        <v>0</v>
      </c>
    </row>
    <row r="12" spans="3:8" x14ac:dyDescent="0.25">
      <c r="C12" s="1" t="s">
        <v>90</v>
      </c>
      <c r="D12" s="7">
        <f>'Presupuesto de Costos y G año 1'!D17</f>
        <v>89689762.156800002</v>
      </c>
      <c r="E12" s="7">
        <f>'Presupuesto de Costos y G año 1'!E17</f>
        <v>95071147.886207998</v>
      </c>
      <c r="F12" s="7">
        <f>'Presupuesto de Costos y G año 1'!F17</f>
        <v>99824705.280518413</v>
      </c>
      <c r="G12" s="7">
        <f>'Presupuesto de Costos y G año 1'!G17</f>
        <v>105814187.59734948</v>
      </c>
      <c r="H12" s="7">
        <f>'Presupuesto de Costos y G año 1'!H17</f>
        <v>111104896.97721699</v>
      </c>
    </row>
    <row r="13" spans="3:8" x14ac:dyDescent="0.25">
      <c r="C13" s="96" t="s">
        <v>190</v>
      </c>
      <c r="D13" s="97">
        <f>'Costos de Administracion'!E15</f>
        <v>3132000</v>
      </c>
      <c r="E13" s="97">
        <f>D13*'Costos de Administracion'!E19</f>
        <v>3257280</v>
      </c>
      <c r="F13" s="97">
        <f>E13*'Costos de Administracion'!E19</f>
        <v>3387571.2</v>
      </c>
      <c r="G13" s="97">
        <f>F13*'Costos de Administracion'!E19</f>
        <v>3523074.0480000004</v>
      </c>
      <c r="H13" s="97">
        <f>G13*'Costos de Administracion'!E19</f>
        <v>3663997.0099200006</v>
      </c>
    </row>
    <row r="14" spans="3:8" x14ac:dyDescent="0.25">
      <c r="C14" s="93" t="s">
        <v>290</v>
      </c>
      <c r="D14" s="70">
        <f>SUM(D12:D13)</f>
        <v>92821762.156800002</v>
      </c>
      <c r="E14" s="70">
        <f t="shared" ref="E14:H14" si="0">SUM(E12:E13)</f>
        <v>98328427.886207998</v>
      </c>
      <c r="F14" s="70">
        <f t="shared" si="0"/>
        <v>103212276.48051842</v>
      </c>
      <c r="G14" s="70">
        <f t="shared" si="0"/>
        <v>109337261.64534947</v>
      </c>
      <c r="H14" s="70">
        <f t="shared" si="0"/>
        <v>114768893.98713699</v>
      </c>
    </row>
    <row r="15" spans="3:8" x14ac:dyDescent="0.25">
      <c r="C15" s="93" t="s">
        <v>291</v>
      </c>
      <c r="D15" s="70">
        <f>D11-D14</f>
        <v>-92821762.156800002</v>
      </c>
      <c r="E15" s="70">
        <f t="shared" ref="E15:H15" si="1">E11-E14</f>
        <v>-98328427.886207998</v>
      </c>
      <c r="F15" s="70">
        <f t="shared" si="1"/>
        <v>-103212276.48051842</v>
      </c>
      <c r="G15" s="70">
        <f t="shared" si="1"/>
        <v>-109337261.64534947</v>
      </c>
      <c r="H15" s="70">
        <f t="shared" si="1"/>
        <v>-114768893.98713699</v>
      </c>
    </row>
    <row r="16" spans="3:8" x14ac:dyDescent="0.25">
      <c r="C16" s="83" t="s">
        <v>189</v>
      </c>
      <c r="D16" s="7">
        <f>SUM(Creditos!D23:D34)</f>
        <v>519000.79384452425</v>
      </c>
      <c r="E16" s="7" t="e">
        <f>SUM(Creditos!D35:D46)</f>
        <v>#VALUE!</v>
      </c>
      <c r="F16" s="7" t="e">
        <f>SUM(Creditos!D47:D58)</f>
        <v>#VALUE!</v>
      </c>
      <c r="G16" s="7" t="e">
        <f>SUM(Creditos!D58:D70)</f>
        <v>#VALUE!</v>
      </c>
      <c r="H16" s="7">
        <v>0</v>
      </c>
    </row>
    <row r="17" spans="3:8" x14ac:dyDescent="0.25">
      <c r="C17" s="83" t="s">
        <v>193</v>
      </c>
      <c r="D17" s="1"/>
      <c r="E17" s="1"/>
      <c r="F17" s="1"/>
      <c r="G17" s="1"/>
      <c r="H17" s="1"/>
    </row>
    <row r="18" spans="3:8" x14ac:dyDescent="0.25">
      <c r="C18" s="93" t="s">
        <v>194</v>
      </c>
      <c r="D18" s="99">
        <f>SUM(D16:D17)</f>
        <v>519000.79384452425</v>
      </c>
      <c r="E18" s="99" t="e">
        <f t="shared" ref="E18:H18" si="2">SUM(E16:E17)</f>
        <v>#VALUE!</v>
      </c>
      <c r="F18" s="99" t="e">
        <f t="shared" si="2"/>
        <v>#VALUE!</v>
      </c>
      <c r="G18" s="99" t="e">
        <f t="shared" si="2"/>
        <v>#VALUE!</v>
      </c>
      <c r="H18" s="99">
        <f t="shared" si="2"/>
        <v>0</v>
      </c>
    </row>
    <row r="19" spans="3:8" x14ac:dyDescent="0.25">
      <c r="C19" s="93" t="s">
        <v>195</v>
      </c>
      <c r="D19" s="99">
        <f>D11-D18</f>
        <v>-519000.79384452425</v>
      </c>
      <c r="E19" s="99" t="e">
        <f t="shared" ref="E19:H19" si="3">E11-E18</f>
        <v>#VALUE!</v>
      </c>
      <c r="F19" s="99" t="e">
        <f t="shared" si="3"/>
        <v>#VALUE!</v>
      </c>
      <c r="G19" s="99" t="e">
        <f t="shared" si="3"/>
        <v>#VALUE!</v>
      </c>
      <c r="H19" s="99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6:H30"/>
  <sheetViews>
    <sheetView topLeftCell="A19" workbookViewId="0">
      <selection activeCell="C37" sqref="C37"/>
    </sheetView>
  </sheetViews>
  <sheetFormatPr baseColWidth="10" defaultRowHeight="15" x14ac:dyDescent="0.25"/>
  <cols>
    <col min="2" max="2" width="37.42578125" bestFit="1" customWidth="1"/>
    <col min="3" max="3" width="37.42578125" customWidth="1"/>
    <col min="4" max="8" width="20.28515625" bestFit="1" customWidth="1"/>
  </cols>
  <sheetData>
    <row r="6" spans="2:8" x14ac:dyDescent="0.25">
      <c r="B6" s="93" t="s">
        <v>196</v>
      </c>
      <c r="C6" s="94" t="s">
        <v>213</v>
      </c>
      <c r="D6" s="94" t="s">
        <v>131</v>
      </c>
      <c r="E6" s="94" t="s">
        <v>118</v>
      </c>
      <c r="F6" s="94" t="s">
        <v>119</v>
      </c>
      <c r="G6" s="94" t="s">
        <v>120</v>
      </c>
      <c r="H6" s="94" t="s">
        <v>121</v>
      </c>
    </row>
    <row r="7" spans="2:8" x14ac:dyDescent="0.25">
      <c r="B7" s="144" t="s">
        <v>197</v>
      </c>
      <c r="C7" s="144"/>
      <c r="D7" s="144"/>
      <c r="E7" s="144"/>
      <c r="F7" s="144"/>
      <c r="G7" s="144"/>
      <c r="H7" s="144"/>
    </row>
    <row r="8" spans="2:8" x14ac:dyDescent="0.25">
      <c r="B8" s="1" t="s">
        <v>197</v>
      </c>
      <c r="C8" s="7">
        <v>0</v>
      </c>
      <c r="D8" s="9">
        <f>'Plan de Inversion'!E11</f>
        <v>0</v>
      </c>
      <c r="E8" s="9">
        <f t="shared" ref="E8:H10" si="0">D8</f>
        <v>0</v>
      </c>
      <c r="F8" s="9">
        <f t="shared" si="0"/>
        <v>0</v>
      </c>
      <c r="G8" s="9">
        <f t="shared" si="0"/>
        <v>0</v>
      </c>
      <c r="H8" s="9">
        <f t="shared" si="0"/>
        <v>0</v>
      </c>
    </row>
    <row r="9" spans="2:8" x14ac:dyDescent="0.25">
      <c r="B9" s="1" t="s">
        <v>71</v>
      </c>
      <c r="C9" s="7">
        <f>'Plan de Inversion'!E22</f>
        <v>1708000</v>
      </c>
      <c r="D9" s="9">
        <f>'Plan de Inversion'!E22</f>
        <v>1708000</v>
      </c>
      <c r="E9" s="9">
        <f t="shared" si="0"/>
        <v>1708000</v>
      </c>
      <c r="F9" s="9">
        <f t="shared" si="0"/>
        <v>1708000</v>
      </c>
      <c r="G9" s="9">
        <f t="shared" si="0"/>
        <v>1708000</v>
      </c>
      <c r="H9" s="9">
        <f t="shared" si="0"/>
        <v>1708000</v>
      </c>
    </row>
    <row r="10" spans="2:8" x14ac:dyDescent="0.25">
      <c r="B10" s="1" t="s">
        <v>72</v>
      </c>
      <c r="C10" s="7">
        <f>'Plan de Inversion'!E33</f>
        <v>6570000</v>
      </c>
      <c r="D10" s="9">
        <f>'Plan de Inversion'!E33</f>
        <v>6570000</v>
      </c>
      <c r="E10" s="9">
        <f t="shared" si="0"/>
        <v>6570000</v>
      </c>
      <c r="F10" s="9">
        <f t="shared" si="0"/>
        <v>6570000</v>
      </c>
      <c r="G10" s="9">
        <f t="shared" si="0"/>
        <v>6570000</v>
      </c>
      <c r="H10" s="9">
        <f t="shared" si="0"/>
        <v>6570000</v>
      </c>
    </row>
    <row r="11" spans="2:8" x14ac:dyDescent="0.25">
      <c r="B11" s="93" t="s">
        <v>198</v>
      </c>
      <c r="C11" s="99">
        <f>SUM(C8:C10)</f>
        <v>8278000</v>
      </c>
      <c r="D11" s="99">
        <f>SUM(D8:D10)</f>
        <v>8278000</v>
      </c>
      <c r="E11" s="99">
        <f t="shared" ref="E11:H11" si="1">SUM(E8:E10)</f>
        <v>8278000</v>
      </c>
      <c r="F11" s="99">
        <f t="shared" si="1"/>
        <v>8278000</v>
      </c>
      <c r="G11" s="99">
        <f t="shared" si="1"/>
        <v>8278000</v>
      </c>
      <c r="H11" s="99">
        <f t="shared" si="1"/>
        <v>8278000</v>
      </c>
    </row>
    <row r="12" spans="2:8" x14ac:dyDescent="0.25">
      <c r="B12" s="144" t="s">
        <v>207</v>
      </c>
      <c r="C12" s="144"/>
      <c r="D12" s="144"/>
      <c r="E12" s="144"/>
      <c r="F12" s="144"/>
      <c r="G12" s="144"/>
      <c r="H12" s="144"/>
    </row>
    <row r="13" spans="2:8" x14ac:dyDescent="0.25">
      <c r="B13" s="1" t="s">
        <v>199</v>
      </c>
      <c r="C13" s="1"/>
      <c r="D13" s="7">
        <f>('Presupuesto de ventas'!E90+'Presupuesto de ventas'!E91)*19%</f>
        <v>3040000</v>
      </c>
      <c r="E13" s="9">
        <f>('Presupuesto de compras y ventas'!H45+'Presupuesto de compras y ventas'!H46)*19%</f>
        <v>3100800</v>
      </c>
      <c r="F13" s="9">
        <f>('Presupuesto de compras y ventas'!K45+'Presupuesto de compras y ventas'!K46)*19%</f>
        <v>3193824</v>
      </c>
      <c r="G13" s="7">
        <f>('Presupuesto de compras y ventas'!N45+'Presupuesto de compras y ventas'!N46)*19%</f>
        <v>3321576.96</v>
      </c>
      <c r="H13" s="7">
        <f>('Presupuesto de compras y ventas'!Q45+'Presupuesto de compras y ventas'!Q46)*19%</f>
        <v>3454440.0384</v>
      </c>
    </row>
    <row r="14" spans="2:8" x14ac:dyDescent="0.25">
      <c r="B14" s="1" t="s">
        <v>200</v>
      </c>
      <c r="C14" s="1"/>
      <c r="D14" s="9">
        <f>'Presupuesto de Costos y G año 1'!D11+'Presupuesto de Costos y G año 1'!D14</f>
        <v>5669202.2400000002</v>
      </c>
      <c r="E14" s="9">
        <f>'Presupuesto de Costos y G año 1'!E11+'Presupuesto de Costos y G año 1'!E14</f>
        <v>6009354.3744000001</v>
      </c>
      <c r="F14" s="9">
        <f>'Presupuesto de Costos y G año 1'!F11+'Presupuesto de Costos y G año 1'!F14</f>
        <v>6309822.0931199994</v>
      </c>
      <c r="G14" s="9">
        <f>'Presupuesto de Costos y G año 1'!G11+'Presupuesto de Costos y G año 1'!G14</f>
        <v>6688411.4187072003</v>
      </c>
      <c r="H14" s="9">
        <f>'Presupuesto de Costos y G año 1'!H11+'Presupuesto de Costos y G año 1'!H14</f>
        <v>7022831.9896425605</v>
      </c>
    </row>
    <row r="15" spans="2:8" x14ac:dyDescent="0.25">
      <c r="B15" s="1" t="s">
        <v>201</v>
      </c>
      <c r="C15" s="1"/>
      <c r="D15" s="9">
        <f>SUM('Presupuesto de Costos y G año 1'!D8:D12)/12</f>
        <v>1072060.68</v>
      </c>
      <c r="E15" s="9">
        <f>SUM('Presupuesto de Costos y G año 1'!E8:E12)/12</f>
        <v>1136384.3208000001</v>
      </c>
      <c r="F15" s="9">
        <f>SUM('Presupuesto de Costos y G año 1'!F8:F12)/12</f>
        <v>1193203.53684</v>
      </c>
      <c r="G15" s="9">
        <f>SUM('Presupuesto de Costos y G año 1'!G8:G12)/12</f>
        <v>1264795.7490504002</v>
      </c>
      <c r="H15" s="9">
        <f>SUM('Presupuesto de Costos y G año 1'!H8:H12)/12</f>
        <v>1328035.5365029201</v>
      </c>
    </row>
    <row r="16" spans="2:8" x14ac:dyDescent="0.25">
      <c r="B16" s="83" t="s">
        <v>202</v>
      </c>
      <c r="C16" s="24">
        <f>SUM(Creditos!E23:E34)</f>
        <v>5999999.9999999991</v>
      </c>
      <c r="D16" s="24" t="e">
        <f>SUM(Creditos!E34:E46)</f>
        <v>#VALUE!</v>
      </c>
      <c r="E16" s="24" t="e">
        <f>SUM(Creditos!E47:E58)</f>
        <v>#VALUE!</v>
      </c>
      <c r="F16" s="24" t="e">
        <f>SUM(Creditos!E59:E70)</f>
        <v>#VALUE!</v>
      </c>
      <c r="G16" s="24">
        <v>0</v>
      </c>
      <c r="H16" s="24">
        <v>0</v>
      </c>
    </row>
    <row r="17" spans="2:8" x14ac:dyDescent="0.25">
      <c r="B17" s="93" t="s">
        <v>203</v>
      </c>
      <c r="C17" s="70">
        <f>SUM(C13:C16)</f>
        <v>5999999.9999999991</v>
      </c>
      <c r="D17" s="99" t="e">
        <f>SUM(D13:D16)</f>
        <v>#VALUE!</v>
      </c>
      <c r="E17" s="99" t="e">
        <f t="shared" ref="E17:H17" si="2">SUM(E13:E16)</f>
        <v>#VALUE!</v>
      </c>
      <c r="F17" s="99" t="e">
        <f t="shared" si="2"/>
        <v>#VALUE!</v>
      </c>
      <c r="G17" s="99">
        <f t="shared" si="2"/>
        <v>11274784.127757601</v>
      </c>
      <c r="H17" s="99">
        <f t="shared" si="2"/>
        <v>11805307.564545481</v>
      </c>
    </row>
    <row r="18" spans="2:8" x14ac:dyDescent="0.25">
      <c r="B18" s="83" t="s">
        <v>202</v>
      </c>
      <c r="C18" s="83"/>
      <c r="D18" s="1"/>
      <c r="E18" s="1"/>
      <c r="F18" s="1"/>
      <c r="G18" s="1"/>
      <c r="H18" s="1"/>
    </row>
    <row r="19" spans="2:8" x14ac:dyDescent="0.25">
      <c r="B19" s="83" t="s">
        <v>204</v>
      </c>
      <c r="C19" s="83"/>
      <c r="D19" s="1"/>
      <c r="E19" s="1"/>
      <c r="F19" s="1"/>
      <c r="G19" s="1"/>
      <c r="H19" s="1"/>
    </row>
    <row r="20" spans="2:8" x14ac:dyDescent="0.25">
      <c r="B20" s="93" t="s">
        <v>205</v>
      </c>
      <c r="C20" s="93">
        <f>SUM(C18:C19)</f>
        <v>0</v>
      </c>
      <c r="D20" s="93">
        <f>SUM(D18:D19)</f>
        <v>0</v>
      </c>
      <c r="E20" s="93">
        <f t="shared" ref="E20:H20" si="3">SUM(E18:E19)</f>
        <v>0</v>
      </c>
      <c r="F20" s="93">
        <f t="shared" si="3"/>
        <v>0</v>
      </c>
      <c r="G20" s="93">
        <f t="shared" si="3"/>
        <v>0</v>
      </c>
      <c r="H20" s="93">
        <f t="shared" si="3"/>
        <v>0</v>
      </c>
    </row>
    <row r="21" spans="2:8" x14ac:dyDescent="0.25">
      <c r="B21" s="93" t="s">
        <v>206</v>
      </c>
      <c r="C21" s="99">
        <f>SUM(C17+C20)</f>
        <v>5999999.9999999991</v>
      </c>
      <c r="D21" s="99" t="e">
        <f>SUM(D17+D20)</f>
        <v>#VALUE!</v>
      </c>
      <c r="E21" s="99" t="e">
        <f t="shared" ref="E21:H21" si="4">SUM(E17+E20)</f>
        <v>#VALUE!</v>
      </c>
      <c r="F21" s="99" t="e">
        <f t="shared" si="4"/>
        <v>#VALUE!</v>
      </c>
      <c r="G21" s="99">
        <f t="shared" si="4"/>
        <v>11274784.127757601</v>
      </c>
      <c r="H21" s="99">
        <f t="shared" si="4"/>
        <v>11805307.564545481</v>
      </c>
    </row>
    <row r="22" spans="2:8" x14ac:dyDescent="0.25">
      <c r="B22" s="144" t="s">
        <v>208</v>
      </c>
      <c r="C22" s="144"/>
      <c r="D22" s="144"/>
      <c r="E22" s="144"/>
      <c r="F22" s="144"/>
      <c r="G22" s="144"/>
      <c r="H22" s="144"/>
    </row>
    <row r="23" spans="2:8" x14ac:dyDescent="0.25">
      <c r="B23" s="1" t="s">
        <v>184</v>
      </c>
      <c r="C23" s="9">
        <f>SUM('Plan de Inversion'!F22+'Plan de Inversion'!F11+'Plan de Inversion'!F33)</f>
        <v>1640000</v>
      </c>
      <c r="D23" s="9">
        <f>SUM('Plan de Inversion'!F22+'Plan de Inversion'!F11+'Plan de Inversion'!F33)</f>
        <v>1640000</v>
      </c>
      <c r="E23" s="9">
        <f>D23</f>
        <v>1640000</v>
      </c>
      <c r="F23" s="9">
        <f>E23</f>
        <v>1640000</v>
      </c>
      <c r="G23" s="9">
        <f>F23</f>
        <v>1640000</v>
      </c>
      <c r="H23" s="9">
        <f>G23</f>
        <v>1640000</v>
      </c>
    </row>
    <row r="24" spans="2:8" x14ac:dyDescent="0.25">
      <c r="B24" s="1" t="s">
        <v>209</v>
      </c>
      <c r="C24" s="1"/>
      <c r="D24" s="9">
        <f>'Estado de Perdida y Ganancias'!D19</f>
        <v>-519000.79384452425</v>
      </c>
      <c r="E24" s="9" t="e">
        <f>'Estado de Perdida y Ganancias'!E19</f>
        <v>#VALUE!</v>
      </c>
      <c r="F24" s="9" t="e">
        <f>'Estado de Perdida y Ganancias'!F19</f>
        <v>#VALUE!</v>
      </c>
      <c r="G24" s="9" t="e">
        <f>'Estado de Perdida y Ganancias'!G19</f>
        <v>#VALUE!</v>
      </c>
      <c r="H24" s="9">
        <f>'Estado de Perdida y Ganancias'!H19</f>
        <v>0</v>
      </c>
    </row>
    <row r="25" spans="2:8" x14ac:dyDescent="0.25">
      <c r="B25" s="93" t="s">
        <v>210</v>
      </c>
      <c r="C25" s="99">
        <f>SUM(C23:C24)</f>
        <v>1640000</v>
      </c>
      <c r="D25" s="99">
        <f>SUM(D23:D24)</f>
        <v>1120999.2061554757</v>
      </c>
      <c r="E25" s="99" t="e">
        <f t="shared" ref="E25:H25" si="5">SUM(E23:E24)</f>
        <v>#VALUE!</v>
      </c>
      <c r="F25" s="99" t="e">
        <f t="shared" si="5"/>
        <v>#VALUE!</v>
      </c>
      <c r="G25" s="99" t="e">
        <f t="shared" si="5"/>
        <v>#VALUE!</v>
      </c>
      <c r="H25" s="99">
        <f t="shared" si="5"/>
        <v>1640000</v>
      </c>
    </row>
    <row r="26" spans="2:8" x14ac:dyDescent="0.25">
      <c r="B26" s="93" t="s">
        <v>211</v>
      </c>
      <c r="C26" s="99">
        <f>SUM(C21+C25)</f>
        <v>7639999.9999999991</v>
      </c>
      <c r="D26" s="99" t="e">
        <f>SUM(D21+D25)</f>
        <v>#VALUE!</v>
      </c>
      <c r="E26" s="99" t="e">
        <f t="shared" ref="E26:H26" si="6">SUM(E21+E25)</f>
        <v>#VALUE!</v>
      </c>
      <c r="F26" s="99" t="e">
        <f t="shared" si="6"/>
        <v>#VALUE!</v>
      </c>
      <c r="G26" s="99" t="e">
        <f t="shared" si="6"/>
        <v>#VALUE!</v>
      </c>
      <c r="H26" s="99">
        <f t="shared" si="6"/>
        <v>13445307.564545481</v>
      </c>
    </row>
    <row r="28" spans="2:8" x14ac:dyDescent="0.25">
      <c r="B28" s="145" t="s">
        <v>212</v>
      </c>
      <c r="C28" s="9" t="e">
        <f>D26</f>
        <v>#VALUE!</v>
      </c>
      <c r="D28" s="9" t="e">
        <f t="shared" ref="D28:H28" si="7">E26</f>
        <v>#VALUE!</v>
      </c>
      <c r="E28" s="9" t="e">
        <f t="shared" si="7"/>
        <v>#VALUE!</v>
      </c>
      <c r="F28" s="9" t="e">
        <f t="shared" si="7"/>
        <v>#VALUE!</v>
      </c>
      <c r="G28" s="9">
        <f t="shared" si="7"/>
        <v>13445307.564545481</v>
      </c>
      <c r="H28" s="9">
        <f t="shared" si="7"/>
        <v>0</v>
      </c>
    </row>
    <row r="29" spans="2:8" x14ac:dyDescent="0.25">
      <c r="B29" s="146"/>
      <c r="C29" s="9">
        <f>D11</f>
        <v>8278000</v>
      </c>
      <c r="D29" s="9">
        <f t="shared" ref="D29:H29" si="8">E11</f>
        <v>8278000</v>
      </c>
      <c r="E29" s="9">
        <f t="shared" si="8"/>
        <v>8278000</v>
      </c>
      <c r="F29" s="9">
        <f t="shared" si="8"/>
        <v>8278000</v>
      </c>
      <c r="G29" s="9">
        <f t="shared" si="8"/>
        <v>8278000</v>
      </c>
      <c r="H29" s="9">
        <f t="shared" si="8"/>
        <v>0</v>
      </c>
    </row>
    <row r="30" spans="2:8" x14ac:dyDescent="0.25">
      <c r="B30" s="147"/>
      <c r="C30" s="9" t="e">
        <f>C28-C29</f>
        <v>#VALUE!</v>
      </c>
      <c r="D30" s="9" t="e">
        <f t="shared" ref="D30:H30" si="9">D28-D29</f>
        <v>#VALUE!</v>
      </c>
      <c r="E30" s="9" t="e">
        <f t="shared" si="9"/>
        <v>#VALUE!</v>
      </c>
      <c r="F30" s="9" t="e">
        <f t="shared" si="9"/>
        <v>#VALUE!</v>
      </c>
      <c r="G30" s="9">
        <f t="shared" si="9"/>
        <v>5167307.5645454805</v>
      </c>
      <c r="H30" s="9">
        <f t="shared" si="9"/>
        <v>0</v>
      </c>
    </row>
  </sheetData>
  <mergeCells count="4">
    <mergeCell ref="B7:H7"/>
    <mergeCell ref="B12:H12"/>
    <mergeCell ref="B22:H22"/>
    <mergeCell ref="B28:B3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7"/>
  </sheetPr>
  <dimension ref="B4:V65"/>
  <sheetViews>
    <sheetView topLeftCell="A19" zoomScale="77" zoomScaleNormal="77" workbookViewId="0">
      <selection activeCell="C63" sqref="C63"/>
    </sheetView>
  </sheetViews>
  <sheetFormatPr baseColWidth="10" defaultRowHeight="15" x14ac:dyDescent="0.25"/>
  <cols>
    <col min="2" max="2" width="44.28515625" bestFit="1" customWidth="1"/>
    <col min="3" max="7" width="20.7109375" bestFit="1" customWidth="1"/>
    <col min="8" max="14" width="21.85546875" bestFit="1" customWidth="1"/>
    <col min="15" max="19" width="15.140625" hidden="1" customWidth="1"/>
    <col min="20" max="20" width="0" hidden="1" customWidth="1"/>
    <col min="21" max="21" width="15" bestFit="1" customWidth="1"/>
  </cols>
  <sheetData>
    <row r="4" spans="2:19" x14ac:dyDescent="0.25">
      <c r="B4" s="31" t="s">
        <v>155</v>
      </c>
      <c r="C4" s="68" t="s">
        <v>214</v>
      </c>
      <c r="D4" s="68" t="s">
        <v>215</v>
      </c>
      <c r="E4" s="68" t="s">
        <v>216</v>
      </c>
      <c r="F4" s="68" t="s">
        <v>217</v>
      </c>
      <c r="G4" s="68" t="s">
        <v>218</v>
      </c>
      <c r="H4" s="68" t="s">
        <v>219</v>
      </c>
      <c r="I4" s="68" t="s">
        <v>220</v>
      </c>
      <c r="J4" s="68" t="s">
        <v>221</v>
      </c>
      <c r="K4" s="68" t="s">
        <v>222</v>
      </c>
      <c r="L4" s="68" t="s">
        <v>223</v>
      </c>
      <c r="M4" s="68" t="s">
        <v>224</v>
      </c>
      <c r="N4" s="68" t="s">
        <v>225</v>
      </c>
      <c r="O4" s="68" t="s">
        <v>226</v>
      </c>
      <c r="P4" s="68" t="s">
        <v>227</v>
      </c>
      <c r="Q4" s="68" t="s">
        <v>228</v>
      </c>
      <c r="R4" s="68" t="s">
        <v>229</v>
      </c>
      <c r="S4" s="68" t="s">
        <v>230</v>
      </c>
    </row>
    <row r="5" spans="2:19" x14ac:dyDescent="0.25">
      <c r="B5" s="55" t="s">
        <v>166</v>
      </c>
      <c r="C5" s="65">
        <f>'Presupuesto de compras y ventas'!E35</f>
        <v>8000000</v>
      </c>
      <c r="D5" s="65">
        <f>'Presupuesto de compras y ventas'!E36</f>
        <v>8000000</v>
      </c>
      <c r="E5" s="65">
        <f>'Presupuesto de compras y ventas'!E37</f>
        <v>8000000</v>
      </c>
      <c r="F5" s="65">
        <f>'Presupuesto de compras y ventas'!E38</f>
        <v>8000000</v>
      </c>
      <c r="G5" s="65">
        <f>'Presupuesto de compras y ventas'!E39</f>
        <v>8000000</v>
      </c>
      <c r="H5" s="65">
        <f>'Presupuesto de compras y ventas'!E40</f>
        <v>8000000</v>
      </c>
      <c r="I5" s="65">
        <f>'Presupuesto de compras y ventas'!E41</f>
        <v>8000000</v>
      </c>
      <c r="J5" s="65">
        <f>'Presupuesto de compras y ventas'!E42</f>
        <v>8000000</v>
      </c>
      <c r="K5" s="65">
        <f>'Presupuesto de compras y ventas'!E43</f>
        <v>8000000</v>
      </c>
      <c r="L5" s="65">
        <f>'Presupuesto de compras y ventas'!E44</f>
        <v>8000000</v>
      </c>
      <c r="M5" s="65">
        <f>'Presupuesto de compras y ventas'!E45</f>
        <v>8000000</v>
      </c>
      <c r="N5" s="65">
        <f>'Presupuesto de compras y ventas'!E46</f>
        <v>8000000</v>
      </c>
      <c r="O5" s="51">
        <f>SUM(C5:N5)</f>
        <v>96000000</v>
      </c>
      <c r="P5" s="51">
        <f>'[1]Presupuesto de compras y ventas'!H14</f>
        <v>84460000</v>
      </c>
      <c r="Q5" s="51">
        <f>'[1]Presupuesto de compras y ventas'!K14</f>
        <v>86993800</v>
      </c>
      <c r="R5" s="51">
        <f>'[1]Presupuesto de compras y ventas'!N14</f>
        <v>89603614</v>
      </c>
      <c r="S5" s="51">
        <f>'[1]Presupuesto de compras y ventas'!Q14</f>
        <v>92291722.420000002</v>
      </c>
    </row>
    <row r="6" spans="2:19" x14ac:dyDescent="0.25">
      <c r="B6" s="55" t="s">
        <v>231</v>
      </c>
      <c r="C6" s="65">
        <f>'Materia Prima'!F54</f>
        <v>0</v>
      </c>
      <c r="D6" s="65">
        <f>'Materia Prima'!F55</f>
        <v>0</v>
      </c>
      <c r="E6" s="65">
        <f>'Materia Prima'!F56</f>
        <v>0</v>
      </c>
      <c r="F6" s="65">
        <f>'Materia Prima'!F57</f>
        <v>0</v>
      </c>
      <c r="G6" s="65">
        <f>'Materia Prima'!F58</f>
        <v>0</v>
      </c>
      <c r="H6" s="65">
        <f>'Materia Prima'!F59</f>
        <v>0</v>
      </c>
      <c r="I6" s="65">
        <f>'Materia Prima'!F60</f>
        <v>0</v>
      </c>
      <c r="J6" s="65">
        <f>'Materia Prima'!F61</f>
        <v>0</v>
      </c>
      <c r="K6" s="65">
        <f>'Materia Prima'!F62</f>
        <v>0</v>
      </c>
      <c r="L6" s="65">
        <f>'Materia Prima'!F63</f>
        <v>0</v>
      </c>
      <c r="M6" s="65">
        <f>'Materia Prima'!F64</f>
        <v>0</v>
      </c>
      <c r="N6" s="65">
        <f>'Materia Prima'!F65</f>
        <v>0</v>
      </c>
      <c r="O6" s="51">
        <f>SUM(C6:N6)</f>
        <v>0</v>
      </c>
      <c r="P6" s="51">
        <f>'[1]Presupuesto de compras y ventas'!G14</f>
        <v>4264000</v>
      </c>
      <c r="Q6" s="51">
        <f>'[1]Presupuesto de compras y ventas'!J14</f>
        <v>4434560</v>
      </c>
      <c r="R6" s="51">
        <f>'[1]Presupuesto de compras y ventas'!M14</f>
        <v>4611942.4000000004</v>
      </c>
      <c r="S6" s="51">
        <f>'[1]Presupuesto de compras y ventas'!P14</f>
        <v>4796420.0960000008</v>
      </c>
    </row>
    <row r="8" spans="2:19" x14ac:dyDescent="0.25">
      <c r="B8" s="31" t="s">
        <v>232</v>
      </c>
      <c r="C8" s="68" t="s">
        <v>214</v>
      </c>
      <c r="D8" s="68" t="s">
        <v>215</v>
      </c>
      <c r="E8" s="68" t="s">
        <v>216</v>
      </c>
      <c r="F8" s="68" t="s">
        <v>217</v>
      </c>
      <c r="G8" s="68" t="s">
        <v>218</v>
      </c>
      <c r="H8" s="68" t="s">
        <v>219</v>
      </c>
      <c r="I8" s="68" t="s">
        <v>220</v>
      </c>
      <c r="J8" s="68" t="s">
        <v>221</v>
      </c>
      <c r="K8" s="68" t="s">
        <v>222</v>
      </c>
      <c r="L8" s="68" t="s">
        <v>223</v>
      </c>
      <c r="M8" s="68" t="s">
        <v>224</v>
      </c>
      <c r="N8" s="68" t="s">
        <v>225</v>
      </c>
      <c r="O8" s="68" t="s">
        <v>233</v>
      </c>
    </row>
    <row r="9" spans="2:19" x14ac:dyDescent="0.25">
      <c r="B9" s="130" t="s">
        <v>234</v>
      </c>
      <c r="C9" s="130"/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</row>
    <row r="10" spans="2:19" x14ac:dyDescent="0.25">
      <c r="B10" s="55" t="s">
        <v>235</v>
      </c>
      <c r="C10" s="65">
        <f>C5</f>
        <v>8000000</v>
      </c>
      <c r="D10" s="65">
        <f t="shared" ref="D10:N10" si="0">D5</f>
        <v>8000000</v>
      </c>
      <c r="E10" s="65">
        <f t="shared" si="0"/>
        <v>8000000</v>
      </c>
      <c r="F10" s="65">
        <f t="shared" si="0"/>
        <v>8000000</v>
      </c>
      <c r="G10" s="65">
        <f t="shared" si="0"/>
        <v>8000000</v>
      </c>
      <c r="H10" s="65">
        <f t="shared" si="0"/>
        <v>8000000</v>
      </c>
      <c r="I10" s="65">
        <f t="shared" si="0"/>
        <v>8000000</v>
      </c>
      <c r="J10" s="65">
        <f t="shared" si="0"/>
        <v>8000000</v>
      </c>
      <c r="K10" s="65">
        <f t="shared" si="0"/>
        <v>8000000</v>
      </c>
      <c r="L10" s="65">
        <f t="shared" si="0"/>
        <v>8000000</v>
      </c>
      <c r="M10" s="65">
        <f t="shared" si="0"/>
        <v>8000000</v>
      </c>
      <c r="N10" s="65">
        <f t="shared" si="0"/>
        <v>8000000</v>
      </c>
      <c r="O10" s="51">
        <f>SUM(C10:N10)</f>
        <v>96000000</v>
      </c>
      <c r="P10" s="51">
        <f>IF('[1]Plan de Inversión'!C12&lt;30,(IF(0&lt;='[1]Plan de Inversión'!C12,((1-('[1]Plan de Inversión'!C12/30))*P5),0)),0)</f>
        <v>81644666.666666672</v>
      </c>
      <c r="Q10" s="51">
        <f>IF('[1]Plan de Inversión'!C12&lt;30,(IF(0&lt;='[1]Plan de Inversión'!C12,((1-('[1]Plan de Inversión'!C12/30))*Q5),0)),0)</f>
        <v>84094006.666666672</v>
      </c>
      <c r="R10" s="51">
        <f>IF('[1]Plan de Inversión'!C12&lt;30,(IF(0&lt;='[1]Plan de Inversión'!C12,((1-('[1]Plan de Inversión'!C12/30))*R5),0)),0)</f>
        <v>86616826.866666675</v>
      </c>
      <c r="S10" s="51">
        <f>IF('[1]Plan de Inversión'!C12&lt;30,(IF(0&lt;='[1]Plan de Inversión'!C12,((1-('[1]Plan de Inversión'!C12/30))*S5),0)),0)</f>
        <v>89215331.672666669</v>
      </c>
    </row>
    <row r="11" spans="2:19" x14ac:dyDescent="0.25">
      <c r="B11" s="55" t="s">
        <v>236</v>
      </c>
      <c r="C11" s="65">
        <f>C5-C10</f>
        <v>0</v>
      </c>
      <c r="D11" s="65">
        <f t="shared" ref="D11:N11" si="1">D5-D10</f>
        <v>0</v>
      </c>
      <c r="E11" s="65">
        <f t="shared" si="1"/>
        <v>0</v>
      </c>
      <c r="F11" s="65">
        <f t="shared" si="1"/>
        <v>0</v>
      </c>
      <c r="G11" s="65">
        <f t="shared" si="1"/>
        <v>0</v>
      </c>
      <c r="H11" s="65">
        <f t="shared" si="1"/>
        <v>0</v>
      </c>
      <c r="I11" s="65">
        <f t="shared" si="1"/>
        <v>0</v>
      </c>
      <c r="J11" s="65">
        <f t="shared" si="1"/>
        <v>0</v>
      </c>
      <c r="K11" s="65">
        <f t="shared" si="1"/>
        <v>0</v>
      </c>
      <c r="L11" s="65">
        <f t="shared" si="1"/>
        <v>0</v>
      </c>
      <c r="M11" s="65">
        <f t="shared" si="1"/>
        <v>0</v>
      </c>
      <c r="N11" s="65">
        <f t="shared" si="1"/>
        <v>0</v>
      </c>
      <c r="O11" s="51">
        <f t="shared" ref="O11" si="2">O5-O10</f>
        <v>0</v>
      </c>
      <c r="P11" s="51">
        <f>P5-P10</f>
        <v>2815333.3333333284</v>
      </c>
      <c r="Q11" s="51">
        <f t="shared" ref="Q11:S11" si="3">Q5-Q10</f>
        <v>2899793.3333333284</v>
      </c>
      <c r="R11" s="51">
        <f t="shared" si="3"/>
        <v>2986787.1333333254</v>
      </c>
      <c r="S11" s="51">
        <f t="shared" si="3"/>
        <v>3076390.7473333329</v>
      </c>
    </row>
    <row r="12" spans="2:19" x14ac:dyDescent="0.25">
      <c r="B12" s="55" t="s">
        <v>237</v>
      </c>
      <c r="C12" s="65"/>
      <c r="D12" s="65">
        <v>0</v>
      </c>
      <c r="E12" s="65">
        <f>D12</f>
        <v>0</v>
      </c>
      <c r="F12" s="65">
        <f t="shared" ref="F12:N12" si="4">E12</f>
        <v>0</v>
      </c>
      <c r="G12" s="65">
        <f t="shared" si="4"/>
        <v>0</v>
      </c>
      <c r="H12" s="65">
        <f t="shared" si="4"/>
        <v>0</v>
      </c>
      <c r="I12" s="65">
        <f t="shared" si="4"/>
        <v>0</v>
      </c>
      <c r="J12" s="65">
        <f t="shared" si="4"/>
        <v>0</v>
      </c>
      <c r="K12" s="65">
        <f t="shared" si="4"/>
        <v>0</v>
      </c>
      <c r="L12" s="65">
        <f t="shared" si="4"/>
        <v>0</v>
      </c>
      <c r="M12" s="65">
        <f t="shared" si="4"/>
        <v>0</v>
      </c>
      <c r="N12" s="65">
        <f t="shared" si="4"/>
        <v>0</v>
      </c>
      <c r="O12" s="51">
        <f>SUM(C12:N12)</f>
        <v>0</v>
      </c>
      <c r="P12" s="51">
        <f>+P11</f>
        <v>2815333.3333333284</v>
      </c>
      <c r="Q12" s="51">
        <f t="shared" ref="Q12:S12" si="5">+Q11</f>
        <v>2899793.3333333284</v>
      </c>
      <c r="R12" s="51">
        <f t="shared" si="5"/>
        <v>2986787.1333333254</v>
      </c>
      <c r="S12" s="51">
        <f t="shared" si="5"/>
        <v>3076390.7473333329</v>
      </c>
    </row>
    <row r="13" spans="2:19" x14ac:dyDescent="0.25">
      <c r="B13" s="31" t="s">
        <v>238</v>
      </c>
      <c r="C13" s="102">
        <f>+C10+C12</f>
        <v>8000000</v>
      </c>
      <c r="D13" s="102">
        <f t="shared" ref="D13:N13" si="6">+D10+D12</f>
        <v>8000000</v>
      </c>
      <c r="E13" s="102">
        <f t="shared" si="6"/>
        <v>8000000</v>
      </c>
      <c r="F13" s="102">
        <f t="shared" si="6"/>
        <v>8000000</v>
      </c>
      <c r="G13" s="102">
        <f t="shared" si="6"/>
        <v>8000000</v>
      </c>
      <c r="H13" s="102">
        <f t="shared" si="6"/>
        <v>8000000</v>
      </c>
      <c r="I13" s="102">
        <f t="shared" si="6"/>
        <v>8000000</v>
      </c>
      <c r="J13" s="102">
        <f t="shared" si="6"/>
        <v>8000000</v>
      </c>
      <c r="K13" s="102">
        <f t="shared" si="6"/>
        <v>8000000</v>
      </c>
      <c r="L13" s="102">
        <f t="shared" si="6"/>
        <v>8000000</v>
      </c>
      <c r="M13" s="102">
        <f t="shared" si="6"/>
        <v>8000000</v>
      </c>
      <c r="N13" s="102">
        <f t="shared" si="6"/>
        <v>8000000</v>
      </c>
      <c r="O13" s="100">
        <f>+O10+O12</f>
        <v>96000000</v>
      </c>
      <c r="P13" s="100">
        <f>+P10+P12</f>
        <v>84460000</v>
      </c>
      <c r="Q13" s="100">
        <f t="shared" ref="Q13:S13" si="7">+Q10+Q12</f>
        <v>86993800</v>
      </c>
      <c r="R13" s="100">
        <f t="shared" si="7"/>
        <v>89603614</v>
      </c>
      <c r="S13" s="100">
        <f t="shared" si="7"/>
        <v>92291722.420000002</v>
      </c>
    </row>
    <row r="14" spans="2:19" x14ac:dyDescent="0.25">
      <c r="B14" s="130" t="s">
        <v>239</v>
      </c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</row>
    <row r="15" spans="2:19" x14ac:dyDescent="0.25">
      <c r="B15" s="130" t="s">
        <v>197</v>
      </c>
      <c r="C15" s="130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</row>
    <row r="16" spans="2:19" x14ac:dyDescent="0.25">
      <c r="B16" s="55" t="s">
        <v>240</v>
      </c>
      <c r="C16" s="65">
        <f>'Total de Inversion'!$H$10/12</f>
        <v>5608761.2631999999</v>
      </c>
      <c r="D16" s="65">
        <f>'Total de Inversion'!$H$10/12</f>
        <v>5608761.2631999999</v>
      </c>
      <c r="E16" s="65">
        <f>'Total de Inversion'!$H$10/12</f>
        <v>5608761.2631999999</v>
      </c>
      <c r="F16" s="65">
        <f>'Total de Inversion'!$H$10/12</f>
        <v>5608761.2631999999</v>
      </c>
      <c r="G16" s="65">
        <f>'Total de Inversion'!$H$10/12</f>
        <v>5608761.2631999999</v>
      </c>
      <c r="H16" s="65">
        <f>'Total de Inversion'!$H$10/12</f>
        <v>5608761.2631999999</v>
      </c>
      <c r="I16" s="65">
        <f>'Total de Inversion'!$H$10/12</f>
        <v>5608761.2631999999</v>
      </c>
      <c r="J16" s="65">
        <f>'Total de Inversion'!$H$10/12</f>
        <v>5608761.2631999999</v>
      </c>
      <c r="K16" s="65">
        <f>'Total de Inversion'!$H$10/12</f>
        <v>5608761.2631999999</v>
      </c>
      <c r="L16" s="65">
        <f>'Total de Inversion'!$H$10/12</f>
        <v>5608761.2631999999</v>
      </c>
      <c r="M16" s="65">
        <f>'Total de Inversion'!$H$10/12</f>
        <v>5608761.2631999999</v>
      </c>
      <c r="N16" s="65">
        <f>'Total de Inversion'!$H$10/12</f>
        <v>5608761.2631999999</v>
      </c>
      <c r="O16" s="51" t="e">
        <f>SUM(#REF!)</f>
        <v>#REF!</v>
      </c>
      <c r="P16" s="51" t="e">
        <f>SUM(#REF!)</f>
        <v>#REF!</v>
      </c>
      <c r="Q16" s="51" t="e">
        <f>SUM(#REF!)</f>
        <v>#REF!</v>
      </c>
      <c r="R16" s="51" t="e">
        <f>SUM(#REF!)</f>
        <v>#REF!</v>
      </c>
      <c r="S16" s="51" t="e">
        <f>SUM(#REF!)</f>
        <v>#REF!</v>
      </c>
    </row>
    <row r="17" spans="2:19" x14ac:dyDescent="0.25">
      <c r="B17" s="55" t="s">
        <v>241</v>
      </c>
      <c r="C17" s="65" t="e">
        <f>'Costos de Administracion'!#REF!/12</f>
        <v>#REF!</v>
      </c>
      <c r="D17" s="65" t="e">
        <f>'Costos de Administracion'!#REF!/12</f>
        <v>#REF!</v>
      </c>
      <c r="E17" s="65" t="e">
        <f>'Costos de Administracion'!#REF!/12</f>
        <v>#REF!</v>
      </c>
      <c r="F17" s="65" t="e">
        <f>'Costos de Administracion'!#REF!/12</f>
        <v>#REF!</v>
      </c>
      <c r="G17" s="65" t="e">
        <f>'Costos de Administracion'!#REF!/12</f>
        <v>#REF!</v>
      </c>
      <c r="H17" s="65" t="e">
        <f>'Costos de Administracion'!#REF!/12</f>
        <v>#REF!</v>
      </c>
      <c r="I17" s="65" t="e">
        <f>'Costos de Administracion'!#REF!/12</f>
        <v>#REF!</v>
      </c>
      <c r="J17" s="65" t="e">
        <f>'Costos de Administracion'!#REF!/12</f>
        <v>#REF!</v>
      </c>
      <c r="K17" s="65" t="e">
        <f>'Costos de Administracion'!#REF!/12</f>
        <v>#REF!</v>
      </c>
      <c r="L17" s="65" t="e">
        <f>'Costos de Administracion'!#REF!/12</f>
        <v>#REF!</v>
      </c>
      <c r="M17" s="65" t="e">
        <f>'Costos de Administracion'!#REF!/12</f>
        <v>#REF!</v>
      </c>
      <c r="N17" s="65" t="e">
        <f>'Costos de Administracion'!#REF!/12</f>
        <v>#REF!</v>
      </c>
      <c r="O17" s="51" t="e">
        <f>SUM(C17:N17)</f>
        <v>#REF!</v>
      </c>
      <c r="P17" s="51" t="e">
        <f>O17*(1+'[1]Presupuesto de costos y gastos '!$G$27)</f>
        <v>#REF!</v>
      </c>
      <c r="Q17" s="51" t="e">
        <f>P17*(1+'[1]Presupuesto de costos y gastos '!$G$28)</f>
        <v>#REF!</v>
      </c>
      <c r="R17" s="51" t="e">
        <f>Q17*(1+'[1]Presupuesto de costos y gastos '!$G$29)</f>
        <v>#REF!</v>
      </c>
      <c r="S17" s="51" t="e">
        <f>R17*(1+'[1]Presupuesto de costos y gastos '!$G$30)</f>
        <v>#REF!</v>
      </c>
    </row>
    <row r="18" spans="2:19" x14ac:dyDescent="0.25">
      <c r="B18" s="55" t="s">
        <v>242</v>
      </c>
      <c r="C18" s="65">
        <f>SUM('Costos de Administracion'!$E$9:$E$11)/12</f>
        <v>161000</v>
      </c>
      <c r="D18" s="65">
        <f>SUM('Costos de Administracion'!$E$9:$E$11)/12</f>
        <v>161000</v>
      </c>
      <c r="E18" s="65">
        <f>SUM('Costos de Administracion'!$E$9:$E$11)/12</f>
        <v>161000</v>
      </c>
      <c r="F18" s="65">
        <f>SUM('Costos de Administracion'!$E$9:$E$11)/12</f>
        <v>161000</v>
      </c>
      <c r="G18" s="65">
        <f>SUM('Costos de Administracion'!$E$9:$E$11)/12</f>
        <v>161000</v>
      </c>
      <c r="H18" s="65">
        <f>SUM('Costos de Administracion'!$E$9:$E$11)/12</f>
        <v>161000</v>
      </c>
      <c r="I18" s="65">
        <f>SUM('Costos de Administracion'!$E$9:$E$11)/12</f>
        <v>161000</v>
      </c>
      <c r="J18" s="65">
        <f>SUM('Costos de Administracion'!$E$9:$E$11)/12</f>
        <v>161000</v>
      </c>
      <c r="K18" s="65">
        <f>SUM('Costos de Administracion'!$E$9:$E$11)/12</f>
        <v>161000</v>
      </c>
      <c r="L18" s="65">
        <f>SUM('Costos de Administracion'!$E$9:$E$11)/12</f>
        <v>161000</v>
      </c>
      <c r="M18" s="65">
        <f>SUM('Costos de Administracion'!$E$9:$E$11)/12</f>
        <v>161000</v>
      </c>
      <c r="N18" s="65">
        <f>SUM('Costos de Administracion'!$E$9:$E$11)/12</f>
        <v>161000</v>
      </c>
      <c r="O18" s="51">
        <f t="shared" ref="O18:O21" si="8">SUM(C18:N18)</f>
        <v>1932000</v>
      </c>
      <c r="P18" s="51">
        <f>O18*(1+'[1]Presupuesto de costos y gastos '!$G$27)</f>
        <v>1989960</v>
      </c>
      <c r="Q18" s="51">
        <f>P18*(1+'[1]Presupuesto de costos y gastos '!$G$28)</f>
        <v>2089458</v>
      </c>
      <c r="R18" s="51">
        <f>Q18*(1+'[1]Presupuesto de costos y gastos '!$G$29)</f>
        <v>2193930.9</v>
      </c>
      <c r="S18" s="51">
        <f>R18*(1+'[1]Presupuesto de costos y gastos '!$G$30)</f>
        <v>2303627.4449999998</v>
      </c>
    </row>
    <row r="19" spans="2:19" x14ac:dyDescent="0.25">
      <c r="B19" s="55" t="s">
        <v>243</v>
      </c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51">
        <f t="shared" si="8"/>
        <v>0</v>
      </c>
      <c r="P19" s="51">
        <f>O19*(1+'[1]Presupuesto de costos y gastos '!$G$27)</f>
        <v>0</v>
      </c>
      <c r="Q19" s="51">
        <f>P19*(1+'[1]Presupuesto de costos y gastos '!$G$28)</f>
        <v>0</v>
      </c>
      <c r="R19" s="51">
        <f>Q19*(1+'[1]Presupuesto de costos y gastos '!$G$29)</f>
        <v>0</v>
      </c>
      <c r="S19" s="51">
        <f>R19*(1+'[1]Presupuesto de costos y gastos '!$G$30)</f>
        <v>0</v>
      </c>
    </row>
    <row r="20" spans="2:19" x14ac:dyDescent="0.25">
      <c r="B20" s="55" t="s">
        <v>244</v>
      </c>
      <c r="C20" s="65">
        <f>('Costos de Administracion'!E14)/12</f>
        <v>0</v>
      </c>
      <c r="D20" s="65">
        <f>C20</f>
        <v>0</v>
      </c>
      <c r="E20" s="65">
        <f t="shared" ref="E20:N20" si="9">D20</f>
        <v>0</v>
      </c>
      <c r="F20" s="65">
        <f t="shared" si="9"/>
        <v>0</v>
      </c>
      <c r="G20" s="65">
        <f t="shared" si="9"/>
        <v>0</v>
      </c>
      <c r="H20" s="65">
        <f t="shared" si="9"/>
        <v>0</v>
      </c>
      <c r="I20" s="65">
        <f t="shared" si="9"/>
        <v>0</v>
      </c>
      <c r="J20" s="65">
        <f t="shared" si="9"/>
        <v>0</v>
      </c>
      <c r="K20" s="65">
        <f t="shared" si="9"/>
        <v>0</v>
      </c>
      <c r="L20" s="65">
        <f t="shared" si="9"/>
        <v>0</v>
      </c>
      <c r="M20" s="65">
        <f t="shared" si="9"/>
        <v>0</v>
      </c>
      <c r="N20" s="65">
        <f t="shared" si="9"/>
        <v>0</v>
      </c>
      <c r="O20" s="51">
        <f t="shared" si="8"/>
        <v>0</v>
      </c>
      <c r="P20" s="51">
        <f>O20*(1+'[1]Presupuesto de costos y gastos '!$G$27)</f>
        <v>0</v>
      </c>
      <c r="Q20" s="51">
        <f>P20*(1+'[1]Presupuesto de costos y gastos '!$G$28)</f>
        <v>0</v>
      </c>
      <c r="R20" s="51">
        <f>Q20*(1+'[1]Presupuesto de costos y gastos '!$G$29)</f>
        <v>0</v>
      </c>
      <c r="S20" s="51">
        <f>R20*(1+'[1]Presupuesto de costos y gastos '!$G$30)</f>
        <v>0</v>
      </c>
    </row>
    <row r="21" spans="2:19" x14ac:dyDescent="0.25">
      <c r="B21" s="55" t="s">
        <v>283</v>
      </c>
      <c r="C21" s="65">
        <f>'Costos de Administracion'!D13</f>
        <v>50000</v>
      </c>
      <c r="D21" s="65">
        <f>C21</f>
        <v>50000</v>
      </c>
      <c r="E21" s="65">
        <f t="shared" ref="E21:N21" si="10">D21</f>
        <v>50000</v>
      </c>
      <c r="F21" s="65">
        <f t="shared" si="10"/>
        <v>50000</v>
      </c>
      <c r="G21" s="65">
        <f t="shared" si="10"/>
        <v>50000</v>
      </c>
      <c r="H21" s="65">
        <f t="shared" si="10"/>
        <v>50000</v>
      </c>
      <c r="I21" s="65">
        <f t="shared" si="10"/>
        <v>50000</v>
      </c>
      <c r="J21" s="65">
        <f t="shared" si="10"/>
        <v>50000</v>
      </c>
      <c r="K21" s="65">
        <f t="shared" si="10"/>
        <v>50000</v>
      </c>
      <c r="L21" s="65">
        <f t="shared" si="10"/>
        <v>50000</v>
      </c>
      <c r="M21" s="65">
        <f t="shared" si="10"/>
        <v>50000</v>
      </c>
      <c r="N21" s="65">
        <f t="shared" si="10"/>
        <v>50000</v>
      </c>
      <c r="O21" s="51">
        <f t="shared" si="8"/>
        <v>600000</v>
      </c>
      <c r="P21" s="51">
        <f>O21*(1+'[1]Presupuesto de costos y gastos '!$G$27)</f>
        <v>618000</v>
      </c>
      <c r="Q21" s="51">
        <f>P21*(1+'[1]Presupuesto de costos y gastos '!$G$28)</f>
        <v>648900</v>
      </c>
      <c r="R21" s="51">
        <f>Q21*(1+'[1]Presupuesto de costos y gastos '!$G$29)</f>
        <v>681345</v>
      </c>
      <c r="S21" s="51">
        <f>R21*(1+'[1]Presupuesto de costos y gastos '!$G$30)</f>
        <v>715412.25</v>
      </c>
    </row>
    <row r="22" spans="2:19" x14ac:dyDescent="0.25">
      <c r="B22" s="31" t="s">
        <v>245</v>
      </c>
      <c r="C22" s="102" t="e">
        <f t="shared" ref="C22:N22" si="11">SUM(C17:C21)</f>
        <v>#REF!</v>
      </c>
      <c r="D22" s="102" t="e">
        <f t="shared" si="11"/>
        <v>#REF!</v>
      </c>
      <c r="E22" s="102" t="e">
        <f t="shared" si="11"/>
        <v>#REF!</v>
      </c>
      <c r="F22" s="102" t="e">
        <f t="shared" si="11"/>
        <v>#REF!</v>
      </c>
      <c r="G22" s="102" t="e">
        <f t="shared" si="11"/>
        <v>#REF!</v>
      </c>
      <c r="H22" s="102" t="e">
        <f t="shared" si="11"/>
        <v>#REF!</v>
      </c>
      <c r="I22" s="102" t="e">
        <f t="shared" si="11"/>
        <v>#REF!</v>
      </c>
      <c r="J22" s="102" t="e">
        <f t="shared" si="11"/>
        <v>#REF!</v>
      </c>
      <c r="K22" s="102" t="e">
        <f t="shared" si="11"/>
        <v>#REF!</v>
      </c>
      <c r="L22" s="102" t="e">
        <f t="shared" si="11"/>
        <v>#REF!</v>
      </c>
      <c r="M22" s="102" t="e">
        <f t="shared" si="11"/>
        <v>#REF!</v>
      </c>
      <c r="N22" s="102" t="e">
        <f t="shared" si="11"/>
        <v>#REF!</v>
      </c>
      <c r="O22" s="100" t="e">
        <f>SUM(O17:O21)+O16</f>
        <v>#REF!</v>
      </c>
      <c r="P22" s="100" t="e">
        <f>SUM(P17:P21)+P16</f>
        <v>#REF!</v>
      </c>
      <c r="Q22" s="100" t="e">
        <f>SUM(Q17:Q21)+Q16</f>
        <v>#REF!</v>
      </c>
      <c r="R22" s="100" t="e">
        <f>SUM(R17:R21)+R16</f>
        <v>#REF!</v>
      </c>
      <c r="S22" s="100" t="e">
        <f>SUM(S17:S21)+S16</f>
        <v>#REF!</v>
      </c>
    </row>
    <row r="23" spans="2:19" x14ac:dyDescent="0.25">
      <c r="B23" s="130" t="s">
        <v>246</v>
      </c>
      <c r="C23" s="130"/>
      <c r="D23" s="130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0"/>
    </row>
    <row r="24" spans="2:19" ht="15" customHeight="1" x14ac:dyDescent="0.25">
      <c r="B24" s="55" t="s">
        <v>247</v>
      </c>
      <c r="C24" s="103">
        <f>'Materia Prima'!G19</f>
        <v>0</v>
      </c>
      <c r="D24" s="103">
        <f>C24</f>
        <v>0</v>
      </c>
      <c r="E24" s="103">
        <f t="shared" ref="E24:N24" si="12">D24</f>
        <v>0</v>
      </c>
      <c r="F24" s="103">
        <f t="shared" si="12"/>
        <v>0</v>
      </c>
      <c r="G24" s="103">
        <f t="shared" si="12"/>
        <v>0</v>
      </c>
      <c r="H24" s="103">
        <f t="shared" si="12"/>
        <v>0</v>
      </c>
      <c r="I24" s="103">
        <f t="shared" si="12"/>
        <v>0</v>
      </c>
      <c r="J24" s="103">
        <f t="shared" si="12"/>
        <v>0</v>
      </c>
      <c r="K24" s="103">
        <f t="shared" si="12"/>
        <v>0</v>
      </c>
      <c r="L24" s="103">
        <f t="shared" si="12"/>
        <v>0</v>
      </c>
      <c r="M24" s="103">
        <f t="shared" si="12"/>
        <v>0</v>
      </c>
      <c r="N24" s="103">
        <f t="shared" si="12"/>
        <v>0</v>
      </c>
      <c r="O24" s="46"/>
      <c r="P24" s="51">
        <f>+O24*(1+'[1]Presupuesto de Compras '!$C$76)</f>
        <v>0</v>
      </c>
      <c r="Q24" s="51">
        <f>+P24*(1+'[1]Presupuesto de Compras '!$C$77)</f>
        <v>0</v>
      </c>
      <c r="R24" s="51">
        <f>+Q24*(1+'[1]Presupuesto de Compras '!$C$78)</f>
        <v>0</v>
      </c>
      <c r="S24" s="51">
        <f>+R24*(1+'[1]Presupuesto de Compras '!$C$79)</f>
        <v>0</v>
      </c>
    </row>
    <row r="25" spans="2:19" x14ac:dyDescent="0.25">
      <c r="B25" s="55" t="s">
        <v>248</v>
      </c>
      <c r="C25" s="65">
        <f>C6-C24</f>
        <v>0</v>
      </c>
      <c r="D25" s="65">
        <f t="shared" ref="D25:N25" si="13">D6-D24</f>
        <v>0</v>
      </c>
      <c r="E25" s="65">
        <f t="shared" si="13"/>
        <v>0</v>
      </c>
      <c r="F25" s="65">
        <f t="shared" si="13"/>
        <v>0</v>
      </c>
      <c r="G25" s="65">
        <f t="shared" si="13"/>
        <v>0</v>
      </c>
      <c r="H25" s="65">
        <f t="shared" si="13"/>
        <v>0</v>
      </c>
      <c r="I25" s="65">
        <f t="shared" si="13"/>
        <v>0</v>
      </c>
      <c r="J25" s="65">
        <f t="shared" si="13"/>
        <v>0</v>
      </c>
      <c r="K25" s="65">
        <f t="shared" si="13"/>
        <v>0</v>
      </c>
      <c r="L25" s="65">
        <f t="shared" si="13"/>
        <v>0</v>
      </c>
      <c r="M25" s="65">
        <f t="shared" si="13"/>
        <v>0</v>
      </c>
      <c r="N25" s="65">
        <f t="shared" si="13"/>
        <v>0</v>
      </c>
      <c r="O25" s="51"/>
      <c r="P25" s="51">
        <f>P6-P24</f>
        <v>4264000</v>
      </c>
      <c r="Q25" s="51">
        <f>Q6-Q24</f>
        <v>4434560</v>
      </c>
      <c r="R25" s="51">
        <f>R6-R24</f>
        <v>4611942.4000000004</v>
      </c>
      <c r="S25" s="51">
        <f>S6-S24</f>
        <v>4796420.0960000008</v>
      </c>
    </row>
    <row r="26" spans="2:19" x14ac:dyDescent="0.25">
      <c r="B26" s="55" t="s">
        <v>249</v>
      </c>
      <c r="C26" s="51"/>
      <c r="D26" s="65">
        <f>D25</f>
        <v>0</v>
      </c>
      <c r="E26" s="65">
        <f t="shared" ref="E26:N26" si="14">E25</f>
        <v>0</v>
      </c>
      <c r="F26" s="65">
        <f t="shared" si="14"/>
        <v>0</v>
      </c>
      <c r="G26" s="65">
        <f t="shared" si="14"/>
        <v>0</v>
      </c>
      <c r="H26" s="65">
        <f t="shared" si="14"/>
        <v>0</v>
      </c>
      <c r="I26" s="65">
        <f t="shared" si="14"/>
        <v>0</v>
      </c>
      <c r="J26" s="65">
        <f t="shared" si="14"/>
        <v>0</v>
      </c>
      <c r="K26" s="65">
        <f t="shared" si="14"/>
        <v>0</v>
      </c>
      <c r="L26" s="65">
        <f t="shared" si="14"/>
        <v>0</v>
      </c>
      <c r="M26" s="65">
        <f t="shared" si="14"/>
        <v>0</v>
      </c>
      <c r="N26" s="65">
        <f t="shared" si="14"/>
        <v>0</v>
      </c>
      <c r="O26" s="51"/>
      <c r="P26" s="51">
        <f>+O26*(1+'[1]Presupuesto de Compras '!$C$76)</f>
        <v>0</v>
      </c>
      <c r="Q26" s="51">
        <f>+P26*(1+'[1]Presupuesto de Compras '!$C$77)</f>
        <v>0</v>
      </c>
      <c r="R26" s="51">
        <f>+Q26*(1+'[1]Presupuesto de Compras '!$C$78)</f>
        <v>0</v>
      </c>
      <c r="S26" s="51">
        <f>+R26*(1+'[1]Presupuesto de Compras '!$C$79)</f>
        <v>0</v>
      </c>
    </row>
    <row r="27" spans="2:19" x14ac:dyDescent="0.25">
      <c r="B27" s="55" t="s">
        <v>250</v>
      </c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>
        <f t="shared" ref="P27:S29" si="15">SUM(D27:O27)</f>
        <v>0</v>
      </c>
      <c r="Q27" s="51">
        <f t="shared" si="15"/>
        <v>0</v>
      </c>
      <c r="R27" s="51">
        <f t="shared" si="15"/>
        <v>0</v>
      </c>
      <c r="S27" s="51">
        <f t="shared" si="15"/>
        <v>0</v>
      </c>
    </row>
    <row r="28" spans="2:19" x14ac:dyDescent="0.25">
      <c r="B28" s="55" t="s">
        <v>251</v>
      </c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>
        <f t="shared" si="15"/>
        <v>0</v>
      </c>
      <c r="Q28" s="51">
        <f t="shared" si="15"/>
        <v>0</v>
      </c>
      <c r="R28" s="51">
        <f t="shared" si="15"/>
        <v>0</v>
      </c>
      <c r="S28" s="51">
        <f t="shared" si="15"/>
        <v>0</v>
      </c>
    </row>
    <row r="29" spans="2:19" x14ac:dyDescent="0.25">
      <c r="B29" s="55" t="s">
        <v>252</v>
      </c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>
        <f t="shared" si="15"/>
        <v>0</v>
      </c>
      <c r="Q29" s="51">
        <f t="shared" si="15"/>
        <v>0</v>
      </c>
      <c r="R29" s="51">
        <f t="shared" si="15"/>
        <v>0</v>
      </c>
      <c r="S29" s="51">
        <f t="shared" si="15"/>
        <v>0</v>
      </c>
    </row>
    <row r="30" spans="2:19" x14ac:dyDescent="0.25">
      <c r="B30" s="31" t="s">
        <v>245</v>
      </c>
      <c r="C30" s="102">
        <f>SUM(C24:C29)</f>
        <v>0</v>
      </c>
      <c r="D30" s="102">
        <f t="shared" ref="D30:N30" si="16">SUM(D24:D29)</f>
        <v>0</v>
      </c>
      <c r="E30" s="102">
        <f t="shared" si="16"/>
        <v>0</v>
      </c>
      <c r="F30" s="102">
        <f t="shared" si="16"/>
        <v>0</v>
      </c>
      <c r="G30" s="102">
        <f t="shared" si="16"/>
        <v>0</v>
      </c>
      <c r="H30" s="102">
        <f t="shared" si="16"/>
        <v>0</v>
      </c>
      <c r="I30" s="102">
        <f t="shared" si="16"/>
        <v>0</v>
      </c>
      <c r="J30" s="102">
        <f t="shared" si="16"/>
        <v>0</v>
      </c>
      <c r="K30" s="102">
        <f t="shared" si="16"/>
        <v>0</v>
      </c>
      <c r="L30" s="102">
        <f t="shared" si="16"/>
        <v>0</v>
      </c>
      <c r="M30" s="102">
        <f t="shared" si="16"/>
        <v>0</v>
      </c>
      <c r="N30" s="102">
        <f t="shared" si="16"/>
        <v>0</v>
      </c>
      <c r="O30" s="100">
        <f>SUM(O24:O29)</f>
        <v>0</v>
      </c>
      <c r="P30" s="100">
        <f t="shared" ref="P30:S30" si="17">SUM(P24:P29)</f>
        <v>4264000</v>
      </c>
      <c r="Q30" s="100">
        <f t="shared" si="17"/>
        <v>4434560</v>
      </c>
      <c r="R30" s="100">
        <f t="shared" si="17"/>
        <v>4611942.4000000004</v>
      </c>
      <c r="S30" s="100">
        <f t="shared" si="17"/>
        <v>4796420.0960000008</v>
      </c>
    </row>
    <row r="31" spans="2:19" x14ac:dyDescent="0.25">
      <c r="B31" s="31" t="s">
        <v>253</v>
      </c>
      <c r="C31" s="102" t="e">
        <f>C30+C22</f>
        <v>#REF!</v>
      </c>
      <c r="D31" s="102" t="e">
        <f t="shared" ref="D31:N31" si="18">D30+D22</f>
        <v>#REF!</v>
      </c>
      <c r="E31" s="102" t="e">
        <f t="shared" si="18"/>
        <v>#REF!</v>
      </c>
      <c r="F31" s="102" t="e">
        <f t="shared" si="18"/>
        <v>#REF!</v>
      </c>
      <c r="G31" s="102" t="e">
        <f t="shared" si="18"/>
        <v>#REF!</v>
      </c>
      <c r="H31" s="102" t="e">
        <f t="shared" si="18"/>
        <v>#REF!</v>
      </c>
      <c r="I31" s="102" t="e">
        <f t="shared" si="18"/>
        <v>#REF!</v>
      </c>
      <c r="J31" s="102" t="e">
        <f t="shared" si="18"/>
        <v>#REF!</v>
      </c>
      <c r="K31" s="102" t="e">
        <f t="shared" si="18"/>
        <v>#REF!</v>
      </c>
      <c r="L31" s="102" t="e">
        <f t="shared" si="18"/>
        <v>#REF!</v>
      </c>
      <c r="M31" s="102" t="e">
        <f t="shared" si="18"/>
        <v>#REF!</v>
      </c>
      <c r="N31" s="102" t="e">
        <f t="shared" si="18"/>
        <v>#REF!</v>
      </c>
      <c r="O31" s="100" t="e">
        <f>O30+O22</f>
        <v>#REF!</v>
      </c>
      <c r="P31" s="100" t="e">
        <f t="shared" ref="P31:S31" si="19">P30+P22</f>
        <v>#REF!</v>
      </c>
      <c r="Q31" s="100" t="e">
        <f t="shared" si="19"/>
        <v>#REF!</v>
      </c>
      <c r="R31" s="100" t="e">
        <f t="shared" si="19"/>
        <v>#REF!</v>
      </c>
      <c r="S31" s="100" t="e">
        <f t="shared" si="19"/>
        <v>#REF!</v>
      </c>
    </row>
    <row r="32" spans="2:19" x14ac:dyDescent="0.25">
      <c r="B32" s="31" t="s">
        <v>254</v>
      </c>
      <c r="C32" s="102" t="e">
        <f t="shared" ref="C32:S32" si="20">C13-C31</f>
        <v>#REF!</v>
      </c>
      <c r="D32" s="102" t="e">
        <f t="shared" si="20"/>
        <v>#REF!</v>
      </c>
      <c r="E32" s="102" t="e">
        <f t="shared" si="20"/>
        <v>#REF!</v>
      </c>
      <c r="F32" s="102" t="e">
        <f t="shared" si="20"/>
        <v>#REF!</v>
      </c>
      <c r="G32" s="102" t="e">
        <f t="shared" si="20"/>
        <v>#REF!</v>
      </c>
      <c r="H32" s="102" t="e">
        <f t="shared" si="20"/>
        <v>#REF!</v>
      </c>
      <c r="I32" s="102" t="e">
        <f t="shared" si="20"/>
        <v>#REF!</v>
      </c>
      <c r="J32" s="102" t="e">
        <f t="shared" si="20"/>
        <v>#REF!</v>
      </c>
      <c r="K32" s="102" t="e">
        <f t="shared" si="20"/>
        <v>#REF!</v>
      </c>
      <c r="L32" s="102" t="e">
        <f t="shared" si="20"/>
        <v>#REF!</v>
      </c>
      <c r="M32" s="102" t="e">
        <f t="shared" si="20"/>
        <v>#REF!</v>
      </c>
      <c r="N32" s="102" t="e">
        <f t="shared" si="20"/>
        <v>#REF!</v>
      </c>
      <c r="O32" s="101" t="e">
        <f t="shared" si="20"/>
        <v>#REF!</v>
      </c>
      <c r="P32" s="100" t="e">
        <f t="shared" si="20"/>
        <v>#REF!</v>
      </c>
      <c r="Q32" s="100" t="e">
        <f t="shared" si="20"/>
        <v>#REF!</v>
      </c>
      <c r="R32" s="100" t="e">
        <f t="shared" si="20"/>
        <v>#REF!</v>
      </c>
      <c r="S32" s="100" t="e">
        <f t="shared" si="20"/>
        <v>#REF!</v>
      </c>
    </row>
    <row r="33" spans="2:19" x14ac:dyDescent="0.25">
      <c r="B33" s="141" t="s">
        <v>255</v>
      </c>
      <c r="C33" s="142"/>
      <c r="D33" s="142"/>
      <c r="E33" s="142"/>
      <c r="F33" s="142"/>
      <c r="G33" s="142"/>
      <c r="H33" s="142"/>
      <c r="I33" s="142"/>
      <c r="J33" s="142"/>
      <c r="K33" s="142"/>
      <c r="L33" s="142"/>
      <c r="M33" s="142"/>
      <c r="N33" s="142"/>
      <c r="O33" s="142"/>
    </row>
    <row r="34" spans="2:19" x14ac:dyDescent="0.25">
      <c r="B34" s="55" t="s">
        <v>256</v>
      </c>
      <c r="C34" s="65">
        <f>'Plan de Inversion'!F9</f>
        <v>0</v>
      </c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51">
        <f>SUM(C34:N34)</f>
        <v>0</v>
      </c>
      <c r="P34" s="46"/>
      <c r="Q34" s="46"/>
      <c r="R34" s="46"/>
      <c r="S34" s="46"/>
    </row>
    <row r="35" spans="2:19" x14ac:dyDescent="0.25">
      <c r="B35" s="55" t="s">
        <v>257</v>
      </c>
      <c r="C35" s="104">
        <f>'Plan de Inversion'!F9</f>
        <v>0</v>
      </c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51">
        <f t="shared" ref="O35:O38" si="21">SUM(C35:N35)</f>
        <v>0</v>
      </c>
      <c r="P35" s="46"/>
      <c r="Q35" s="46"/>
      <c r="R35" s="46"/>
      <c r="S35" s="46"/>
    </row>
    <row r="36" spans="2:19" x14ac:dyDescent="0.25">
      <c r="B36" s="55" t="s">
        <v>284</v>
      </c>
      <c r="C36" s="65">
        <f>'Plan de Inversion'!F22</f>
        <v>1070000</v>
      </c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51">
        <f t="shared" si="21"/>
        <v>1070000</v>
      </c>
      <c r="P36" s="46"/>
      <c r="Q36" s="46"/>
      <c r="R36" s="46"/>
      <c r="S36" s="46"/>
    </row>
    <row r="37" spans="2:19" x14ac:dyDescent="0.25">
      <c r="B37" s="55" t="s">
        <v>258</v>
      </c>
      <c r="C37" s="65">
        <f>'Plan de Inversion'!F33</f>
        <v>570000</v>
      </c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51">
        <f t="shared" si="21"/>
        <v>570000</v>
      </c>
      <c r="P37" s="46"/>
      <c r="Q37" s="46"/>
      <c r="R37" s="46"/>
      <c r="S37" s="46"/>
    </row>
    <row r="38" spans="2:19" x14ac:dyDescent="0.25">
      <c r="B38" s="55" t="s">
        <v>259</v>
      </c>
      <c r="C38" s="65">
        <v>0</v>
      </c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51">
        <f t="shared" si="21"/>
        <v>0</v>
      </c>
      <c r="P38" s="46"/>
      <c r="Q38" s="46"/>
      <c r="R38" s="46"/>
      <c r="S38" s="46"/>
    </row>
    <row r="39" spans="2:19" x14ac:dyDescent="0.25">
      <c r="B39" s="31" t="s">
        <v>245</v>
      </c>
      <c r="C39" s="100">
        <f>SUM(C34:C38)</f>
        <v>1640000</v>
      </c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100">
        <f>SUM(O34:O38)</f>
        <v>1640000</v>
      </c>
      <c r="P39" s="55"/>
      <c r="Q39" s="55"/>
      <c r="R39" s="55"/>
      <c r="S39" s="55"/>
    </row>
    <row r="40" spans="2:19" x14ac:dyDescent="0.25">
      <c r="B40" s="130" t="s">
        <v>260</v>
      </c>
      <c r="C40" s="130"/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</row>
    <row r="41" spans="2:19" x14ac:dyDescent="0.25">
      <c r="B41" s="55" t="s">
        <v>261</v>
      </c>
      <c r="C41" s="65">
        <f>Creditos!C15</f>
        <v>6000000</v>
      </c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51">
        <f>SUM(C41:N41)</f>
        <v>6000000</v>
      </c>
      <c r="P41" s="46"/>
      <c r="Q41" s="46"/>
      <c r="R41" s="46"/>
      <c r="S41" s="46"/>
    </row>
    <row r="42" spans="2:19" x14ac:dyDescent="0.25">
      <c r="B42" s="55" t="s">
        <v>262</v>
      </c>
      <c r="C42" s="65">
        <f>'Plan de Inversion'!F34</f>
        <v>1640000</v>
      </c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51">
        <f>SUM(C42:N42)</f>
        <v>1640000</v>
      </c>
      <c r="P42" s="100">
        <f>P39-P40-P41</f>
        <v>0</v>
      </c>
      <c r="Q42" s="46"/>
      <c r="R42" s="46"/>
      <c r="S42" s="46"/>
    </row>
    <row r="43" spans="2:19" x14ac:dyDescent="0.25">
      <c r="B43" s="31" t="s">
        <v>245</v>
      </c>
      <c r="C43" s="102">
        <f>SUM(C41:C42)</f>
        <v>7640000</v>
      </c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100">
        <f>SUM(O41:O42)</f>
        <v>7640000</v>
      </c>
      <c r="P43" s="55"/>
      <c r="Q43" s="55"/>
      <c r="R43" s="55"/>
      <c r="S43" s="55"/>
    </row>
    <row r="44" spans="2:19" x14ac:dyDescent="0.25">
      <c r="B44" s="130" t="s">
        <v>263</v>
      </c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</row>
    <row r="45" spans="2:19" x14ac:dyDescent="0.25">
      <c r="B45" s="7" t="s">
        <v>264</v>
      </c>
      <c r="C45" s="65">
        <f>Creditos!$C23</f>
        <v>543250.06615371036</v>
      </c>
      <c r="D45" s="65">
        <f>Creditos!$C24</f>
        <v>543250.06615371036</v>
      </c>
      <c r="E45" s="65">
        <f>Creditos!$C25</f>
        <v>543250.06615371036</v>
      </c>
      <c r="F45" s="65">
        <f>Creditos!$C26</f>
        <v>543250.06615371036</v>
      </c>
      <c r="G45" s="65">
        <f>Creditos!$C27</f>
        <v>543250.06615371036</v>
      </c>
      <c r="H45" s="65">
        <f>Creditos!$C28</f>
        <v>543250.06615371036</v>
      </c>
      <c r="I45" s="65">
        <f>Creditos!$C29</f>
        <v>543250.06615371036</v>
      </c>
      <c r="J45" s="65">
        <f>Creditos!$C30</f>
        <v>543250.06615371036</v>
      </c>
      <c r="K45" s="65">
        <f>Creditos!$C31</f>
        <v>543250.06615371036</v>
      </c>
      <c r="L45" s="65">
        <f>Creditos!$C32</f>
        <v>543250.06615371036</v>
      </c>
      <c r="M45" s="65">
        <f>Creditos!$C33</f>
        <v>543250.06615371036</v>
      </c>
      <c r="N45" s="65">
        <f>Creditos!$C34</f>
        <v>543250.06615371036</v>
      </c>
      <c r="O45" s="65">
        <f>SUM(C45:N45)</f>
        <v>6519000.7938445257</v>
      </c>
      <c r="P45" s="51">
        <f>+SUM('[1]Resumen Plan de Inversion'!E73:E84)</f>
        <v>2170034.7808314692</v>
      </c>
      <c r="Q45" s="51">
        <f>+SUM('[1]Resumen Plan de Inversion'!E85:E96)</f>
        <v>2533844.966403658</v>
      </c>
      <c r="R45" s="51">
        <f>+SUM('[1]Resumen Plan de Inversion'!E97:E108)</f>
        <v>2958648.5758118266</v>
      </c>
      <c r="S45" s="51">
        <v>0</v>
      </c>
    </row>
    <row r="46" spans="2:19" x14ac:dyDescent="0.25">
      <c r="B46" s="7" t="s">
        <v>265</v>
      </c>
      <c r="C46" s="65">
        <f>Creditos!$D23</f>
        <v>78000</v>
      </c>
      <c r="D46" s="65">
        <f>Creditos!$D24</f>
        <v>71951.749140001761</v>
      </c>
      <c r="E46" s="65">
        <f>Creditos!$D25</f>
        <v>65824.871018823542</v>
      </c>
      <c r="F46" s="65">
        <f>Creditos!$D26</f>
        <v>59618.34348207002</v>
      </c>
      <c r="G46" s="65">
        <f>Creditos!$D27</f>
        <v>53331.131087338697</v>
      </c>
      <c r="H46" s="65">
        <f>Creditos!$D28</f>
        <v>46962.184931475866</v>
      </c>
      <c r="I46" s="65">
        <f>Creditos!$D29</f>
        <v>40510.442475586817</v>
      </c>
      <c r="J46" s="65">
        <f>Creditos!$D30</f>
        <v>33974.827367771206</v>
      </c>
      <c r="K46" s="65">
        <f>Creditos!$D31</f>
        <v>27354.249263554</v>
      </c>
      <c r="L46" s="65">
        <f>Creditos!$D32</f>
        <v>20647.603643981965</v>
      </c>
      <c r="M46" s="65">
        <f>Creditos!$D33</f>
        <v>13853.771631355496</v>
      </c>
      <c r="N46" s="65">
        <f>Creditos!$D34</f>
        <v>6971.6198025648837</v>
      </c>
      <c r="O46" s="65">
        <f t="shared" ref="O46:S48" si="22">SUM(C46:N46)</f>
        <v>519000.79384452425</v>
      </c>
      <c r="P46" s="51">
        <f>+SUM('[1]Resumen Plan de Inversion'!D73:D84)</f>
        <v>1044537.288239242</v>
      </c>
      <c r="Q46" s="51">
        <f>+SUM('[1]Resumen Plan de Inversion'!D85:D96)</f>
        <v>680727.10266705311</v>
      </c>
      <c r="R46" s="51">
        <f>+SUM('[1]Resumen Plan de Inversion'!D97:D108)</f>
        <v>255923.49325888467</v>
      </c>
      <c r="S46" s="51">
        <v>0</v>
      </c>
    </row>
    <row r="47" spans="2:19" x14ac:dyDescent="0.25">
      <c r="B47" s="7" t="s">
        <v>266</v>
      </c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>
        <f t="shared" si="22"/>
        <v>0</v>
      </c>
      <c r="P47" s="51">
        <f t="shared" si="22"/>
        <v>0</v>
      </c>
      <c r="Q47" s="51">
        <f t="shared" si="22"/>
        <v>0</v>
      </c>
      <c r="R47" s="51">
        <f t="shared" si="22"/>
        <v>0</v>
      </c>
      <c r="S47" s="51">
        <f t="shared" si="22"/>
        <v>0</v>
      </c>
    </row>
    <row r="48" spans="2:19" x14ac:dyDescent="0.25">
      <c r="B48" s="7" t="s">
        <v>267</v>
      </c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>
        <f t="shared" si="22"/>
        <v>0</v>
      </c>
      <c r="P48" s="51">
        <f t="shared" si="22"/>
        <v>0</v>
      </c>
      <c r="Q48" s="51">
        <f t="shared" si="22"/>
        <v>0</v>
      </c>
      <c r="R48" s="51">
        <f t="shared" si="22"/>
        <v>0</v>
      </c>
      <c r="S48" s="51">
        <f t="shared" si="22"/>
        <v>0</v>
      </c>
    </row>
    <row r="49" spans="2:22" x14ac:dyDescent="0.25">
      <c r="B49" s="66" t="s">
        <v>245</v>
      </c>
      <c r="C49" s="102">
        <f>SUM(C45:C48)</f>
        <v>621250.06615371036</v>
      </c>
      <c r="D49" s="102">
        <f t="shared" ref="D49:N49" si="23">SUM(D45:D48)</f>
        <v>615201.81529371208</v>
      </c>
      <c r="E49" s="102">
        <f t="shared" si="23"/>
        <v>609074.93717253394</v>
      </c>
      <c r="F49" s="102">
        <f t="shared" si="23"/>
        <v>602868.40963578038</v>
      </c>
      <c r="G49" s="102">
        <f t="shared" si="23"/>
        <v>596581.19724104903</v>
      </c>
      <c r="H49" s="102">
        <f t="shared" si="23"/>
        <v>590212.25108518626</v>
      </c>
      <c r="I49" s="102">
        <f t="shared" si="23"/>
        <v>583760.50862929714</v>
      </c>
      <c r="J49" s="102">
        <f t="shared" si="23"/>
        <v>577224.89352148154</v>
      </c>
      <c r="K49" s="102">
        <f t="shared" si="23"/>
        <v>570604.31541726436</v>
      </c>
      <c r="L49" s="102">
        <f t="shared" si="23"/>
        <v>563897.66979769233</v>
      </c>
      <c r="M49" s="102">
        <f t="shared" si="23"/>
        <v>557103.83778506587</v>
      </c>
      <c r="N49" s="102">
        <f t="shared" si="23"/>
        <v>550221.68595627521</v>
      </c>
      <c r="O49" s="102">
        <f>SUM(O45:O48)</f>
        <v>7038001.5876890495</v>
      </c>
      <c r="P49" s="100">
        <f>SUM(P45:P48)</f>
        <v>3214572.0690707113</v>
      </c>
      <c r="Q49" s="100">
        <f t="shared" ref="Q49:S49" si="24">SUM(Q45:Q48)</f>
        <v>3214572.0690707113</v>
      </c>
      <c r="R49" s="100">
        <f t="shared" si="24"/>
        <v>3214572.0690707113</v>
      </c>
      <c r="S49" s="100">
        <f t="shared" si="24"/>
        <v>0</v>
      </c>
    </row>
    <row r="50" spans="2:22" x14ac:dyDescent="0.25">
      <c r="B50" s="66" t="s">
        <v>268</v>
      </c>
      <c r="C50" s="102" t="e">
        <f>C32-C39+C43-C49</f>
        <v>#REF!</v>
      </c>
      <c r="D50" s="102" t="e">
        <f t="shared" ref="D50:M50" si="25">D32-D39+D43-D49</f>
        <v>#REF!</v>
      </c>
      <c r="E50" s="102" t="e">
        <f t="shared" si="25"/>
        <v>#REF!</v>
      </c>
      <c r="F50" s="102" t="e">
        <f t="shared" si="25"/>
        <v>#REF!</v>
      </c>
      <c r="G50" s="102" t="e">
        <f t="shared" si="25"/>
        <v>#REF!</v>
      </c>
      <c r="H50" s="102" t="e">
        <f t="shared" si="25"/>
        <v>#REF!</v>
      </c>
      <c r="I50" s="102" t="e">
        <f t="shared" si="25"/>
        <v>#REF!</v>
      </c>
      <c r="J50" s="102" t="e">
        <f t="shared" si="25"/>
        <v>#REF!</v>
      </c>
      <c r="K50" s="102" t="e">
        <f t="shared" si="25"/>
        <v>#REF!</v>
      </c>
      <c r="L50" s="102" t="e">
        <f t="shared" si="25"/>
        <v>#REF!</v>
      </c>
      <c r="M50" s="102" t="e">
        <f t="shared" si="25"/>
        <v>#REF!</v>
      </c>
      <c r="N50" s="102" t="e">
        <f>N32-N39+N43-N49</f>
        <v>#REF!</v>
      </c>
      <c r="O50" s="102" t="e">
        <f>O32-O39+O43-O49</f>
        <v>#REF!</v>
      </c>
      <c r="P50" s="100" t="e">
        <f t="shared" ref="P50:S50" si="26">P32-P39+P43-P49</f>
        <v>#REF!</v>
      </c>
      <c r="Q50" s="100" t="e">
        <f t="shared" si="26"/>
        <v>#REF!</v>
      </c>
      <c r="R50" s="100" t="e">
        <f t="shared" si="26"/>
        <v>#REF!</v>
      </c>
      <c r="S50" s="100" t="e">
        <f t="shared" si="26"/>
        <v>#REF!</v>
      </c>
    </row>
    <row r="51" spans="2:22" x14ac:dyDescent="0.25">
      <c r="B51" s="130" t="s">
        <v>269</v>
      </c>
      <c r="C51" s="130"/>
      <c r="D51" s="130"/>
      <c r="E51" s="130"/>
      <c r="F51" s="130"/>
      <c r="G51" s="130"/>
      <c r="H51" s="130"/>
      <c r="I51" s="130"/>
      <c r="J51" s="130"/>
      <c r="K51" s="130"/>
      <c r="L51" s="130"/>
      <c r="M51" s="130"/>
      <c r="N51" s="130"/>
      <c r="O51" s="130"/>
    </row>
    <row r="52" spans="2:22" x14ac:dyDescent="0.25">
      <c r="B52" s="1" t="s">
        <v>270</v>
      </c>
      <c r="C52" s="65">
        <v>0</v>
      </c>
      <c r="D52" s="65">
        <v>0</v>
      </c>
      <c r="E52" s="65">
        <v>0</v>
      </c>
      <c r="F52" s="65">
        <v>0</v>
      </c>
      <c r="G52" s="65">
        <v>0</v>
      </c>
      <c r="H52" s="65">
        <v>0</v>
      </c>
      <c r="I52" s="65">
        <v>0</v>
      </c>
      <c r="J52" s="65">
        <v>0</v>
      </c>
      <c r="K52" s="65">
        <v>0</v>
      </c>
      <c r="L52" s="65">
        <v>0</v>
      </c>
      <c r="M52" s="65">
        <v>0</v>
      </c>
      <c r="N52" s="65">
        <v>0</v>
      </c>
      <c r="O52" s="51">
        <f>+O5*'[1]Estados de Resultados'!$D$34</f>
        <v>18240000</v>
      </c>
      <c r="P52" s="51">
        <f>+P5*'[1]Estados de Resultados'!$D$34</f>
        <v>16047400</v>
      </c>
      <c r="Q52" s="51">
        <f>+Q5*'[1]Estados de Resultados'!$D$34</f>
        <v>16528822</v>
      </c>
      <c r="R52" s="51">
        <f>+R5*'[1]Estados de Resultados'!$D$34</f>
        <v>17024686.66</v>
      </c>
      <c r="S52" s="51">
        <f>+S5*'[1]Estados de Resultados'!$D$34</f>
        <v>17535427.259800002</v>
      </c>
    </row>
    <row r="53" spans="2:22" x14ac:dyDescent="0.25">
      <c r="B53" s="1" t="s">
        <v>271</v>
      </c>
      <c r="C53" s="65">
        <v>0</v>
      </c>
      <c r="D53" s="65">
        <v>0</v>
      </c>
      <c r="E53" s="65">
        <v>0</v>
      </c>
      <c r="F53" s="65">
        <v>0</v>
      </c>
      <c r="G53" s="65">
        <v>0</v>
      </c>
      <c r="H53" s="65">
        <v>0</v>
      </c>
      <c r="I53" s="65">
        <v>0</v>
      </c>
      <c r="J53" s="65">
        <v>0</v>
      </c>
      <c r="K53" s="65">
        <v>0</v>
      </c>
      <c r="L53" s="65">
        <v>0</v>
      </c>
      <c r="M53" s="65">
        <v>0</v>
      </c>
      <c r="N53" s="65">
        <v>0</v>
      </c>
      <c r="O53" s="51">
        <f>SUM(C53:N53)</f>
        <v>0</v>
      </c>
      <c r="P53" s="51">
        <f>+O53</f>
        <v>0</v>
      </c>
      <c r="Q53" s="51">
        <f t="shared" ref="Q53:S53" si="27">+P53</f>
        <v>0</v>
      </c>
      <c r="R53" s="51">
        <f t="shared" si="27"/>
        <v>0</v>
      </c>
      <c r="S53" s="51">
        <f t="shared" si="27"/>
        <v>0</v>
      </c>
    </row>
    <row r="54" spans="2:22" x14ac:dyDescent="0.25">
      <c r="B54" s="1" t="s">
        <v>272</v>
      </c>
      <c r="C54" s="65">
        <v>0</v>
      </c>
      <c r="D54" s="65">
        <v>0</v>
      </c>
      <c r="E54" s="65">
        <v>0</v>
      </c>
      <c r="F54" s="65">
        <v>0</v>
      </c>
      <c r="G54" s="65">
        <v>0</v>
      </c>
      <c r="H54" s="65">
        <v>0</v>
      </c>
      <c r="I54" s="65">
        <v>0</v>
      </c>
      <c r="J54" s="65">
        <v>0</v>
      </c>
      <c r="K54" s="65">
        <v>0</v>
      </c>
      <c r="L54" s="65">
        <v>0</v>
      </c>
      <c r="M54" s="65">
        <v>0</v>
      </c>
      <c r="N54" s="65">
        <v>0</v>
      </c>
      <c r="O54" s="51"/>
      <c r="P54" s="51"/>
      <c r="Q54" s="51"/>
      <c r="R54" s="51"/>
      <c r="S54" s="51"/>
    </row>
    <row r="55" spans="2:22" x14ac:dyDescent="0.25">
      <c r="B55" s="31" t="s">
        <v>245</v>
      </c>
      <c r="C55" s="102">
        <f t="shared" ref="C55:S55" si="28">C52-C53-C54</f>
        <v>0</v>
      </c>
      <c r="D55" s="102">
        <f t="shared" si="28"/>
        <v>0</v>
      </c>
      <c r="E55" s="102">
        <f t="shared" si="28"/>
        <v>0</v>
      </c>
      <c r="F55" s="102">
        <f t="shared" si="28"/>
        <v>0</v>
      </c>
      <c r="G55" s="102">
        <f t="shared" si="28"/>
        <v>0</v>
      </c>
      <c r="H55" s="102">
        <f t="shared" si="28"/>
        <v>0</v>
      </c>
      <c r="I55" s="102">
        <f t="shared" si="28"/>
        <v>0</v>
      </c>
      <c r="J55" s="102">
        <f t="shared" si="28"/>
        <v>0</v>
      </c>
      <c r="K55" s="102">
        <f t="shared" si="28"/>
        <v>0</v>
      </c>
      <c r="L55" s="102">
        <f t="shared" si="28"/>
        <v>0</v>
      </c>
      <c r="M55" s="102">
        <f t="shared" si="28"/>
        <v>0</v>
      </c>
      <c r="N55" s="102">
        <f t="shared" si="28"/>
        <v>0</v>
      </c>
      <c r="O55" s="100">
        <f t="shared" si="28"/>
        <v>18240000</v>
      </c>
      <c r="P55" s="100">
        <f t="shared" si="28"/>
        <v>16047400</v>
      </c>
      <c r="Q55" s="100">
        <f t="shared" si="28"/>
        <v>16528822</v>
      </c>
      <c r="R55" s="100">
        <f t="shared" si="28"/>
        <v>17024686.66</v>
      </c>
      <c r="S55" s="100">
        <f t="shared" si="28"/>
        <v>17535427.259800002</v>
      </c>
    </row>
    <row r="56" spans="2:22" x14ac:dyDescent="0.25">
      <c r="B56" s="31" t="s">
        <v>273</v>
      </c>
      <c r="C56" s="102" t="e">
        <f>+C50+C55</f>
        <v>#REF!</v>
      </c>
      <c r="D56" s="102" t="e">
        <f>+D50+D55</f>
        <v>#REF!</v>
      </c>
      <c r="E56" s="102" t="e">
        <f t="shared" ref="E56:M56" si="29">+E50+E55</f>
        <v>#REF!</v>
      </c>
      <c r="F56" s="102" t="e">
        <f t="shared" si="29"/>
        <v>#REF!</v>
      </c>
      <c r="G56" s="102" t="e">
        <f t="shared" si="29"/>
        <v>#REF!</v>
      </c>
      <c r="H56" s="102" t="e">
        <f t="shared" si="29"/>
        <v>#REF!</v>
      </c>
      <c r="I56" s="102" t="e">
        <f t="shared" si="29"/>
        <v>#REF!</v>
      </c>
      <c r="J56" s="102" t="e">
        <f t="shared" si="29"/>
        <v>#REF!</v>
      </c>
      <c r="K56" s="102" t="e">
        <f t="shared" si="29"/>
        <v>#REF!</v>
      </c>
      <c r="L56" s="102" t="e">
        <f t="shared" si="29"/>
        <v>#REF!</v>
      </c>
      <c r="M56" s="102" t="e">
        <f t="shared" si="29"/>
        <v>#REF!</v>
      </c>
      <c r="N56" s="102" t="e">
        <f>+N50+N55</f>
        <v>#REF!</v>
      </c>
      <c r="O56" s="100" t="e">
        <f>+O50+O55</f>
        <v>#REF!</v>
      </c>
      <c r="P56" s="100" t="e">
        <f t="shared" ref="P56:S56" si="30">+P50+P55</f>
        <v>#REF!</v>
      </c>
      <c r="Q56" s="100" t="e">
        <f t="shared" si="30"/>
        <v>#REF!</v>
      </c>
      <c r="R56" s="100" t="e">
        <f t="shared" si="30"/>
        <v>#REF!</v>
      </c>
      <c r="S56" s="100" t="e">
        <f t="shared" si="30"/>
        <v>#REF!</v>
      </c>
    </row>
    <row r="57" spans="2:22" x14ac:dyDescent="0.25">
      <c r="B57" s="55"/>
      <c r="C57" s="102"/>
      <c r="D57" s="102" t="e">
        <f>C58</f>
        <v>#REF!</v>
      </c>
      <c r="E57" s="102" t="e">
        <f t="shared" ref="E57:N57" si="31">D58</f>
        <v>#REF!</v>
      </c>
      <c r="F57" s="102" t="e">
        <f t="shared" si="31"/>
        <v>#REF!</v>
      </c>
      <c r="G57" s="102" t="e">
        <f t="shared" si="31"/>
        <v>#REF!</v>
      </c>
      <c r="H57" s="102" t="e">
        <f t="shared" si="31"/>
        <v>#REF!</v>
      </c>
      <c r="I57" s="102" t="e">
        <f t="shared" si="31"/>
        <v>#REF!</v>
      </c>
      <c r="J57" s="102" t="e">
        <f t="shared" si="31"/>
        <v>#REF!</v>
      </c>
      <c r="K57" s="102" t="e">
        <f t="shared" si="31"/>
        <v>#REF!</v>
      </c>
      <c r="L57" s="102" t="e">
        <f t="shared" si="31"/>
        <v>#REF!</v>
      </c>
      <c r="M57" s="102" t="e">
        <f t="shared" si="31"/>
        <v>#REF!</v>
      </c>
      <c r="N57" s="102" t="e">
        <f t="shared" si="31"/>
        <v>#REF!</v>
      </c>
      <c r="O57" s="100" t="e">
        <f>+SUM(D57:N57)</f>
        <v>#REF!</v>
      </c>
      <c r="P57" s="100" t="e">
        <f>+O58</f>
        <v>#REF!</v>
      </c>
      <c r="Q57" s="100" t="e">
        <f t="shared" ref="Q57:S57" si="32">+P58</f>
        <v>#REF!</v>
      </c>
      <c r="R57" s="100" t="e">
        <f t="shared" si="32"/>
        <v>#REF!</v>
      </c>
      <c r="S57" s="100" t="e">
        <f t="shared" si="32"/>
        <v>#REF!</v>
      </c>
    </row>
    <row r="58" spans="2:22" x14ac:dyDescent="0.25">
      <c r="B58" s="31" t="s">
        <v>274</v>
      </c>
      <c r="C58" s="102" t="e">
        <f>+C56+C57</f>
        <v>#REF!</v>
      </c>
      <c r="D58" s="102" t="e">
        <f t="shared" ref="D58:O58" si="33">+D56+D57</f>
        <v>#REF!</v>
      </c>
      <c r="E58" s="102" t="e">
        <f t="shared" si="33"/>
        <v>#REF!</v>
      </c>
      <c r="F58" s="102" t="e">
        <f t="shared" si="33"/>
        <v>#REF!</v>
      </c>
      <c r="G58" s="102" t="e">
        <f t="shared" si="33"/>
        <v>#REF!</v>
      </c>
      <c r="H58" s="102" t="e">
        <f t="shared" si="33"/>
        <v>#REF!</v>
      </c>
      <c r="I58" s="102" t="e">
        <f t="shared" si="33"/>
        <v>#REF!</v>
      </c>
      <c r="J58" s="102" t="e">
        <f t="shared" si="33"/>
        <v>#REF!</v>
      </c>
      <c r="K58" s="102" t="e">
        <f>+K56+K57</f>
        <v>#REF!</v>
      </c>
      <c r="L58" s="102" t="e">
        <f t="shared" si="33"/>
        <v>#REF!</v>
      </c>
      <c r="M58" s="102" t="e">
        <f t="shared" si="33"/>
        <v>#REF!</v>
      </c>
      <c r="N58" s="102" t="e">
        <f t="shared" si="33"/>
        <v>#REF!</v>
      </c>
      <c r="O58" s="100" t="e">
        <f t="shared" si="33"/>
        <v>#REF!</v>
      </c>
      <c r="P58" s="100" t="e">
        <f>+SUM(P56:P57)</f>
        <v>#REF!</v>
      </c>
      <c r="Q58" s="100" t="e">
        <f t="shared" ref="Q58:S58" si="34">+SUM(Q56:Q57)</f>
        <v>#REF!</v>
      </c>
      <c r="R58" s="100" t="e">
        <f t="shared" si="34"/>
        <v>#REF!</v>
      </c>
      <c r="S58" s="100" t="e">
        <f t="shared" si="34"/>
        <v>#REF!</v>
      </c>
    </row>
    <row r="59" spans="2:22" x14ac:dyDescent="0.25">
      <c r="O59" t="s">
        <v>275</v>
      </c>
      <c r="P59" t="s">
        <v>276</v>
      </c>
      <c r="Q59" t="s">
        <v>277</v>
      </c>
      <c r="R59" t="s">
        <v>278</v>
      </c>
      <c r="S59" t="s">
        <v>279</v>
      </c>
    </row>
    <row r="60" spans="2:22" x14ac:dyDescent="0.25">
      <c r="B60" s="31" t="s">
        <v>280</v>
      </c>
      <c r="C60" s="65" t="e">
        <f t="shared" ref="C60:S60" si="35">C58</f>
        <v>#REF!</v>
      </c>
      <c r="D60" s="65" t="e">
        <f t="shared" si="35"/>
        <v>#REF!</v>
      </c>
      <c r="E60" s="65" t="e">
        <f t="shared" si="35"/>
        <v>#REF!</v>
      </c>
      <c r="F60" s="65" t="e">
        <f t="shared" si="35"/>
        <v>#REF!</v>
      </c>
      <c r="G60" s="65" t="e">
        <f t="shared" si="35"/>
        <v>#REF!</v>
      </c>
      <c r="H60" s="65" t="e">
        <f t="shared" si="35"/>
        <v>#REF!</v>
      </c>
      <c r="I60" s="65" t="e">
        <f t="shared" si="35"/>
        <v>#REF!</v>
      </c>
      <c r="J60" s="65" t="e">
        <f t="shared" si="35"/>
        <v>#REF!</v>
      </c>
      <c r="K60" s="65" t="e">
        <f t="shared" si="35"/>
        <v>#REF!</v>
      </c>
      <c r="L60" s="65" t="e">
        <f t="shared" si="35"/>
        <v>#REF!</v>
      </c>
      <c r="M60" s="65" t="e">
        <f t="shared" si="35"/>
        <v>#REF!</v>
      </c>
      <c r="N60" s="65" t="e">
        <f t="shared" si="35"/>
        <v>#REF!</v>
      </c>
      <c r="O60" s="51" t="e">
        <f t="shared" si="35"/>
        <v>#REF!</v>
      </c>
      <c r="P60" s="51" t="e">
        <f t="shared" si="35"/>
        <v>#REF!</v>
      </c>
      <c r="Q60" s="51" t="e">
        <f t="shared" si="35"/>
        <v>#REF!</v>
      </c>
      <c r="R60" s="51" t="e">
        <f t="shared" si="35"/>
        <v>#REF!</v>
      </c>
      <c r="S60" s="51" t="e">
        <f t="shared" si="35"/>
        <v>#REF!</v>
      </c>
    </row>
    <row r="63" spans="2:22" x14ac:dyDescent="0.25">
      <c r="B63" s="31" t="s">
        <v>281</v>
      </c>
      <c r="C63" s="108">
        <f>-'Total de Inversion'!E15</f>
        <v>-14147761.2632</v>
      </c>
      <c r="D63" s="111" t="e">
        <f>+C60</f>
        <v>#REF!</v>
      </c>
      <c r="E63" s="111" t="e">
        <f t="shared" ref="E63:N63" si="36">+D60</f>
        <v>#REF!</v>
      </c>
      <c r="F63" s="111" t="e">
        <f t="shared" si="36"/>
        <v>#REF!</v>
      </c>
      <c r="G63" s="111" t="e">
        <f t="shared" si="36"/>
        <v>#REF!</v>
      </c>
      <c r="H63" s="111" t="e">
        <f t="shared" si="36"/>
        <v>#REF!</v>
      </c>
      <c r="I63" s="111" t="e">
        <f t="shared" si="36"/>
        <v>#REF!</v>
      </c>
      <c r="J63" s="111" t="e">
        <f t="shared" si="36"/>
        <v>#REF!</v>
      </c>
      <c r="K63" s="111" t="e">
        <f t="shared" si="36"/>
        <v>#REF!</v>
      </c>
      <c r="L63" s="111" t="e">
        <f t="shared" si="36"/>
        <v>#REF!</v>
      </c>
      <c r="M63" s="111" t="e">
        <f t="shared" si="36"/>
        <v>#REF!</v>
      </c>
      <c r="N63" s="111" t="e">
        <f t="shared" si="36"/>
        <v>#REF!</v>
      </c>
      <c r="U63" s="110" t="e">
        <f>IRR(C63:N63,0.1)</f>
        <v>#VALUE!</v>
      </c>
      <c r="V63" s="105"/>
    </row>
    <row r="64" spans="2:22" x14ac:dyDescent="0.25">
      <c r="B64" s="31" t="s">
        <v>282</v>
      </c>
      <c r="C64" s="65"/>
      <c r="D64" s="65" t="e">
        <f>+D63</f>
        <v>#REF!</v>
      </c>
      <c r="E64" s="65" t="e">
        <f t="shared" ref="E64:N64" si="37">+E63</f>
        <v>#REF!</v>
      </c>
      <c r="F64" s="65" t="e">
        <f t="shared" si="37"/>
        <v>#REF!</v>
      </c>
      <c r="G64" s="65" t="e">
        <f t="shared" si="37"/>
        <v>#REF!</v>
      </c>
      <c r="H64" s="65" t="e">
        <f t="shared" si="37"/>
        <v>#REF!</v>
      </c>
      <c r="I64" s="65" t="e">
        <f t="shared" si="37"/>
        <v>#REF!</v>
      </c>
      <c r="J64" s="65" t="e">
        <f t="shared" si="37"/>
        <v>#REF!</v>
      </c>
      <c r="K64" s="65" t="e">
        <f t="shared" si="37"/>
        <v>#REF!</v>
      </c>
      <c r="L64" s="65" t="e">
        <f t="shared" si="37"/>
        <v>#REF!</v>
      </c>
      <c r="M64" s="65" t="e">
        <f t="shared" si="37"/>
        <v>#REF!</v>
      </c>
      <c r="N64" s="65" t="e">
        <f t="shared" si="37"/>
        <v>#REF!</v>
      </c>
    </row>
    <row r="65" spans="3:3" x14ac:dyDescent="0.25">
      <c r="C65" s="71"/>
    </row>
  </sheetData>
  <mergeCells count="8">
    <mergeCell ref="B40:O40"/>
    <mergeCell ref="B44:O44"/>
    <mergeCell ref="B51:O51"/>
    <mergeCell ref="B9:O9"/>
    <mergeCell ref="B14:O14"/>
    <mergeCell ref="B15:O15"/>
    <mergeCell ref="B23:O23"/>
    <mergeCell ref="B33:O33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4:K37"/>
  <sheetViews>
    <sheetView topLeftCell="A4" workbookViewId="0">
      <selection activeCell="C12" sqref="C12"/>
    </sheetView>
  </sheetViews>
  <sheetFormatPr baseColWidth="10" defaultRowHeight="15" x14ac:dyDescent="0.25"/>
  <cols>
    <col min="2" max="2" width="23.7109375" bestFit="1" customWidth="1"/>
    <col min="3" max="3" width="18.5703125" bestFit="1" customWidth="1"/>
    <col min="4" max="4" width="19" customWidth="1"/>
    <col min="5" max="6" width="16.85546875" customWidth="1"/>
    <col min="7" max="7" width="18.42578125" customWidth="1"/>
    <col min="8" max="8" width="15.5703125" bestFit="1" customWidth="1"/>
  </cols>
  <sheetData>
    <row r="4" spans="2:11" x14ac:dyDescent="0.25">
      <c r="B4" s="80" t="s">
        <v>285</v>
      </c>
      <c r="C4" s="92" t="s">
        <v>131</v>
      </c>
      <c r="D4" s="92" t="s">
        <v>118</v>
      </c>
      <c r="E4" s="92" t="s">
        <v>119</v>
      </c>
      <c r="F4" s="92" t="s">
        <v>120</v>
      </c>
      <c r="G4" s="92" t="s">
        <v>121</v>
      </c>
    </row>
    <row r="5" spans="2:11" x14ac:dyDescent="0.25">
      <c r="B5" s="1" t="s">
        <v>286</v>
      </c>
      <c r="C5" s="107">
        <f>IF('Estado de Perdida y Ganancias'!D11&lt;&gt;0,('Estado de Perdida y Ganancias'!D19)/'Estado de Perdida y Ganancias'!D11,0)</f>
        <v>0</v>
      </c>
      <c r="D5" s="107">
        <f>IF('Estado de Perdida y Ganancias'!E11&lt;&gt;0,('Estado de Perdida y Ganancias'!E19)/'Estado de Perdida y Ganancias'!E11,0)</f>
        <v>0</v>
      </c>
      <c r="E5" s="107">
        <f>IF('Estado de Perdida y Ganancias'!F11&lt;&gt;0,('Estado de Perdida y Ganancias'!F19)/'Estado de Perdida y Ganancias'!F11,0)</f>
        <v>0</v>
      </c>
      <c r="F5" s="107">
        <f>IF('Estado de Perdida y Ganancias'!G11&lt;&gt;0,('Estado de Perdida y Ganancias'!G19)/'Estado de Perdida y Ganancias'!G11,0)</f>
        <v>0</v>
      </c>
      <c r="G5" s="107">
        <f>IF('Estado de Perdida y Ganancias'!H11&lt;&gt;0,('Estado de Perdida y Ganancias'!H19)/'Estado de Perdida y Ganancias'!H11,0)</f>
        <v>0</v>
      </c>
    </row>
    <row r="6" spans="2:11" x14ac:dyDescent="0.25">
      <c r="B6" s="1" t="s">
        <v>287</v>
      </c>
      <c r="C6" s="107" t="e">
        <f>'Balance General'!D21/'Balance General'!C11</f>
        <v>#VALUE!</v>
      </c>
      <c r="D6" s="107" t="e">
        <f>'Balance General'!E21/'Balance General'!D11</f>
        <v>#VALUE!</v>
      </c>
      <c r="E6" s="107" t="e">
        <f>'Balance General'!F21/'Balance General'!E11</f>
        <v>#VALUE!</v>
      </c>
      <c r="F6" s="107">
        <f>'Balance General'!G21/'Balance General'!F11</f>
        <v>1.3620178941480552</v>
      </c>
      <c r="G6" s="107">
        <f>'Balance General'!H21/'Balance General'!G11</f>
        <v>1.4261062532671516</v>
      </c>
    </row>
    <row r="7" spans="2:11" x14ac:dyDescent="0.25">
      <c r="B7" s="1" t="s">
        <v>288</v>
      </c>
      <c r="C7" s="107">
        <f>'Estado de Perdida y Ganancias'!D11/'Estado de Perdida y Ganancias'!D8</f>
        <v>0</v>
      </c>
      <c r="D7" s="107">
        <f>'Estado de Perdida y Ganancias'!E11/'Estado de Perdida y Ganancias'!E8</f>
        <v>0</v>
      </c>
      <c r="E7" s="107">
        <f>'Estado de Perdida y Ganancias'!F11/'Estado de Perdida y Ganancias'!F8</f>
        <v>0</v>
      </c>
      <c r="F7" s="107">
        <f>'Estado de Perdida y Ganancias'!G11/'Estado de Perdida y Ganancias'!G8</f>
        <v>0</v>
      </c>
      <c r="G7" s="107">
        <f>'Estado de Perdida y Ganancias'!H11/'Estado de Perdida y Ganancias'!H8</f>
        <v>0</v>
      </c>
    </row>
    <row r="8" spans="2:11" x14ac:dyDescent="0.25">
      <c r="B8" s="1" t="s">
        <v>289</v>
      </c>
      <c r="C8" s="107" t="e">
        <f>'Estado de Perdida y Ganancias'!D15/'Estado de Perdida y Ganancias'!D9</f>
        <v>#DIV/0!</v>
      </c>
      <c r="D8" s="107" t="e">
        <f>'Estado de Perdida y Ganancias'!E15/'Estado de Perdida y Ganancias'!E9</f>
        <v>#DIV/0!</v>
      </c>
      <c r="E8" s="107" t="e">
        <f>'Estado de Perdida y Ganancias'!F15/'Estado de Perdida y Ganancias'!F9</f>
        <v>#DIV/0!</v>
      </c>
      <c r="F8" s="107" t="e">
        <f>'Estado de Perdida y Ganancias'!G15/'Estado de Perdida y Ganancias'!G9</f>
        <v>#DIV/0!</v>
      </c>
      <c r="G8" s="107" t="e">
        <f>'Estado de Perdida y Ganancias'!H15/'Estado de Perdida y Ganancias'!H9</f>
        <v>#DIV/0!</v>
      </c>
    </row>
    <row r="9" spans="2:11" x14ac:dyDescent="0.25">
      <c r="B9" s="1" t="s">
        <v>292</v>
      </c>
      <c r="C9" s="107">
        <f>('Estado de Perdida y Ganancias'!D8-'Estado de Perdida y Ganancias'!D9)/'Estado de Perdida y Ganancias'!D8</f>
        <v>1</v>
      </c>
      <c r="D9" s="112">
        <f>('Estado de Perdida y Ganancias'!E8-'Estado de Perdida y Ganancias'!E9)/'Estado de Perdida y Ganancias'!E8</f>
        <v>1</v>
      </c>
      <c r="E9" s="112">
        <f>('Estado de Perdida y Ganancias'!F8-'Estado de Perdida y Ganancias'!F9)/'Estado de Perdida y Ganancias'!F8</f>
        <v>1</v>
      </c>
      <c r="F9" s="112">
        <f>('Estado de Perdida y Ganancias'!G8-'Estado de Perdida y Ganancias'!G9)/'Estado de Perdida y Ganancias'!G8</f>
        <v>1</v>
      </c>
      <c r="G9" s="112">
        <f>('Estado de Perdida y Ganancias'!H8-'Estado de Perdida y Ganancias'!H9)/'Estado de Perdida y Ganancias'!H8</f>
        <v>1</v>
      </c>
    </row>
    <row r="10" spans="2:11" x14ac:dyDescent="0.25">
      <c r="B10" s="98" t="s">
        <v>95</v>
      </c>
      <c r="C10" s="116" t="e">
        <f>NPV(8%,'Flujo de Caja Mensual'!D64:N64)</f>
        <v>#REF!</v>
      </c>
      <c r="D10" s="150" t="s">
        <v>313</v>
      </c>
      <c r="E10" s="150"/>
      <c r="F10" s="150"/>
      <c r="G10" s="150"/>
      <c r="H10" s="150"/>
    </row>
    <row r="11" spans="2:11" x14ac:dyDescent="0.25">
      <c r="B11" s="98" t="s">
        <v>101</v>
      </c>
      <c r="C11" s="117" t="e">
        <f>IRR('Flujo de Caja Mensual'!C63:N63)*10%</f>
        <v>#VALUE!</v>
      </c>
      <c r="D11" s="150" t="s">
        <v>314</v>
      </c>
      <c r="E11" s="150"/>
      <c r="F11" s="150"/>
      <c r="G11" s="150"/>
      <c r="H11" s="150"/>
    </row>
    <row r="12" spans="2:11" x14ac:dyDescent="0.25">
      <c r="B12" s="98" t="s">
        <v>293</v>
      </c>
      <c r="C12" s="118">
        <f>H37</f>
        <v>6310237.8431999981</v>
      </c>
      <c r="D12" s="150" t="s">
        <v>315</v>
      </c>
      <c r="E12" s="150"/>
      <c r="F12" s="150"/>
      <c r="G12" s="150"/>
      <c r="H12" s="150"/>
      <c r="I12" s="109"/>
    </row>
    <row r="15" spans="2:11" x14ac:dyDescent="0.25">
      <c r="B15" s="130" t="s">
        <v>294</v>
      </c>
      <c r="C15" s="130"/>
      <c r="D15" s="130"/>
      <c r="E15" s="130"/>
      <c r="F15" s="130"/>
      <c r="G15" s="130"/>
      <c r="H15" s="130"/>
      <c r="I15" s="130"/>
      <c r="J15" s="130"/>
      <c r="K15" s="130"/>
    </row>
    <row r="16" spans="2:11" x14ac:dyDescent="0.25">
      <c r="B16" s="31" t="s">
        <v>295</v>
      </c>
      <c r="C16" s="151"/>
      <c r="D16" s="152"/>
      <c r="E16" s="152"/>
      <c r="F16" s="152"/>
      <c r="G16" s="152"/>
      <c r="H16" s="152"/>
      <c r="I16" s="152"/>
      <c r="J16" s="152"/>
      <c r="K16" s="153"/>
    </row>
    <row r="17" spans="2:11" x14ac:dyDescent="0.25">
      <c r="B17" s="31" t="s">
        <v>296</v>
      </c>
      <c r="C17" s="31" t="s">
        <v>297</v>
      </c>
      <c r="D17" s="31" t="s">
        <v>298</v>
      </c>
      <c r="E17" s="31" t="s">
        <v>299</v>
      </c>
      <c r="F17" s="31" t="s">
        <v>300</v>
      </c>
      <c r="G17" s="31" t="s">
        <v>301</v>
      </c>
      <c r="H17" s="130" t="s">
        <v>292</v>
      </c>
      <c r="I17" s="130"/>
      <c r="J17" s="31" t="s">
        <v>302</v>
      </c>
      <c r="K17" s="31" t="s">
        <v>303</v>
      </c>
    </row>
    <row r="18" spans="2:11" x14ac:dyDescent="0.25">
      <c r="B18" s="1" t="str">
        <f>'Presupuesto de ventas'!B6</f>
        <v>Sistema de inventarios distribuidora de dulces</v>
      </c>
      <c r="C18" s="7">
        <f>'Presupuesto de ventas'!D50</f>
        <v>2000000</v>
      </c>
      <c r="D18" s="7">
        <f>'Materia Prima'!G19</f>
        <v>0</v>
      </c>
      <c r="E18" s="1"/>
      <c r="F18" s="1"/>
      <c r="G18" s="7">
        <f>SUM(D18:F18)</f>
        <v>0</v>
      </c>
      <c r="H18" s="7">
        <f>C18-G18</f>
        <v>2000000</v>
      </c>
      <c r="I18" s="106">
        <f>IF(C18=0,0,H18/C18)</f>
        <v>1</v>
      </c>
      <c r="J18" s="35">
        <f>+'Presupuesto de compras y ventas'!E7/'Presupuesto de compras y ventas'!E14</f>
        <v>1</v>
      </c>
      <c r="K18" s="107">
        <f>I18*J18</f>
        <v>1</v>
      </c>
    </row>
    <row r="19" spans="2:11" x14ac:dyDescent="0.25">
      <c r="B19" s="1"/>
      <c r="C19" s="40"/>
      <c r="D19" s="40"/>
      <c r="E19" s="1"/>
      <c r="F19" s="1"/>
      <c r="G19" s="40"/>
      <c r="H19" s="40"/>
      <c r="I19" s="106"/>
      <c r="J19" s="35"/>
      <c r="K19" s="107"/>
    </row>
    <row r="20" spans="2:11" x14ac:dyDescent="0.25">
      <c r="B20" s="1"/>
      <c r="C20" s="40"/>
      <c r="D20" s="40"/>
      <c r="E20" s="1"/>
      <c r="F20" s="1"/>
      <c r="G20" s="40"/>
      <c r="H20" s="40"/>
      <c r="I20" s="106"/>
      <c r="J20" s="35"/>
      <c r="K20" s="107"/>
    </row>
    <row r="21" spans="2:11" x14ac:dyDescent="0.25">
      <c r="B21" s="1"/>
      <c r="C21" s="40"/>
      <c r="D21" s="40"/>
      <c r="E21" s="1"/>
      <c r="F21" s="1"/>
      <c r="G21" s="40"/>
      <c r="H21" s="40"/>
      <c r="I21" s="106"/>
      <c r="J21" s="35"/>
      <c r="K21" s="1"/>
    </row>
    <row r="22" spans="2:11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2:11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2:11" x14ac:dyDescent="0.25">
      <c r="G24" s="130" t="s">
        <v>304</v>
      </c>
      <c r="H24" s="130"/>
      <c r="I24" s="130"/>
      <c r="J24" s="17">
        <f>SUM(J18:J23)</f>
        <v>1</v>
      </c>
      <c r="K24" s="107">
        <f>SUM(K18:K23)</f>
        <v>1</v>
      </c>
    </row>
    <row r="27" spans="2:11" x14ac:dyDescent="0.25">
      <c r="B27" s="130" t="s">
        <v>305</v>
      </c>
      <c r="C27" s="130"/>
      <c r="D27" s="130"/>
      <c r="E27" s="130"/>
      <c r="F27" s="130"/>
      <c r="G27" s="130"/>
      <c r="H27" s="130"/>
      <c r="I27" s="130"/>
    </row>
    <row r="28" spans="2:11" x14ac:dyDescent="0.25">
      <c r="B28" s="148" t="s">
        <v>306</v>
      </c>
      <c r="C28" s="148"/>
      <c r="D28" s="66">
        <f>'Presupuesto de Costos y G año 1'!D17/K24</f>
        <v>89689762.156800002</v>
      </c>
      <c r="E28" s="31"/>
      <c r="F28" s="130" t="s">
        <v>307</v>
      </c>
      <c r="G28" s="130"/>
      <c r="H28" s="149" t="s">
        <v>308</v>
      </c>
      <c r="I28" s="149"/>
    </row>
    <row r="29" spans="2:11" x14ac:dyDescent="0.25">
      <c r="B29" s="31" t="s">
        <v>46</v>
      </c>
      <c r="C29" s="31" t="s">
        <v>306</v>
      </c>
      <c r="D29" s="31" t="s">
        <v>309</v>
      </c>
      <c r="E29" s="31" t="s">
        <v>310</v>
      </c>
      <c r="F29" s="31" t="s">
        <v>311</v>
      </c>
      <c r="G29" s="31" t="s">
        <v>132</v>
      </c>
      <c r="H29" s="31" t="s">
        <v>312</v>
      </c>
      <c r="I29" s="31" t="s">
        <v>132</v>
      </c>
    </row>
    <row r="30" spans="2:11" x14ac:dyDescent="0.25">
      <c r="B30" s="1" t="str">
        <f>B18</f>
        <v>Sistema de inventarios distribuidora de dulces</v>
      </c>
      <c r="C30" s="7">
        <f>D28*E30</f>
        <v>89689762.156800002</v>
      </c>
      <c r="D30" s="52">
        <f>IF(C18=0,0,C30/C18)</f>
        <v>44.8448810784</v>
      </c>
      <c r="E30" s="17">
        <f>+J24</f>
        <v>1</v>
      </c>
      <c r="F30" s="7">
        <f>'Presupuesto de compras y ventas'!E7</f>
        <v>96000000</v>
      </c>
      <c r="G30" s="40">
        <f>'Presupuesto de compras y ventas'!C7</f>
        <v>48</v>
      </c>
      <c r="H30" s="7">
        <f>+F30-C30</f>
        <v>6310237.8431999981</v>
      </c>
      <c r="I30" s="52">
        <f>+G30-D30</f>
        <v>3.1551189215999997</v>
      </c>
    </row>
    <row r="31" spans="2:11" x14ac:dyDescent="0.25">
      <c r="B31" s="1"/>
      <c r="C31" s="40"/>
      <c r="D31" s="52"/>
      <c r="E31" s="17"/>
      <c r="F31" s="40"/>
      <c r="G31" s="40"/>
      <c r="H31" s="40"/>
      <c r="I31" s="52"/>
    </row>
    <row r="32" spans="2:11" x14ac:dyDescent="0.25">
      <c r="B32" s="1"/>
      <c r="C32" s="40"/>
      <c r="D32" s="52"/>
      <c r="E32" s="17"/>
      <c r="F32" s="40"/>
      <c r="G32" s="40"/>
      <c r="H32" s="40"/>
      <c r="I32" s="52"/>
    </row>
    <row r="33" spans="2:9" x14ac:dyDescent="0.25">
      <c r="B33" s="1"/>
      <c r="C33" s="40"/>
      <c r="D33" s="1"/>
      <c r="E33" s="17"/>
      <c r="F33" s="40"/>
      <c r="G33" s="40"/>
      <c r="H33" s="40"/>
      <c r="I33" s="52"/>
    </row>
    <row r="34" spans="2:9" x14ac:dyDescent="0.25">
      <c r="B34" s="1"/>
      <c r="C34" s="40"/>
      <c r="D34" s="1"/>
      <c r="E34" s="17"/>
      <c r="F34" s="1"/>
      <c r="G34" s="1"/>
      <c r="H34" s="1"/>
      <c r="I34" s="1"/>
    </row>
    <row r="35" spans="2:9" x14ac:dyDescent="0.25">
      <c r="B35" s="1"/>
      <c r="C35" s="1"/>
      <c r="D35" s="1"/>
      <c r="E35" s="1"/>
      <c r="F35" s="1"/>
      <c r="G35" s="1"/>
      <c r="H35" s="1"/>
      <c r="I35" s="1"/>
    </row>
    <row r="36" spans="2:9" x14ac:dyDescent="0.25">
      <c r="B36" s="1"/>
      <c r="C36" s="1"/>
      <c r="D36" s="1"/>
      <c r="E36" s="1"/>
      <c r="F36" s="1"/>
      <c r="G36" s="1"/>
      <c r="H36" s="1"/>
      <c r="I36" s="1"/>
    </row>
    <row r="37" spans="2:9" x14ac:dyDescent="0.25">
      <c r="B37" s="31" t="s">
        <v>56</v>
      </c>
      <c r="C37" s="66">
        <f>SUM(C30:C36)</f>
        <v>89689762.156800002</v>
      </c>
      <c r="D37" s="43">
        <f t="shared" ref="D37:I37" si="0">SUM(D30:D36)</f>
        <v>44.8448810784</v>
      </c>
      <c r="E37" s="43">
        <f t="shared" si="0"/>
        <v>1</v>
      </c>
      <c r="F37" s="66">
        <f t="shared" si="0"/>
        <v>96000000</v>
      </c>
      <c r="G37" s="43">
        <f t="shared" si="0"/>
        <v>48</v>
      </c>
      <c r="H37" s="66">
        <f t="shared" si="0"/>
        <v>6310237.8431999981</v>
      </c>
      <c r="I37" s="43">
        <f t="shared" si="0"/>
        <v>3.1551189215999997</v>
      </c>
    </row>
  </sheetData>
  <mergeCells count="11">
    <mergeCell ref="D10:H10"/>
    <mergeCell ref="D11:H11"/>
    <mergeCell ref="D12:H12"/>
    <mergeCell ref="B15:K15"/>
    <mergeCell ref="C16:K16"/>
    <mergeCell ref="H17:I17"/>
    <mergeCell ref="G24:I24"/>
    <mergeCell ref="B27:I27"/>
    <mergeCell ref="B28:C28"/>
    <mergeCell ref="F28:G28"/>
    <mergeCell ref="H28:I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7:Q40"/>
  <sheetViews>
    <sheetView topLeftCell="E21" zoomScale="136" zoomScaleNormal="136" workbookViewId="0">
      <selection activeCell="I30" sqref="I30"/>
    </sheetView>
  </sheetViews>
  <sheetFormatPr baseColWidth="10" defaultRowHeight="15" x14ac:dyDescent="0.25"/>
  <cols>
    <col min="2" max="2" width="5.140625" bestFit="1" customWidth="1"/>
    <col min="3" max="3" width="21" customWidth="1"/>
    <col min="4" max="4" width="20.5703125" customWidth="1"/>
    <col min="5" max="5" width="19" customWidth="1"/>
    <col min="6" max="6" width="19.5703125" bestFit="1" customWidth="1"/>
    <col min="7" max="7" width="15" bestFit="1" customWidth="1"/>
    <col min="8" max="8" width="24.85546875" bestFit="1" customWidth="1"/>
    <col min="9" max="9" width="21.42578125" customWidth="1"/>
    <col min="10" max="10" width="18.85546875" bestFit="1" customWidth="1"/>
    <col min="11" max="11" width="17" bestFit="1" customWidth="1"/>
    <col min="12" max="12" width="25.85546875" customWidth="1"/>
    <col min="13" max="13" width="24.42578125" bestFit="1" customWidth="1"/>
    <col min="14" max="15" width="19" bestFit="1" customWidth="1"/>
    <col min="16" max="16" width="24.5703125" bestFit="1" customWidth="1"/>
    <col min="17" max="17" width="22.7109375" bestFit="1" customWidth="1"/>
  </cols>
  <sheetData>
    <row r="7" spans="2:17" x14ac:dyDescent="0.25">
      <c r="B7" s="8"/>
      <c r="C7" s="8"/>
      <c r="D7" s="8"/>
      <c r="E7" s="8"/>
      <c r="F7" s="8"/>
      <c r="G7" s="8"/>
      <c r="H7" s="8"/>
      <c r="I7" s="8"/>
    </row>
    <row r="8" spans="2:17" x14ac:dyDescent="0.25">
      <c r="B8" s="8"/>
      <c r="C8" s="8"/>
      <c r="D8" s="8"/>
      <c r="E8" s="8"/>
      <c r="F8" s="8"/>
      <c r="G8" s="8"/>
      <c r="H8" s="8"/>
      <c r="I8" s="8"/>
    </row>
    <row r="9" spans="2:17" x14ac:dyDescent="0.25">
      <c r="B9" s="124" t="s">
        <v>35</v>
      </c>
      <c r="C9" s="124"/>
      <c r="D9" s="124"/>
      <c r="E9" s="124"/>
      <c r="F9" s="125" t="s">
        <v>31</v>
      </c>
      <c r="G9" s="126"/>
      <c r="H9" s="126"/>
      <c r="I9" s="126"/>
      <c r="J9" s="126"/>
      <c r="K9" s="126"/>
      <c r="L9" s="126"/>
      <c r="M9" s="127"/>
      <c r="N9" s="128" t="s">
        <v>33</v>
      </c>
      <c r="O9" s="128"/>
      <c r="P9" s="128"/>
      <c r="Q9" s="124" t="s">
        <v>34</v>
      </c>
    </row>
    <row r="10" spans="2:17" x14ac:dyDescent="0.25">
      <c r="B10" s="5" t="s">
        <v>5</v>
      </c>
      <c r="C10" s="6" t="s">
        <v>0</v>
      </c>
      <c r="D10" s="6" t="s">
        <v>1</v>
      </c>
      <c r="E10" s="6" t="s">
        <v>23</v>
      </c>
      <c r="F10" s="6" t="s">
        <v>25</v>
      </c>
      <c r="G10" s="6" t="s">
        <v>24</v>
      </c>
      <c r="H10" s="6" t="s">
        <v>22</v>
      </c>
      <c r="I10" s="6" t="s">
        <v>26</v>
      </c>
      <c r="J10" s="6" t="s">
        <v>27</v>
      </c>
      <c r="K10" s="11" t="s">
        <v>28</v>
      </c>
      <c r="L10" s="11" t="s">
        <v>29</v>
      </c>
      <c r="M10" s="11" t="s">
        <v>30</v>
      </c>
      <c r="N10" s="10" t="s">
        <v>20</v>
      </c>
      <c r="O10" s="10" t="s">
        <v>21</v>
      </c>
      <c r="P10" s="10" t="s">
        <v>32</v>
      </c>
      <c r="Q10" s="124"/>
    </row>
    <row r="11" spans="2:17" x14ac:dyDescent="0.25">
      <c r="B11" s="3">
        <v>1</v>
      </c>
      <c r="C11" s="1" t="str">
        <f>'Seleccion de Personal'!C11</f>
        <v xml:space="preserve">Andres Mauricio </v>
      </c>
      <c r="D11" s="1" t="str">
        <f>'Seleccion de Personal'!D11</f>
        <v>Briceño</v>
      </c>
      <c r="E11" s="1" t="str">
        <f>'Seleccion de Personal'!E11</f>
        <v>Scrum Development</v>
      </c>
      <c r="F11" s="7">
        <v>908526</v>
      </c>
      <c r="G11" s="14">
        <v>30</v>
      </c>
      <c r="H11" s="9">
        <f>(F11/30)*G11</f>
        <v>908526</v>
      </c>
      <c r="I11" s="15"/>
      <c r="J11" s="15"/>
      <c r="K11" s="15"/>
      <c r="L11" s="15">
        <v>100000</v>
      </c>
      <c r="M11" s="15">
        <f>SUM(H11:L11)</f>
        <v>1008526</v>
      </c>
      <c r="N11" s="7">
        <f>H11*4%</f>
        <v>36341.040000000001</v>
      </c>
      <c r="O11" s="7">
        <f>H11*4%</f>
        <v>36341.040000000001</v>
      </c>
      <c r="P11" s="7">
        <f>SUM(N11:O11)</f>
        <v>72682.080000000002</v>
      </c>
      <c r="Q11" s="9">
        <f>M11-P11</f>
        <v>935843.92</v>
      </c>
    </row>
    <row r="12" spans="2:17" x14ac:dyDescent="0.25">
      <c r="B12" s="3">
        <v>2</v>
      </c>
      <c r="C12" s="1" t="str">
        <f>'Seleccion de Personal'!C12</f>
        <v>Jhon Sebastian</v>
      </c>
      <c r="D12" s="1" t="str">
        <f>'Seleccion de Personal'!D12</f>
        <v>Salinas</v>
      </c>
      <c r="E12" s="1" t="str">
        <f>'Seleccion de Personal'!E12</f>
        <v>Scrum Master</v>
      </c>
      <c r="F12" s="7">
        <v>908526</v>
      </c>
      <c r="G12" s="14">
        <v>30</v>
      </c>
      <c r="H12" s="9">
        <f t="shared" ref="H12:H15" si="0">(F12/30)*G12</f>
        <v>908526</v>
      </c>
      <c r="I12" s="15"/>
      <c r="J12" s="15"/>
      <c r="K12" s="15"/>
      <c r="L12" s="15">
        <v>100000</v>
      </c>
      <c r="M12" s="15">
        <f t="shared" ref="M12:M15" si="1">SUM(H12:L12)</f>
        <v>1008526</v>
      </c>
      <c r="N12" s="7">
        <f t="shared" ref="N12:N15" si="2">H12*4%</f>
        <v>36341.040000000001</v>
      </c>
      <c r="O12" s="7">
        <f t="shared" ref="O12:O15" si="3">H12*4%</f>
        <v>36341.040000000001</v>
      </c>
      <c r="P12" s="7">
        <f t="shared" ref="P12:P15" si="4">SUM(N12:O12)</f>
        <v>72682.080000000002</v>
      </c>
      <c r="Q12" s="9">
        <f t="shared" ref="Q12:Q15" si="5">M12-P12</f>
        <v>935843.92</v>
      </c>
    </row>
    <row r="13" spans="2:17" x14ac:dyDescent="0.25">
      <c r="B13" s="3">
        <v>3</v>
      </c>
      <c r="C13" s="1" t="str">
        <f>'Seleccion de Personal'!C13</f>
        <v>Angela Patricia</v>
      </c>
      <c r="D13" s="1" t="str">
        <f>'Seleccion de Personal'!D13</f>
        <v>Soto</v>
      </c>
      <c r="E13" s="1" t="str">
        <f>'Seleccion de Personal'!E13</f>
        <v>Scrum Development</v>
      </c>
      <c r="F13" s="7">
        <v>908526</v>
      </c>
      <c r="G13" s="14">
        <v>30</v>
      </c>
      <c r="H13" s="9">
        <f t="shared" si="0"/>
        <v>908526</v>
      </c>
      <c r="I13" s="15"/>
      <c r="J13" s="15"/>
      <c r="K13" s="15"/>
      <c r="L13" s="15">
        <v>100000</v>
      </c>
      <c r="M13" s="15">
        <f t="shared" si="1"/>
        <v>1008526</v>
      </c>
      <c r="N13" s="7">
        <f t="shared" si="2"/>
        <v>36341.040000000001</v>
      </c>
      <c r="O13" s="7">
        <f t="shared" si="3"/>
        <v>36341.040000000001</v>
      </c>
      <c r="P13" s="7">
        <f t="shared" si="4"/>
        <v>72682.080000000002</v>
      </c>
      <c r="Q13" s="9">
        <f t="shared" si="5"/>
        <v>935843.92</v>
      </c>
    </row>
    <row r="14" spans="2:17" x14ac:dyDescent="0.25">
      <c r="B14" s="3">
        <v>4</v>
      </c>
      <c r="C14" s="1" t="str">
        <f>'Seleccion de Personal'!C14</f>
        <v>Arnol Steven</v>
      </c>
      <c r="D14" s="1" t="str">
        <f>'Seleccion de Personal'!D14</f>
        <v>Santa</v>
      </c>
      <c r="E14" s="1" t="str">
        <f>'Seleccion de Personal'!E14</f>
        <v>Scrum Development</v>
      </c>
      <c r="F14" s="7">
        <v>908526</v>
      </c>
      <c r="G14" s="14">
        <v>30</v>
      </c>
      <c r="H14" s="9">
        <f t="shared" si="0"/>
        <v>908526</v>
      </c>
      <c r="I14" s="15"/>
      <c r="J14" s="15"/>
      <c r="K14" s="15"/>
      <c r="L14" s="15">
        <v>100000</v>
      </c>
      <c r="M14" s="15">
        <f t="shared" si="1"/>
        <v>1008526</v>
      </c>
      <c r="N14" s="7">
        <f t="shared" si="2"/>
        <v>36341.040000000001</v>
      </c>
      <c r="O14" s="7">
        <f t="shared" si="3"/>
        <v>36341.040000000001</v>
      </c>
      <c r="P14" s="7">
        <f t="shared" si="4"/>
        <v>72682.080000000002</v>
      </c>
      <c r="Q14" s="9">
        <f t="shared" si="5"/>
        <v>935843.92</v>
      </c>
    </row>
    <row r="15" spans="2:17" x14ac:dyDescent="0.25">
      <c r="B15" s="3">
        <v>5</v>
      </c>
      <c r="C15" s="1">
        <f>'Seleccion de Personal'!C15</f>
        <v>0</v>
      </c>
      <c r="D15" s="1">
        <f>'Seleccion de Personal'!D15</f>
        <v>0</v>
      </c>
      <c r="E15" s="1">
        <f>'Seleccion de Personal'!E15</f>
        <v>0</v>
      </c>
      <c r="F15" s="7"/>
      <c r="G15" s="14"/>
      <c r="H15" s="9">
        <f t="shared" si="0"/>
        <v>0</v>
      </c>
      <c r="I15" s="15"/>
      <c r="J15" s="15"/>
      <c r="K15" s="15"/>
      <c r="L15" s="15"/>
      <c r="M15" s="15">
        <f t="shared" si="1"/>
        <v>0</v>
      </c>
      <c r="N15" s="7">
        <f t="shared" si="2"/>
        <v>0</v>
      </c>
      <c r="O15" s="7">
        <f t="shared" si="3"/>
        <v>0</v>
      </c>
      <c r="P15" s="7">
        <f t="shared" si="4"/>
        <v>0</v>
      </c>
      <c r="Q15" s="9">
        <f t="shared" si="5"/>
        <v>0</v>
      </c>
    </row>
    <row r="16" spans="2:17" x14ac:dyDescent="0.25">
      <c r="B16" s="3">
        <v>6</v>
      </c>
      <c r="C16" s="1"/>
      <c r="D16" s="1"/>
      <c r="E16" s="1"/>
      <c r="F16" s="7"/>
      <c r="G16" s="14"/>
      <c r="H16" s="1"/>
      <c r="I16" s="15"/>
      <c r="J16" s="15"/>
      <c r="K16" s="15"/>
      <c r="L16" s="15"/>
      <c r="M16" s="15"/>
      <c r="N16" s="7"/>
      <c r="O16" s="7"/>
      <c r="P16" s="7"/>
      <c r="Q16" s="9">
        <f>M16-P16</f>
        <v>0</v>
      </c>
    </row>
    <row r="17" spans="2:17" x14ac:dyDescent="0.25">
      <c r="B17" s="3">
        <v>7</v>
      </c>
      <c r="C17" s="1"/>
      <c r="D17" s="1"/>
      <c r="E17" s="1"/>
      <c r="F17" s="7"/>
      <c r="G17" s="14"/>
      <c r="H17" s="1"/>
      <c r="I17" s="15"/>
      <c r="J17" s="15"/>
      <c r="K17" s="15"/>
      <c r="L17" s="15"/>
      <c r="M17" s="15"/>
      <c r="N17" s="7"/>
      <c r="O17" s="7"/>
      <c r="P17" s="7"/>
      <c r="Q17" s="9">
        <f>M17-P17</f>
        <v>0</v>
      </c>
    </row>
    <row r="18" spans="2:17" x14ac:dyDescent="0.25">
      <c r="B18" s="3">
        <v>8</v>
      </c>
      <c r="C18" s="1"/>
      <c r="D18" s="1"/>
      <c r="E18" s="1"/>
      <c r="F18" s="7"/>
      <c r="G18" s="14"/>
      <c r="H18" s="1"/>
      <c r="I18" s="15"/>
      <c r="J18" s="15"/>
      <c r="K18" s="15"/>
      <c r="L18" s="15"/>
      <c r="M18" s="15"/>
      <c r="N18" s="7"/>
      <c r="O18" s="7"/>
      <c r="P18" s="7"/>
      <c r="Q18" s="9">
        <f>M18-P18</f>
        <v>0</v>
      </c>
    </row>
    <row r="19" spans="2:17" x14ac:dyDescent="0.25">
      <c r="B19" s="3">
        <v>9</v>
      </c>
      <c r="C19" s="1"/>
      <c r="D19" s="1"/>
      <c r="E19" s="1"/>
      <c r="F19" s="7"/>
      <c r="G19" s="14"/>
      <c r="H19" s="1"/>
      <c r="I19" s="15"/>
      <c r="J19" s="15"/>
      <c r="K19" s="15"/>
      <c r="L19" s="15"/>
      <c r="M19" s="15"/>
      <c r="N19" s="7"/>
      <c r="O19" s="7"/>
      <c r="P19" s="7"/>
      <c r="Q19" s="9">
        <f>M19-P19</f>
        <v>0</v>
      </c>
    </row>
    <row r="20" spans="2:17" x14ac:dyDescent="0.25">
      <c r="B20" s="3">
        <v>10</v>
      </c>
      <c r="C20" s="1"/>
      <c r="D20" s="1"/>
      <c r="E20" s="1"/>
      <c r="F20" s="7"/>
      <c r="G20" s="14"/>
      <c r="H20" s="1"/>
      <c r="I20" s="15"/>
      <c r="J20" s="15"/>
      <c r="K20" s="15"/>
      <c r="L20" s="15"/>
      <c r="M20" s="15"/>
      <c r="N20" s="7"/>
      <c r="O20" s="7"/>
      <c r="P20" s="7"/>
      <c r="Q20" s="9">
        <f>M20-P20</f>
        <v>0</v>
      </c>
    </row>
    <row r="21" spans="2:17" x14ac:dyDescent="0.25">
      <c r="H21" s="16">
        <f>SUM(H11:H20)</f>
        <v>3634104</v>
      </c>
      <c r="I21" s="16">
        <f t="shared" ref="I21:M21" si="6">SUM(I11:I20)</f>
        <v>0</v>
      </c>
      <c r="J21" s="16">
        <f t="shared" si="6"/>
        <v>0</v>
      </c>
      <c r="K21" s="16">
        <f t="shared" si="6"/>
        <v>0</v>
      </c>
      <c r="L21" s="16">
        <f t="shared" si="6"/>
        <v>400000</v>
      </c>
      <c r="M21" s="16">
        <f t="shared" si="6"/>
        <v>4034104</v>
      </c>
      <c r="N21" s="16">
        <f t="shared" ref="N21" si="7">SUM(N11:N20)</f>
        <v>145364.16</v>
      </c>
      <c r="O21" s="16">
        <f t="shared" ref="O21" si="8">SUM(O11:O20)</f>
        <v>145364.16</v>
      </c>
      <c r="P21" s="16">
        <f t="shared" ref="P21" si="9">SUM(P11:P20)</f>
        <v>290728.32000000001</v>
      </c>
      <c r="Q21" s="16">
        <f>SUM(Q11:Q20)</f>
        <v>3743375.68</v>
      </c>
    </row>
    <row r="30" spans="2:17" x14ac:dyDescent="0.25">
      <c r="C30" s="30" t="s">
        <v>36</v>
      </c>
      <c r="D30" s="30" t="s">
        <v>37</v>
      </c>
      <c r="F30" s="20" t="s">
        <v>57</v>
      </c>
      <c r="H30" s="30" t="s">
        <v>58</v>
      </c>
      <c r="I30" s="9">
        <f>Q21+F40</f>
        <v>5608761.2631999999</v>
      </c>
      <c r="K30" s="45" t="s">
        <v>115</v>
      </c>
      <c r="L30" s="45" t="s">
        <v>169</v>
      </c>
      <c r="M30" s="45" t="s">
        <v>117</v>
      </c>
    </row>
    <row r="31" spans="2:17" x14ac:dyDescent="0.25">
      <c r="C31" s="1" t="s">
        <v>38</v>
      </c>
      <c r="D31" s="17">
        <v>0.04</v>
      </c>
      <c r="F31" s="9">
        <f>H$21*D31</f>
        <v>145364.16</v>
      </c>
      <c r="K31" s="55" t="s">
        <v>118</v>
      </c>
      <c r="L31" s="58">
        <v>0.06</v>
      </c>
      <c r="M31" s="63">
        <f>L31+1</f>
        <v>1.06</v>
      </c>
    </row>
    <row r="32" spans="2:17" x14ac:dyDescent="0.25">
      <c r="C32" s="1" t="s">
        <v>39</v>
      </c>
      <c r="D32" s="17">
        <v>0.03</v>
      </c>
      <c r="F32" s="9">
        <f t="shared" ref="F32:F39" si="10">H$21*D32</f>
        <v>109023.12</v>
      </c>
      <c r="K32" s="55" t="s">
        <v>119</v>
      </c>
      <c r="L32" s="58">
        <v>0.05</v>
      </c>
      <c r="M32" s="63">
        <f>L32+1</f>
        <v>1.05</v>
      </c>
    </row>
    <row r="33" spans="3:13" x14ac:dyDescent="0.25">
      <c r="C33" s="1" t="s">
        <v>40</v>
      </c>
      <c r="D33" s="17">
        <v>0.02</v>
      </c>
      <c r="F33" s="9">
        <f t="shared" si="10"/>
        <v>72682.080000000002</v>
      </c>
      <c r="K33" s="55" t="s">
        <v>120</v>
      </c>
      <c r="L33" s="58">
        <v>0.06</v>
      </c>
      <c r="M33" s="63">
        <f>L33+1</f>
        <v>1.06</v>
      </c>
    </row>
    <row r="34" spans="3:13" x14ac:dyDescent="0.25">
      <c r="C34" s="1" t="s">
        <v>41</v>
      </c>
      <c r="D34" s="17">
        <v>0.12</v>
      </c>
      <c r="F34" s="9">
        <f t="shared" si="10"/>
        <v>436092.48</v>
      </c>
      <c r="K34" s="55" t="s">
        <v>121</v>
      </c>
      <c r="L34" s="58">
        <v>0.05</v>
      </c>
      <c r="M34" s="63">
        <f>L34+1</f>
        <v>1.05</v>
      </c>
    </row>
    <row r="35" spans="3:13" x14ac:dyDescent="0.25">
      <c r="C35" s="1" t="s">
        <v>20</v>
      </c>
      <c r="D35" s="18">
        <v>8.5000000000000006E-2</v>
      </c>
      <c r="F35" s="9">
        <f t="shared" si="10"/>
        <v>308898.84000000003</v>
      </c>
      <c r="K35" s="79"/>
      <c r="L35" t="s">
        <v>170</v>
      </c>
    </row>
    <row r="36" spans="3:13" x14ac:dyDescent="0.25">
      <c r="C36" s="1" t="s">
        <v>42</v>
      </c>
      <c r="D36" s="19">
        <v>8.3299999999999999E-2</v>
      </c>
      <c r="F36" s="9">
        <f t="shared" si="10"/>
        <v>302720.86320000002</v>
      </c>
      <c r="K36" s="77"/>
    </row>
    <row r="37" spans="3:13" x14ac:dyDescent="0.25">
      <c r="C37" s="1" t="s">
        <v>43</v>
      </c>
      <c r="D37" s="17">
        <v>0.01</v>
      </c>
      <c r="F37" s="9">
        <f t="shared" si="10"/>
        <v>36341.040000000001</v>
      </c>
      <c r="K37" s="77"/>
    </row>
    <row r="38" spans="3:13" x14ac:dyDescent="0.25">
      <c r="C38" s="1" t="s">
        <v>44</v>
      </c>
      <c r="D38" s="19">
        <v>8.3299999999999999E-2</v>
      </c>
      <c r="F38" s="9">
        <f t="shared" si="10"/>
        <v>302720.86320000002</v>
      </c>
      <c r="K38" s="77"/>
    </row>
    <row r="39" spans="3:13" x14ac:dyDescent="0.25">
      <c r="C39" s="1" t="s">
        <v>45</v>
      </c>
      <c r="D39" s="19">
        <v>4.1700000000000001E-2</v>
      </c>
      <c r="F39" s="9">
        <f t="shared" si="10"/>
        <v>151542.13680000001</v>
      </c>
      <c r="K39" s="77"/>
    </row>
    <row r="40" spans="3:13" x14ac:dyDescent="0.25">
      <c r="F40" s="21">
        <f>SUM(F31:F39)</f>
        <v>1865385.5832</v>
      </c>
      <c r="K40" s="77"/>
    </row>
  </sheetData>
  <mergeCells count="4">
    <mergeCell ref="Q9:Q10"/>
    <mergeCell ref="F9:M9"/>
    <mergeCell ref="N9:P9"/>
    <mergeCell ref="B9:E9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5:G66"/>
  <sheetViews>
    <sheetView topLeftCell="A5" zoomScale="136" zoomScaleNormal="136" workbookViewId="0">
      <selection activeCell="C12" sqref="C12"/>
    </sheetView>
  </sheetViews>
  <sheetFormatPr baseColWidth="10" defaultRowHeight="15" x14ac:dyDescent="0.25"/>
  <cols>
    <col min="3" max="3" width="24.5703125" bestFit="1" customWidth="1"/>
    <col min="4" max="4" width="26.5703125" customWidth="1"/>
    <col min="5" max="5" width="19.28515625" customWidth="1"/>
    <col min="6" max="6" width="20.85546875" customWidth="1"/>
    <col min="7" max="7" width="18.5703125" customWidth="1"/>
  </cols>
  <sheetData>
    <row r="5" spans="3:7" x14ac:dyDescent="0.25">
      <c r="C5" s="12" t="s">
        <v>46</v>
      </c>
      <c r="D5" s="129" t="s">
        <v>333</v>
      </c>
      <c r="E5" s="129"/>
      <c r="F5" s="129"/>
      <c r="G5" s="129"/>
    </row>
    <row r="6" spans="3:7" x14ac:dyDescent="0.25">
      <c r="C6" s="12" t="s">
        <v>47</v>
      </c>
      <c r="D6" s="129" t="s">
        <v>88</v>
      </c>
      <c r="E6" s="129"/>
      <c r="F6" s="129"/>
      <c r="G6" s="129"/>
    </row>
    <row r="7" spans="3:7" x14ac:dyDescent="0.25">
      <c r="C7" s="20" t="s">
        <v>48</v>
      </c>
      <c r="D7" s="20" t="s">
        <v>49</v>
      </c>
      <c r="E7" s="20" t="s">
        <v>50</v>
      </c>
      <c r="F7" s="20" t="s">
        <v>51</v>
      </c>
      <c r="G7" s="20" t="s">
        <v>52</v>
      </c>
    </row>
    <row r="8" spans="3:7" x14ac:dyDescent="0.25">
      <c r="C8" s="1" t="s">
        <v>53</v>
      </c>
      <c r="D8" s="1">
        <v>1</v>
      </c>
      <c r="E8" s="7">
        <v>0</v>
      </c>
      <c r="F8" s="1">
        <v>1</v>
      </c>
      <c r="G8" s="7">
        <f>E8*F8</f>
        <v>0</v>
      </c>
    </row>
    <row r="9" spans="3:7" x14ac:dyDescent="0.25">
      <c r="C9" s="1" t="s">
        <v>54</v>
      </c>
      <c r="D9" s="1">
        <v>1</v>
      </c>
      <c r="E9" s="7">
        <v>0</v>
      </c>
      <c r="F9" s="1">
        <v>1</v>
      </c>
      <c r="G9" s="7">
        <f t="shared" ref="G9:G18" si="0">E9*F9</f>
        <v>0</v>
      </c>
    </row>
    <row r="10" spans="3:7" x14ac:dyDescent="0.25">
      <c r="C10" s="1" t="s">
        <v>55</v>
      </c>
      <c r="D10" s="1">
        <v>1</v>
      </c>
      <c r="E10" s="7">
        <v>0</v>
      </c>
      <c r="F10" s="1">
        <v>1</v>
      </c>
      <c r="G10" s="7">
        <f t="shared" si="0"/>
        <v>0</v>
      </c>
    </row>
    <row r="11" spans="3:7" x14ac:dyDescent="0.25">
      <c r="C11" s="1" t="s">
        <v>339</v>
      </c>
      <c r="D11" s="1">
        <v>1</v>
      </c>
      <c r="E11" s="7">
        <v>0</v>
      </c>
      <c r="F11" s="1">
        <v>1</v>
      </c>
      <c r="G11" s="7">
        <f t="shared" si="0"/>
        <v>0</v>
      </c>
    </row>
    <row r="12" spans="3:7" x14ac:dyDescent="0.25">
      <c r="C12" s="1" t="s">
        <v>340</v>
      </c>
      <c r="D12" s="1">
        <v>1</v>
      </c>
      <c r="E12" s="7">
        <v>0</v>
      </c>
      <c r="F12" s="1">
        <v>1</v>
      </c>
      <c r="G12" s="7">
        <f t="shared" si="0"/>
        <v>0</v>
      </c>
    </row>
    <row r="13" spans="3:7" x14ac:dyDescent="0.25">
      <c r="C13" s="121" t="s">
        <v>338</v>
      </c>
      <c r="D13" s="1">
        <v>1</v>
      </c>
      <c r="E13" s="7">
        <v>0</v>
      </c>
      <c r="F13" s="1">
        <v>1</v>
      </c>
      <c r="G13" s="7">
        <f t="shared" si="0"/>
        <v>0</v>
      </c>
    </row>
    <row r="14" spans="3:7" x14ac:dyDescent="0.25">
      <c r="C14" s="1"/>
      <c r="D14" s="1"/>
      <c r="E14" s="7">
        <v>0</v>
      </c>
      <c r="F14" s="1"/>
      <c r="G14" s="7">
        <f t="shared" si="0"/>
        <v>0</v>
      </c>
    </row>
    <row r="15" spans="3:7" x14ac:dyDescent="0.25">
      <c r="C15" s="1"/>
      <c r="D15" s="1"/>
      <c r="E15" s="7">
        <v>0</v>
      </c>
      <c r="F15" s="1"/>
      <c r="G15" s="7">
        <f t="shared" si="0"/>
        <v>0</v>
      </c>
    </row>
    <row r="16" spans="3:7" x14ac:dyDescent="0.25">
      <c r="C16" s="1"/>
      <c r="D16" s="1"/>
      <c r="E16" s="7">
        <v>0</v>
      </c>
      <c r="F16" s="1"/>
      <c r="G16" s="7">
        <f t="shared" si="0"/>
        <v>0</v>
      </c>
    </row>
    <row r="17" spans="3:7" x14ac:dyDescent="0.25">
      <c r="C17" s="1"/>
      <c r="D17" s="1"/>
      <c r="E17" s="7">
        <v>0</v>
      </c>
      <c r="F17" s="1"/>
      <c r="G17" s="7">
        <f t="shared" si="0"/>
        <v>0</v>
      </c>
    </row>
    <row r="18" spans="3:7" x14ac:dyDescent="0.25">
      <c r="C18" s="1"/>
      <c r="D18" s="1"/>
      <c r="E18" s="7">
        <v>0</v>
      </c>
      <c r="F18" s="1"/>
      <c r="G18" s="7">
        <f t="shared" si="0"/>
        <v>0</v>
      </c>
    </row>
    <row r="19" spans="3:7" x14ac:dyDescent="0.25">
      <c r="F19" s="12" t="s">
        <v>56</v>
      </c>
      <c r="G19" s="13">
        <f>SUM(G8:G18)</f>
        <v>0</v>
      </c>
    </row>
    <row r="25" spans="3:7" x14ac:dyDescent="0.25">
      <c r="C25" s="130" t="s">
        <v>147</v>
      </c>
      <c r="D25" s="130"/>
      <c r="E25" s="130"/>
      <c r="F25" s="130"/>
    </row>
    <row r="26" spans="3:7" x14ac:dyDescent="0.25">
      <c r="C26" s="34" t="s">
        <v>46</v>
      </c>
      <c r="D26" s="34" t="s">
        <v>148</v>
      </c>
      <c r="E26" s="34" t="s">
        <v>149</v>
      </c>
      <c r="F26" s="34" t="s">
        <v>150</v>
      </c>
    </row>
    <row r="27" spans="3:7" x14ac:dyDescent="0.25">
      <c r="C27" s="46" t="str">
        <f>D5</f>
        <v>Sistema de inventarios distribuidora de dulces</v>
      </c>
      <c r="D27" s="51">
        <f>'Presupuesto de ventas'!E6</f>
        <v>48</v>
      </c>
      <c r="E27" s="65">
        <f>G19</f>
        <v>0</v>
      </c>
      <c r="F27" s="65">
        <f>(D27*E27)</f>
        <v>0</v>
      </c>
    </row>
    <row r="28" spans="3:7" x14ac:dyDescent="0.25">
      <c r="C28" s="46"/>
      <c r="D28" s="46"/>
      <c r="E28" s="51"/>
      <c r="F28" s="51"/>
    </row>
    <row r="29" spans="3:7" x14ac:dyDescent="0.25">
      <c r="C29" s="46"/>
      <c r="D29" s="46"/>
      <c r="E29" s="51"/>
      <c r="F29" s="51"/>
    </row>
    <row r="30" spans="3:7" x14ac:dyDescent="0.25">
      <c r="C30" s="46"/>
      <c r="D30" s="51"/>
      <c r="E30" s="51"/>
      <c r="F30" s="51"/>
    </row>
    <row r="31" spans="3:7" x14ac:dyDescent="0.25">
      <c r="C31" s="46"/>
      <c r="D31" s="46"/>
      <c r="E31" s="51"/>
      <c r="F31" s="51"/>
    </row>
    <row r="32" spans="3:7" x14ac:dyDescent="0.25">
      <c r="C32" s="46"/>
      <c r="D32" s="46"/>
      <c r="E32" s="51"/>
      <c r="F32" s="51"/>
    </row>
    <row r="33" spans="3:6" x14ac:dyDescent="0.25">
      <c r="C33" s="31" t="s">
        <v>56</v>
      </c>
      <c r="D33" s="31">
        <f>SUM(D27:D32)</f>
        <v>48</v>
      </c>
      <c r="E33" s="31"/>
      <c r="F33" s="66">
        <f>SUM(F27:F32)</f>
        <v>0</v>
      </c>
    </row>
    <row r="37" spans="3:6" x14ac:dyDescent="0.25">
      <c r="C37" s="31" t="s">
        <v>115</v>
      </c>
      <c r="D37" s="31" t="s">
        <v>151</v>
      </c>
      <c r="E37" s="31" t="s">
        <v>117</v>
      </c>
    </row>
    <row r="38" spans="3:6" x14ac:dyDescent="0.25">
      <c r="C38" s="55" t="s">
        <v>118</v>
      </c>
      <c r="D38" s="58">
        <v>0.02</v>
      </c>
      <c r="E38" s="63">
        <f>D38+1</f>
        <v>1.02</v>
      </c>
    </row>
    <row r="39" spans="3:6" x14ac:dyDescent="0.25">
      <c r="C39" s="55" t="s">
        <v>119</v>
      </c>
      <c r="D39" s="58">
        <v>0.02</v>
      </c>
      <c r="E39" s="63">
        <f>D39+1</f>
        <v>1.02</v>
      </c>
    </row>
    <row r="40" spans="3:6" x14ac:dyDescent="0.25">
      <c r="C40" s="55" t="s">
        <v>120</v>
      </c>
      <c r="D40" s="58">
        <v>0.02</v>
      </c>
      <c r="E40" s="63">
        <f>D40+1</f>
        <v>1.02</v>
      </c>
    </row>
    <row r="41" spans="3:6" x14ac:dyDescent="0.25">
      <c r="C41" s="55" t="s">
        <v>121</v>
      </c>
      <c r="D41" s="58">
        <v>0.02</v>
      </c>
      <c r="E41" s="63">
        <f>D41+1</f>
        <v>1.02</v>
      </c>
    </row>
    <row r="42" spans="3:6" x14ac:dyDescent="0.25">
      <c r="D42" t="s">
        <v>152</v>
      </c>
    </row>
    <row r="46" spans="3:6" ht="45" x14ac:dyDescent="0.25">
      <c r="C46" s="64" t="s">
        <v>153</v>
      </c>
      <c r="D46" s="45" t="s">
        <v>125</v>
      </c>
    </row>
    <row r="47" spans="3:6" x14ac:dyDescent="0.25">
      <c r="C47" s="31" t="s">
        <v>154</v>
      </c>
      <c r="D47" s="46">
        <v>9</v>
      </c>
    </row>
    <row r="48" spans="3:6" x14ac:dyDescent="0.25">
      <c r="C48" s="31" t="s">
        <v>127</v>
      </c>
      <c r="D48" s="46">
        <v>7</v>
      </c>
    </row>
    <row r="49" spans="3:6" x14ac:dyDescent="0.25">
      <c r="C49" s="31" t="s">
        <v>128</v>
      </c>
      <c r="D49" s="46">
        <v>5</v>
      </c>
    </row>
    <row r="50" spans="3:6" x14ac:dyDescent="0.25">
      <c r="C50" s="31" t="s">
        <v>129</v>
      </c>
      <c r="D50" s="46">
        <v>3</v>
      </c>
    </row>
    <row r="53" spans="3:6" x14ac:dyDescent="0.25">
      <c r="C53" s="34" t="s">
        <v>155</v>
      </c>
      <c r="D53" s="34" t="s">
        <v>125</v>
      </c>
      <c r="E53" s="34" t="s">
        <v>156</v>
      </c>
      <c r="F53" s="34" t="s">
        <v>157</v>
      </c>
    </row>
    <row r="54" spans="3:6" x14ac:dyDescent="0.25">
      <c r="C54" s="55" t="s">
        <v>134</v>
      </c>
      <c r="D54" s="49">
        <f>'Presupuesto de ventas'!C80</f>
        <v>5</v>
      </c>
      <c r="E54" s="49">
        <f>IF($D$66&gt;0,(D54/$D$66)*$D$33,0)</f>
        <v>4</v>
      </c>
      <c r="F54" s="51">
        <f>IF(D33&gt;0,(F33*E54)/D33,0)</f>
        <v>0</v>
      </c>
    </row>
    <row r="55" spans="3:6" x14ac:dyDescent="0.25">
      <c r="C55" s="55" t="s">
        <v>135</v>
      </c>
      <c r="D55" s="49">
        <f>'Presupuesto de ventas'!C81</f>
        <v>5</v>
      </c>
      <c r="E55" s="49">
        <f t="shared" ref="E55:E65" si="1">IF($D$66&gt;0,(D55/$D$66)*$D$33,0)</f>
        <v>4</v>
      </c>
      <c r="F55" s="51">
        <f>IF(D33&gt;0,(F33*E55)/D33,0)</f>
        <v>0</v>
      </c>
    </row>
    <row r="56" spans="3:6" x14ac:dyDescent="0.25">
      <c r="C56" s="55" t="s">
        <v>136</v>
      </c>
      <c r="D56" s="49">
        <f>'Presupuesto de ventas'!C82</f>
        <v>5</v>
      </c>
      <c r="E56" s="49">
        <f t="shared" si="1"/>
        <v>4</v>
      </c>
      <c r="F56" s="51">
        <f>IF(D33&gt;0,(F33*E56)/D33,0)</f>
        <v>0</v>
      </c>
    </row>
    <row r="57" spans="3:6" x14ac:dyDescent="0.25">
      <c r="C57" s="55" t="s">
        <v>158</v>
      </c>
      <c r="D57" s="49">
        <f>'Presupuesto de ventas'!C83</f>
        <v>5</v>
      </c>
      <c r="E57" s="49">
        <f t="shared" si="1"/>
        <v>4</v>
      </c>
      <c r="F57" s="51">
        <f>IF(D33&gt;0,(F33*E57)/D33,0)</f>
        <v>0</v>
      </c>
    </row>
    <row r="58" spans="3:6" x14ac:dyDescent="0.25">
      <c r="C58" s="55" t="s">
        <v>138</v>
      </c>
      <c r="D58" s="49">
        <f>'Presupuesto de ventas'!C84</f>
        <v>5</v>
      </c>
      <c r="E58" s="49">
        <f t="shared" si="1"/>
        <v>4</v>
      </c>
      <c r="F58" s="51">
        <f>IF(D33&gt;0,(F33*E58)/D33,0)</f>
        <v>0</v>
      </c>
    </row>
    <row r="59" spans="3:6" x14ac:dyDescent="0.25">
      <c r="C59" s="55" t="s">
        <v>139</v>
      </c>
      <c r="D59" s="49">
        <f>'Presupuesto de ventas'!C85</f>
        <v>5</v>
      </c>
      <c r="E59" s="49">
        <f t="shared" si="1"/>
        <v>4</v>
      </c>
      <c r="F59" s="51">
        <f>IF(D33&gt;0,(F33*E59)/D33,0)</f>
        <v>0</v>
      </c>
    </row>
    <row r="60" spans="3:6" x14ac:dyDescent="0.25">
      <c r="C60" s="55" t="s">
        <v>140</v>
      </c>
      <c r="D60" s="49">
        <f>'Presupuesto de ventas'!C86</f>
        <v>5</v>
      </c>
      <c r="E60" s="49">
        <f t="shared" si="1"/>
        <v>4</v>
      </c>
      <c r="F60" s="51">
        <f>IF(D33&gt;0,(F33*E60)/D33,0)</f>
        <v>0</v>
      </c>
    </row>
    <row r="61" spans="3:6" x14ac:dyDescent="0.25">
      <c r="C61" s="55" t="s">
        <v>141</v>
      </c>
      <c r="D61" s="49">
        <f>'Presupuesto de ventas'!C87</f>
        <v>5</v>
      </c>
      <c r="E61" s="49">
        <f t="shared" si="1"/>
        <v>4</v>
      </c>
      <c r="F61" s="51">
        <f>IF(D33&gt;0,(F33*E61)/D33,0)</f>
        <v>0</v>
      </c>
    </row>
    <row r="62" spans="3:6" x14ac:dyDescent="0.25">
      <c r="C62" s="55" t="s">
        <v>142</v>
      </c>
      <c r="D62" s="49">
        <f>'Presupuesto de ventas'!C88</f>
        <v>5</v>
      </c>
      <c r="E62" s="49">
        <f t="shared" si="1"/>
        <v>4</v>
      </c>
      <c r="F62" s="51">
        <f>IF(D33&gt;0,(F33*E62)/D33,0)</f>
        <v>0</v>
      </c>
    </row>
    <row r="63" spans="3:6" x14ac:dyDescent="0.25">
      <c r="C63" s="55" t="s">
        <v>159</v>
      </c>
      <c r="D63" s="49">
        <f>'Presupuesto de ventas'!C89</f>
        <v>5</v>
      </c>
      <c r="E63" s="49">
        <f t="shared" si="1"/>
        <v>4</v>
      </c>
      <c r="F63" s="51">
        <f>IF(D33&gt;0,(F33*E63)/D33,0)</f>
        <v>0</v>
      </c>
    </row>
    <row r="64" spans="3:6" x14ac:dyDescent="0.25">
      <c r="C64" s="55" t="s">
        <v>144</v>
      </c>
      <c r="D64" s="49">
        <f>'Presupuesto de ventas'!C90</f>
        <v>5</v>
      </c>
      <c r="E64" s="49">
        <f t="shared" si="1"/>
        <v>4</v>
      </c>
      <c r="F64" s="51">
        <f>IF(D33&gt;0,(F33*E64)/D33,0)</f>
        <v>0</v>
      </c>
    </row>
    <row r="65" spans="3:6" x14ac:dyDescent="0.25">
      <c r="C65" s="55" t="s">
        <v>145</v>
      </c>
      <c r="D65" s="49">
        <f>'Presupuesto de ventas'!C91</f>
        <v>5</v>
      </c>
      <c r="E65" s="49">
        <f t="shared" si="1"/>
        <v>4</v>
      </c>
      <c r="F65" s="51">
        <f>IF(D33&gt;0,(F33*E65)/D33,0)</f>
        <v>0</v>
      </c>
    </row>
    <row r="66" spans="3:6" x14ac:dyDescent="0.25">
      <c r="C66" s="31" t="s">
        <v>56</v>
      </c>
      <c r="D66" s="53">
        <f>SUM(D54:D65)</f>
        <v>60</v>
      </c>
      <c r="E66" s="53">
        <f>SUM(E54:E65)</f>
        <v>48</v>
      </c>
      <c r="F66" s="43">
        <f>SUM(F54:F65)</f>
        <v>0</v>
      </c>
    </row>
  </sheetData>
  <mergeCells count="3">
    <mergeCell ref="D5:G5"/>
    <mergeCell ref="D6:G6"/>
    <mergeCell ref="C25:F2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8:E23"/>
  <sheetViews>
    <sheetView topLeftCell="D13" zoomScale="172" zoomScaleNormal="172" workbookViewId="0">
      <selection activeCell="I23" sqref="I23"/>
    </sheetView>
  </sheetViews>
  <sheetFormatPr baseColWidth="10" defaultRowHeight="15" x14ac:dyDescent="0.25"/>
  <cols>
    <col min="3" max="3" width="21" bestFit="1" customWidth="1"/>
    <col min="4" max="4" width="21.28515625" customWidth="1"/>
    <col min="5" max="5" width="22" customWidth="1"/>
  </cols>
  <sheetData>
    <row r="8" spans="3:5" x14ac:dyDescent="0.25">
      <c r="C8" s="12" t="s">
        <v>75</v>
      </c>
      <c r="D8" s="20" t="s">
        <v>80</v>
      </c>
      <c r="E8" s="20" t="s">
        <v>81</v>
      </c>
    </row>
    <row r="9" spans="3:5" x14ac:dyDescent="0.25">
      <c r="C9" s="1" t="s">
        <v>76</v>
      </c>
      <c r="D9" s="7">
        <v>60000</v>
      </c>
      <c r="E9" s="7">
        <f t="shared" ref="E9:E14" si="0">D9*12</f>
        <v>720000</v>
      </c>
    </row>
    <row r="10" spans="3:5" x14ac:dyDescent="0.25">
      <c r="C10" s="1" t="s">
        <v>77</v>
      </c>
      <c r="D10" s="7">
        <v>55000</v>
      </c>
      <c r="E10" s="7">
        <f t="shared" si="0"/>
        <v>660000</v>
      </c>
    </row>
    <row r="11" spans="3:5" x14ac:dyDescent="0.25">
      <c r="C11" s="1" t="s">
        <v>3</v>
      </c>
      <c r="D11" s="7">
        <v>46000</v>
      </c>
      <c r="E11" s="7">
        <f t="shared" si="0"/>
        <v>552000</v>
      </c>
    </row>
    <row r="12" spans="3:5" x14ac:dyDescent="0.25">
      <c r="C12" s="1" t="s">
        <v>78</v>
      </c>
      <c r="D12" s="7">
        <v>50000</v>
      </c>
      <c r="E12" s="7">
        <f t="shared" si="0"/>
        <v>600000</v>
      </c>
    </row>
    <row r="13" spans="3:5" x14ac:dyDescent="0.25">
      <c r="C13" s="1" t="s">
        <v>334</v>
      </c>
      <c r="D13" s="7">
        <v>50000</v>
      </c>
      <c r="E13" s="7">
        <f t="shared" si="0"/>
        <v>600000</v>
      </c>
    </row>
    <row r="14" spans="3:5" x14ac:dyDescent="0.25">
      <c r="C14" s="1" t="s">
        <v>79</v>
      </c>
      <c r="D14" s="7">
        <v>0</v>
      </c>
      <c r="E14" s="7">
        <f t="shared" si="0"/>
        <v>0</v>
      </c>
    </row>
    <row r="15" spans="3:5" x14ac:dyDescent="0.25">
      <c r="C15" s="27" t="s">
        <v>56</v>
      </c>
      <c r="D15" s="28">
        <f>SUM(D9:D14)</f>
        <v>261000</v>
      </c>
      <c r="E15" s="28">
        <f>SUM(E9:E14)</f>
        <v>3132000</v>
      </c>
    </row>
    <row r="18" spans="3:5" x14ac:dyDescent="0.25">
      <c r="C18" s="31" t="s">
        <v>115</v>
      </c>
      <c r="D18" s="31" t="s">
        <v>169</v>
      </c>
      <c r="E18" s="31" t="s">
        <v>191</v>
      </c>
    </row>
    <row r="19" spans="3:5" x14ac:dyDescent="0.25">
      <c r="C19" s="55" t="s">
        <v>118</v>
      </c>
      <c r="D19" s="58">
        <v>0.04</v>
      </c>
      <c r="E19" s="63">
        <f>D19+1</f>
        <v>1.04</v>
      </c>
    </row>
    <row r="20" spans="3:5" x14ac:dyDescent="0.25">
      <c r="C20" s="55" t="s">
        <v>119</v>
      </c>
      <c r="D20" s="58">
        <v>0.05</v>
      </c>
      <c r="E20" s="63">
        <f>D20+1</f>
        <v>1.05</v>
      </c>
    </row>
    <row r="21" spans="3:5" x14ac:dyDescent="0.25">
      <c r="C21" s="55" t="s">
        <v>120</v>
      </c>
      <c r="D21" s="58">
        <v>0.06</v>
      </c>
      <c r="E21" s="63">
        <f>D21+1</f>
        <v>1.06</v>
      </c>
    </row>
    <row r="22" spans="3:5" x14ac:dyDescent="0.25">
      <c r="C22" s="55" t="s">
        <v>121</v>
      </c>
      <c r="D22" s="58">
        <v>0.05</v>
      </c>
      <c r="E22" s="63">
        <f>D22+1</f>
        <v>1.05</v>
      </c>
    </row>
    <row r="23" spans="3:5" x14ac:dyDescent="0.25">
      <c r="D23" t="s">
        <v>192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7:G34"/>
  <sheetViews>
    <sheetView topLeftCell="A9" zoomScale="124" zoomScaleNormal="124" workbookViewId="0">
      <selection activeCell="F27" sqref="F27"/>
    </sheetView>
  </sheetViews>
  <sheetFormatPr baseColWidth="10" defaultRowHeight="15" x14ac:dyDescent="0.25"/>
  <cols>
    <col min="2" max="2" width="32.42578125" customWidth="1"/>
    <col min="3" max="5" width="27.85546875" customWidth="1"/>
    <col min="6" max="6" width="23" customWidth="1"/>
    <col min="7" max="7" width="23.85546875" customWidth="1"/>
  </cols>
  <sheetData>
    <row r="7" spans="2:7" x14ac:dyDescent="0.25">
      <c r="B7" s="131" t="s">
        <v>64</v>
      </c>
      <c r="C7" s="135" t="s">
        <v>61</v>
      </c>
      <c r="D7" s="136"/>
      <c r="E7" s="136"/>
      <c r="F7" s="136"/>
      <c r="G7" s="136"/>
    </row>
    <row r="8" spans="2:7" x14ac:dyDescent="0.25">
      <c r="B8" s="132"/>
      <c r="C8" s="22" t="s">
        <v>66</v>
      </c>
      <c r="D8" s="22" t="s">
        <v>68</v>
      </c>
      <c r="E8" s="22" t="s">
        <v>69</v>
      </c>
      <c r="F8" s="22" t="s">
        <v>62</v>
      </c>
      <c r="G8" s="22" t="s">
        <v>63</v>
      </c>
    </row>
    <row r="9" spans="2:7" x14ac:dyDescent="0.25">
      <c r="B9" s="1" t="s">
        <v>59</v>
      </c>
      <c r="C9" s="1"/>
      <c r="D9" s="7">
        <v>0</v>
      </c>
      <c r="E9" s="7">
        <f>D9*C9</f>
        <v>0</v>
      </c>
      <c r="F9" s="7"/>
      <c r="G9" s="7"/>
    </row>
    <row r="10" spans="2:7" x14ac:dyDescent="0.25">
      <c r="B10" s="1" t="s">
        <v>60</v>
      </c>
      <c r="C10" s="1"/>
      <c r="D10" s="7">
        <v>0</v>
      </c>
      <c r="E10" s="7">
        <f>C10*D10</f>
        <v>0</v>
      </c>
      <c r="F10" s="7"/>
      <c r="G10" s="7"/>
    </row>
    <row r="11" spans="2:7" x14ac:dyDescent="0.25">
      <c r="B11" s="23" t="s">
        <v>65</v>
      </c>
      <c r="C11" s="23"/>
      <c r="D11" s="23"/>
      <c r="E11" s="13">
        <f>SUM(E9:E10)</f>
        <v>0</v>
      </c>
      <c r="F11" s="26">
        <f>SUM(F9:F10)</f>
        <v>0</v>
      </c>
      <c r="G11" s="26">
        <f>SUM(G9:G10)</f>
        <v>0</v>
      </c>
    </row>
    <row r="12" spans="2:7" x14ac:dyDescent="0.25">
      <c r="B12" s="133" t="s">
        <v>71</v>
      </c>
      <c r="C12" s="134"/>
      <c r="D12" s="134"/>
      <c r="E12" s="134"/>
      <c r="F12" s="134"/>
      <c r="G12" s="134"/>
    </row>
    <row r="13" spans="2:7" x14ac:dyDescent="0.25">
      <c r="B13" s="1" t="s">
        <v>335</v>
      </c>
      <c r="C13" s="1">
        <v>2</v>
      </c>
      <c r="D13" s="7">
        <v>160000</v>
      </c>
      <c r="E13" s="7">
        <f>D13*C13</f>
        <v>320000</v>
      </c>
      <c r="F13" s="7">
        <v>300000</v>
      </c>
      <c r="G13" s="7">
        <v>0</v>
      </c>
    </row>
    <row r="14" spans="2:7" x14ac:dyDescent="0.25">
      <c r="B14" s="1" t="s">
        <v>336</v>
      </c>
      <c r="C14" s="1">
        <v>4</v>
      </c>
      <c r="D14" s="7">
        <v>170000</v>
      </c>
      <c r="E14" s="7">
        <f>D14*C14</f>
        <v>680000</v>
      </c>
      <c r="F14" s="7">
        <v>520000</v>
      </c>
      <c r="G14" s="7"/>
    </row>
    <row r="15" spans="2:7" x14ac:dyDescent="0.25">
      <c r="B15" s="1" t="s">
        <v>67</v>
      </c>
      <c r="C15" s="1">
        <v>4</v>
      </c>
      <c r="D15" s="24">
        <v>152000</v>
      </c>
      <c r="E15" s="7">
        <f t="shared" ref="E15:E16" si="0">D15*C15</f>
        <v>608000</v>
      </c>
      <c r="F15" s="7">
        <v>150000</v>
      </c>
      <c r="G15" s="24">
        <v>0</v>
      </c>
    </row>
    <row r="16" spans="2:7" x14ac:dyDescent="0.25">
      <c r="B16" s="1" t="s">
        <v>337</v>
      </c>
      <c r="C16" s="1">
        <v>1</v>
      </c>
      <c r="D16" s="24">
        <v>100000</v>
      </c>
      <c r="E16" s="7">
        <f t="shared" si="0"/>
        <v>100000</v>
      </c>
      <c r="F16" s="7">
        <v>100000</v>
      </c>
      <c r="G16" s="24">
        <v>0</v>
      </c>
    </row>
    <row r="17" spans="2:7" x14ac:dyDescent="0.25">
      <c r="B17" s="1"/>
      <c r="C17" s="1"/>
      <c r="D17" s="24">
        <v>0</v>
      </c>
      <c r="E17" s="24">
        <v>0</v>
      </c>
      <c r="F17" s="7">
        <v>0</v>
      </c>
      <c r="G17" s="24">
        <v>0</v>
      </c>
    </row>
    <row r="18" spans="2:7" x14ac:dyDescent="0.25">
      <c r="B18" s="1"/>
      <c r="C18" s="1"/>
      <c r="D18" s="24">
        <v>0</v>
      </c>
      <c r="E18" s="24">
        <v>0</v>
      </c>
      <c r="F18" s="7">
        <v>0</v>
      </c>
      <c r="G18" s="24">
        <v>0</v>
      </c>
    </row>
    <row r="19" spans="2:7" x14ac:dyDescent="0.25">
      <c r="B19" s="1"/>
      <c r="C19" s="1"/>
      <c r="D19" s="24">
        <v>0</v>
      </c>
      <c r="E19" s="24">
        <v>0</v>
      </c>
      <c r="F19" s="7">
        <v>0</v>
      </c>
      <c r="G19" s="24">
        <v>0</v>
      </c>
    </row>
    <row r="20" spans="2:7" x14ac:dyDescent="0.25">
      <c r="B20" s="1"/>
      <c r="C20" s="1"/>
      <c r="D20" s="24">
        <v>0</v>
      </c>
      <c r="E20" s="24">
        <v>0</v>
      </c>
      <c r="F20" s="7">
        <v>0</v>
      </c>
      <c r="G20" s="24">
        <v>0</v>
      </c>
    </row>
    <row r="21" spans="2:7" x14ac:dyDescent="0.25">
      <c r="B21" s="1"/>
      <c r="C21" s="1"/>
      <c r="D21" s="24">
        <v>0</v>
      </c>
      <c r="E21" s="24">
        <v>0</v>
      </c>
      <c r="F21" s="7">
        <v>0</v>
      </c>
      <c r="G21" s="24">
        <v>0</v>
      </c>
    </row>
    <row r="22" spans="2:7" x14ac:dyDescent="0.25">
      <c r="B22" s="25" t="s">
        <v>89</v>
      </c>
      <c r="C22" s="25"/>
      <c r="D22" s="25"/>
      <c r="E22" s="16">
        <f>SUM(E13:E21)</f>
        <v>1708000</v>
      </c>
      <c r="F22" s="16">
        <f>SUM(F13:F21)</f>
        <v>1070000</v>
      </c>
      <c r="G22" s="16">
        <f>SUM(G13:G21)</f>
        <v>0</v>
      </c>
    </row>
    <row r="23" spans="2:7" x14ac:dyDescent="0.25">
      <c r="B23" s="137" t="s">
        <v>72</v>
      </c>
      <c r="C23" s="138"/>
      <c r="D23" s="138"/>
      <c r="E23" s="138"/>
      <c r="F23" s="138"/>
      <c r="G23" s="138"/>
    </row>
    <row r="24" spans="2:7" x14ac:dyDescent="0.25">
      <c r="B24" s="1" t="s">
        <v>324</v>
      </c>
      <c r="C24" s="1">
        <v>4</v>
      </c>
      <c r="D24" s="7">
        <v>1500000</v>
      </c>
      <c r="E24" s="7">
        <f>D24*C24</f>
        <v>6000000</v>
      </c>
      <c r="F24" s="7"/>
      <c r="G24" s="7">
        <v>6000000</v>
      </c>
    </row>
    <row r="25" spans="2:7" x14ac:dyDescent="0.25">
      <c r="B25" s="1" t="s">
        <v>73</v>
      </c>
      <c r="C25" s="1">
        <v>1</v>
      </c>
      <c r="D25" s="7">
        <v>350000</v>
      </c>
      <c r="E25" s="7">
        <f t="shared" ref="E25:E32" si="1">D25*C25</f>
        <v>350000</v>
      </c>
      <c r="F25" s="7">
        <v>350000</v>
      </c>
      <c r="G25" s="7">
        <v>0</v>
      </c>
    </row>
    <row r="26" spans="2:7" x14ac:dyDescent="0.25">
      <c r="B26" s="1" t="s">
        <v>323</v>
      </c>
      <c r="C26" s="1">
        <v>1</v>
      </c>
      <c r="D26" s="7">
        <v>220000</v>
      </c>
      <c r="E26" s="7">
        <f t="shared" si="1"/>
        <v>220000</v>
      </c>
      <c r="F26" s="7">
        <v>220000</v>
      </c>
      <c r="G26" s="7">
        <v>0</v>
      </c>
    </row>
    <row r="27" spans="2:7" x14ac:dyDescent="0.25">
      <c r="B27" s="1"/>
      <c r="C27" s="1"/>
      <c r="D27" s="7">
        <v>0</v>
      </c>
      <c r="E27" s="7">
        <v>0</v>
      </c>
      <c r="F27" s="7">
        <v>0</v>
      </c>
      <c r="G27" s="7">
        <v>0</v>
      </c>
    </row>
    <row r="28" spans="2:7" x14ac:dyDescent="0.25">
      <c r="B28" s="1"/>
      <c r="C28" s="1"/>
      <c r="D28" s="7">
        <v>0</v>
      </c>
      <c r="E28" s="7">
        <v>0</v>
      </c>
      <c r="F28" s="7">
        <v>0</v>
      </c>
      <c r="G28" s="7">
        <v>0</v>
      </c>
    </row>
    <row r="29" spans="2:7" x14ac:dyDescent="0.25">
      <c r="B29" s="1"/>
      <c r="C29" s="1"/>
      <c r="D29" s="7">
        <v>0</v>
      </c>
      <c r="E29" s="7">
        <f t="shared" si="1"/>
        <v>0</v>
      </c>
      <c r="F29" s="7">
        <v>0</v>
      </c>
      <c r="G29" s="7">
        <v>0</v>
      </c>
    </row>
    <row r="30" spans="2:7" x14ac:dyDescent="0.25">
      <c r="B30" s="1"/>
      <c r="C30" s="1"/>
      <c r="D30" s="7">
        <v>0</v>
      </c>
      <c r="E30" s="7">
        <f t="shared" si="1"/>
        <v>0</v>
      </c>
      <c r="F30" s="7">
        <v>0</v>
      </c>
      <c r="G30" s="7">
        <v>0</v>
      </c>
    </row>
    <row r="31" spans="2:7" x14ac:dyDescent="0.25">
      <c r="B31" s="1"/>
      <c r="C31" s="1"/>
      <c r="D31" s="7">
        <v>0</v>
      </c>
      <c r="E31" s="7">
        <f t="shared" si="1"/>
        <v>0</v>
      </c>
      <c r="F31" s="7">
        <v>0</v>
      </c>
      <c r="G31" s="7">
        <v>0</v>
      </c>
    </row>
    <row r="32" spans="2:7" x14ac:dyDescent="0.25">
      <c r="B32" s="1"/>
      <c r="C32" s="1"/>
      <c r="D32" s="7">
        <v>0</v>
      </c>
      <c r="E32" s="7">
        <f t="shared" si="1"/>
        <v>0</v>
      </c>
      <c r="F32" s="7">
        <v>0</v>
      </c>
      <c r="G32" s="7">
        <v>0</v>
      </c>
    </row>
    <row r="33" spans="2:7" x14ac:dyDescent="0.25">
      <c r="B33" s="25" t="s">
        <v>70</v>
      </c>
      <c r="C33" s="25"/>
      <c r="D33" s="25"/>
      <c r="E33" s="16">
        <f>SUM(E24:E32)</f>
        <v>6570000</v>
      </c>
      <c r="F33" s="16">
        <f>SUM(F24:F32)</f>
        <v>570000</v>
      </c>
      <c r="G33" s="16">
        <f>SUM(G24:G32)</f>
        <v>6000000</v>
      </c>
    </row>
    <row r="34" spans="2:7" x14ac:dyDescent="0.25">
      <c r="B34" s="25" t="s">
        <v>74</v>
      </c>
      <c r="C34" s="25"/>
      <c r="D34" s="25"/>
      <c r="E34" s="16">
        <f>SUM(E33+E22+E11)</f>
        <v>8278000</v>
      </c>
      <c r="F34" s="16">
        <f>SUM(F33+F22+F11)</f>
        <v>1640000</v>
      </c>
      <c r="G34" s="16">
        <f>SUM(G33+G22+G11)</f>
        <v>6000000</v>
      </c>
    </row>
  </sheetData>
  <mergeCells count="4">
    <mergeCell ref="B7:B8"/>
    <mergeCell ref="B12:G12"/>
    <mergeCell ref="C7:G7"/>
    <mergeCell ref="B23:G23"/>
  </mergeCells>
  <conditionalFormatting sqref="F9:F10">
    <cfRule type="cellIs" dxfId="11" priority="19" operator="greaterThan">
      <formula>0</formula>
    </cfRule>
  </conditionalFormatting>
  <conditionalFormatting sqref="G9:G10">
    <cfRule type="cellIs" dxfId="10" priority="18" operator="greaterThan">
      <formula>0</formula>
    </cfRule>
  </conditionalFormatting>
  <conditionalFormatting sqref="F13:F14 F22">
    <cfRule type="cellIs" dxfId="9" priority="13" operator="greaterThan">
      <formula>0</formula>
    </cfRule>
  </conditionalFormatting>
  <conditionalFormatting sqref="G13:G14 G22">
    <cfRule type="cellIs" dxfId="8" priority="12" operator="greaterThan">
      <formula>0</formula>
    </cfRule>
  </conditionalFormatting>
  <conditionalFormatting sqref="F11">
    <cfRule type="cellIs" dxfId="7" priority="9" operator="greaterThan">
      <formula>0</formula>
    </cfRule>
  </conditionalFormatting>
  <conditionalFormatting sqref="G11">
    <cfRule type="cellIs" dxfId="6" priority="8" operator="greaterThan">
      <formula>0</formula>
    </cfRule>
  </conditionalFormatting>
  <conditionalFormatting sqref="F24:F33">
    <cfRule type="cellIs" dxfId="5" priority="7" operator="greaterThan">
      <formula>0</formula>
    </cfRule>
  </conditionalFormatting>
  <conditionalFormatting sqref="F34">
    <cfRule type="cellIs" dxfId="4" priority="5" operator="greaterThan">
      <formula>0</formula>
    </cfRule>
  </conditionalFormatting>
  <conditionalFormatting sqref="G34">
    <cfRule type="cellIs" dxfId="3" priority="4" operator="greaterThan">
      <formula>0</formula>
    </cfRule>
  </conditionalFormatting>
  <conditionalFormatting sqref="G33">
    <cfRule type="cellIs" dxfId="2" priority="3" operator="greaterThan">
      <formula>0</formula>
    </cfRule>
  </conditionalFormatting>
  <conditionalFormatting sqref="G24:G32">
    <cfRule type="cellIs" dxfId="1" priority="2" operator="greaterThan">
      <formula>0</formula>
    </cfRule>
  </conditionalFormatting>
  <conditionalFormatting sqref="F15:F21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9:H15"/>
  <sheetViews>
    <sheetView zoomScaleNormal="100" workbookViewId="0">
      <selection activeCell="E16" sqref="E16"/>
    </sheetView>
  </sheetViews>
  <sheetFormatPr baseColWidth="10" defaultRowHeight="15" x14ac:dyDescent="0.25"/>
  <cols>
    <col min="4" max="4" width="26.140625" bestFit="1" customWidth="1"/>
    <col min="5" max="5" width="19.42578125" customWidth="1"/>
    <col min="7" max="7" width="16.7109375" customWidth="1"/>
    <col min="8" max="8" width="20" customWidth="1"/>
  </cols>
  <sheetData>
    <row r="9" spans="4:8" x14ac:dyDescent="0.25">
      <c r="D9" s="128" t="s">
        <v>93</v>
      </c>
      <c r="E9" s="128"/>
      <c r="G9" s="128" t="s">
        <v>92</v>
      </c>
      <c r="H9" s="128"/>
    </row>
    <row r="10" spans="4:8" x14ac:dyDescent="0.25">
      <c r="D10" s="128" t="s">
        <v>85</v>
      </c>
      <c r="E10" s="128"/>
      <c r="G10" s="1" t="s">
        <v>90</v>
      </c>
      <c r="H10" s="9">
        <f>E11*12</f>
        <v>67305135.158399999</v>
      </c>
    </row>
    <row r="11" spans="4:8" x14ac:dyDescent="0.25">
      <c r="D11" s="1" t="s">
        <v>82</v>
      </c>
      <c r="E11" s="9">
        <f>Nomina!I30</f>
        <v>5608761.2631999999</v>
      </c>
      <c r="G11" s="1" t="s">
        <v>91</v>
      </c>
      <c r="H11" s="9">
        <f>E13*12</f>
        <v>3132000</v>
      </c>
    </row>
    <row r="12" spans="4:8" x14ac:dyDescent="0.25">
      <c r="D12" s="1" t="s">
        <v>83</v>
      </c>
      <c r="E12" s="9">
        <f>'Materia Prima'!$G$19</f>
        <v>0</v>
      </c>
      <c r="G12" s="1" t="s">
        <v>83</v>
      </c>
      <c r="H12" s="9"/>
    </row>
    <row r="13" spans="4:8" x14ac:dyDescent="0.25">
      <c r="D13" s="1" t="s">
        <v>84</v>
      </c>
      <c r="E13" s="9">
        <f>'Costos de Administracion'!D15</f>
        <v>261000</v>
      </c>
      <c r="G13" s="1" t="s">
        <v>86</v>
      </c>
      <c r="H13" s="9"/>
    </row>
    <row r="14" spans="4:8" x14ac:dyDescent="0.25">
      <c r="D14" s="1" t="s">
        <v>86</v>
      </c>
      <c r="E14" s="9">
        <f>'Plan de Inversion'!E34</f>
        <v>8278000</v>
      </c>
      <c r="G14" s="27" t="s">
        <v>56</v>
      </c>
      <c r="H14" s="29">
        <f>SUM(H10:H13)</f>
        <v>70437135.158399999</v>
      </c>
    </row>
    <row r="15" spans="4:8" x14ac:dyDescent="0.25">
      <c r="D15" s="27" t="s">
        <v>87</v>
      </c>
      <c r="E15" s="29">
        <f>SUM(E11:E14)</f>
        <v>14147761.2632</v>
      </c>
    </row>
  </sheetData>
  <mergeCells count="3">
    <mergeCell ref="D10:E10"/>
    <mergeCell ref="D9:E9"/>
    <mergeCell ref="G9:H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0C0"/>
  </sheetPr>
  <dimension ref="B2:M92"/>
  <sheetViews>
    <sheetView topLeftCell="G1" zoomScaleNormal="100" workbookViewId="0">
      <selection activeCell="F7" sqref="F7"/>
    </sheetView>
  </sheetViews>
  <sheetFormatPr baseColWidth="10" defaultRowHeight="15" x14ac:dyDescent="0.25"/>
  <cols>
    <col min="2" max="2" width="29.85546875" bestFit="1" customWidth="1"/>
    <col min="3" max="3" width="41.5703125" bestFit="1" customWidth="1"/>
    <col min="4" max="4" width="31.42578125" bestFit="1" customWidth="1"/>
    <col min="5" max="5" width="45.42578125" customWidth="1"/>
    <col min="6" max="6" width="44.5703125" customWidth="1"/>
    <col min="7" max="7" width="25.28515625" bestFit="1" customWidth="1"/>
    <col min="8" max="8" width="26.7109375" bestFit="1" customWidth="1"/>
    <col min="9" max="9" width="28" customWidth="1"/>
    <col min="10" max="10" width="16.5703125" bestFit="1" customWidth="1"/>
    <col min="11" max="11" width="20.7109375" customWidth="1"/>
    <col min="12" max="13" width="19.140625" bestFit="1" customWidth="1"/>
  </cols>
  <sheetData>
    <row r="2" spans="2:12" x14ac:dyDescent="0.25">
      <c r="B2" s="31" t="s">
        <v>146</v>
      </c>
      <c r="C2" s="32" t="str">
        <f>'Materia Prima'!D5</f>
        <v>Sistema de inventarios distribuidora de dulces</v>
      </c>
    </row>
    <row r="4" spans="2:12" x14ac:dyDescent="0.25">
      <c r="B4" s="130" t="s">
        <v>94</v>
      </c>
      <c r="C4" s="130"/>
      <c r="D4" s="130"/>
      <c r="E4" s="130"/>
      <c r="F4" s="130"/>
      <c r="G4" s="130"/>
      <c r="I4" s="1" t="s">
        <v>95</v>
      </c>
      <c r="J4" s="33" t="e">
        <f>'Estado Financieros'!C10</f>
        <v>#REF!</v>
      </c>
    </row>
    <row r="5" spans="2:12" x14ac:dyDescent="0.25">
      <c r="B5" s="34" t="s">
        <v>46</v>
      </c>
      <c r="C5" s="34" t="s">
        <v>96</v>
      </c>
      <c r="D5" s="34" t="s">
        <v>97</v>
      </c>
      <c r="E5" s="34" t="s">
        <v>98</v>
      </c>
      <c r="F5" s="34" t="s">
        <v>99</v>
      </c>
      <c r="G5" s="34" t="s">
        <v>100</v>
      </c>
      <c r="I5" s="1" t="s">
        <v>101</v>
      </c>
      <c r="J5" s="33" t="e">
        <f>'Estado Financieros'!C11</f>
        <v>#VALUE!</v>
      </c>
    </row>
    <row r="6" spans="2:12" x14ac:dyDescent="0.25">
      <c r="B6" s="36" t="str">
        <f>C2</f>
        <v>Sistema de inventarios distribuidora de dulces</v>
      </c>
      <c r="C6" s="37">
        <v>150</v>
      </c>
      <c r="D6" s="36">
        <v>1</v>
      </c>
      <c r="E6" s="37">
        <v>48</v>
      </c>
      <c r="F6" s="38">
        <f>E6/(C6*D6)</f>
        <v>0.32</v>
      </c>
      <c r="G6" s="39">
        <f>E6/12</f>
        <v>4</v>
      </c>
      <c r="I6" s="1" t="s">
        <v>102</v>
      </c>
      <c r="J6" s="33">
        <f>'Estado Financieros'!C12</f>
        <v>6310237.8431999981</v>
      </c>
      <c r="L6" s="120"/>
    </row>
    <row r="7" spans="2:12" x14ac:dyDescent="0.25">
      <c r="B7" s="41"/>
      <c r="C7" s="40"/>
      <c r="D7" s="1"/>
      <c r="E7" s="40"/>
      <c r="F7" s="38" t="e">
        <f>E7/(C7*D7)</f>
        <v>#DIV/0!</v>
      </c>
      <c r="G7" s="39">
        <f>E7/12</f>
        <v>0</v>
      </c>
    </row>
    <row r="8" spans="2:12" x14ac:dyDescent="0.25">
      <c r="B8" s="41"/>
      <c r="C8" s="40"/>
      <c r="D8" s="1"/>
      <c r="E8" s="40"/>
      <c r="F8" s="38"/>
      <c r="G8" s="39"/>
    </row>
    <row r="9" spans="2:12" x14ac:dyDescent="0.25">
      <c r="B9" s="1"/>
      <c r="C9" s="40"/>
      <c r="D9" s="1"/>
      <c r="E9" s="40"/>
      <c r="F9" s="38"/>
      <c r="G9" s="39"/>
    </row>
    <row r="10" spans="2:12" x14ac:dyDescent="0.25">
      <c r="B10" s="1"/>
      <c r="C10" s="42">
        <f>+C8*0.57</f>
        <v>0</v>
      </c>
      <c r="D10" s="1"/>
      <c r="E10" s="40"/>
      <c r="F10" s="38"/>
      <c r="G10" s="40"/>
    </row>
    <row r="11" spans="2:12" x14ac:dyDescent="0.25">
      <c r="B11" s="1"/>
      <c r="C11" s="1"/>
      <c r="D11" s="1"/>
      <c r="E11" s="40"/>
      <c r="F11" s="38"/>
      <c r="G11" s="40"/>
    </row>
    <row r="12" spans="2:12" x14ac:dyDescent="0.25">
      <c r="B12" s="31" t="s">
        <v>103</v>
      </c>
      <c r="C12" s="43">
        <f>SUM(C6:C9)</f>
        <v>150</v>
      </c>
      <c r="D12" s="31">
        <v>1</v>
      </c>
      <c r="E12" s="43">
        <f>SUM(E6:E11)</f>
        <v>48</v>
      </c>
      <c r="F12" s="44">
        <f t="shared" ref="F12" si="0">E12/(C12*D12)</f>
        <v>0.32</v>
      </c>
      <c r="G12" s="43">
        <f>SUM(G6:G11)</f>
        <v>4</v>
      </c>
    </row>
    <row r="13" spans="2:12" x14ac:dyDescent="0.25">
      <c r="J13" t="s">
        <v>318</v>
      </c>
    </row>
    <row r="15" spans="2:12" x14ac:dyDescent="0.25">
      <c r="I15" t="s">
        <v>316</v>
      </c>
      <c r="J15" s="71">
        <v>3000</v>
      </c>
      <c r="K15" s="113" t="s">
        <v>319</v>
      </c>
      <c r="L15" s="115" t="s">
        <v>320</v>
      </c>
    </row>
    <row r="16" spans="2:12" x14ac:dyDescent="0.25">
      <c r="I16" t="s">
        <v>96</v>
      </c>
      <c r="J16" s="71">
        <v>300</v>
      </c>
      <c r="K16" s="114" t="s">
        <v>319</v>
      </c>
      <c r="L16" t="s">
        <v>321</v>
      </c>
    </row>
    <row r="17" spans="2:13" x14ac:dyDescent="0.25">
      <c r="I17" t="s">
        <v>317</v>
      </c>
      <c r="J17" s="71">
        <v>150</v>
      </c>
      <c r="K17" s="113" t="s">
        <v>319</v>
      </c>
      <c r="L17" t="s">
        <v>322</v>
      </c>
      <c r="M17" t="s">
        <v>321</v>
      </c>
    </row>
    <row r="31" spans="2:13" x14ac:dyDescent="0.25">
      <c r="B31" s="130" t="s">
        <v>104</v>
      </c>
      <c r="C31" s="130"/>
      <c r="D31" s="130"/>
      <c r="E31" s="130"/>
      <c r="F31" s="130"/>
      <c r="G31" s="130"/>
      <c r="H31" s="130"/>
    </row>
    <row r="32" spans="2:13" x14ac:dyDescent="0.25">
      <c r="B32" s="31" t="s">
        <v>46</v>
      </c>
      <c r="C32" s="45" t="s">
        <v>105</v>
      </c>
      <c r="D32" s="45" t="s">
        <v>106</v>
      </c>
      <c r="E32" s="31" t="s">
        <v>107</v>
      </c>
      <c r="F32" s="45" t="s">
        <v>108</v>
      </c>
      <c r="G32" s="45" t="s">
        <v>109</v>
      </c>
      <c r="H32" s="45" t="s">
        <v>110</v>
      </c>
    </row>
    <row r="33" spans="2:8" x14ac:dyDescent="0.25">
      <c r="B33" s="46" t="str">
        <f>B6</f>
        <v>Sistema de inventarios distribuidora de dulces</v>
      </c>
      <c r="C33" s="47">
        <v>1900</v>
      </c>
      <c r="D33" s="48">
        <f>(0.99*C50)/C33</f>
        <v>2.5010526315789473E-2</v>
      </c>
      <c r="E33" s="49">
        <f>(C33*D33)</f>
        <v>47.519999999999996</v>
      </c>
      <c r="F33" s="50">
        <v>1</v>
      </c>
      <c r="G33" s="51">
        <f>E33*F33</f>
        <v>47.519999999999996</v>
      </c>
      <c r="H33" s="51">
        <f>E6</f>
        <v>48</v>
      </c>
    </row>
    <row r="34" spans="2:8" x14ac:dyDescent="0.25">
      <c r="B34" s="46"/>
      <c r="C34" s="40"/>
      <c r="D34" s="48"/>
      <c r="E34" s="49"/>
      <c r="F34" s="50"/>
      <c r="G34" s="51"/>
      <c r="H34" s="51"/>
    </row>
    <row r="35" spans="2:8" x14ac:dyDescent="0.25">
      <c r="B35" s="46"/>
      <c r="C35" s="40"/>
      <c r="D35" s="48"/>
      <c r="E35" s="49"/>
      <c r="F35" s="50"/>
      <c r="G35" s="51"/>
      <c r="H35" s="51"/>
    </row>
    <row r="36" spans="2:8" x14ac:dyDescent="0.25">
      <c r="B36" s="46"/>
      <c r="C36" s="40"/>
      <c r="D36" s="48"/>
      <c r="E36" s="49"/>
      <c r="F36" s="50"/>
      <c r="G36" s="51"/>
      <c r="H36" s="51"/>
    </row>
    <row r="37" spans="2:8" x14ac:dyDescent="0.25">
      <c r="B37" s="46"/>
      <c r="C37" s="1"/>
      <c r="D37" s="51"/>
      <c r="E37" s="48"/>
      <c r="F37" s="52"/>
      <c r="G37" s="51"/>
      <c r="H37" s="51"/>
    </row>
    <row r="38" spans="2:8" x14ac:dyDescent="0.25">
      <c r="B38" s="46"/>
      <c r="C38" s="1"/>
      <c r="D38" s="51"/>
      <c r="E38" s="48"/>
      <c r="F38" s="52"/>
      <c r="G38" s="51"/>
      <c r="H38" s="51"/>
    </row>
    <row r="39" spans="2:8" x14ac:dyDescent="0.25">
      <c r="B39" s="31" t="str">
        <f>B12</f>
        <v>Totales</v>
      </c>
      <c r="C39" s="31"/>
      <c r="D39" s="31"/>
      <c r="E39" s="53">
        <f>SUM(E33:E38)</f>
        <v>47.519999999999996</v>
      </c>
      <c r="F39" s="53"/>
      <c r="G39" s="43">
        <f>SUM(G33:G38)</f>
        <v>47.519999999999996</v>
      </c>
      <c r="H39" s="43">
        <f>SUM(H33:H38)</f>
        <v>48</v>
      </c>
    </row>
    <row r="48" spans="2:8" x14ac:dyDescent="0.25">
      <c r="B48" s="130" t="s">
        <v>111</v>
      </c>
      <c r="C48" s="130"/>
      <c r="D48" s="130"/>
      <c r="E48" s="130"/>
    </row>
    <row r="49" spans="2:5" x14ac:dyDescent="0.25">
      <c r="B49" s="31" t="s">
        <v>46</v>
      </c>
      <c r="C49" s="45" t="s">
        <v>112</v>
      </c>
      <c r="D49" s="45" t="s">
        <v>113</v>
      </c>
      <c r="E49" s="45" t="s">
        <v>114</v>
      </c>
    </row>
    <row r="50" spans="2:5" x14ac:dyDescent="0.25">
      <c r="B50" s="46" t="str">
        <f>B6</f>
        <v>Sistema de inventarios distribuidora de dulces</v>
      </c>
      <c r="C50" s="51">
        <f>E6</f>
        <v>48</v>
      </c>
      <c r="D50" s="37">
        <v>2000000</v>
      </c>
      <c r="E50" s="51">
        <f>(C50*D50)</f>
        <v>96000000</v>
      </c>
    </row>
    <row r="51" spans="2:5" x14ac:dyDescent="0.25">
      <c r="B51" s="46">
        <f>B7</f>
        <v>0</v>
      </c>
      <c r="C51" s="51">
        <f>E7</f>
        <v>0</v>
      </c>
      <c r="D51" s="54">
        <v>0</v>
      </c>
      <c r="E51" s="51">
        <f>(C51*D51)</f>
        <v>0</v>
      </c>
    </row>
    <row r="52" spans="2:5" x14ac:dyDescent="0.25">
      <c r="B52" s="46"/>
      <c r="C52" s="51"/>
      <c r="D52" s="54"/>
      <c r="E52" s="51"/>
    </row>
    <row r="53" spans="2:5" x14ac:dyDescent="0.25">
      <c r="B53" s="46"/>
      <c r="C53" s="51"/>
      <c r="D53" s="54"/>
      <c r="E53" s="51"/>
    </row>
    <row r="54" spans="2:5" x14ac:dyDescent="0.25">
      <c r="B54" s="46"/>
      <c r="C54" s="46"/>
      <c r="D54" s="40"/>
      <c r="E54" s="51"/>
    </row>
    <row r="55" spans="2:5" x14ac:dyDescent="0.25">
      <c r="B55" s="46"/>
      <c r="C55" s="46"/>
      <c r="D55" s="40"/>
      <c r="E55" s="51"/>
    </row>
    <row r="56" spans="2:5" x14ac:dyDescent="0.25">
      <c r="B56" s="31" t="s">
        <v>103</v>
      </c>
      <c r="C56" s="43">
        <f>SUM(C50:C55)</f>
        <v>48</v>
      </c>
      <c r="D56" s="43">
        <f>SUM(D50:D55)</f>
        <v>2000000</v>
      </c>
      <c r="E56" s="43">
        <f>SUM(E50:E55)</f>
        <v>96000000</v>
      </c>
    </row>
    <row r="60" spans="2:5" x14ac:dyDescent="0.25">
      <c r="B60" s="31" t="s">
        <v>115</v>
      </c>
      <c r="C60" s="34" t="s">
        <v>116</v>
      </c>
      <c r="D60" s="34" t="s">
        <v>117</v>
      </c>
    </row>
    <row r="61" spans="2:5" x14ac:dyDescent="0.25">
      <c r="B61" s="55" t="s">
        <v>118</v>
      </c>
      <c r="C61" s="56">
        <v>0.02</v>
      </c>
      <c r="D61" s="57">
        <f>C61+1</f>
        <v>1.02</v>
      </c>
    </row>
    <row r="62" spans="2:5" x14ac:dyDescent="0.25">
      <c r="B62" s="55" t="s">
        <v>119</v>
      </c>
      <c r="C62" s="56">
        <v>0.03</v>
      </c>
      <c r="D62" s="57">
        <f>C62+1</f>
        <v>1.03</v>
      </c>
    </row>
    <row r="63" spans="2:5" x14ac:dyDescent="0.25">
      <c r="B63" s="55" t="s">
        <v>120</v>
      </c>
      <c r="C63" s="58">
        <v>0.04</v>
      </c>
      <c r="D63" s="57">
        <f>C63+1</f>
        <v>1.04</v>
      </c>
    </row>
    <row r="64" spans="2:5" x14ac:dyDescent="0.25">
      <c r="B64" s="55" t="s">
        <v>121</v>
      </c>
      <c r="C64" s="56">
        <v>0.04</v>
      </c>
      <c r="D64" s="57">
        <f>C64+1</f>
        <v>1.04</v>
      </c>
    </row>
    <row r="65" spans="2:5" x14ac:dyDescent="0.25">
      <c r="B65" s="59"/>
      <c r="C65" s="59" t="s">
        <v>122</v>
      </c>
      <c r="D65" s="59"/>
    </row>
    <row r="70" spans="2:5" x14ac:dyDescent="0.25">
      <c r="B70" s="130" t="s">
        <v>123</v>
      </c>
      <c r="C70" s="130"/>
    </row>
    <row r="72" spans="2:5" x14ac:dyDescent="0.25">
      <c r="B72" s="31" t="s">
        <v>124</v>
      </c>
      <c r="C72" s="31" t="s">
        <v>125</v>
      </c>
    </row>
    <row r="73" spans="2:5" x14ac:dyDescent="0.25">
      <c r="B73" s="55" t="s">
        <v>126</v>
      </c>
      <c r="C73" s="46">
        <v>9</v>
      </c>
    </row>
    <row r="74" spans="2:5" x14ac:dyDescent="0.25">
      <c r="B74" s="55" t="s">
        <v>127</v>
      </c>
      <c r="C74" s="46">
        <v>7</v>
      </c>
    </row>
    <row r="75" spans="2:5" x14ac:dyDescent="0.25">
      <c r="B75" s="55" t="s">
        <v>128</v>
      </c>
      <c r="C75" s="46">
        <v>5</v>
      </c>
    </row>
    <row r="76" spans="2:5" x14ac:dyDescent="0.25">
      <c r="B76" s="55" t="s">
        <v>129</v>
      </c>
      <c r="C76" s="46">
        <v>3</v>
      </c>
    </row>
    <row r="78" spans="2:5" x14ac:dyDescent="0.25">
      <c r="B78" s="139" t="s">
        <v>130</v>
      </c>
      <c r="C78" s="139"/>
      <c r="D78" s="34" t="s">
        <v>131</v>
      </c>
      <c r="E78" s="34" t="s">
        <v>131</v>
      </c>
    </row>
    <row r="79" spans="2:5" x14ac:dyDescent="0.25">
      <c r="B79" s="139"/>
      <c r="C79" s="139"/>
      <c r="D79" s="34" t="s">
        <v>132</v>
      </c>
      <c r="E79" s="34" t="s">
        <v>133</v>
      </c>
    </row>
    <row r="80" spans="2:5" x14ac:dyDescent="0.25">
      <c r="B80" s="55" t="s">
        <v>134</v>
      </c>
      <c r="C80" s="60">
        <v>5</v>
      </c>
      <c r="D80" s="49">
        <f>IF(C92&gt;0,(C80/C92)*C56,)</f>
        <v>4</v>
      </c>
      <c r="E80" s="51">
        <f>IF(D92&gt;0,(E56*D80)/D92)</f>
        <v>8000000</v>
      </c>
    </row>
    <row r="81" spans="2:5" x14ac:dyDescent="0.25">
      <c r="B81" s="55" t="s">
        <v>135</v>
      </c>
      <c r="C81" s="60">
        <v>5</v>
      </c>
      <c r="D81" s="49">
        <f>IF(C92&gt;0,(C81/C92)*C56,)</f>
        <v>4</v>
      </c>
      <c r="E81" s="51">
        <f>IF(D92&gt;0,(E56*D81)/D92)</f>
        <v>8000000</v>
      </c>
    </row>
    <row r="82" spans="2:5" x14ac:dyDescent="0.25">
      <c r="B82" s="55" t="s">
        <v>136</v>
      </c>
      <c r="C82" s="60">
        <v>5</v>
      </c>
      <c r="D82" s="49">
        <f>IF(C92&gt;0,(C82/C92)*C56,)</f>
        <v>4</v>
      </c>
      <c r="E82" s="51">
        <f>IF(D92&gt;0,(E56*D82)/D92)</f>
        <v>8000000</v>
      </c>
    </row>
    <row r="83" spans="2:5" x14ac:dyDescent="0.25">
      <c r="B83" s="55" t="s">
        <v>137</v>
      </c>
      <c r="C83" s="60">
        <v>5</v>
      </c>
      <c r="D83" s="49">
        <f>IF(C92&gt;0,(C83/C92)*C56,)</f>
        <v>4</v>
      </c>
      <c r="E83" s="51">
        <f>IF(D92&gt;0,(E56*D83)/D92)</f>
        <v>8000000</v>
      </c>
    </row>
    <row r="84" spans="2:5" x14ac:dyDescent="0.25">
      <c r="B84" s="55" t="s">
        <v>138</v>
      </c>
      <c r="C84" s="60">
        <v>5</v>
      </c>
      <c r="D84" s="49">
        <f>IF(C92&gt;0,(C84/C92)*C56,)</f>
        <v>4</v>
      </c>
      <c r="E84" s="51">
        <f>IF(D92&gt;0,(E56*D84)/D92)</f>
        <v>8000000</v>
      </c>
    </row>
    <row r="85" spans="2:5" x14ac:dyDescent="0.25">
      <c r="B85" s="61" t="s">
        <v>139</v>
      </c>
      <c r="C85" s="62">
        <v>5</v>
      </c>
      <c r="D85" s="49">
        <f>IF(C92&gt;0,(C85/C92)*C56,)</f>
        <v>4</v>
      </c>
      <c r="E85" s="51">
        <f>IF(D92&gt;0,(E56*D85)/D92)</f>
        <v>8000000</v>
      </c>
    </row>
    <row r="86" spans="2:5" x14ac:dyDescent="0.25">
      <c r="B86" s="55" t="s">
        <v>140</v>
      </c>
      <c r="C86" s="60">
        <v>5</v>
      </c>
      <c r="D86" s="49">
        <f>IF(C92&gt;0,(C86/C92)*C56,)</f>
        <v>4</v>
      </c>
      <c r="E86" s="51">
        <f>IF(D92&gt;0,(E56*D86)/D92)</f>
        <v>8000000</v>
      </c>
    </row>
    <row r="87" spans="2:5" x14ac:dyDescent="0.25">
      <c r="B87" s="55" t="s">
        <v>141</v>
      </c>
      <c r="C87" s="60">
        <v>5</v>
      </c>
      <c r="D87" s="49">
        <f>IF(C92&gt;0,(C87/C92)*C56,)</f>
        <v>4</v>
      </c>
      <c r="E87" s="51">
        <f>IF(D92&gt;0,(E56*D87)/D92)</f>
        <v>8000000</v>
      </c>
    </row>
    <row r="88" spans="2:5" x14ac:dyDescent="0.25">
      <c r="B88" s="55" t="s">
        <v>142</v>
      </c>
      <c r="C88" s="60">
        <v>5</v>
      </c>
      <c r="D88" s="49">
        <f>IF(C92&gt;0,(C88/C92)*C56,)</f>
        <v>4</v>
      </c>
      <c r="E88" s="51">
        <f>IF(D92&gt;0,(E56*D88)/D92)</f>
        <v>8000000</v>
      </c>
    </row>
    <row r="89" spans="2:5" x14ac:dyDescent="0.25">
      <c r="B89" s="55" t="s">
        <v>143</v>
      </c>
      <c r="C89" s="60">
        <v>5</v>
      </c>
      <c r="D89" s="49">
        <f>IF(C92&gt;0,(C89/C92)*C56,)</f>
        <v>4</v>
      </c>
      <c r="E89" s="51">
        <f>IF(D92&gt;0,(E56*D89)/D92)</f>
        <v>8000000</v>
      </c>
    </row>
    <row r="90" spans="2:5" x14ac:dyDescent="0.25">
      <c r="B90" s="55" t="s">
        <v>144</v>
      </c>
      <c r="C90" s="60">
        <v>5</v>
      </c>
      <c r="D90" s="49">
        <f>IF(C92&gt;0,(C90/C92)*C56,)</f>
        <v>4</v>
      </c>
      <c r="E90" s="51">
        <f>IF(D92&gt;0,(E56*D90)/D92)</f>
        <v>8000000</v>
      </c>
    </row>
    <row r="91" spans="2:5" x14ac:dyDescent="0.25">
      <c r="B91" s="55" t="s">
        <v>145</v>
      </c>
      <c r="C91" s="60">
        <v>5</v>
      </c>
      <c r="D91" s="49">
        <f>IF(C92&gt;0,(C91/C92)*C56,)</f>
        <v>4</v>
      </c>
      <c r="E91" s="51">
        <f>IF(D92&gt;0,(E56*D91)/D92)</f>
        <v>8000000</v>
      </c>
    </row>
    <row r="92" spans="2:5" x14ac:dyDescent="0.25">
      <c r="B92" s="31" t="s">
        <v>56</v>
      </c>
      <c r="C92" s="31">
        <f>SUM(C80:C91)</f>
        <v>60</v>
      </c>
      <c r="D92" s="53">
        <f>SUM(D80:D91)</f>
        <v>48</v>
      </c>
      <c r="E92" s="43">
        <f>SUM(E80:E91)</f>
        <v>96000000</v>
      </c>
    </row>
  </sheetData>
  <mergeCells count="5">
    <mergeCell ref="B4:G4"/>
    <mergeCell ref="B31:H31"/>
    <mergeCell ref="B48:E48"/>
    <mergeCell ref="B70:C70"/>
    <mergeCell ref="B78:C79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/>
  </sheetPr>
  <dimension ref="A3:Q47"/>
  <sheetViews>
    <sheetView topLeftCell="D39" zoomScale="87" zoomScaleNormal="87" workbookViewId="0">
      <selection activeCell="K7" sqref="K7"/>
    </sheetView>
  </sheetViews>
  <sheetFormatPr baseColWidth="10" defaultRowHeight="15" x14ac:dyDescent="0.25"/>
  <cols>
    <col min="2" max="2" width="30.5703125" bestFit="1" customWidth="1"/>
    <col min="3" max="3" width="14.140625" bestFit="1" customWidth="1"/>
    <col min="4" max="4" width="18.7109375" customWidth="1"/>
    <col min="5" max="5" width="20" customWidth="1"/>
    <col min="6" max="6" width="22.7109375" customWidth="1"/>
    <col min="7" max="8" width="18.140625" bestFit="1" customWidth="1"/>
    <col min="9" max="9" width="14.28515625" bestFit="1" customWidth="1"/>
    <col min="10" max="11" width="18.140625" bestFit="1" customWidth="1"/>
    <col min="12" max="12" width="14.28515625" bestFit="1" customWidth="1"/>
    <col min="13" max="14" width="22.28515625" bestFit="1" customWidth="1"/>
    <col min="15" max="15" width="14.28515625" bestFit="1" customWidth="1"/>
    <col min="16" max="17" width="18.140625" bestFit="1" customWidth="1"/>
  </cols>
  <sheetData>
    <row r="3" spans="2:17" x14ac:dyDescent="0.25">
      <c r="B3" s="130" t="s">
        <v>160</v>
      </c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</row>
    <row r="5" spans="2:17" x14ac:dyDescent="0.25">
      <c r="B5" s="139" t="s">
        <v>46</v>
      </c>
      <c r="C5" s="130" t="s">
        <v>131</v>
      </c>
      <c r="D5" s="130"/>
      <c r="E5" s="130"/>
      <c r="F5" s="130" t="s">
        <v>118</v>
      </c>
      <c r="G5" s="130"/>
      <c r="H5" s="130"/>
      <c r="I5" s="130" t="s">
        <v>119</v>
      </c>
      <c r="J5" s="130"/>
      <c r="K5" s="130"/>
      <c r="L5" s="130" t="s">
        <v>120</v>
      </c>
      <c r="M5" s="130"/>
      <c r="N5" s="130"/>
      <c r="O5" s="130" t="s">
        <v>121</v>
      </c>
      <c r="P5" s="130"/>
      <c r="Q5" s="130"/>
    </row>
    <row r="6" spans="2:17" x14ac:dyDescent="0.25">
      <c r="B6" s="139"/>
      <c r="C6" s="31" t="s">
        <v>161</v>
      </c>
      <c r="D6" s="31" t="s">
        <v>162</v>
      </c>
      <c r="E6" s="31" t="s">
        <v>163</v>
      </c>
      <c r="F6" s="31" t="s">
        <v>161</v>
      </c>
      <c r="G6" s="31" t="s">
        <v>162</v>
      </c>
      <c r="H6" s="31" t="s">
        <v>163</v>
      </c>
      <c r="I6" s="31" t="s">
        <v>161</v>
      </c>
      <c r="J6" s="31" t="s">
        <v>162</v>
      </c>
      <c r="K6" s="31" t="s">
        <v>163</v>
      </c>
      <c r="L6" s="31" t="s">
        <v>161</v>
      </c>
      <c r="M6" s="31" t="s">
        <v>162</v>
      </c>
      <c r="N6" s="31" t="s">
        <v>163</v>
      </c>
      <c r="O6" s="31" t="s">
        <v>161</v>
      </c>
      <c r="P6" s="31" t="s">
        <v>162</v>
      </c>
      <c r="Q6" s="31" t="s">
        <v>163</v>
      </c>
    </row>
    <row r="7" spans="2:17" x14ac:dyDescent="0.25">
      <c r="B7" s="31" t="str">
        <f>'Presupuesto de ventas'!B6</f>
        <v>Sistema de inventarios distribuidora de dulces</v>
      </c>
      <c r="C7" s="51">
        <f>'Materia Prima'!D27</f>
        <v>48</v>
      </c>
      <c r="D7" s="65">
        <f>'Materia Prima'!F27</f>
        <v>0</v>
      </c>
      <c r="E7" s="65">
        <f>'Presupuesto de ventas'!E50</f>
        <v>96000000</v>
      </c>
      <c r="F7" s="51">
        <f>C7</f>
        <v>48</v>
      </c>
      <c r="G7" s="65">
        <f>D7*'Materia Prima'!E38</f>
        <v>0</v>
      </c>
      <c r="H7" s="65">
        <f>E7*'Presupuesto de ventas'!D61</f>
        <v>97920000</v>
      </c>
      <c r="I7" s="51">
        <f>C7</f>
        <v>48</v>
      </c>
      <c r="J7" s="65">
        <f>G7*'Materia Prima'!E39</f>
        <v>0</v>
      </c>
      <c r="K7" s="65">
        <f>H7*'Presupuesto de ventas'!D62</f>
        <v>100857600</v>
      </c>
      <c r="L7" s="51">
        <f>C7</f>
        <v>48</v>
      </c>
      <c r="M7" s="65">
        <f>J7*'Materia Prima'!E40</f>
        <v>0</v>
      </c>
      <c r="N7" s="65">
        <f>K7*'Presupuesto de ventas'!D63</f>
        <v>104891904</v>
      </c>
      <c r="O7" s="51">
        <f>C7</f>
        <v>48</v>
      </c>
      <c r="P7" s="65">
        <f>M7*'Materia Prima'!E41</f>
        <v>0</v>
      </c>
      <c r="Q7" s="65">
        <f>N7*'Presupuesto de ventas'!D64</f>
        <v>109087580.16</v>
      </c>
    </row>
    <row r="8" spans="2:17" x14ac:dyDescent="0.25">
      <c r="B8" s="31">
        <f>'Presupuesto de ventas'!B7</f>
        <v>0</v>
      </c>
      <c r="C8" s="51">
        <f>'Materia Prima'!D27</f>
        <v>48</v>
      </c>
      <c r="D8" s="65">
        <f>'Materia Prima'!F27</f>
        <v>0</v>
      </c>
      <c r="E8" s="65">
        <f>'Presupuesto de ventas'!E51</f>
        <v>0</v>
      </c>
      <c r="F8" s="51">
        <f>C8</f>
        <v>48</v>
      </c>
      <c r="G8" s="65">
        <f>D8*'Materia Prima'!E38</f>
        <v>0</v>
      </c>
      <c r="H8" s="65">
        <f>E8*'Presupuesto de ventas'!D61</f>
        <v>0</v>
      </c>
      <c r="I8" s="51">
        <f>C8</f>
        <v>48</v>
      </c>
      <c r="J8" s="65">
        <f>G8*'Materia Prima'!E39</f>
        <v>0</v>
      </c>
      <c r="K8" s="65">
        <f>H8*'Presupuesto de ventas'!D62</f>
        <v>0</v>
      </c>
      <c r="L8" s="51">
        <f>C8</f>
        <v>48</v>
      </c>
      <c r="M8" s="65">
        <f>J8*'Materia Prima'!E40</f>
        <v>0</v>
      </c>
      <c r="N8" s="65">
        <f>K8*'Presupuesto de ventas'!D63</f>
        <v>0</v>
      </c>
      <c r="O8" s="51">
        <f>C8</f>
        <v>48</v>
      </c>
      <c r="P8" s="65">
        <f>M8*'Materia Prima'!E41</f>
        <v>0</v>
      </c>
      <c r="Q8" s="65">
        <f>N8*'Presupuesto de ventas'!D64</f>
        <v>0</v>
      </c>
    </row>
    <row r="9" spans="2:17" x14ac:dyDescent="0.25">
      <c r="B9" s="31"/>
      <c r="C9" s="51"/>
      <c r="D9" s="65"/>
      <c r="E9" s="65"/>
      <c r="F9" s="51"/>
      <c r="G9" s="65"/>
      <c r="H9" s="65"/>
      <c r="I9" s="51"/>
      <c r="J9" s="65"/>
      <c r="K9" s="65"/>
      <c r="L9" s="51"/>
      <c r="M9" s="65"/>
      <c r="N9" s="65"/>
      <c r="O9" s="51"/>
      <c r="P9" s="65"/>
      <c r="Q9" s="65"/>
    </row>
    <row r="10" spans="2:17" x14ac:dyDescent="0.25">
      <c r="B10" s="31"/>
      <c r="C10" s="51"/>
      <c r="D10" s="65"/>
      <c r="E10" s="65"/>
      <c r="F10" s="51"/>
      <c r="G10" s="65"/>
      <c r="H10" s="65"/>
      <c r="I10" s="51"/>
      <c r="J10" s="65"/>
      <c r="K10" s="65"/>
      <c r="L10" s="51"/>
      <c r="M10" s="65"/>
      <c r="N10" s="65"/>
      <c r="O10" s="51"/>
      <c r="P10" s="65"/>
      <c r="Q10" s="65"/>
    </row>
    <row r="11" spans="2:17" x14ac:dyDescent="0.25">
      <c r="B11" s="31"/>
      <c r="C11" s="51"/>
      <c r="D11" s="65"/>
      <c r="E11" s="65"/>
      <c r="F11" s="51"/>
      <c r="G11" s="65"/>
      <c r="H11" s="65"/>
      <c r="I11" s="51"/>
      <c r="J11" s="65"/>
      <c r="K11" s="65"/>
      <c r="L11" s="51"/>
      <c r="M11" s="65"/>
      <c r="N11" s="65"/>
      <c r="O11" s="51"/>
      <c r="P11" s="65"/>
      <c r="Q11" s="65"/>
    </row>
    <row r="12" spans="2:17" x14ac:dyDescent="0.25">
      <c r="B12" s="31"/>
      <c r="C12" s="51"/>
      <c r="D12" s="65"/>
      <c r="E12" s="65"/>
      <c r="F12" s="51"/>
      <c r="G12" s="65"/>
      <c r="H12" s="65"/>
      <c r="I12" s="51"/>
      <c r="J12" s="65"/>
      <c r="K12" s="65"/>
      <c r="L12" s="51"/>
      <c r="M12" s="65"/>
      <c r="N12" s="65"/>
      <c r="O12" s="51"/>
      <c r="P12" s="65"/>
      <c r="Q12" s="65"/>
    </row>
    <row r="13" spans="2:17" x14ac:dyDescent="0.25">
      <c r="B13" s="31"/>
      <c r="C13" s="51"/>
      <c r="D13" s="65"/>
      <c r="E13" s="65"/>
      <c r="F13" s="51"/>
      <c r="G13" s="65"/>
      <c r="H13" s="65"/>
      <c r="I13" s="51"/>
      <c r="J13" s="65"/>
      <c r="K13" s="65"/>
      <c r="L13" s="51"/>
      <c r="M13" s="65"/>
      <c r="N13" s="65"/>
      <c r="O13" s="51"/>
      <c r="P13" s="65"/>
      <c r="Q13" s="65"/>
    </row>
    <row r="14" spans="2:17" x14ac:dyDescent="0.25">
      <c r="B14" s="31" t="s">
        <v>103</v>
      </c>
      <c r="C14" s="43">
        <f t="shared" ref="C14:Q14" si="0">SUM(C7:C13)</f>
        <v>96</v>
      </c>
      <c r="D14" s="66">
        <f t="shared" si="0"/>
        <v>0</v>
      </c>
      <c r="E14" s="66">
        <f t="shared" si="0"/>
        <v>96000000</v>
      </c>
      <c r="F14" s="43">
        <f t="shared" si="0"/>
        <v>96</v>
      </c>
      <c r="G14" s="66">
        <f t="shared" si="0"/>
        <v>0</v>
      </c>
      <c r="H14" s="66">
        <f>SUM(H7:H13)</f>
        <v>97920000</v>
      </c>
      <c r="I14" s="43">
        <f t="shared" si="0"/>
        <v>96</v>
      </c>
      <c r="J14" s="66">
        <f t="shared" si="0"/>
        <v>0</v>
      </c>
      <c r="K14" s="66">
        <f t="shared" si="0"/>
        <v>100857600</v>
      </c>
      <c r="L14" s="43">
        <f t="shared" si="0"/>
        <v>96</v>
      </c>
      <c r="M14" s="66">
        <f t="shared" si="0"/>
        <v>0</v>
      </c>
      <c r="N14" s="66">
        <f t="shared" si="0"/>
        <v>104891904</v>
      </c>
      <c r="O14" s="43">
        <f t="shared" si="0"/>
        <v>96</v>
      </c>
      <c r="P14" s="66">
        <f t="shared" si="0"/>
        <v>0</v>
      </c>
      <c r="Q14" s="66">
        <f t="shared" si="0"/>
        <v>109087580.16</v>
      </c>
    </row>
    <row r="31" spans="2:17" x14ac:dyDescent="0.25">
      <c r="B31" s="130" t="s">
        <v>164</v>
      </c>
      <c r="C31" s="130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</row>
    <row r="33" spans="1:17" x14ac:dyDescent="0.25">
      <c r="A33" s="67"/>
      <c r="B33" s="140" t="s">
        <v>155</v>
      </c>
      <c r="C33" s="130" t="s">
        <v>131</v>
      </c>
      <c r="D33" s="130"/>
      <c r="E33" s="130"/>
      <c r="F33" s="130" t="s">
        <v>118</v>
      </c>
      <c r="G33" s="130"/>
      <c r="H33" s="130"/>
      <c r="I33" s="130" t="s">
        <v>119</v>
      </c>
      <c r="J33" s="130"/>
      <c r="K33" s="130"/>
      <c r="L33" s="130" t="s">
        <v>120</v>
      </c>
      <c r="M33" s="130"/>
      <c r="N33" s="130"/>
      <c r="O33" s="130" t="s">
        <v>121</v>
      </c>
      <c r="P33" s="130"/>
      <c r="Q33" s="130"/>
    </row>
    <row r="34" spans="1:17" x14ac:dyDescent="0.25">
      <c r="A34" s="67"/>
      <c r="B34" s="140"/>
      <c r="C34" s="34" t="s">
        <v>165</v>
      </c>
      <c r="D34" s="34" t="s">
        <v>132</v>
      </c>
      <c r="E34" s="34" t="s">
        <v>166</v>
      </c>
      <c r="F34" s="34" t="s">
        <v>165</v>
      </c>
      <c r="G34" s="34" t="s">
        <v>132</v>
      </c>
      <c r="H34" s="34" t="s">
        <v>166</v>
      </c>
      <c r="I34" s="34" t="s">
        <v>165</v>
      </c>
      <c r="J34" s="34" t="s">
        <v>132</v>
      </c>
      <c r="K34" s="34" t="s">
        <v>166</v>
      </c>
      <c r="L34" s="34" t="s">
        <v>165</v>
      </c>
      <c r="M34" s="34" t="s">
        <v>132</v>
      </c>
      <c r="N34" s="34" t="s">
        <v>166</v>
      </c>
      <c r="O34" s="34" t="s">
        <v>165</v>
      </c>
      <c r="P34" s="34" t="s">
        <v>132</v>
      </c>
      <c r="Q34" s="34" t="s">
        <v>166</v>
      </c>
    </row>
    <row r="35" spans="1:17" x14ac:dyDescent="0.25">
      <c r="B35" s="69" t="s">
        <v>134</v>
      </c>
      <c r="C35" s="49">
        <f>'Presupuesto de ventas'!C80</f>
        <v>5</v>
      </c>
      <c r="D35" s="49">
        <f>'Presupuesto de ventas'!D80</f>
        <v>4</v>
      </c>
      <c r="E35" s="65">
        <f>'Presupuesto de ventas'!E80</f>
        <v>8000000</v>
      </c>
      <c r="F35" s="46">
        <f>'Presupuesto de ventas'!C80</f>
        <v>5</v>
      </c>
      <c r="G35" s="49">
        <f>IF(F47&gt;0,(F35/F47)*F14,)</f>
        <v>8</v>
      </c>
      <c r="H35" s="65">
        <f>IF(F14&gt;0,(H14*G35)/F14,)</f>
        <v>8160000</v>
      </c>
      <c r="I35" s="46">
        <f>'Presupuesto de ventas'!C80</f>
        <v>5</v>
      </c>
      <c r="J35" s="49">
        <f>IF(I47&gt;0,(I35/I47)*I14)</f>
        <v>8</v>
      </c>
      <c r="K35" s="65">
        <f>IF(I14&gt;0,(K14*J35)/I14,)</f>
        <v>8404800</v>
      </c>
      <c r="L35" s="46">
        <f>'Presupuesto de ventas'!C80</f>
        <v>5</v>
      </c>
      <c r="M35" s="49">
        <f>IF(L47&gt;0,(L35/L47)*L14)</f>
        <v>8</v>
      </c>
      <c r="N35" s="65">
        <f>IF(L14&gt;0,(N14*M35)/L14,)</f>
        <v>8740992</v>
      </c>
      <c r="O35" s="46">
        <f>'Presupuesto de ventas'!C80</f>
        <v>5</v>
      </c>
      <c r="P35" s="49">
        <f>IF(O47&gt;0,(O35/O47)*O14)</f>
        <v>8</v>
      </c>
      <c r="Q35" s="65">
        <f>IF(O14&gt;0,(Q14*P35)/O14,)</f>
        <v>9090631.6799999997</v>
      </c>
    </row>
    <row r="36" spans="1:17" x14ac:dyDescent="0.25">
      <c r="B36" s="69" t="s">
        <v>135</v>
      </c>
      <c r="C36" s="49">
        <f>'Presupuesto de ventas'!C81</f>
        <v>5</v>
      </c>
      <c r="D36" s="49">
        <f>'Presupuesto de ventas'!D81</f>
        <v>4</v>
      </c>
      <c r="E36" s="65">
        <f>'Presupuesto de ventas'!E81</f>
        <v>8000000</v>
      </c>
      <c r="F36" s="46">
        <f>'Presupuesto de ventas'!C81</f>
        <v>5</v>
      </c>
      <c r="G36" s="49">
        <f>IF(F47&gt;0,(F36/F47)*F14,)</f>
        <v>8</v>
      </c>
      <c r="H36" s="65">
        <f>IF(F14&gt;0,(H14*G36)/F14,)</f>
        <v>8160000</v>
      </c>
      <c r="I36" s="46">
        <f>'Presupuesto de ventas'!C81</f>
        <v>5</v>
      </c>
      <c r="J36" s="49">
        <f>IF(I47&gt;0,(I36/I47)*I14)</f>
        <v>8</v>
      </c>
      <c r="K36" s="65">
        <f>IF(I14&gt;0,(K14*J36)/I14,)</f>
        <v>8404800</v>
      </c>
      <c r="L36" s="46">
        <f>'Presupuesto de ventas'!C81</f>
        <v>5</v>
      </c>
      <c r="M36" s="49">
        <f>IF(L47&gt;0,(L36/L47)*L14)</f>
        <v>8</v>
      </c>
      <c r="N36" s="65">
        <f>IF(L14&gt;0,(N14*M36)/L14,)</f>
        <v>8740992</v>
      </c>
      <c r="O36" s="46">
        <f>'Presupuesto de ventas'!C81</f>
        <v>5</v>
      </c>
      <c r="P36" s="49">
        <f>IF(O47&gt;0,(O36/O47)*O14)</f>
        <v>8</v>
      </c>
      <c r="Q36" s="65">
        <f>IF(O14&gt;0,(Q14*P36)/O14,)</f>
        <v>9090631.6799999997</v>
      </c>
    </row>
    <row r="37" spans="1:17" x14ac:dyDescent="0.25">
      <c r="B37" s="69" t="s">
        <v>136</v>
      </c>
      <c r="C37" s="49">
        <f>'Presupuesto de ventas'!C82</f>
        <v>5</v>
      </c>
      <c r="D37" s="49">
        <f>'Presupuesto de ventas'!D82</f>
        <v>4</v>
      </c>
      <c r="E37" s="65">
        <f>'Presupuesto de ventas'!E82</f>
        <v>8000000</v>
      </c>
      <c r="F37" s="46">
        <f>'Presupuesto de ventas'!C82</f>
        <v>5</v>
      </c>
      <c r="G37" s="49">
        <f>IF(F47&gt;0,(F37/F47)*F14,)</f>
        <v>8</v>
      </c>
      <c r="H37" s="65">
        <f>IF(F14&gt;0,(H14*G37)/F14,)</f>
        <v>8160000</v>
      </c>
      <c r="I37" s="46">
        <f>'Presupuesto de ventas'!C82</f>
        <v>5</v>
      </c>
      <c r="J37" s="49">
        <f>IF(I47&gt;0,(I37/I47)*I14)</f>
        <v>8</v>
      </c>
      <c r="K37" s="65">
        <f>IF(I14&gt;0,(K14*J37)/I14,)</f>
        <v>8404800</v>
      </c>
      <c r="L37" s="46">
        <f>'Presupuesto de ventas'!C82</f>
        <v>5</v>
      </c>
      <c r="M37" s="49">
        <f>IF(L47&gt;0,(L37/L47)*L14)</f>
        <v>8</v>
      </c>
      <c r="N37" s="65">
        <f>IF(L14&gt;0,(N14*M37)/L14,)</f>
        <v>8740992</v>
      </c>
      <c r="O37" s="46">
        <f>'Presupuesto de ventas'!C82</f>
        <v>5</v>
      </c>
      <c r="P37" s="49">
        <f>IF(O47&gt;0,(O37/O47)*O14)</f>
        <v>8</v>
      </c>
      <c r="Q37" s="65">
        <f>IF(O14&gt;0,(Q14*P37)/O14,)</f>
        <v>9090631.6799999997</v>
      </c>
    </row>
    <row r="38" spans="1:17" x14ac:dyDescent="0.25">
      <c r="B38" s="69" t="s">
        <v>158</v>
      </c>
      <c r="C38" s="49">
        <f>'Presupuesto de ventas'!C83</f>
        <v>5</v>
      </c>
      <c r="D38" s="49">
        <f>'Presupuesto de ventas'!D83</f>
        <v>4</v>
      </c>
      <c r="E38" s="65">
        <f>'Presupuesto de ventas'!E83</f>
        <v>8000000</v>
      </c>
      <c r="F38" s="46">
        <f>'Presupuesto de ventas'!C83</f>
        <v>5</v>
      </c>
      <c r="G38" s="49">
        <f>IF(F47&gt;0,(F38/F47)*F14,)</f>
        <v>8</v>
      </c>
      <c r="H38" s="65">
        <f>IF(F14&gt;0,(H14*G38)/F14,)</f>
        <v>8160000</v>
      </c>
      <c r="I38" s="46">
        <f>'Presupuesto de ventas'!C83</f>
        <v>5</v>
      </c>
      <c r="J38" s="49">
        <f>IF(I47&gt;0,(I38/I47)*I14)</f>
        <v>8</v>
      </c>
      <c r="K38" s="65">
        <f>IF(I14&gt;0,(K14*J38)/I14,)</f>
        <v>8404800</v>
      </c>
      <c r="L38" s="46">
        <f>'Presupuesto de ventas'!C83</f>
        <v>5</v>
      </c>
      <c r="M38" s="49">
        <f>IF(L47&gt;0,(L38/L47)*L14)</f>
        <v>8</v>
      </c>
      <c r="N38" s="65">
        <f>IF(L14&gt;0,(N14*M38)/L14,)</f>
        <v>8740992</v>
      </c>
      <c r="O38" s="46">
        <f>'Presupuesto de ventas'!C83</f>
        <v>5</v>
      </c>
      <c r="P38" s="49">
        <f>IF(O47&gt;0,(O38/O47)*O14)</f>
        <v>8</v>
      </c>
      <c r="Q38" s="65">
        <f>IF(O14&gt;0,(Q14*P38)/O14,)</f>
        <v>9090631.6799999997</v>
      </c>
    </row>
    <row r="39" spans="1:17" x14ac:dyDescent="0.25">
      <c r="B39" s="69" t="s">
        <v>138</v>
      </c>
      <c r="C39" s="49">
        <f>'Presupuesto de ventas'!C84</f>
        <v>5</v>
      </c>
      <c r="D39" s="49">
        <f>'Presupuesto de ventas'!D84</f>
        <v>4</v>
      </c>
      <c r="E39" s="65">
        <f>'Presupuesto de ventas'!E84</f>
        <v>8000000</v>
      </c>
      <c r="F39" s="46">
        <f>'Presupuesto de ventas'!C84</f>
        <v>5</v>
      </c>
      <c r="G39" s="49">
        <f>IF(F47&gt;0,(F39/F47)*F14,)</f>
        <v>8</v>
      </c>
      <c r="H39" s="65">
        <f>IF(F14&gt;0,(H14*G39)/F14,)</f>
        <v>8160000</v>
      </c>
      <c r="I39" s="46">
        <f>'Presupuesto de ventas'!C84</f>
        <v>5</v>
      </c>
      <c r="J39" s="49">
        <f>IF(I47&gt;0,(I39/I47)*I14)</f>
        <v>8</v>
      </c>
      <c r="K39" s="65">
        <f>IF(I14&gt;0,(K14*J39)/I14,)</f>
        <v>8404800</v>
      </c>
      <c r="L39" s="46">
        <f>'Presupuesto de ventas'!C84</f>
        <v>5</v>
      </c>
      <c r="M39" s="49">
        <f>IF(L47&gt;0,(L39/L47)*L14)</f>
        <v>8</v>
      </c>
      <c r="N39" s="65">
        <f>IF(L14&gt;0,(N14*M39)/L14,)</f>
        <v>8740992</v>
      </c>
      <c r="O39" s="46">
        <f>'Presupuesto de ventas'!C84</f>
        <v>5</v>
      </c>
      <c r="P39" s="49">
        <f>IF(O47&gt;0,(O39/O47)*O14)</f>
        <v>8</v>
      </c>
      <c r="Q39" s="65">
        <f>IF(O14&gt;0,(Q14*P39)/O14,)</f>
        <v>9090631.6799999997</v>
      </c>
    </row>
    <row r="40" spans="1:17" x14ac:dyDescent="0.25">
      <c r="B40" s="69" t="s">
        <v>139</v>
      </c>
      <c r="C40" s="49">
        <f>'Presupuesto de ventas'!C85</f>
        <v>5</v>
      </c>
      <c r="D40" s="49">
        <f>'Presupuesto de ventas'!D85</f>
        <v>4</v>
      </c>
      <c r="E40" s="65">
        <f>'Presupuesto de ventas'!E85</f>
        <v>8000000</v>
      </c>
      <c r="F40" s="46">
        <f>'Presupuesto de ventas'!C85</f>
        <v>5</v>
      </c>
      <c r="G40" s="49">
        <f>IF(F47&gt;0,(F40/F47)*F14,)</f>
        <v>8</v>
      </c>
      <c r="H40" s="65">
        <f>IF(F14&gt;0,(H14*G40)/F14,)</f>
        <v>8160000</v>
      </c>
      <c r="I40" s="46">
        <f>'Presupuesto de ventas'!C85</f>
        <v>5</v>
      </c>
      <c r="J40" s="49">
        <f>IF(I47&gt;0,(I40/I47)*I14)</f>
        <v>8</v>
      </c>
      <c r="K40" s="65">
        <f>IF(I14&gt;0,(K14*J40)/I14,)</f>
        <v>8404800</v>
      </c>
      <c r="L40" s="46">
        <f>'Presupuesto de ventas'!C85</f>
        <v>5</v>
      </c>
      <c r="M40" s="49">
        <f>IF(L47&gt;0,(L40/L47)*L14)</f>
        <v>8</v>
      </c>
      <c r="N40" s="65">
        <f>IF(L14&gt;0,(N14*M40)/L14,)</f>
        <v>8740992</v>
      </c>
      <c r="O40" s="46">
        <f>'Presupuesto de ventas'!C85</f>
        <v>5</v>
      </c>
      <c r="P40" s="49">
        <f>IF(O47&gt;0,(O40/O47)*O14)</f>
        <v>8</v>
      </c>
      <c r="Q40" s="65">
        <f>IF(O14&gt;0,(Q14*P40)/O14,)</f>
        <v>9090631.6799999997</v>
      </c>
    </row>
    <row r="41" spans="1:17" x14ac:dyDescent="0.25">
      <c r="B41" s="69" t="s">
        <v>140</v>
      </c>
      <c r="C41" s="49">
        <f>'Presupuesto de ventas'!C86</f>
        <v>5</v>
      </c>
      <c r="D41" s="49">
        <f>'Presupuesto de ventas'!D86</f>
        <v>4</v>
      </c>
      <c r="E41" s="65">
        <f>'Presupuesto de ventas'!E86</f>
        <v>8000000</v>
      </c>
      <c r="F41" s="46">
        <f>'Presupuesto de ventas'!C86</f>
        <v>5</v>
      </c>
      <c r="G41" s="49">
        <f>IF(F47&gt;0,(F41/F47)*F14,)</f>
        <v>8</v>
      </c>
      <c r="H41" s="65">
        <f>IF(F14&gt;0,(H14*G41)/F14,)</f>
        <v>8160000</v>
      </c>
      <c r="I41" s="46">
        <f>'Presupuesto de ventas'!C86</f>
        <v>5</v>
      </c>
      <c r="J41" s="49">
        <f>IF(I47&gt;0,(I41/I47)*I14)</f>
        <v>8</v>
      </c>
      <c r="K41" s="65">
        <f>IF(I14&gt;0,(K14*J41)/I14,)</f>
        <v>8404800</v>
      </c>
      <c r="L41" s="46">
        <f>'Presupuesto de ventas'!C86</f>
        <v>5</v>
      </c>
      <c r="M41" s="49">
        <f>IF(L47&gt;0,(L41/L47)*L14)</f>
        <v>8</v>
      </c>
      <c r="N41" s="65">
        <f>IF(L14&gt;0,(N14*M41)/L14,)</f>
        <v>8740992</v>
      </c>
      <c r="O41" s="46">
        <f>'Presupuesto de ventas'!C86</f>
        <v>5</v>
      </c>
      <c r="P41" s="49">
        <f>IF(O47&gt;0,(O41/O47)*O14)</f>
        <v>8</v>
      </c>
      <c r="Q41" s="65">
        <f>IF(O14&gt;0,(Q14*P41)/O14,)</f>
        <v>9090631.6799999997</v>
      </c>
    </row>
    <row r="42" spans="1:17" x14ac:dyDescent="0.25">
      <c r="B42" s="69" t="s">
        <v>141</v>
      </c>
      <c r="C42" s="49">
        <f>'Presupuesto de ventas'!C87</f>
        <v>5</v>
      </c>
      <c r="D42" s="49">
        <f>'Presupuesto de ventas'!D87</f>
        <v>4</v>
      </c>
      <c r="E42" s="65">
        <f>'Presupuesto de ventas'!E87</f>
        <v>8000000</v>
      </c>
      <c r="F42" s="46">
        <f>'Presupuesto de ventas'!C87</f>
        <v>5</v>
      </c>
      <c r="G42" s="49">
        <f>IF(F47&gt;0,(F42/F47)*F14,)</f>
        <v>8</v>
      </c>
      <c r="H42" s="65">
        <f>IF(F14&gt;0,(H14*G42)/F14,)</f>
        <v>8160000</v>
      </c>
      <c r="I42" s="46">
        <f>'Presupuesto de ventas'!C87</f>
        <v>5</v>
      </c>
      <c r="J42" s="49">
        <f>IF(I47&gt;0,(I42/I47)*I14)</f>
        <v>8</v>
      </c>
      <c r="K42" s="65">
        <f>IF(I14&gt;0,(K14*J42)/I14,)</f>
        <v>8404800</v>
      </c>
      <c r="L42" s="46">
        <f>'Presupuesto de ventas'!C87</f>
        <v>5</v>
      </c>
      <c r="M42" s="49">
        <f>IF(L47&gt;0,(L42/L47)*L14)</f>
        <v>8</v>
      </c>
      <c r="N42" s="65">
        <f>IF(L14&gt;0,(N14*M42)/L14,)</f>
        <v>8740992</v>
      </c>
      <c r="O42" s="46">
        <f>'Presupuesto de ventas'!C87</f>
        <v>5</v>
      </c>
      <c r="P42" s="49">
        <f>IF(O47&gt;0,(O42/O47)*O14)</f>
        <v>8</v>
      </c>
      <c r="Q42" s="65">
        <f>IF(O14&gt;0,(Q14*P42)/O14,)</f>
        <v>9090631.6799999997</v>
      </c>
    </row>
    <row r="43" spans="1:17" x14ac:dyDescent="0.25">
      <c r="B43" s="69" t="s">
        <v>142</v>
      </c>
      <c r="C43" s="49">
        <f>'Presupuesto de ventas'!C88</f>
        <v>5</v>
      </c>
      <c r="D43" s="49">
        <f>'Presupuesto de ventas'!D88</f>
        <v>4</v>
      </c>
      <c r="E43" s="65">
        <f>'Presupuesto de ventas'!E88</f>
        <v>8000000</v>
      </c>
      <c r="F43" s="46">
        <f>'Presupuesto de ventas'!C88</f>
        <v>5</v>
      </c>
      <c r="G43" s="49">
        <f>IF(F47&gt;0,(F43/F47)*F14,)</f>
        <v>8</v>
      </c>
      <c r="H43" s="65">
        <f>IF(F14&gt;0,(H14*G43)/F14,)</f>
        <v>8160000</v>
      </c>
      <c r="I43" s="46">
        <f>'Presupuesto de ventas'!C88</f>
        <v>5</v>
      </c>
      <c r="J43" s="49">
        <f>IF(I47&gt;0,(I43/I47)*I14)</f>
        <v>8</v>
      </c>
      <c r="K43" s="65">
        <f>IF(I14&gt;0,(K14*J43)/I14,)</f>
        <v>8404800</v>
      </c>
      <c r="L43" s="46">
        <f>'Presupuesto de ventas'!C88</f>
        <v>5</v>
      </c>
      <c r="M43" s="49">
        <f>IF(L47&gt;0,(L43/L47)*L14)</f>
        <v>8</v>
      </c>
      <c r="N43" s="65">
        <f>IF(L14&gt;0,(N14*M43)/L14,)</f>
        <v>8740992</v>
      </c>
      <c r="O43" s="46">
        <f>'Presupuesto de ventas'!C88</f>
        <v>5</v>
      </c>
      <c r="P43" s="49">
        <f>IF(O47&gt;0,(O43/O47)*O14)</f>
        <v>8</v>
      </c>
      <c r="Q43" s="65">
        <f>IF(O14&gt;0,(Q14*P43)/O14,)</f>
        <v>9090631.6799999997</v>
      </c>
    </row>
    <row r="44" spans="1:17" x14ac:dyDescent="0.25">
      <c r="B44" s="69" t="s">
        <v>143</v>
      </c>
      <c r="C44" s="49">
        <f>'Presupuesto de ventas'!C89</f>
        <v>5</v>
      </c>
      <c r="D44" s="49">
        <f>'Presupuesto de ventas'!D89</f>
        <v>4</v>
      </c>
      <c r="E44" s="65">
        <f>'Presupuesto de ventas'!E89</f>
        <v>8000000</v>
      </c>
      <c r="F44" s="46">
        <f>'Presupuesto de ventas'!C89</f>
        <v>5</v>
      </c>
      <c r="G44" s="49">
        <f>IF(F47&gt;0,(F44/F47)*F14,)</f>
        <v>8</v>
      </c>
      <c r="H44" s="65">
        <f>IF(F14&gt;0,(H14*G44)/F14,)</f>
        <v>8160000</v>
      </c>
      <c r="I44" s="46">
        <f>'Presupuesto de ventas'!C89</f>
        <v>5</v>
      </c>
      <c r="J44" s="49">
        <f>IF(I47&gt;0,(I44/I47)*I14)</f>
        <v>8</v>
      </c>
      <c r="K44" s="65">
        <f>IF(I14&gt;0,(K14*J44)/I14,)</f>
        <v>8404800</v>
      </c>
      <c r="L44" s="46">
        <f>'Presupuesto de ventas'!C89</f>
        <v>5</v>
      </c>
      <c r="M44" s="49">
        <f>IF(L47&gt;0,(L44/L47)*L14)</f>
        <v>8</v>
      </c>
      <c r="N44" s="65">
        <f>IF(L14&gt;0,(N14*M44)/L14,)</f>
        <v>8740992</v>
      </c>
      <c r="O44" s="46">
        <f>'Presupuesto de ventas'!C89</f>
        <v>5</v>
      </c>
      <c r="P44" s="49">
        <f>IF(O47&gt;0,(O44/O47)*O14)</f>
        <v>8</v>
      </c>
      <c r="Q44" s="65">
        <f>IF(O14&gt;0,(Q14*P44)/O14,)</f>
        <v>9090631.6799999997</v>
      </c>
    </row>
    <row r="45" spans="1:17" x14ac:dyDescent="0.25">
      <c r="B45" s="69" t="s">
        <v>144</v>
      </c>
      <c r="C45" s="49">
        <f>'Presupuesto de ventas'!C90</f>
        <v>5</v>
      </c>
      <c r="D45" s="49">
        <f>'Presupuesto de ventas'!D90</f>
        <v>4</v>
      </c>
      <c r="E45" s="65">
        <f>'Presupuesto de ventas'!E90</f>
        <v>8000000</v>
      </c>
      <c r="F45" s="46">
        <f>'Presupuesto de ventas'!C90</f>
        <v>5</v>
      </c>
      <c r="G45" s="49">
        <f>IF(F47&gt;0,(F45/F47)*F14,)</f>
        <v>8</v>
      </c>
      <c r="H45" s="65">
        <f>IF(F14&gt;0,(H14*G45)/F14,)</f>
        <v>8160000</v>
      </c>
      <c r="I45" s="46">
        <f>'Presupuesto de ventas'!C90</f>
        <v>5</v>
      </c>
      <c r="J45" s="49">
        <f>IF(I47&gt;0,(I45/I47)*I14)</f>
        <v>8</v>
      </c>
      <c r="K45" s="65">
        <f>IF(I14&gt;0,(K14*J45)/I14,)</f>
        <v>8404800</v>
      </c>
      <c r="L45" s="46">
        <f>'Presupuesto de ventas'!C90</f>
        <v>5</v>
      </c>
      <c r="M45" s="49">
        <f>IF(48&gt;0,(L45/L47)*L14)</f>
        <v>8</v>
      </c>
      <c r="N45" s="65">
        <f>IF(L14&gt;0,(N14*M45)/L14,)</f>
        <v>8740992</v>
      </c>
      <c r="O45" s="46">
        <f>'Presupuesto de ventas'!C90</f>
        <v>5</v>
      </c>
      <c r="P45" s="49">
        <f>IF(O47&gt;0,(O45/O47)*O14)</f>
        <v>8</v>
      </c>
      <c r="Q45" s="65">
        <f>IF(O14&gt;0,(Q14*P45)/O14,)</f>
        <v>9090631.6799999997</v>
      </c>
    </row>
    <row r="46" spans="1:17" x14ac:dyDescent="0.25">
      <c r="B46" s="69" t="s">
        <v>145</v>
      </c>
      <c r="C46" s="49">
        <f>'Presupuesto de ventas'!C91</f>
        <v>5</v>
      </c>
      <c r="D46" s="49">
        <f>'Presupuesto de ventas'!D91</f>
        <v>4</v>
      </c>
      <c r="E46" s="65">
        <f>'Presupuesto de ventas'!E91</f>
        <v>8000000</v>
      </c>
      <c r="F46" s="46">
        <f>'Presupuesto de ventas'!C91</f>
        <v>5</v>
      </c>
      <c r="G46" s="49">
        <f>IF(F47&gt;0,(F46/F47)*F14,)</f>
        <v>8</v>
      </c>
      <c r="H46" s="65">
        <f>IF(F14&gt;0,(H14*G46)/F14,)</f>
        <v>8160000</v>
      </c>
      <c r="I46" s="46">
        <f>'Presupuesto de ventas'!C91</f>
        <v>5</v>
      </c>
      <c r="J46" s="49">
        <f>IF(I47&gt;0,(I46/I47)*I14)</f>
        <v>8</v>
      </c>
      <c r="K46" s="65">
        <f>IF(I14&gt;0,(K14*J46)/I14,)</f>
        <v>8404800</v>
      </c>
      <c r="L46" s="46">
        <f>'Presupuesto de ventas'!C91</f>
        <v>5</v>
      </c>
      <c r="M46" s="49">
        <f>IF(L47&gt;0,(L46/L47)*L14)</f>
        <v>8</v>
      </c>
      <c r="N46" s="65">
        <f>IF(L14&gt;0,(N14*M46)/L14,)</f>
        <v>8740992</v>
      </c>
      <c r="O46" s="46">
        <f>'Presupuesto de ventas'!C91</f>
        <v>5</v>
      </c>
      <c r="P46" s="49">
        <f>IF(O47&gt;0,(O46/O47)*O14)</f>
        <v>8</v>
      </c>
      <c r="Q46" s="65">
        <f>IF(O14&gt;0,(Q14*P46)/O14,)</f>
        <v>9090631.6799999997</v>
      </c>
    </row>
    <row r="47" spans="1:17" x14ac:dyDescent="0.25">
      <c r="B47" s="31" t="s">
        <v>56</v>
      </c>
      <c r="C47" s="31">
        <f t="shared" ref="C47:J47" si="1">SUM(C35:C46)</f>
        <v>60</v>
      </c>
      <c r="D47" s="53">
        <f t="shared" si="1"/>
        <v>48</v>
      </c>
      <c r="E47" s="70">
        <f t="shared" si="1"/>
        <v>96000000</v>
      </c>
      <c r="F47" s="31">
        <f t="shared" si="1"/>
        <v>60</v>
      </c>
      <c r="G47" s="53">
        <f t="shared" si="1"/>
        <v>96</v>
      </c>
      <c r="H47" s="66">
        <f t="shared" si="1"/>
        <v>97920000</v>
      </c>
      <c r="I47" s="31">
        <f t="shared" si="1"/>
        <v>60</v>
      </c>
      <c r="J47" s="31">
        <f t="shared" si="1"/>
        <v>96</v>
      </c>
      <c r="K47" s="43">
        <f t="shared" ref="K47:Q47" si="2">SUM(K35:K46)</f>
        <v>100857600</v>
      </c>
      <c r="L47" s="31">
        <f t="shared" si="2"/>
        <v>60</v>
      </c>
      <c r="M47" s="53">
        <f t="shared" si="2"/>
        <v>96</v>
      </c>
      <c r="N47" s="66">
        <f t="shared" si="2"/>
        <v>104891904</v>
      </c>
      <c r="O47" s="31">
        <f t="shared" si="2"/>
        <v>60</v>
      </c>
      <c r="P47" s="31">
        <f t="shared" si="2"/>
        <v>96</v>
      </c>
      <c r="Q47" s="66">
        <f t="shared" si="2"/>
        <v>109087580.16000003</v>
      </c>
    </row>
  </sheetData>
  <mergeCells count="14">
    <mergeCell ref="B3:Q3"/>
    <mergeCell ref="B5:B6"/>
    <mergeCell ref="C5:E5"/>
    <mergeCell ref="F5:H5"/>
    <mergeCell ref="I5:K5"/>
    <mergeCell ref="L5:N5"/>
    <mergeCell ref="O5:Q5"/>
    <mergeCell ref="B31:Q31"/>
    <mergeCell ref="B33:B34"/>
    <mergeCell ref="C33:E33"/>
    <mergeCell ref="F33:H33"/>
    <mergeCell ref="I33:K33"/>
    <mergeCell ref="L33:N33"/>
    <mergeCell ref="O33:Q33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/>
  </sheetPr>
  <dimension ref="C3:H56"/>
  <sheetViews>
    <sheetView topLeftCell="A28" zoomScale="85" zoomScaleNormal="85" workbookViewId="0">
      <selection activeCell="J28" sqref="J28"/>
    </sheetView>
  </sheetViews>
  <sheetFormatPr baseColWidth="10" defaultRowHeight="15" x14ac:dyDescent="0.25"/>
  <cols>
    <col min="3" max="3" width="57.85546875" bestFit="1" customWidth="1"/>
    <col min="4" max="4" width="23.5703125" bestFit="1" customWidth="1"/>
    <col min="5" max="8" width="16.7109375" bestFit="1" customWidth="1"/>
  </cols>
  <sheetData>
    <row r="3" spans="3:8" x14ac:dyDescent="0.25">
      <c r="C3" s="130" t="s">
        <v>167</v>
      </c>
      <c r="D3" s="130"/>
      <c r="E3" s="130"/>
      <c r="F3" s="130"/>
      <c r="G3" s="130"/>
      <c r="H3" s="130"/>
    </row>
    <row r="5" spans="3:8" x14ac:dyDescent="0.25">
      <c r="C5" s="141" t="s">
        <v>90</v>
      </c>
      <c r="D5" s="142"/>
      <c r="E5" s="142"/>
      <c r="F5" s="142"/>
      <c r="G5" s="142"/>
      <c r="H5" s="143"/>
    </row>
    <row r="6" spans="3:8" x14ac:dyDescent="0.25">
      <c r="C6" s="45" t="s">
        <v>75</v>
      </c>
      <c r="D6" s="45" t="s">
        <v>131</v>
      </c>
      <c r="E6" s="45" t="s">
        <v>118</v>
      </c>
      <c r="F6" s="45" t="s">
        <v>119</v>
      </c>
      <c r="G6" s="45" t="s">
        <v>120</v>
      </c>
      <c r="H6" s="45" t="s">
        <v>121</v>
      </c>
    </row>
    <row r="7" spans="3:8" x14ac:dyDescent="0.25">
      <c r="C7" s="55" t="s">
        <v>168</v>
      </c>
      <c r="D7" s="65">
        <f>'Total de Inversion'!H10</f>
        <v>67305135.158399999</v>
      </c>
      <c r="E7" s="65">
        <f>D7*Nomina!M$31</f>
        <v>71343443.267903998</v>
      </c>
      <c r="F7" s="65">
        <f>E7*Nomina!M$32</f>
        <v>74910615.431299195</v>
      </c>
      <c r="G7" s="65">
        <f>F7*Nomina!M$33</f>
        <v>79405252.357177153</v>
      </c>
      <c r="H7" s="65">
        <f>G7*Nomina!M$34</f>
        <v>83375514.97503601</v>
      </c>
    </row>
    <row r="8" spans="3:8" x14ac:dyDescent="0.25">
      <c r="C8" s="80" t="s">
        <v>38</v>
      </c>
      <c r="D8" s="65">
        <f>Nomina!F31*12</f>
        <v>1744369.92</v>
      </c>
      <c r="E8" s="65">
        <f>D8*Nomina!M$31</f>
        <v>1849032.1152000001</v>
      </c>
      <c r="F8" s="65">
        <f>E8*Nomina!M$32</f>
        <v>1941483.7209600003</v>
      </c>
      <c r="G8" s="65">
        <f>F8*Nomina!M$33</f>
        <v>2057972.7442176004</v>
      </c>
      <c r="H8" s="65">
        <f>G8*Nomina!M$34</f>
        <v>2160871.3814284806</v>
      </c>
    </row>
    <row r="9" spans="3:8" x14ac:dyDescent="0.25">
      <c r="C9" s="80" t="s">
        <v>39</v>
      </c>
      <c r="D9" s="65">
        <f>Nomina!F32*12</f>
        <v>1308277.44</v>
      </c>
      <c r="E9" s="65">
        <f>D9*Nomina!M$31</f>
        <v>1386774.0863999999</v>
      </c>
      <c r="F9" s="65">
        <f>E9*Nomina!M$32</f>
        <v>1456112.7907199999</v>
      </c>
      <c r="G9" s="65">
        <f>F9*Nomina!M$33</f>
        <v>1543479.5581632</v>
      </c>
      <c r="H9" s="65">
        <f>G9*Nomina!M$34</f>
        <v>1620653.5360713601</v>
      </c>
    </row>
    <row r="10" spans="3:8" x14ac:dyDescent="0.25">
      <c r="C10" s="80" t="s">
        <v>40</v>
      </c>
      <c r="D10" s="65">
        <f>Nomina!F33*12</f>
        <v>872184.96</v>
      </c>
      <c r="E10" s="65">
        <f>D10*Nomina!M$31</f>
        <v>924516.05760000006</v>
      </c>
      <c r="F10" s="65">
        <f>E10*Nomina!M$32</f>
        <v>970741.86048000015</v>
      </c>
      <c r="G10" s="65">
        <f>F10*Nomina!M$33</f>
        <v>1028986.3721088002</v>
      </c>
      <c r="H10" s="65">
        <f>G10*Nomina!M$34</f>
        <v>1080435.6907142403</v>
      </c>
    </row>
    <row r="11" spans="3:8" x14ac:dyDescent="0.25">
      <c r="C11" s="80" t="s">
        <v>41</v>
      </c>
      <c r="D11" s="65">
        <f>Nomina!F34*12</f>
        <v>5233109.76</v>
      </c>
      <c r="E11" s="65">
        <f>D11*Nomina!M$31</f>
        <v>5547096.3455999997</v>
      </c>
      <c r="F11" s="65">
        <f>E11*Nomina!M$32</f>
        <v>5824451.1628799997</v>
      </c>
      <c r="G11" s="65">
        <f>F11*Nomina!M$33</f>
        <v>6173918.2326528002</v>
      </c>
      <c r="H11" s="65">
        <f>G11*Nomina!M$34</f>
        <v>6482614.1442854404</v>
      </c>
    </row>
    <row r="12" spans="3:8" x14ac:dyDescent="0.25">
      <c r="C12" s="80" t="s">
        <v>20</v>
      </c>
      <c r="D12" s="65">
        <f>Nomina!F35*12</f>
        <v>3706786.08</v>
      </c>
      <c r="E12" s="65">
        <f>D12*Nomina!M$31</f>
        <v>3929193.2448000005</v>
      </c>
      <c r="F12" s="65">
        <f>E12*Nomina!M$32</f>
        <v>4125652.9070400004</v>
      </c>
      <c r="G12" s="65">
        <f>F12*Nomina!M$33</f>
        <v>4373192.081462401</v>
      </c>
      <c r="H12" s="65">
        <f>G12*Nomina!M$34</f>
        <v>4591851.6855355212</v>
      </c>
    </row>
    <row r="13" spans="3:8" x14ac:dyDescent="0.25">
      <c r="C13" s="80" t="s">
        <v>42</v>
      </c>
      <c r="D13" s="65">
        <f>Nomina!F36*12</f>
        <v>3632650.3584000003</v>
      </c>
      <c r="E13" s="65">
        <f>D13*Nomina!M$31</f>
        <v>3850609.3799040006</v>
      </c>
      <c r="F13" s="65">
        <f>E13*Nomina!M$32</f>
        <v>4043139.8488992006</v>
      </c>
      <c r="G13" s="65">
        <f>F13*Nomina!M$33</f>
        <v>4285728.2398331529</v>
      </c>
      <c r="H13" s="65">
        <f>G13*Nomina!M$34</f>
        <v>4500014.6518248105</v>
      </c>
    </row>
    <row r="14" spans="3:8" x14ac:dyDescent="0.25">
      <c r="C14" s="80" t="s">
        <v>43</v>
      </c>
      <c r="D14" s="65">
        <f>Nomina!F37*12</f>
        <v>436092.48</v>
      </c>
      <c r="E14" s="65">
        <f>D14*Nomina!M$31</f>
        <v>462258.02880000003</v>
      </c>
      <c r="F14" s="65">
        <f>E14*Nomina!M$32</f>
        <v>485370.93024000007</v>
      </c>
      <c r="G14" s="65">
        <f>F14*Nomina!M$33</f>
        <v>514493.18605440011</v>
      </c>
      <c r="H14" s="65">
        <f>G14*Nomina!M$34</f>
        <v>540217.84535712015</v>
      </c>
    </row>
    <row r="15" spans="3:8" x14ac:dyDescent="0.25">
      <c r="C15" s="80" t="s">
        <v>44</v>
      </c>
      <c r="D15" s="65">
        <f>Nomina!F38*12</f>
        <v>3632650.3584000003</v>
      </c>
      <c r="E15" s="65">
        <f>D15*Nomina!M$31</f>
        <v>3850609.3799040006</v>
      </c>
      <c r="F15" s="65">
        <f>E15*Nomina!M$32</f>
        <v>4043139.8488992006</v>
      </c>
      <c r="G15" s="65">
        <f>F15*Nomina!M$33</f>
        <v>4285728.2398331529</v>
      </c>
      <c r="H15" s="65">
        <f>G15*Nomina!M$34</f>
        <v>4500014.6518248105</v>
      </c>
    </row>
    <row r="16" spans="3:8" x14ac:dyDescent="0.25">
      <c r="C16" s="80" t="s">
        <v>45</v>
      </c>
      <c r="D16" s="65">
        <f>Nomina!F39*12</f>
        <v>1818505.6416000002</v>
      </c>
      <c r="E16" s="65">
        <f>D16*Nomina!M$31</f>
        <v>1927615.9800960002</v>
      </c>
      <c r="F16" s="65">
        <f>E16*Nomina!M$32</f>
        <v>2023996.7791008004</v>
      </c>
      <c r="G16" s="65">
        <f>F16*Nomina!M$33</f>
        <v>2145436.5858468483</v>
      </c>
      <c r="H16" s="65">
        <f>G16*Nomina!M$34</f>
        <v>2252708.4151391909</v>
      </c>
    </row>
    <row r="17" spans="3:8" x14ac:dyDescent="0.25">
      <c r="C17" s="81" t="s">
        <v>103</v>
      </c>
      <c r="D17" s="82">
        <f>SUM(D7:D16)</f>
        <v>89689762.156800002</v>
      </c>
      <c r="E17" s="82">
        <f t="shared" ref="E17:H17" si="0">SUM(E7:E16)</f>
        <v>95071147.886207998</v>
      </c>
      <c r="F17" s="82">
        <f t="shared" si="0"/>
        <v>99824705.280518413</v>
      </c>
      <c r="G17" s="82">
        <f t="shared" si="0"/>
        <v>105814187.59734948</v>
      </c>
      <c r="H17" s="82">
        <f t="shared" si="0"/>
        <v>111104896.97721699</v>
      </c>
    </row>
    <row r="18" spans="3:8" x14ac:dyDescent="0.25">
      <c r="C18" s="74"/>
      <c r="D18" s="75"/>
      <c r="E18" s="75"/>
      <c r="F18" s="75"/>
      <c r="G18" s="75"/>
      <c r="H18" s="75"/>
    </row>
    <row r="19" spans="3:8" x14ac:dyDescent="0.25">
      <c r="C19" s="74"/>
      <c r="D19" s="75"/>
      <c r="E19" s="75"/>
      <c r="F19" s="75"/>
      <c r="G19" s="75"/>
      <c r="H19" s="75"/>
    </row>
    <row r="20" spans="3:8" x14ac:dyDescent="0.25">
      <c r="C20" s="74"/>
      <c r="D20" s="75"/>
      <c r="E20" s="75"/>
      <c r="F20" s="75"/>
      <c r="G20" s="75"/>
      <c r="H20" s="75"/>
    </row>
    <row r="21" spans="3:8" x14ac:dyDescent="0.25">
      <c r="C21" s="74"/>
      <c r="D21" s="75"/>
      <c r="E21" s="75"/>
      <c r="F21" s="75"/>
      <c r="G21" s="75"/>
      <c r="H21" s="75"/>
    </row>
    <row r="22" spans="3:8" x14ac:dyDescent="0.25">
      <c r="C22" s="74"/>
      <c r="D22" s="75"/>
      <c r="E22" s="75"/>
      <c r="F22" s="75"/>
      <c r="G22" s="75"/>
      <c r="H22" s="75"/>
    </row>
    <row r="23" spans="3:8" x14ac:dyDescent="0.25">
      <c r="C23" s="74"/>
      <c r="D23" s="75"/>
      <c r="E23" s="75"/>
      <c r="F23" s="75"/>
      <c r="G23" s="75"/>
      <c r="H23" s="75"/>
    </row>
    <row r="24" spans="3:8" x14ac:dyDescent="0.25">
      <c r="C24" s="67"/>
      <c r="D24" s="76"/>
      <c r="E24" s="76"/>
      <c r="F24" s="76"/>
      <c r="G24" s="76"/>
      <c r="H24" s="76"/>
    </row>
    <row r="25" spans="3:8" x14ac:dyDescent="0.25">
      <c r="C25" s="74"/>
      <c r="D25" s="74"/>
      <c r="E25" s="74"/>
      <c r="F25" s="74"/>
      <c r="G25" s="74"/>
      <c r="H25" s="74"/>
    </row>
    <row r="26" spans="3:8" x14ac:dyDescent="0.25">
      <c r="C26" s="74"/>
      <c r="D26" s="74"/>
      <c r="E26" s="74"/>
      <c r="F26" s="74"/>
      <c r="G26" s="74"/>
      <c r="H26" s="74"/>
    </row>
    <row r="27" spans="3:8" x14ac:dyDescent="0.25">
      <c r="C27" s="78"/>
      <c r="D27" s="78"/>
      <c r="E27" s="78"/>
      <c r="F27" s="78"/>
      <c r="G27" s="78"/>
      <c r="H27" s="78"/>
    </row>
    <row r="28" spans="3:8" x14ac:dyDescent="0.25">
      <c r="C28" s="73"/>
      <c r="D28" s="73"/>
      <c r="E28" s="73"/>
      <c r="F28" s="73"/>
      <c r="G28" s="73"/>
      <c r="H28" s="73"/>
    </row>
    <row r="29" spans="3:8" x14ac:dyDescent="0.25">
      <c r="C29" s="74"/>
      <c r="D29" s="75"/>
      <c r="E29" s="75"/>
      <c r="F29" s="75"/>
      <c r="G29" s="75"/>
      <c r="H29" s="75"/>
    </row>
    <row r="30" spans="3:8" x14ac:dyDescent="0.25">
      <c r="C30" s="74"/>
      <c r="D30" s="75"/>
      <c r="E30" s="75"/>
      <c r="F30" s="75"/>
      <c r="G30" s="75"/>
      <c r="H30" s="75"/>
    </row>
    <row r="31" spans="3:8" x14ac:dyDescent="0.25">
      <c r="C31" s="74"/>
      <c r="D31" s="75"/>
      <c r="E31" s="75"/>
      <c r="F31" s="75"/>
      <c r="G31" s="75"/>
      <c r="H31" s="75"/>
    </row>
    <row r="32" spans="3:8" x14ac:dyDescent="0.25">
      <c r="C32" s="67"/>
      <c r="D32" s="76"/>
      <c r="E32" s="76"/>
      <c r="F32" s="76"/>
      <c r="G32" s="76"/>
      <c r="H32" s="76"/>
    </row>
    <row r="36" spans="3:8" x14ac:dyDescent="0.25">
      <c r="D36" s="71"/>
      <c r="E36" s="71"/>
      <c r="F36" s="71"/>
      <c r="G36" s="71"/>
      <c r="H36" s="71"/>
    </row>
    <row r="38" spans="3:8" x14ac:dyDescent="0.25">
      <c r="D38" s="71"/>
      <c r="E38" s="71"/>
      <c r="F38" s="71"/>
      <c r="G38" s="71"/>
      <c r="H38" s="71"/>
    </row>
    <row r="40" spans="3:8" x14ac:dyDescent="0.25">
      <c r="D40" s="71"/>
      <c r="E40" s="71"/>
      <c r="H40" s="72"/>
    </row>
    <row r="46" spans="3:8" x14ac:dyDescent="0.25">
      <c r="C46" s="78"/>
    </row>
    <row r="47" spans="3:8" x14ac:dyDescent="0.25">
      <c r="C47" s="74"/>
    </row>
    <row r="48" spans="3:8" x14ac:dyDescent="0.25">
      <c r="C48" s="74"/>
    </row>
    <row r="49" spans="3:3" x14ac:dyDescent="0.25">
      <c r="C49" s="74"/>
    </row>
    <row r="50" spans="3:3" x14ac:dyDescent="0.25">
      <c r="C50" s="74"/>
    </row>
    <row r="51" spans="3:3" x14ac:dyDescent="0.25">
      <c r="C51" s="74"/>
    </row>
    <row r="52" spans="3:3" x14ac:dyDescent="0.25">
      <c r="C52" s="74"/>
    </row>
    <row r="53" spans="3:3" x14ac:dyDescent="0.25">
      <c r="C53" s="74"/>
    </row>
    <row r="54" spans="3:3" x14ac:dyDescent="0.25">
      <c r="C54" s="74"/>
    </row>
    <row r="55" spans="3:3" x14ac:dyDescent="0.25">
      <c r="C55" s="74"/>
    </row>
    <row r="56" spans="3:3" x14ac:dyDescent="0.25">
      <c r="C56" s="74"/>
    </row>
  </sheetData>
  <mergeCells count="2">
    <mergeCell ref="C3:H3"/>
    <mergeCell ref="C5:H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Seleccion de Personal</vt:lpstr>
      <vt:lpstr>Nomina</vt:lpstr>
      <vt:lpstr>Materia Prima</vt:lpstr>
      <vt:lpstr>Costos de Administracion</vt:lpstr>
      <vt:lpstr>Plan de Inversion</vt:lpstr>
      <vt:lpstr>Total de Inversion</vt:lpstr>
      <vt:lpstr>Presupuesto de ventas</vt:lpstr>
      <vt:lpstr>Presupuesto de compras y ventas</vt:lpstr>
      <vt:lpstr>Presupuesto de Costos y G año 1</vt:lpstr>
      <vt:lpstr>Creditos</vt:lpstr>
      <vt:lpstr>Estado de Perdida y Ganancias</vt:lpstr>
      <vt:lpstr>Balance General</vt:lpstr>
      <vt:lpstr>Flujo de Caja Mensual</vt:lpstr>
      <vt:lpstr>Estado Financieros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Andres</dc:creator>
  <cp:lastModifiedBy>Jhon Salinas</cp:lastModifiedBy>
  <dcterms:created xsi:type="dcterms:W3CDTF">2021-04-06T16:23:29Z</dcterms:created>
  <dcterms:modified xsi:type="dcterms:W3CDTF">2021-11-18T20:38:51Z</dcterms:modified>
</cp:coreProperties>
</file>