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ejj/Downloads/"/>
    </mc:Choice>
  </mc:AlternateContent>
  <xr:revisionPtr revIDLastSave="0" documentId="13_ncr:1_{A8F41C7E-A47B-C543-8C3B-F124777C690A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Dashboard" sheetId="1" r:id="rId1"/>
    <sheet name="Bow Types" sheetId="2" r:id="rId2"/>
    <sheet name="Bow String Materials" sheetId="3" r:id="rId3"/>
    <sheet name="Center Serving Materials" sheetId="4" r:id="rId4"/>
    <sheet name="End Serving Materi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L15" i="1" s="1"/>
  <c r="K14" i="1" a="1"/>
  <c r="K14" i="1" s="1"/>
  <c r="K15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E15" i="1" s="1"/>
  <c r="D14" i="1" a="1"/>
  <c r="D14" i="1" s="1"/>
  <c r="D15" i="1" s="1"/>
  <c r="C14" i="1" a="1"/>
  <c r="C14" i="1" s="1"/>
  <c r="C15" i="1" s="1"/>
  <c r="B14" i="1" a="1"/>
  <c r="B14" i="1"/>
  <c r="F8" i="1" a="1"/>
  <c r="F8" i="1" s="1"/>
  <c r="D8" i="5"/>
  <c r="C8" i="5"/>
  <c r="B8" i="5"/>
  <c r="D7" i="5"/>
  <c r="C7" i="5"/>
  <c r="B7" i="5"/>
  <c r="D1" i="5"/>
  <c r="C1" i="5"/>
  <c r="B1" i="5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B7" i="4"/>
  <c r="J1" i="4"/>
  <c r="I1" i="4"/>
  <c r="H1" i="4"/>
  <c r="G1" i="4"/>
  <c r="F1" i="4"/>
  <c r="E1" i="4"/>
  <c r="D1" i="4"/>
  <c r="C1" i="4"/>
  <c r="B1" i="4"/>
  <c r="I10" i="3"/>
  <c r="I11" i="3" s="1"/>
  <c r="H10" i="3"/>
  <c r="H11" i="3" s="1"/>
  <c r="G10" i="3"/>
  <c r="G11" i="3" s="1"/>
  <c r="F10" i="3"/>
  <c r="F11" i="3" s="1"/>
  <c r="E10" i="3"/>
  <c r="E11" i="3" s="1"/>
  <c r="D10" i="3"/>
  <c r="D11" i="3" s="1"/>
  <c r="C10" i="3"/>
  <c r="C11" i="3" s="1"/>
  <c r="B10" i="3"/>
  <c r="B11" i="3" s="1"/>
  <c r="I8" i="3"/>
  <c r="H8" i="3"/>
  <c r="G8" i="3"/>
  <c r="F8" i="3"/>
  <c r="E8" i="3"/>
  <c r="D8" i="3"/>
  <c r="C8" i="3"/>
  <c r="B8" i="3"/>
  <c r="I1" i="3"/>
  <c r="H1" i="3"/>
  <c r="G1" i="3"/>
  <c r="F1" i="3"/>
  <c r="E1" i="3"/>
  <c r="D1" i="3"/>
  <c r="C1" i="3"/>
  <c r="B1" i="3"/>
  <c r="L20" i="1"/>
  <c r="L21" i="1" s="1"/>
  <c r="K20" i="1"/>
  <c r="K21" i="1" s="1"/>
  <c r="J20" i="1"/>
  <c r="J21" i="1" s="1"/>
  <c r="I20" i="1"/>
  <c r="I21" i="1" s="1"/>
  <c r="H20" i="1"/>
  <c r="H21" i="1" s="1"/>
  <c r="G20" i="1"/>
  <c r="G21" i="1" s="1"/>
  <c r="F20" i="1"/>
  <c r="F21" i="1" s="1"/>
  <c r="E20" i="1"/>
  <c r="E21" i="1" s="1"/>
  <c r="D20" i="1"/>
  <c r="D21" i="1" s="1"/>
  <c r="C20" i="1"/>
  <c r="C21" i="1" s="1"/>
  <c r="B20" i="1"/>
  <c r="B21" i="1" s="1"/>
  <c r="L19" i="1"/>
  <c r="K19" i="1"/>
  <c r="J19" i="1"/>
  <c r="I19" i="1"/>
  <c r="H19" i="1"/>
  <c r="G19" i="1"/>
  <c r="F19" i="1"/>
  <c r="E19" i="1"/>
  <c r="D19" i="1"/>
  <c r="C19" i="1"/>
  <c r="B19" i="1"/>
  <c r="L18" i="1"/>
  <c r="J18" i="1"/>
  <c r="I18" i="1"/>
  <c r="E18" i="1"/>
  <c r="D18" i="1"/>
  <c r="B18" i="1"/>
  <c r="L17" i="1"/>
  <c r="K17" i="1"/>
  <c r="K18" i="1" s="1"/>
  <c r="J17" i="1"/>
  <c r="I17" i="1"/>
  <c r="H17" i="1"/>
  <c r="H18" i="1" s="1"/>
  <c r="G17" i="1"/>
  <c r="G18" i="1" s="1"/>
  <c r="F17" i="1"/>
  <c r="F18" i="1" s="1"/>
  <c r="E17" i="1"/>
  <c r="D17" i="1"/>
  <c r="C17" i="1"/>
  <c r="C18" i="1" s="1"/>
  <c r="B17" i="1"/>
  <c r="B9" i="1"/>
  <c r="G7" i="1"/>
  <c r="F7" i="1"/>
  <c r="G8" i="1" l="1"/>
  <c r="H22" i="1"/>
  <c r="I16" i="1"/>
  <c r="B16" i="1"/>
  <c r="J16" i="1"/>
  <c r="F22" i="1"/>
  <c r="G22" i="1"/>
  <c r="F15" i="1"/>
  <c r="C16" i="1"/>
  <c r="K16" i="1"/>
  <c r="I22" i="1"/>
  <c r="G15" i="1"/>
  <c r="D16" i="1"/>
  <c r="L16" i="1"/>
  <c r="B22" i="1"/>
  <c r="J22" i="1"/>
  <c r="H15" i="1"/>
  <c r="E16" i="1"/>
  <c r="C22" i="1"/>
  <c r="K22" i="1"/>
  <c r="I15" i="1"/>
  <c r="F16" i="1"/>
  <c r="D22" i="1"/>
  <c r="L22" i="1"/>
  <c r="B15" i="1"/>
  <c r="J15" i="1"/>
  <c r="G16" i="1"/>
  <c r="E22" i="1"/>
  <c r="H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<sst xmlns="http://schemas.openxmlformats.org/spreadsheetml/2006/main" count="85" uniqueCount="64">
  <si>
    <t>Inputs</t>
  </si>
  <si>
    <t>Bow Type</t>
  </si>
  <si>
    <t>Properties</t>
  </si>
  <si>
    <t>Value</t>
  </si>
  <si>
    <t>Units</t>
  </si>
  <si>
    <t>Bow Type:</t>
  </si>
  <si>
    <t>Recurve</t>
  </si>
  <si>
    <t>String Type:</t>
  </si>
  <si>
    <t>Endless Loop</t>
  </si>
  <si>
    <t>Bow String Material:</t>
  </si>
  <si>
    <t>BCY B-55</t>
  </si>
  <si>
    <t>End Serving Length (in) *</t>
  </si>
  <si>
    <t>Minimum Safety Factor **</t>
  </si>
  <si>
    <t>Actual String Length (not AMO):</t>
  </si>
  <si>
    <t>inches</t>
  </si>
  <si>
    <t>Recommended # of strands</t>
  </si>
  <si>
    <t>Center Serving Material:</t>
  </si>
  <si>
    <t>BCY #62 0.018</t>
  </si>
  <si>
    <t>Serving</t>
  </si>
  <si>
    <t>Length Used</t>
  </si>
  <si>
    <t>Longbow</t>
  </si>
  <si>
    <t>Mass (gr)</t>
  </si>
  <si>
    <t>Center Serving Length *:</t>
  </si>
  <si>
    <t>Approx. feet per pound</t>
  </si>
  <si>
    <t>Center</t>
  </si>
  <si>
    <t>Horse Bow</t>
  </si>
  <si>
    <t>Strength/strand (lbs)</t>
  </si>
  <si>
    <t>Notes:</t>
  </si>
  <si>
    <t>Creep (%)</t>
  </si>
  <si>
    <t>Price per 1/4# ($)</t>
  </si>
  <si>
    <t>End Serving Material:</t>
  </si>
  <si>
    <t>BCY 400</t>
  </si>
  <si>
    <t>End **</t>
  </si>
  <si>
    <t>Calculated Properties</t>
  </si>
  <si>
    <t>* The end serving length is the approximate length of the bow string that will be wrapped at each end of the string.</t>
  </si>
  <si>
    <t>End Serving Length:</t>
  </si>
  <si>
    <t>Mass/foot (gr)</t>
  </si>
  <si>
    <t>Ideal String Dia. To Fit Nock:</t>
  </si>
  <si>
    <t>** For longbows, the old rule of thumb was that the bow string should be designed for 4x the peak draw weight. For a 50 lbs longbow,
that works out to a combined multi-strand breaking strength of 200 lbs. For added safety, we'll use a factor of 5x.
For recurve bows, string strength needs to be equal to or greater than the draw weight at 15" (for 28" draw) x10. A typical 50 lbs
recurve bow will pull 35 lbs at 15" requiring a string strength of 350 lbs. This equates to a minimum safety factor of 7x. For added
safety, we'll use a factor of 8x.
For horse bows, we will assume the same safety factor as for recurve bows.</t>
  </si>
  <si>
    <t>Outputs</t>
  </si>
  <si>
    <t>Strands:</t>
  </si>
  <si>
    <t>Effective Dia (in)</t>
  </si>
  <si>
    <t>Spool Length (ft)</t>
  </si>
  <si>
    <t>Bow String Material Used (in):</t>
  </si>
  <si>
    <t>Price/ft ($)</t>
  </si>
  <si>
    <t>Bow String Mass (gr):</t>
  </si>
  <si>
    <t>1. B-50 and B-55 values are as-measured rather than official published values.</t>
  </si>
  <si>
    <t>2. Heavily waxed strings can easily add 10%-15% to the weight.</t>
  </si>
  <si>
    <r>
      <t xml:space="preserve">3. </t>
    </r>
    <r>
      <rPr>
        <b/>
        <sz val="10"/>
        <color rgb="FFEA4335"/>
        <rFont val="Arial"/>
      </rPr>
      <t>Red</t>
    </r>
    <r>
      <rPr>
        <sz val="10"/>
        <color rgb="FF000000"/>
        <rFont val="Arial"/>
      </rPr>
      <t xml:space="preserve">, </t>
    </r>
    <r>
      <rPr>
        <b/>
        <sz val="10"/>
        <color rgb="FFFBBC04"/>
        <rFont val="Arial"/>
      </rPr>
      <t>Yellow</t>
    </r>
    <r>
      <rPr>
        <sz val="10"/>
        <color rgb="FF000000"/>
        <rFont val="Arial"/>
      </rPr>
      <t xml:space="preserve">, and </t>
    </r>
    <r>
      <rPr>
        <b/>
        <sz val="10"/>
        <color rgb="FFFF00FF"/>
        <rFont val="Arial"/>
      </rPr>
      <t>Florescent</t>
    </r>
    <r>
      <rPr>
        <sz val="10"/>
        <color rgb="FF000000"/>
        <rFont val="Arial"/>
      </rPr>
      <t xml:space="preserve"> B-55 strings are thicker (~0.001) than colors like </t>
    </r>
    <r>
      <rPr>
        <b/>
        <sz val="10"/>
        <rFont val="Arial"/>
      </rPr>
      <t>Black</t>
    </r>
    <r>
      <rPr>
        <sz val="10"/>
        <color rgb="FF000000"/>
        <rFont val="Arial"/>
      </rPr>
      <t xml:space="preserve">, </t>
    </r>
    <r>
      <rPr>
        <b/>
        <sz val="10"/>
        <color rgb="FF783F04"/>
        <rFont val="Arial"/>
      </rPr>
      <t>Brown</t>
    </r>
    <r>
      <rPr>
        <sz val="10"/>
        <color rgb="FF000000"/>
        <rFont val="Arial"/>
      </rPr>
      <t xml:space="preserve">, </t>
    </r>
    <r>
      <rPr>
        <b/>
        <sz val="10"/>
        <color theme="7"/>
        <rFont val="Arial"/>
      </rPr>
      <t>Green</t>
    </r>
    <r>
      <rPr>
        <sz val="10"/>
        <color rgb="FF000000"/>
        <rFont val="Arial"/>
      </rPr>
      <t xml:space="preserve">, or </t>
    </r>
    <r>
      <rPr>
        <b/>
        <sz val="10"/>
        <color theme="4"/>
        <rFont val="Arial"/>
      </rPr>
      <t>Blue</t>
    </r>
    <r>
      <rPr>
        <sz val="10"/>
        <color rgb="FF000000"/>
        <rFont val="Arial"/>
      </rPr>
      <t>.</t>
    </r>
  </si>
  <si>
    <t>Total String Mass (gr):</t>
  </si>
  <si>
    <t>Total Strength (lbs):</t>
  </si>
  <si>
    <t>Max Safe Draw Weight (lbs):</t>
  </si>
  <si>
    <t>Estimated Creep (in):</t>
  </si>
  <si>
    <t>Estimated Dia. w/o Serving (in):</t>
  </si>
  <si>
    <t>Estimated Serving Dia. Needed (in):</t>
  </si>
  <si>
    <t>Cost of Materials ($):</t>
  </si>
  <si>
    <t>* The center serving is generally be between 6 and 7 inches.</t>
  </si>
  <si>
    <t>** Flemish Twist strings do not need/use end serving.</t>
  </si>
  <si>
    <t>*** Every 20 grains in mass saved results in approximately 1fps faster arrow speed.</t>
  </si>
  <si>
    <t>Effective Diameter (in)</t>
  </si>
  <si>
    <t>Price/Spool ($)</t>
  </si>
  <si>
    <t>Spool Length (feet)</t>
  </si>
  <si>
    <t>Price/foot ($)</t>
  </si>
  <si>
    <t>1. Serving diameters, approximate feet per pound, and spool length information can be found at http://www.bcyfibers.com/Serving.php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</si>
</sst>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21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1155CC"/>
      <name val="Arial"/>
    </font>
    <font>
      <b/>
      <sz val="12"/>
      <color rgb="FF1155CC"/>
      <name val="Arial"/>
    </font>
    <font>
      <b/>
      <sz val="12"/>
      <name val="Arial"/>
    </font>
    <font>
      <b/>
      <sz val="12"/>
      <color rgb="FF0000FF"/>
      <name val="Arial"/>
    </font>
    <font>
      <sz val="12"/>
      <name val="Arial"/>
    </font>
    <font>
      <sz val="12"/>
      <color rgb="FF00000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b/>
      <sz val="12"/>
      <color rgb="FF0000FF"/>
      <name val="Arial"/>
    </font>
    <font>
      <b/>
      <sz val="10"/>
      <color rgb="FFEA4335"/>
      <name val="Arial"/>
    </font>
    <font>
      <b/>
      <sz val="10"/>
      <color rgb="FFFBBC04"/>
      <name val="Arial"/>
    </font>
    <font>
      <b/>
      <sz val="10"/>
      <color rgb="FFFF00FF"/>
      <name val="Arial"/>
    </font>
    <font>
      <b/>
      <sz val="10"/>
      <name val="Arial"/>
    </font>
    <font>
      <b/>
      <sz val="10"/>
      <color rgb="FF783F04"/>
      <name val="Arial"/>
    </font>
    <font>
      <b/>
      <sz val="10"/>
      <color theme="7"/>
      <name val="Arial"/>
    </font>
    <font>
      <b/>
      <sz val="10"/>
      <color theme="4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3" xfId="0" applyFont="1" applyBorder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1" fontId="2" fillId="0" borderId="1" xfId="0" applyNumberFormat="1" applyFont="1" applyBorder="1" applyAlignment="1">
      <alignment horizontal="center"/>
    </xf>
    <xf numFmtId="0" fontId="2" fillId="2" borderId="4" xfId="0" applyFont="1" applyFill="1" applyBorder="1"/>
    <xf numFmtId="164" fontId="2" fillId="0" borderId="1" xfId="0" applyNumberFormat="1" applyFont="1" applyBorder="1" applyAlignment="1">
      <alignment horizontal="center"/>
    </xf>
    <xf numFmtId="0" fontId="2" fillId="2" borderId="5" xfId="0" applyFont="1" applyFill="1" applyBorder="1"/>
    <xf numFmtId="0" fontId="2" fillId="0" borderId="6" xfId="0" applyFont="1" applyBorder="1" applyAlignment="1"/>
    <xf numFmtId="165" fontId="2" fillId="2" borderId="1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/>
    <xf numFmtId="165" fontId="2" fillId="0" borderId="1" xfId="0" applyNumberFormat="1" applyFont="1" applyBorder="1" applyAlignment="1">
      <alignment horizontal="center"/>
    </xf>
    <xf numFmtId="0" fontId="2" fillId="0" borderId="10" xfId="0" applyFont="1" applyBorder="1"/>
    <xf numFmtId="0" fontId="1" fillId="2" borderId="1" xfId="0" applyFont="1" applyFill="1" applyBorder="1" applyAlignment="1">
      <alignment horizontal="right"/>
    </xf>
    <xf numFmtId="0" fontId="2" fillId="0" borderId="11" xfId="0" applyFont="1" applyBorder="1"/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2" fillId="0" borderId="13" xfId="0" applyFont="1" applyBorder="1"/>
    <xf numFmtId="0" fontId="2" fillId="0" borderId="9" xfId="0" applyFont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12" xfId="0" applyFont="1" applyBorder="1" applyAlignment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9" fillId="4" borderId="1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11" fillId="2" borderId="4" xfId="0" applyFont="1" applyFill="1" applyBorder="1"/>
    <xf numFmtId="0" fontId="11" fillId="2" borderId="5" xfId="0" applyFont="1" applyFill="1" applyBorder="1"/>
    <xf numFmtId="0" fontId="11" fillId="0" borderId="0" xfId="0" applyFont="1"/>
    <xf numFmtId="0" fontId="12" fillId="0" borderId="2" xfId="0" applyFont="1" applyBorder="1" applyAlignment="1"/>
    <xf numFmtId="0" fontId="11" fillId="0" borderId="4" xfId="0" applyFont="1" applyBorder="1"/>
    <xf numFmtId="0" fontId="11" fillId="0" borderId="5" xfId="0" applyFont="1" applyBorder="1"/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L15" sqref="L15"/>
    </sheetView>
  </sheetViews>
  <sheetFormatPr baseColWidth="10" defaultColWidth="14.5" defaultRowHeight="15.75" customHeight="1" x14ac:dyDescent="0.15"/>
  <cols>
    <col min="1" max="1" width="39.6640625" customWidth="1"/>
    <col min="2" max="2" width="23" customWidth="1"/>
    <col min="3" max="12" width="15.83203125" customWidth="1"/>
  </cols>
  <sheetData>
    <row r="1" spans="1:26" x14ac:dyDescent="0.2">
      <c r="A1" s="1" t="s">
        <v>0</v>
      </c>
      <c r="B1" s="1" t="s">
        <v>3</v>
      </c>
      <c r="C1" s="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5</v>
      </c>
      <c r="B2" s="6" t="s">
        <v>6</v>
      </c>
      <c r="C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7</v>
      </c>
      <c r="B3" s="6" t="s">
        <v>8</v>
      </c>
      <c r="C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 t="s">
        <v>9</v>
      </c>
      <c r="B4" s="10" t="s">
        <v>10</v>
      </c>
      <c r="C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 t="s">
        <v>13</v>
      </c>
      <c r="B5" s="6">
        <v>58</v>
      </c>
      <c r="C5" s="14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 t="s">
        <v>16</v>
      </c>
      <c r="B6" s="6" t="s">
        <v>17</v>
      </c>
      <c r="C6" s="7"/>
      <c r="E6" s="1" t="s">
        <v>18</v>
      </c>
      <c r="F6" s="1" t="s">
        <v>19</v>
      </c>
      <c r="G6" s="1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8" t="s">
        <v>22</v>
      </c>
      <c r="B7" s="6">
        <v>6.5</v>
      </c>
      <c r="C7" s="14" t="s">
        <v>14</v>
      </c>
      <c r="E7" s="1" t="s">
        <v>24</v>
      </c>
      <c r="F7" s="16">
        <f>B7 * 12</f>
        <v>78</v>
      </c>
      <c r="G7" s="18">
        <f>F7 / 12 * HLOOKUP(B6, 'Center Serving Materials'!B1:AA8, 7, FALSE)</f>
        <v>7.1495914519170336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 t="s">
        <v>30</v>
      </c>
      <c r="B8" s="6" t="s">
        <v>31</v>
      </c>
      <c r="C8" s="7"/>
      <c r="E8" s="1" t="s">
        <v>32</v>
      </c>
      <c r="F8" s="16" cm="1">
        <f t="array" ref="F8">B9 * 12 * 2 * _xlfn.SWITCH(B3, "Flemish Twist", 0, "Endless Loop", 1)</f>
        <v>168</v>
      </c>
      <c r="G8" s="18">
        <f>F8 / 12 * HLOOKUP(B8, 'End Serving Materials'!B1:Z8, 7, FALSE)</f>
        <v>15.806451612903228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8" t="s">
        <v>35</v>
      </c>
      <c r="B9" s="6">
        <f>VLOOKUP(B2, 'Bow Types'!A2:B4, 2, FALSE)</f>
        <v>7</v>
      </c>
      <c r="C9" s="14" t="s">
        <v>14</v>
      </c>
      <c r="E9" s="13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 t="s">
        <v>37</v>
      </c>
      <c r="B10" s="6">
        <v>0.1</v>
      </c>
      <c r="C10" s="14" t="s">
        <v>14</v>
      </c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" t="s">
        <v>39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9" t="s">
        <v>40</v>
      </c>
      <c r="B13" s="1">
        <v>8</v>
      </c>
      <c r="C13" s="1">
        <v>10</v>
      </c>
      <c r="D13" s="1">
        <v>12</v>
      </c>
      <c r="E13" s="1">
        <v>14</v>
      </c>
      <c r="F13" s="1">
        <v>16</v>
      </c>
      <c r="G13" s="1">
        <v>18</v>
      </c>
      <c r="H13" s="1">
        <v>20</v>
      </c>
      <c r="I13" s="1">
        <v>22</v>
      </c>
      <c r="J13" s="1">
        <v>24</v>
      </c>
      <c r="K13" s="1">
        <v>26</v>
      </c>
      <c r="L13" s="1">
        <v>28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9" t="s">
        <v>43</v>
      </c>
      <c r="B14" s="18" cm="1">
        <f t="array" ref="B14">(B5 + _xlfn.SWITCH(B3, "Flemish Twist", 15, "Endless Loop", 0)) * B13</f>
        <v>464</v>
      </c>
      <c r="C14" s="18" cm="1">
        <f t="array" ref="C14">(B5 + _xlfn.SWITCH(B3, "Flemish Twist", 15, "Endless Loop", 0)) * C13</f>
        <v>580</v>
      </c>
      <c r="D14" s="18" cm="1">
        <f t="array" ref="D14">(B5 + _xlfn.SWITCH(B3, "Flemish Twist", 15, "Endless Loop", 0)) * D13</f>
        <v>696</v>
      </c>
      <c r="E14" s="18" cm="1">
        <f t="array" ref="E14">(B5 + _xlfn.SWITCH(B3, "Flemish Twist", 15, "Endless Loop", 0)) * E13</f>
        <v>812</v>
      </c>
      <c r="F14" s="18" cm="1">
        <f t="array" ref="F14">(B5 + _xlfn.SWITCH(B3, "Flemish Twist", 15, "Endless Loop", 0)) * F13</f>
        <v>928</v>
      </c>
      <c r="G14" s="18" cm="1">
        <f t="array" ref="G14">(B5 + _xlfn.SWITCH(B3, "Flemish Twist", 15, "Endless Loop", 0)) * G13</f>
        <v>1044</v>
      </c>
      <c r="H14" s="18" cm="1">
        <f t="array" ref="H14">(B5 + _xlfn.SWITCH(B3, "Flemish Twist", 15, "Endless Loop", 0)) * H13</f>
        <v>1160</v>
      </c>
      <c r="I14" s="18" cm="1">
        <f t="array" ref="I14">(B5 + _xlfn.SWITCH(B3, "Flemish Twist", 15, "Endless Loop", 0)) * I13</f>
        <v>1276</v>
      </c>
      <c r="J14" s="18" cm="1">
        <f t="array" ref="J14">(B5 + _xlfn.SWITCH(B3, "Flemish Twist", 15, "Endless Loop", 0)) * J13</f>
        <v>1392</v>
      </c>
      <c r="K14" s="18" cm="1">
        <f t="array" ref="K14">(B5 + _xlfn.SWITCH(B3, "Flemish Twist", 15, "Endless Loop", 0)) * K13</f>
        <v>1508</v>
      </c>
      <c r="L14" s="18" cm="1">
        <f t="array" ref="L14">(B5 + _xlfn.SWITCH(B3, "Flemish Twist", 15, "Endless Loop", 0)) * L13</f>
        <v>1624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9" t="s">
        <v>45</v>
      </c>
      <c r="B15" s="35">
        <f>B14 / 12 * HLOOKUP(B4, 'Bow String Materials'!B1:Z11, 8, FALSE)</f>
        <v>62.945736434108525</v>
      </c>
      <c r="C15" s="35">
        <f>C14 / 12 * HLOOKUP(B4, 'Bow String Materials'!B1:Z11, 8, FALSE)</f>
        <v>78.68217054263566</v>
      </c>
      <c r="D15" s="35">
        <f>D14 / 12 * HLOOKUP(B4, 'Bow String Materials'!B1:Z11, 8, FALSE)</f>
        <v>94.418604651162795</v>
      </c>
      <c r="E15" s="35">
        <f>E14 / 12 * HLOOKUP(B4, 'Bow String Materials'!B1:Z11, 8, FALSE)</f>
        <v>110.15503875968993</v>
      </c>
      <c r="F15" s="35">
        <f>F14 / 12 * HLOOKUP(B4, 'Bow String Materials'!B1:Z11, 8, FALSE)</f>
        <v>125.89147286821705</v>
      </c>
      <c r="G15" s="35">
        <f>G14 / 12 * HLOOKUP(B4, 'Bow String Materials'!B1:Z11, 8, FALSE)</f>
        <v>141.62790697674419</v>
      </c>
      <c r="H15" s="35">
        <f>H14 / 12 * HLOOKUP(B4, 'Bow String Materials'!B1:Z11, 8, FALSE)</f>
        <v>157.36434108527132</v>
      </c>
      <c r="I15" s="35">
        <f>I14 / 12 * HLOOKUP(B4, 'Bow String Materials'!B1:Z11, 8, FALSE)</f>
        <v>173.10077519379846</v>
      </c>
      <c r="J15" s="35">
        <f>J14 / 12 * HLOOKUP(B4, 'Bow String Materials'!B1:Z11, 8, FALSE)</f>
        <v>188.83720930232559</v>
      </c>
      <c r="K15" s="35">
        <f>K14 / 12 * HLOOKUP(B4, 'Bow String Materials'!B1:Z11, 8, FALSE)</f>
        <v>204.57364341085272</v>
      </c>
      <c r="L15" s="35">
        <f>L14 / 12 * HLOOKUP(B4, 'Bow String Materials'!B1:Z11, 8, FALSE)</f>
        <v>220.31007751937986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9" t="s">
        <v>49</v>
      </c>
      <c r="B16" s="18">
        <f>(B14 / 12 * HLOOKUP(B4, 'Bow String Materials'!B1:Z11, 8, FALSE)) + G7 + G8</f>
        <v>85.901779498928789</v>
      </c>
      <c r="C16" s="18">
        <f>(C14 / 12 * HLOOKUP(B4, 'Bow String Materials'!B1:Z11, 8, FALSE)) + G7 + G8</f>
        <v>101.63821360745592</v>
      </c>
      <c r="D16" s="18">
        <f>(D14 / 12 * HLOOKUP(B4, 'Bow String Materials'!B1:Z11, 8, FALSE)) + G7 + G8</f>
        <v>117.37464771598306</v>
      </c>
      <c r="E16" s="18">
        <f>(E14 / 12 * HLOOKUP(B4, 'Bow String Materials'!B1:Z11, 8, FALSE)) + G7 + G8</f>
        <v>133.11108182451019</v>
      </c>
      <c r="F16" s="18">
        <f>(F14 / 12 * HLOOKUP(B4, 'Bow String Materials'!B1:Z11, 8, FALSE)) + G7 + G8</f>
        <v>148.84751593303733</v>
      </c>
      <c r="G16" s="18">
        <f>(G14 / 12 * HLOOKUP(B4, 'Bow String Materials'!B1:Z11, 8, FALSE)) + G7 + G8</f>
        <v>164.58395004156446</v>
      </c>
      <c r="H16" s="18">
        <f>(H14 / 12 * HLOOKUP(B4, 'Bow String Materials'!C1:Z11, 8, FALSE)) + G7 + G8</f>
        <v>180.3203841500916</v>
      </c>
      <c r="I16" s="18">
        <f>(I14 / 12 * HLOOKUP(B4, 'Bow String Materials'!B1:Z11, 8, FALSE)) + G7 + G8</f>
        <v>196.05681825861873</v>
      </c>
      <c r="J16" s="18">
        <f>(J14 / 12 * HLOOKUP(B4, 'Bow String Materials'!B1:Z11, 8, FALSE)) + G7 + G8</f>
        <v>211.79325236714587</v>
      </c>
      <c r="K16" s="18">
        <f>(K14 / 12 * HLOOKUP(B4, 'Bow String Materials'!B1:Z11, 8, FALSE)) + G7 + G8</f>
        <v>227.529686475673</v>
      </c>
      <c r="L16" s="18">
        <f>(L14 / 12 * HLOOKUP(B4, 'Bow String Materials'!B1:Z11, 8, FALSE)) + G7 + G8</f>
        <v>243.26612058420014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9" t="s">
        <v>50</v>
      </c>
      <c r="B17" s="35">
        <f>HLOOKUP(B4, 'Bow String Materials'!B1:Z11, 4, FALSE) * B13</f>
        <v>320</v>
      </c>
      <c r="C17" s="35">
        <f>HLOOKUP(B4, 'Bow String Materials'!B1:Z11, 4, FALSE) * C13</f>
        <v>400</v>
      </c>
      <c r="D17" s="35">
        <f>HLOOKUP(B4, 'Bow String Materials'!B1:Z11, 4, FALSE) * D13</f>
        <v>480</v>
      </c>
      <c r="E17" s="35">
        <f>HLOOKUP(B4, 'Bow String Materials'!B1:Z11, 4, FALSE) * E13</f>
        <v>560</v>
      </c>
      <c r="F17" s="35">
        <f>HLOOKUP(B4, 'Bow String Materials'!B1:Z11, 4, FALSE) * F13</f>
        <v>640</v>
      </c>
      <c r="G17" s="35">
        <f>HLOOKUP(B4, 'Bow String Materials'!B1:Z11, 4, FALSE) * G13</f>
        <v>720</v>
      </c>
      <c r="H17" s="35">
        <f>HLOOKUP(B4, 'Bow String Materials'!B1:Z11, 4, FALSE) * H13</f>
        <v>800</v>
      </c>
      <c r="I17" s="35">
        <f>HLOOKUP(B4, 'Bow String Materials'!B1:Z11, 4, FALSE) * I13</f>
        <v>880</v>
      </c>
      <c r="J17" s="35">
        <f>HLOOKUP(B4, 'Bow String Materials'!B1:Z11, 4, FALSE) * J13</f>
        <v>960</v>
      </c>
      <c r="K17" s="35">
        <f>HLOOKUP(B4, 'Bow String Materials'!B1:Z11, 4, FALSE) * K13</f>
        <v>1040</v>
      </c>
      <c r="L17" s="35">
        <f>HLOOKUP(B4, 'Bow String Materials'!B1:Z11, 4, FALSE) * L13</f>
        <v>1120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9" t="s">
        <v>51</v>
      </c>
      <c r="B18" s="18">
        <f>B17 / VLOOKUP(B2, 'Bow Types'!A2:C4, 3, FALSE)</f>
        <v>40</v>
      </c>
      <c r="C18" s="18">
        <f>C17 / VLOOKUP(B2, 'Bow Types'!A2:C4, 3, FALSE)</f>
        <v>50</v>
      </c>
      <c r="D18" s="18">
        <f>D17 / VLOOKUP(B2, 'Bow Types'!A2:C4, 3, FALSE)</f>
        <v>60</v>
      </c>
      <c r="E18" s="18">
        <f>E17 / VLOOKUP(B2, 'Bow Types'!A2:C4, 3, FALSE)</f>
        <v>70</v>
      </c>
      <c r="F18" s="18">
        <f>F17 / VLOOKUP(B2, 'Bow Types'!A2:C4, 3, FALSE)</f>
        <v>80</v>
      </c>
      <c r="G18" s="18">
        <f>G17 / VLOOKUP(B2, 'Bow Types'!A2:C4, 3, FALSE)</f>
        <v>90</v>
      </c>
      <c r="H18" s="18">
        <f>H17 / VLOOKUP(B2, 'Bow Types'!A2:C4, 3, FALSE)</f>
        <v>100</v>
      </c>
      <c r="I18" s="18">
        <f>I17 / VLOOKUP(B2, 'Bow Types'!A2:C4, 3, FALSE)</f>
        <v>110</v>
      </c>
      <c r="J18" s="18">
        <f>J17 / VLOOKUP(B2, 'Bow Types'!A2:C4, 3, FALSE)</f>
        <v>120</v>
      </c>
      <c r="K18" s="18">
        <f>K17 / VLOOKUP(B2, 'Bow Types'!A2:C4, 3, FALSE)</f>
        <v>130</v>
      </c>
      <c r="L18" s="18">
        <f>L17 / VLOOKUP(B2, 'Bow Types'!A2:C4, 3, FALSE)</f>
        <v>140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9" t="s">
        <v>52</v>
      </c>
      <c r="B19" s="38">
        <f>B5 * HLOOKUP(B4, 'Bow String Materials'!B1:Z11, 5, FALSE) / 100</f>
        <v>0.57999999999999996</v>
      </c>
      <c r="C19" s="38">
        <f>B5 * HLOOKUP(B4, 'Bow String Materials'!B1:Z11, 5, FALSE) / 100</f>
        <v>0.57999999999999996</v>
      </c>
      <c r="D19" s="38">
        <f>B5 * HLOOKUP(B4, 'Bow String Materials'!B1:Z11, 5, FALSE) / 100</f>
        <v>0.57999999999999996</v>
      </c>
      <c r="E19" s="38">
        <f>B5 * HLOOKUP(B4, 'Bow String Materials'!B1:Z11, 5, FALSE) / 100</f>
        <v>0.57999999999999996</v>
      </c>
      <c r="F19" s="38">
        <f>B5 * HLOOKUP(B4, 'Bow String Materials'!B1:Z11, 5, FALSE) / 100</f>
        <v>0.57999999999999996</v>
      </c>
      <c r="G19" s="38">
        <f>B5 * HLOOKUP(B4, 'Bow String Materials'!B1:Z11, 5, FALSE) / 100</f>
        <v>0.57999999999999996</v>
      </c>
      <c r="H19" s="38">
        <f>B5 * HLOOKUP(B4, 'Bow String Materials'!B1:Z11, 5, FALSE) / 100</f>
        <v>0.57999999999999996</v>
      </c>
      <c r="I19" s="38">
        <f>B5 * HLOOKUP(B4, 'Bow String Materials'!B1:Z11, 5, FALSE) / 100</f>
        <v>0.57999999999999996</v>
      </c>
      <c r="J19" s="38">
        <f>B5 * HLOOKUP(B4, 'Bow String Materials'!B1:Z11, 5, FALSE) / 100</f>
        <v>0.57999999999999996</v>
      </c>
      <c r="K19" s="38">
        <f>B5 * HLOOKUP(B4, 'Bow String Materials'!B1:Z11, 5, FALSE) / 100</f>
        <v>0.57999999999999996</v>
      </c>
      <c r="L19" s="38">
        <f>B5 * HLOOKUP(B4, 'Bow String Materials'!B1:Z11, 5, FALSE) / 100</f>
        <v>0.57999999999999996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9" t="s">
        <v>53</v>
      </c>
      <c r="B20" s="39">
        <f>(1.1 * 4 * (B13 * 3.14 / 4 * HLOOKUP(B4, 'Bow String Materials'!B1:Z11, 9, FALSE) * HLOOKUP(B4, 'Bow String Materials'!B1:Z11, 9, FALSE)) / 3.14)^0.5</f>
        <v>5.3396629107088769E-2</v>
      </c>
      <c r="C20" s="39">
        <f>(1.1 * 4 * (C13 * 3.14 / 4 * HLOOKUP(B4, 'Bow String Materials'!B1:Z11, 9, FALSE) * HLOOKUP(B4, 'Bow String Materials'!B1:Z11, 9, FALSE)) / 3.14)^0.5</f>
        <v>5.9699246226397197E-2</v>
      </c>
      <c r="D20" s="39">
        <f>(1.1 * 4 * (D13 * 3.14 / 4 * HLOOKUP(B4, 'Bow String Materials'!B1:Z11, 9, FALSE) * HLOOKUP(B4, 'Bow String Materials'!B1:Z11, 9, FALSE)) / 3.14)^0.5</f>
        <v>6.5397247648505824E-2</v>
      </c>
      <c r="E20" s="39">
        <f>(1.1 * 4 * (E13 * 3.14 / 4 * HLOOKUP(B4, 'Bow String Materials'!B1:Z11, 9, FALSE) * HLOOKUP(B4, 'Bow String Materials'!B1:Z11, 9, FALSE)) / 3.14)^0.5</f>
        <v>7.0637100733254896E-2</v>
      </c>
      <c r="F20" s="39">
        <f>(1.1 * 4 * (F13 * 3.14 / 4 * HLOOKUP(B4, 'Bow String Materials'!B1:Z11, 9, FALSE) * HLOOKUP(B4, 'Bow String Materials'!B1:Z11, 9, FALSE)) / 3.14)^0.5</f>
        <v>7.5514237068250917E-2</v>
      </c>
      <c r="G20" s="39">
        <f>(1.1 * 4 * (G13 * 3.14 / 4 * HLOOKUP(B4, 'Bow String Materials'!B1:Z11, 9, FALSE) * HLOOKUP(B4, 'Bow String Materials'!B1:Z11, 9, FALSE)) / 3.14)^0.5</f>
        <v>8.0094943660633161E-2</v>
      </c>
      <c r="H20" s="39">
        <f>(1.1 * 4 * (H13 * 3.14 / 4 * HLOOKUP(B4, 'Bow String Materials'!B1:Z11, 9, FALSE) * HLOOKUP(B4, 'Bow String Materials'!B1:Z11, 9, FALSE)) / 3.14)^0.5</f>
        <v>8.4427483676821735E-2</v>
      </c>
      <c r="I20" s="39">
        <f>(1.1 * 4 * (I13 * 3.14 / 4 * HLOOKUP(B4, 'Bow String Materials'!B1:Z11, 9, FALSE) * HLOOKUP(B4, 'Bow String Materials'!B1:Z11, 9, FALSE)) / 3.14)^0.5</f>
        <v>8.8548291908991661E-2</v>
      </c>
      <c r="J20" s="39">
        <f>(1.1 * 4 * (J13 * 3.14 / 4 * HLOOKUP(B4, 'Bow String Materials'!B1:Z11, 9, FALSE) * HLOOKUP(B4, 'Bow String Materials'!B1:Z11, 9, FALSE)) / 3.14)^0.5</f>
        <v>9.2485674566388926E-2</v>
      </c>
      <c r="K20" s="39">
        <f>(1.1 * 4 * (K13 * 3.14 / 4 * HLOOKUP(B4, 'Bow String Materials'!B1:Z11, 9, FALSE) * HLOOKUP(B4, 'Bow String Materials'!B1:Z11, 9, FALSE)) / 3.14)^0.5</f>
        <v>9.626214209127075E-2</v>
      </c>
      <c r="L20" s="39">
        <f>(1.1 * 4 * (L13 * 3.14 / 4 * HLOOKUP(B4, 'Bow String Materials'!B1:Z11, 9, FALSE) * HLOOKUP(B4, 'Bow String Materials'!B1:Z11, 9, FALSE)) / 3.14)^0.5</f>
        <v>9.9895945863683569E-2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9" t="s">
        <v>54</v>
      </c>
      <c r="B21" s="40">
        <f>(B10-B20)/2</f>
        <v>2.3301685446455618E-2</v>
      </c>
      <c r="C21" s="40">
        <f>(B10-C20)/2</f>
        <v>2.0150376886801404E-2</v>
      </c>
      <c r="D21" s="40">
        <f>(B10-D20)/2</f>
        <v>1.7301376175747091E-2</v>
      </c>
      <c r="E21" s="40">
        <f>(B10-E20)/2</f>
        <v>1.4681449633372555E-2</v>
      </c>
      <c r="F21" s="40">
        <f>(B10-F20)/2</f>
        <v>1.2242881465874544E-2</v>
      </c>
      <c r="G21" s="40">
        <f>(B10-G20)/2</f>
        <v>9.9525281696834222E-3</v>
      </c>
      <c r="H21" s="40">
        <f>(B10-H20)/2</f>
        <v>7.7862581615891352E-3</v>
      </c>
      <c r="I21" s="40">
        <f>(B10-I20)/2</f>
        <v>5.7258540455041723E-3</v>
      </c>
      <c r="J21" s="40">
        <f>(B10-J20)/2</f>
        <v>3.7571627168055399E-3</v>
      </c>
      <c r="K21" s="40">
        <f>(B10-K20)/2</f>
        <v>1.8689289543646279E-3</v>
      </c>
      <c r="L21" s="40">
        <f>(B10-L20)/2</f>
        <v>5.2027068158218281E-5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1" t="s">
        <v>55</v>
      </c>
      <c r="B22" s="32">
        <f>(B14 / 12 * HLOOKUP(B4, 'Bow String Materials'!B1:Z11, 11, FALSE)) + (F7 / 12 * HLOOKUP(B6, 'Center Serving Materials'!B1:AA8, 8, FALSE)) + (F8 / 12 * HLOOKUP(B8, 'End Serving Materials'!B1:Z8, 8, FALSE))</f>
        <v>0.95814457364341077</v>
      </c>
      <c r="C22" s="32">
        <f>(C14 / 12 * HLOOKUP(B4, 'Bow String Materials'!B1:Z11, 11, FALSE)) + (F7 / 12 * HLOOKUP(B6, 'Center Serving Materials'!B1:AA8, 8, FALSE)) + (F8 / 12 * HLOOKUP(B8, 'End Serving Materials'!B1:Z8, 8, FALSE))</f>
        <v>1.0389848837209303</v>
      </c>
      <c r="D22" s="32">
        <f>(D14 / 12 * HLOOKUP(B4, 'Bow String Materials'!B1:Z11, 11, FALSE)) + (F7 / 12 * HLOOKUP(B6, 'Center Serving Materials'!B1:AA8, 8, FALSE)) + (F8 / 12 * HLOOKUP(B8, 'End Serving Materials'!B1:Z8, 8, FALSE))</f>
        <v>1.1198251937984496</v>
      </c>
      <c r="E22" s="32">
        <f>(E14 / 12 * HLOOKUP(B4, 'Bow String Materials'!B1:Z11, 11, FALSE)) + (F7 / 12 * HLOOKUP(B6, 'Center Serving Materials'!B1:AA8, 8, FALSE)) + (F8 / 12 * HLOOKUP(B8, 'End Serving Materials'!B1:Z8, 8, FALSE))</f>
        <v>1.200665503875969</v>
      </c>
      <c r="F22" s="32">
        <f>(F14 / 12 * HLOOKUP(B4, 'Bow String Materials'!B1:Z11, 11, FALSE)) + (F7 / 12 * HLOOKUP(B6, 'Center Serving Materials'!B1:AA8, 8, FALSE)) + (F8 / 12 * HLOOKUP(B8, 'End Serving Materials'!B1:Z8, 8, FALSE))</f>
        <v>1.2815058139534885</v>
      </c>
      <c r="G22" s="32">
        <f>(G14 / 12 * HLOOKUP(B4, 'Bow String Materials'!B1:Z11, 11, FALSE)) + (F7 / 12 * HLOOKUP(B6, 'Center Serving Materials'!B1:AA8, 8, FALSE)) + (F8 / 12 * HLOOKUP(B8, 'End Serving Materials'!B1:Z8, 8, FALSE))</f>
        <v>1.3623461240310077</v>
      </c>
      <c r="H22" s="32">
        <f>(H14 / 12 * HLOOKUP(B4, 'Bow String Materials'!B1:Z11, 11, FALSE)) + (F7 / 12 * HLOOKUP(B6, 'Center Serving Materials'!B1:AA8, 8, FALSE)) + (F8 / 12 * HLOOKUP(B8, 'End Serving Materials'!B1:Z8, 8, FALSE))</f>
        <v>1.4431864341085272</v>
      </c>
      <c r="I22" s="32">
        <f>(I14 / 12 * HLOOKUP(B4, 'Bow String Materials'!B1:Z11, 11, FALSE)) + (F7 / 12 * HLOOKUP(B6, 'Center Serving Materials'!B1:AA8, 8, FALSE)) + (F8 / 12 * HLOOKUP(B8, 'End Serving Materials'!B1:Z8, 8, FALSE))</f>
        <v>1.5240267441860464</v>
      </c>
      <c r="J22" s="32">
        <f>(J14 / 12 * HLOOKUP(B4, 'Bow String Materials'!B1:Z11, 11, FALSE)) + (F7 / 12 * HLOOKUP(B6, 'Center Serving Materials'!B1:AA8, 8, FALSE)) + (F8 / 12 * HLOOKUP(B8, 'End Serving Materials'!B1:Z8, 8, FALSE))</f>
        <v>1.6048670542635659</v>
      </c>
      <c r="K22" s="32">
        <f>(K14 / 12 * HLOOKUP(B4, 'Bow String Materials'!B1:Z11, 11, FALSE)) + (F7 / 12 * HLOOKUP(B6, 'Center Serving Materials'!B1:AA8, 8, FALSE)) + (F8 / 12 * HLOOKUP(B8, 'End Serving Materials'!B1:Z8, 8, FALSE))</f>
        <v>1.6857073643410854</v>
      </c>
      <c r="L22" s="32">
        <f>(L14 / 12 * HLOOKUP(B4, 'Bow String Materials'!B1:Z11, 11, FALSE)) + (F7 / 12 * HLOOKUP(B6, 'Center Serving Materials'!B1:AA8, 8, FALSE)) + (F8 / 12 * HLOOKUP(B8, 'End Serving Materials'!B1:Z8, 8, FALSE))</f>
        <v>1.7665476744186048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2" t="s">
        <v>27</v>
      </c>
      <c r="B24" s="43"/>
      <c r="C24" s="43"/>
      <c r="D24" s="43"/>
      <c r="E24" s="43"/>
      <c r="F24" s="43"/>
      <c r="G24" s="4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2" t="s">
        <v>56</v>
      </c>
      <c r="B25" s="24"/>
      <c r="C25" s="24"/>
      <c r="D25" s="24"/>
      <c r="E25" s="24"/>
      <c r="F25" s="24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5" t="s">
        <v>57</v>
      </c>
      <c r="B26" s="3"/>
      <c r="C26" s="3"/>
      <c r="D26" s="3"/>
      <c r="E26" s="3"/>
      <c r="F26" s="3"/>
      <c r="G26" s="3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6" t="s">
        <v>58</v>
      </c>
      <c r="B27" s="28"/>
      <c r="C27" s="28"/>
      <c r="D27" s="28"/>
      <c r="E27" s="28"/>
      <c r="F27" s="28"/>
      <c r="G27" s="3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ataValidations count="1">
    <dataValidation type="list" allowBlank="1" sqref="B3" xr:uid="{00000000-0002-0000-0000-000000000000}">
      <formula1>"Flemish Twist,Endless Loop"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1000000}">
          <x14:formula1>
            <xm:f>'End Serving Materials'!$B$1:$D$1</xm:f>
          </x14:formula1>
          <xm:sqref>B8</xm:sqref>
        </x14:dataValidation>
        <x14:dataValidation type="list" allowBlank="1" xr:uid="{00000000-0002-0000-0000-000002000000}">
          <x14:formula1>
            <xm:f>'Bow String Materials'!$B$1:$I$1</xm:f>
          </x14:formula1>
          <xm:sqref>B4</xm:sqref>
        </x14:dataValidation>
        <x14:dataValidation type="list" allowBlank="1" xr:uid="{00000000-0002-0000-0000-000003000000}">
          <x14:formula1>
            <xm:f>'Bow Types'!$A$2:$A$4</xm:f>
          </x14:formula1>
          <xm:sqref>B2</xm:sqref>
        </x14:dataValidation>
        <x14:dataValidation type="list" allowBlank="1" xr:uid="{00000000-0002-0000-0000-000004000000}">
          <x14:formula1>
            <xm:f>'Center Serving Materials'!$B$1:$J$1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3" width="28.6640625" customWidth="1"/>
  </cols>
  <sheetData>
    <row r="1" spans="1:26" x14ac:dyDescent="0.2">
      <c r="A1" s="1" t="s">
        <v>1</v>
      </c>
      <c r="B1" s="1" t="s">
        <v>11</v>
      </c>
      <c r="C1" s="11" t="s">
        <v>12</v>
      </c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20</v>
      </c>
      <c r="B2" s="15">
        <v>5</v>
      </c>
      <c r="C2" s="15">
        <v>5</v>
      </c>
      <c r="D2" s="1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6</v>
      </c>
      <c r="B3" s="15">
        <v>7</v>
      </c>
      <c r="C3" s="15">
        <v>8</v>
      </c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25</v>
      </c>
      <c r="B4" s="15">
        <v>15</v>
      </c>
      <c r="C4" s="15">
        <v>8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 t="s">
        <v>27</v>
      </c>
      <c r="B6" s="19"/>
      <c r="C6" s="19"/>
      <c r="D6" s="19"/>
      <c r="E6" s="19"/>
      <c r="F6" s="19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2" t="s">
        <v>34</v>
      </c>
      <c r="B7" s="24"/>
      <c r="C7" s="24"/>
      <c r="D7" s="24"/>
      <c r="E7" s="24"/>
      <c r="F7" s="24"/>
      <c r="G7" s="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6" t="s">
        <v>38</v>
      </c>
      <c r="B8" s="28"/>
      <c r="C8" s="28"/>
      <c r="D8" s="28"/>
      <c r="E8" s="28"/>
      <c r="F8" s="28"/>
      <c r="G8" s="3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1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9" width="18.6640625" customWidth="1"/>
  </cols>
  <sheetData>
    <row r="1" spans="1:20" x14ac:dyDescent="0.2">
      <c r="A1" s="2" t="s">
        <v>2</v>
      </c>
      <c r="B1" s="5" t="str">
        <f>HYPERLINK("https://bigjimsbowcompany.com/product/b-50-string/", "B-50")</f>
        <v>B-50</v>
      </c>
      <c r="C1" s="5" t="str">
        <f>HYPERLINK("https://www.lancasterarchery.com/bcy-b55-string-material-1-4.html", "BCY B-55")</f>
        <v>BCY B-55</v>
      </c>
      <c r="D1" s="5" t="str">
        <f>HYPERLINK("https://www.lancasterarchery.com/bcy-dynaflight-97-string-material-1-8-black-or-white.html", "BCY D-97")</f>
        <v>BCY D-97</v>
      </c>
      <c r="E1" s="5" t="str">
        <f>HYPERLINK("https://www.lancasterarchery.com/bcy-8125-string-material-2-color-1-8.html", "BCY 8125")</f>
        <v>BCY 8125</v>
      </c>
      <c r="F1" s="9" t="str">
        <f>HYPERLINK("https://www.lancasterarchery.com/bcy-652-spectra-bowstring-material-1-4-spool.html", "BCY 652 Spectra")</f>
        <v>BCY 652 Spectra</v>
      </c>
      <c r="G1" s="5" t="str">
        <f>HYPERLINK("https://www.lancasterarchery.com/bcy-452x-string-material-1-8-colors.html", "BCY 452X")</f>
        <v>BCY 452X</v>
      </c>
      <c r="H1" s="9" t="str">
        <f>HYPERLINK("https://www.lancasterarchery.com/bcy-x99-bowstring-material-1-8-lb.html", "BCY X-99")</f>
        <v>BCY X-99</v>
      </c>
      <c r="I1" s="9" t="str">
        <f>HYPERLINK("https://www.lancasterarchery.com/bcy-mercury-bowstring-material-1-8-lb.html", "BCY Mercury")</f>
        <v>BCY Mercury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6" t="s">
        <v>15</v>
      </c>
      <c r="B2" s="15">
        <v>12</v>
      </c>
      <c r="C2" s="15">
        <v>12</v>
      </c>
      <c r="D2" s="15">
        <v>14</v>
      </c>
      <c r="E2" s="15">
        <v>18</v>
      </c>
      <c r="F2" s="15">
        <v>18</v>
      </c>
      <c r="G2" s="15">
        <v>18</v>
      </c>
      <c r="H2" s="15">
        <v>22</v>
      </c>
      <c r="I2" s="15">
        <v>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6" t="s">
        <v>23</v>
      </c>
      <c r="B3" s="15">
        <v>4400</v>
      </c>
      <c r="C3" s="15">
        <v>4300</v>
      </c>
      <c r="D3" s="15">
        <v>6700</v>
      </c>
      <c r="E3" s="15">
        <v>8200</v>
      </c>
      <c r="F3" s="15">
        <v>8200</v>
      </c>
      <c r="G3" s="15">
        <v>8800</v>
      </c>
      <c r="H3" s="15">
        <v>11000</v>
      </c>
      <c r="I3" s="15">
        <v>13000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26</v>
      </c>
      <c r="B4" s="15">
        <v>35</v>
      </c>
      <c r="C4" s="15">
        <v>40</v>
      </c>
      <c r="D4" s="15">
        <v>125</v>
      </c>
      <c r="E4" s="15">
        <v>90</v>
      </c>
      <c r="F4" s="15">
        <v>95</v>
      </c>
      <c r="G4" s="15">
        <v>75</v>
      </c>
      <c r="H4" s="15">
        <v>110</v>
      </c>
      <c r="I4" s="15">
        <v>110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28</v>
      </c>
      <c r="B5" s="15">
        <v>2</v>
      </c>
      <c r="C5" s="15">
        <v>1</v>
      </c>
      <c r="D5" s="15">
        <v>0.5</v>
      </c>
      <c r="E5" s="15">
        <v>0.5</v>
      </c>
      <c r="F5" s="15">
        <v>0.5</v>
      </c>
      <c r="G5" s="15">
        <v>0</v>
      </c>
      <c r="H5" s="15">
        <v>0</v>
      </c>
      <c r="I5" s="15">
        <v>0.5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29</v>
      </c>
      <c r="B6" s="20">
        <v>8.99</v>
      </c>
      <c r="C6" s="20">
        <v>8.99</v>
      </c>
      <c r="D6" s="20">
        <v>41</v>
      </c>
      <c r="E6" s="20">
        <v>59.99</v>
      </c>
      <c r="F6" s="20">
        <v>35.99</v>
      </c>
      <c r="G6" s="20">
        <v>64.989999999999995</v>
      </c>
      <c r="H6" s="20">
        <v>59.99</v>
      </c>
      <c r="I6" s="20">
        <v>59.99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1" t="s">
        <v>33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6" t="s">
        <v>36</v>
      </c>
      <c r="B8" s="27">
        <f t="shared" ref="B8:I8" si="0">7000 / B3</f>
        <v>1.5909090909090908</v>
      </c>
      <c r="C8" s="27">
        <f t="shared" si="0"/>
        <v>1.6279069767441861</v>
      </c>
      <c r="D8" s="27">
        <f t="shared" si="0"/>
        <v>1.044776119402985</v>
      </c>
      <c r="E8" s="27">
        <f t="shared" si="0"/>
        <v>0.85365853658536583</v>
      </c>
      <c r="F8" s="27">
        <f t="shared" si="0"/>
        <v>0.85365853658536583</v>
      </c>
      <c r="G8" s="27">
        <f t="shared" si="0"/>
        <v>0.79545454545454541</v>
      </c>
      <c r="H8" s="27">
        <f t="shared" si="0"/>
        <v>0.63636363636363635</v>
      </c>
      <c r="I8" s="27">
        <f t="shared" si="0"/>
        <v>0.53846153846153844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6" t="s">
        <v>41</v>
      </c>
      <c r="B9" s="15">
        <v>1.7999999999999999E-2</v>
      </c>
      <c r="C9" s="15">
        <v>1.7999999999999999E-2</v>
      </c>
      <c r="D9" s="15">
        <v>1.6E-2</v>
      </c>
      <c r="E9" s="15">
        <v>1.4E-2</v>
      </c>
      <c r="F9" s="15">
        <v>1.4E-2</v>
      </c>
      <c r="G9" s="15">
        <v>1.4E-2</v>
      </c>
      <c r="H9" s="15">
        <v>1.2E-2</v>
      </c>
      <c r="I9" s="15">
        <v>0.01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6" t="s">
        <v>42</v>
      </c>
      <c r="B10" s="31">
        <f t="shared" ref="B10:I10" si="1">B3/4</f>
        <v>1100</v>
      </c>
      <c r="C10" s="31">
        <f t="shared" si="1"/>
        <v>1075</v>
      </c>
      <c r="D10" s="31">
        <f t="shared" si="1"/>
        <v>1675</v>
      </c>
      <c r="E10" s="31">
        <f t="shared" si="1"/>
        <v>2050</v>
      </c>
      <c r="F10" s="31">
        <f t="shared" si="1"/>
        <v>2050</v>
      </c>
      <c r="G10" s="31">
        <f t="shared" si="1"/>
        <v>2200</v>
      </c>
      <c r="H10" s="31">
        <f t="shared" si="1"/>
        <v>2750</v>
      </c>
      <c r="I10" s="31">
        <f t="shared" si="1"/>
        <v>3250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6" t="s">
        <v>44</v>
      </c>
      <c r="B11" s="20">
        <f t="shared" ref="B11:I11" si="2">B6/B10</f>
        <v>8.1727272727272725E-3</v>
      </c>
      <c r="C11" s="20">
        <f t="shared" si="2"/>
        <v>8.3627906976744184E-3</v>
      </c>
      <c r="D11" s="20">
        <f t="shared" si="2"/>
        <v>2.4477611940298509E-2</v>
      </c>
      <c r="E11" s="20">
        <f t="shared" si="2"/>
        <v>2.9263414634146341E-2</v>
      </c>
      <c r="F11" s="32">
        <f t="shared" si="2"/>
        <v>1.7556097560975609E-2</v>
      </c>
      <c r="G11" s="20">
        <f t="shared" si="2"/>
        <v>2.954090909090909E-2</v>
      </c>
      <c r="H11" s="32">
        <f t="shared" si="2"/>
        <v>2.1814545454545455E-2</v>
      </c>
      <c r="I11" s="32">
        <f t="shared" si="2"/>
        <v>1.8458461538461538E-2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3" t="s">
        <v>27</v>
      </c>
      <c r="B13" s="19"/>
      <c r="C13" s="19"/>
      <c r="D13" s="19"/>
      <c r="E13" s="19"/>
      <c r="F13" s="19"/>
      <c r="G13" s="2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4" t="s">
        <v>46</v>
      </c>
      <c r="B14" s="3"/>
      <c r="C14" s="3"/>
      <c r="D14" s="3"/>
      <c r="E14" s="3"/>
      <c r="F14" s="3"/>
      <c r="G14" s="3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34" t="s">
        <v>47</v>
      </c>
      <c r="B15" s="3"/>
      <c r="C15" s="3"/>
      <c r="D15" s="3"/>
      <c r="E15" s="3"/>
      <c r="F15" s="3"/>
      <c r="G15" s="3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7" t="s">
        <v>48</v>
      </c>
      <c r="B16" s="28"/>
      <c r="C16" s="28"/>
      <c r="D16" s="28"/>
      <c r="E16" s="28"/>
      <c r="F16" s="28"/>
      <c r="G16" s="3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E1" sqref="E1"/>
    </sheetView>
  </sheetViews>
  <sheetFormatPr baseColWidth="10" defaultColWidth="14.5" defaultRowHeight="15.75" customHeight="1" x14ac:dyDescent="0.15"/>
  <cols>
    <col min="1" max="1" width="25.1640625" customWidth="1"/>
    <col min="2" max="10" width="19" customWidth="1"/>
  </cols>
  <sheetData>
    <row r="1" spans="1:26" x14ac:dyDescent="0.2">
      <c r="A1" s="1" t="s">
        <v>2</v>
      </c>
      <c r="B1" s="46" t="str">
        <f>HYPERLINK("https://www.lancasterarchery.com/bcy-62-braided-serving-018.html", "BCY #62 0.018")</f>
        <v>BCY #62 0.018</v>
      </c>
      <c r="C1" s="46" t="str">
        <f>HYPERLINK("https://www.lancasterarchery.com/bcy-62-braided-serving-021.html", "BCY #62 0.021")</f>
        <v>BCY #62 0.021</v>
      </c>
      <c r="D1" s="46" t="str">
        <f>HYPERLINK("https://www.lancasterarchery.com/bcy-62-braided-serving-025.html", "BCY #62 0.025")</f>
        <v>BCY #62 0.025</v>
      </c>
      <c r="E1" s="47" t="str">
        <f>HYPERLINK("https://www.lancasterarchery.com/bcy-halo-014-serving-colors.html", "BCY Halo 0.014")</f>
        <v>BCY Halo 0.014</v>
      </c>
      <c r="F1" s="47" t="str">
        <f>HYPERLINK("https://www.lancasterarchery.com/bcy-halo-017-serving.html", "BCY Halo 0.017")</f>
        <v>BCY Halo 0.017</v>
      </c>
      <c r="G1" s="47" t="str">
        <f>HYPERLINK("https://www.lancasterarchery.com/bcy-halo-019-serving-colors.html", "BCY Halo 0.019")</f>
        <v>BCY Halo 0.019</v>
      </c>
      <c r="H1" s="47" t="str">
        <f>HYPERLINK("https://www.lancasterarchery.com/bcy-halo-021-serving.html", "BCY Halo 0.021")</f>
        <v>BCY Halo 0.021</v>
      </c>
      <c r="I1" s="47" t="str">
        <f>HYPERLINK("https://www.lancasterarchery.com/bcy-halo-024-serving-colors.html", "BCY Halo 0.024")</f>
        <v>BCY Halo 0.024</v>
      </c>
      <c r="J1" s="47" t="str">
        <f>HYPERLINK("https://www.lancasterarchery.com/bcy-halo-030-serving.html", "BCY Halo 0.030")</f>
        <v>BCY Halo 0.030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8" t="s">
        <v>59</v>
      </c>
      <c r="B2" s="49">
        <v>1.7999999999999999E-2</v>
      </c>
      <c r="C2" s="49">
        <v>2.1000000000000001E-2</v>
      </c>
      <c r="D2" s="49">
        <v>2.5000000000000001E-2</v>
      </c>
      <c r="E2" s="49">
        <v>1.4E-2</v>
      </c>
      <c r="F2" s="49">
        <v>1.7000000000000001E-2</v>
      </c>
      <c r="G2" s="49">
        <v>1.9E-2</v>
      </c>
      <c r="H2" s="49">
        <v>2.1000000000000001E-2</v>
      </c>
      <c r="I2" s="49">
        <v>2.4E-2</v>
      </c>
      <c r="J2" s="49">
        <v>0.03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8" t="s">
        <v>23</v>
      </c>
      <c r="B3" s="50">
        <v>6364</v>
      </c>
      <c r="C3" s="50">
        <v>4667</v>
      </c>
      <c r="D3" s="50">
        <v>3333</v>
      </c>
      <c r="E3" s="51">
        <v>11500</v>
      </c>
      <c r="F3" s="50">
        <v>7000</v>
      </c>
      <c r="G3" s="50">
        <v>5750</v>
      </c>
      <c r="H3" s="50">
        <v>4900</v>
      </c>
      <c r="I3" s="50">
        <v>3750</v>
      </c>
      <c r="J3" s="50">
        <v>2850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8" t="s">
        <v>60</v>
      </c>
      <c r="B4" s="52">
        <v>17.989999999999998</v>
      </c>
      <c r="C4" s="52">
        <v>17.989999999999998</v>
      </c>
      <c r="D4" s="52">
        <v>17.989999999999998</v>
      </c>
      <c r="E4" s="53">
        <v>33.99</v>
      </c>
      <c r="F4" s="53">
        <v>29.99</v>
      </c>
      <c r="G4" s="53">
        <v>25.99</v>
      </c>
      <c r="H4" s="53">
        <v>25.5</v>
      </c>
      <c r="I4" s="53">
        <v>24.99</v>
      </c>
      <c r="J4" s="53">
        <v>23.99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8" t="s">
        <v>61</v>
      </c>
      <c r="B5" s="50">
        <v>300</v>
      </c>
      <c r="C5" s="50">
        <v>225</v>
      </c>
      <c r="D5" s="50">
        <v>180</v>
      </c>
      <c r="E5" s="49">
        <v>360</v>
      </c>
      <c r="F5" s="49">
        <v>300</v>
      </c>
      <c r="G5" s="49">
        <v>225</v>
      </c>
      <c r="H5" s="49">
        <v>225</v>
      </c>
      <c r="I5" s="49">
        <v>135</v>
      </c>
      <c r="J5" s="49">
        <v>120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4" t="s">
        <v>33</v>
      </c>
      <c r="B6" s="55"/>
      <c r="C6" s="55"/>
      <c r="D6" s="55"/>
      <c r="E6" s="55"/>
      <c r="F6" s="55"/>
      <c r="G6" s="55"/>
      <c r="H6" s="55"/>
      <c r="I6" s="55"/>
      <c r="J6" s="5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 t="s">
        <v>36</v>
      </c>
      <c r="B7" s="56">
        <f t="shared" ref="B7:J7" si="0">7000 / B3</f>
        <v>1.0999371464487744</v>
      </c>
      <c r="C7" s="56">
        <f t="shared" si="0"/>
        <v>1.4998928647953718</v>
      </c>
      <c r="D7" s="56">
        <f t="shared" si="0"/>
        <v>2.1002100210021002</v>
      </c>
      <c r="E7" s="56">
        <f t="shared" si="0"/>
        <v>0.60869565217391308</v>
      </c>
      <c r="F7" s="56">
        <f t="shared" si="0"/>
        <v>1</v>
      </c>
      <c r="G7" s="56">
        <f t="shared" si="0"/>
        <v>1.2173913043478262</v>
      </c>
      <c r="H7" s="56">
        <f t="shared" si="0"/>
        <v>1.4285714285714286</v>
      </c>
      <c r="I7" s="56">
        <f t="shared" si="0"/>
        <v>1.8666666666666667</v>
      </c>
      <c r="J7" s="56">
        <f t="shared" si="0"/>
        <v>2.4561403508771931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 t="s">
        <v>62</v>
      </c>
      <c r="B8" s="32">
        <f t="shared" ref="B8:J8" si="1">B4 / B5</f>
        <v>5.9966666666666661E-2</v>
      </c>
      <c r="C8" s="32">
        <f t="shared" si="1"/>
        <v>7.9955555555555544E-2</v>
      </c>
      <c r="D8" s="32">
        <f t="shared" si="1"/>
        <v>9.9944444444444433E-2</v>
      </c>
      <c r="E8" s="57">
        <f t="shared" si="1"/>
        <v>9.4416666666666677E-2</v>
      </c>
      <c r="F8" s="57">
        <f t="shared" si="1"/>
        <v>9.9966666666666662E-2</v>
      </c>
      <c r="G8" s="57">
        <f t="shared" si="1"/>
        <v>0.11551111111111111</v>
      </c>
      <c r="H8" s="57">
        <f t="shared" si="1"/>
        <v>0.11333333333333333</v>
      </c>
      <c r="I8" s="57">
        <f t="shared" si="1"/>
        <v>0.18511111111111109</v>
      </c>
      <c r="J8" s="57">
        <f t="shared" si="1"/>
        <v>0.19991666666666666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8" t="s">
        <v>27</v>
      </c>
      <c r="B10" s="59"/>
      <c r="C10" s="59"/>
      <c r="D10" s="59"/>
      <c r="E10" s="59"/>
      <c r="F10" s="59"/>
      <c r="G10" s="60"/>
      <c r="H10" s="61"/>
      <c r="I10" s="61"/>
      <c r="J10" s="6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62" t="s">
        <v>63</v>
      </c>
      <c r="B11" s="63"/>
      <c r="C11" s="63"/>
      <c r="D11" s="63"/>
      <c r="E11" s="63"/>
      <c r="F11" s="63"/>
      <c r="G11" s="64"/>
      <c r="H11" s="61"/>
      <c r="I11" s="61"/>
      <c r="J11" s="6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1"/>
  <sheetViews>
    <sheetView workbookViewId="0">
      <selection activeCell="D1" sqref="D1"/>
    </sheetView>
  </sheetViews>
  <sheetFormatPr baseColWidth="10" defaultColWidth="14.5" defaultRowHeight="15.75" customHeight="1" x14ac:dyDescent="0.15"/>
  <cols>
    <col min="1" max="1" width="26.6640625" customWidth="1"/>
    <col min="2" max="4" width="15.83203125" customWidth="1"/>
  </cols>
  <sheetData>
    <row r="1" spans="1:25" x14ac:dyDescent="0.2">
      <c r="A1" s="1" t="s">
        <v>2</v>
      </c>
      <c r="B1" s="46" t="str">
        <f>HYPERLINK("https://www.lancasterarchery.com/bcy-400-nylon-multifilament-serving.html","BCY 400")</f>
        <v>BCY 400</v>
      </c>
      <c r="C1" s="65" t="str">
        <f>HYPERLINK("https://www.lancasterarchery.com/bcy-2s-end-serving.html", "BCY 2S")</f>
        <v>BCY 2S</v>
      </c>
      <c r="D1" s="65" t="str">
        <f>HYPERLINK("https://www.lancasterarchery.com/bcy-3d-serving-016-colors.html", "BCY 3D")</f>
        <v>BCY 3D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8" t="s">
        <v>59</v>
      </c>
      <c r="B2" s="49">
        <v>0.02</v>
      </c>
      <c r="C2" s="66">
        <v>1.7999999999999999E-2</v>
      </c>
      <c r="D2" s="66">
        <v>1.6E-2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8" t="s">
        <v>23</v>
      </c>
      <c r="B3" s="49">
        <v>6200</v>
      </c>
      <c r="C3" s="66">
        <v>9000</v>
      </c>
      <c r="D3" s="66">
        <v>9500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8" t="s">
        <v>60</v>
      </c>
      <c r="B4" s="52">
        <v>5.25</v>
      </c>
      <c r="C4" s="67">
        <v>14.99</v>
      </c>
      <c r="D4" s="67">
        <v>17.989999999999998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48" t="s">
        <v>61</v>
      </c>
      <c r="B5" s="50">
        <v>300</v>
      </c>
      <c r="C5" s="66">
        <v>300</v>
      </c>
      <c r="D5" s="66">
        <v>360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54" t="s">
        <v>33</v>
      </c>
      <c r="B6" s="55"/>
      <c r="C6" s="68"/>
      <c r="D6" s="6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6" t="s">
        <v>36</v>
      </c>
      <c r="B7" s="56">
        <f t="shared" ref="B7:D7" si="0">7000 / B3</f>
        <v>1.1290322580645162</v>
      </c>
      <c r="C7" s="56">
        <f t="shared" si="0"/>
        <v>0.77777777777777779</v>
      </c>
      <c r="D7" s="56">
        <f t="shared" si="0"/>
        <v>0.73684210526315785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6" t="s">
        <v>62</v>
      </c>
      <c r="B8" s="32">
        <f t="shared" ref="B8:D8" si="1">B4 / B5</f>
        <v>1.7500000000000002E-2</v>
      </c>
      <c r="C8" s="32">
        <f t="shared" si="1"/>
        <v>4.9966666666666666E-2</v>
      </c>
      <c r="D8" s="32">
        <f t="shared" si="1"/>
        <v>4.9972222222222216E-2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58" t="s">
        <v>27</v>
      </c>
      <c r="B10" s="59"/>
      <c r="C10" s="59"/>
      <c r="D10" s="59"/>
      <c r="E10" s="59"/>
      <c r="F10" s="59"/>
      <c r="G10" s="59"/>
      <c r="H10" s="59"/>
      <c r="I10" s="6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62" t="s">
        <v>63</v>
      </c>
      <c r="B11" s="63"/>
      <c r="C11" s="63"/>
      <c r="D11" s="63"/>
      <c r="E11" s="63"/>
      <c r="F11" s="63"/>
      <c r="G11" s="63"/>
      <c r="H11" s="63"/>
      <c r="I11" s="6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Bow Types</vt:lpstr>
      <vt:lpstr>Bow String Materials</vt:lpstr>
      <vt:lpstr>Center Serving Materials</vt:lpstr>
      <vt:lpstr>End Serving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Stedfast</cp:lastModifiedBy>
  <dcterms:modified xsi:type="dcterms:W3CDTF">2020-04-19T16:16:49Z</dcterms:modified>
</cp:coreProperties>
</file>