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fejj/Downloads/"/>
    </mc:Choice>
  </mc:AlternateContent>
  <xr:revisionPtr revIDLastSave="0" documentId="13_ncr:1_{E4CA04E3-D5EC-464B-9810-4E7430B52223}" xr6:coauthVersionLast="45" xr6:coauthVersionMax="45" xr10:uidLastSave="{00000000-0000-0000-0000-000000000000}"/>
  <bookViews>
    <workbookView xWindow="0" yWindow="460" windowWidth="33600" windowHeight="19540" xr2:uid="{00000000-000D-0000-FFFF-FFFF00000000}"/>
  </bookViews>
  <sheets>
    <sheet name="Dashboard" sheetId="1" r:id="rId1"/>
    <sheet name="Bow Types" sheetId="2" r:id="rId2"/>
    <sheet name="Bow String Materials" sheetId="3" r:id="rId3"/>
    <sheet name="Center Serving Materials" sheetId="4" r:id="rId4"/>
    <sheet name="End Serving Materia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G15" i="1" s="1"/>
  <c r="F14" i="1" a="1"/>
  <c r="F14" i="1" s="1"/>
  <c r="F15" i="1" s="1"/>
  <c r="E14" i="1" a="1"/>
  <c r="E14" i="1" s="1"/>
  <c r="E15" i="1" s="1"/>
  <c r="D14" i="1" a="1"/>
  <c r="D14" i="1" s="1"/>
  <c r="B14" i="1" a="1"/>
  <c r="B14" i="1" s="1"/>
  <c r="C14" i="1" a="1"/>
  <c r="C14" i="1" s="1"/>
  <c r="D6" i="5"/>
  <c r="C6" i="5"/>
  <c r="B6" i="5"/>
  <c r="D1" i="5"/>
  <c r="C1" i="5"/>
  <c r="B1" i="5"/>
  <c r="I6" i="4"/>
  <c r="H6" i="4"/>
  <c r="G6" i="4"/>
  <c r="F6" i="4"/>
  <c r="E6" i="4"/>
  <c r="D6" i="4"/>
  <c r="C6" i="4"/>
  <c r="B6" i="4"/>
  <c r="I1" i="4"/>
  <c r="H1" i="4"/>
  <c r="G1" i="4"/>
  <c r="F1" i="4"/>
  <c r="E1" i="4"/>
  <c r="D1" i="4"/>
  <c r="C1" i="4"/>
  <c r="B1" i="4"/>
  <c r="I10" i="3"/>
  <c r="I11" i="3" s="1"/>
  <c r="H10" i="3"/>
  <c r="H11" i="3" s="1"/>
  <c r="G10" i="3"/>
  <c r="G11" i="3" s="1"/>
  <c r="F10" i="3"/>
  <c r="F11" i="3" s="1"/>
  <c r="E10" i="3"/>
  <c r="E11" i="3" s="1"/>
  <c r="D10" i="3"/>
  <c r="D11" i="3" s="1"/>
  <c r="C10" i="3"/>
  <c r="C11" i="3" s="1"/>
  <c r="B10" i="3"/>
  <c r="B11" i="3" s="1"/>
  <c r="I8" i="3"/>
  <c r="H8" i="3"/>
  <c r="G8" i="3"/>
  <c r="F8" i="3"/>
  <c r="E8" i="3"/>
  <c r="D8" i="3"/>
  <c r="C8" i="3"/>
  <c r="B8" i="3"/>
  <c r="I1" i="3"/>
  <c r="H1" i="3"/>
  <c r="G1" i="3"/>
  <c r="F1" i="3"/>
  <c r="E1" i="3"/>
  <c r="D1" i="3"/>
  <c r="C1" i="3"/>
  <c r="B1" i="3"/>
  <c r="L20" i="1"/>
  <c r="L21" i="1" s="1"/>
  <c r="K20" i="1"/>
  <c r="K21" i="1" s="1"/>
  <c r="J20" i="1"/>
  <c r="J21" i="1" s="1"/>
  <c r="I20" i="1"/>
  <c r="I21" i="1" s="1"/>
  <c r="H20" i="1"/>
  <c r="H21" i="1" s="1"/>
  <c r="G20" i="1"/>
  <c r="G21" i="1" s="1"/>
  <c r="F20" i="1"/>
  <c r="F21" i="1" s="1"/>
  <c r="E20" i="1"/>
  <c r="E21" i="1" s="1"/>
  <c r="D20" i="1"/>
  <c r="D21" i="1" s="1"/>
  <c r="C20" i="1"/>
  <c r="C21" i="1" s="1"/>
  <c r="B20" i="1"/>
  <c r="B21" i="1" s="1"/>
  <c r="L19" i="1"/>
  <c r="K19" i="1"/>
  <c r="J19" i="1"/>
  <c r="I19" i="1"/>
  <c r="H19" i="1"/>
  <c r="G19" i="1"/>
  <c r="F19" i="1"/>
  <c r="E19" i="1"/>
  <c r="D19" i="1"/>
  <c r="C19" i="1"/>
  <c r="B19" i="1"/>
  <c r="L18" i="1"/>
  <c r="J18" i="1"/>
  <c r="H18" i="1"/>
  <c r="D18" i="1"/>
  <c r="B18" i="1"/>
  <c r="L17" i="1"/>
  <c r="K17" i="1"/>
  <c r="K18" i="1" s="1"/>
  <c r="J17" i="1"/>
  <c r="I17" i="1"/>
  <c r="I18" i="1" s="1"/>
  <c r="H17" i="1"/>
  <c r="G17" i="1"/>
  <c r="G18" i="1" s="1"/>
  <c r="F17" i="1"/>
  <c r="F18" i="1" s="1"/>
  <c r="E17" i="1"/>
  <c r="E18" i="1" s="1"/>
  <c r="D17" i="1"/>
  <c r="C17" i="1"/>
  <c r="C18" i="1" s="1"/>
  <c r="B17" i="1"/>
  <c r="B9" i="1"/>
  <c r="F7" i="1"/>
  <c r="G7" i="1" s="1"/>
  <c r="G8" i="1" l="1"/>
  <c r="K16" i="1" s="1"/>
  <c r="I22" i="1"/>
  <c r="J22" i="1"/>
  <c r="C16" i="1"/>
  <c r="D16" i="1"/>
  <c r="L16" i="1"/>
  <c r="B22" i="1"/>
  <c r="H22" i="1"/>
  <c r="H15" i="1"/>
  <c r="E16" i="1"/>
  <c r="C22" i="1"/>
  <c r="K22" i="1"/>
  <c r="I15" i="1"/>
  <c r="F16" i="1"/>
  <c r="D22" i="1"/>
  <c r="L22" i="1"/>
  <c r="B15" i="1"/>
  <c r="J15" i="1"/>
  <c r="G16" i="1"/>
  <c r="E22" i="1"/>
  <c r="C15" i="1"/>
  <c r="K15" i="1"/>
  <c r="H16" i="1"/>
  <c r="F22" i="1"/>
  <c r="D15" i="1"/>
  <c r="L15" i="1"/>
  <c r="I16" i="1"/>
  <c r="G22" i="1"/>
  <c r="B16" i="1"/>
  <c r="J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<sst xmlns="http://schemas.openxmlformats.org/spreadsheetml/2006/main" count="77" uniqueCount="62">
  <si>
    <t>Inputs</t>
  </si>
  <si>
    <t>Bow Type</t>
  </si>
  <si>
    <t>Properties</t>
  </si>
  <si>
    <t>Value</t>
  </si>
  <si>
    <t>End Serving Length (in) *</t>
  </si>
  <si>
    <t>Minimum Safety Factor **</t>
  </si>
  <si>
    <t>Units</t>
  </si>
  <si>
    <t>Bow Type:</t>
  </si>
  <si>
    <t>Longbow</t>
  </si>
  <si>
    <t>Recurve</t>
  </si>
  <si>
    <t>Horse Bow</t>
  </si>
  <si>
    <t>String Type:</t>
  </si>
  <si>
    <t>Endless Loop</t>
  </si>
  <si>
    <t>Notes:</t>
  </si>
  <si>
    <t>Bow String Material:</t>
  </si>
  <si>
    <t>BCY 652 Spectra</t>
  </si>
  <si>
    <t>Recommended # of strands</t>
  </si>
  <si>
    <t>Actual String Length (not AMO):</t>
  </si>
  <si>
    <t>inches</t>
  </si>
  <si>
    <t>Approx. feet per pound</t>
  </si>
  <si>
    <t>Center Serving Material:</t>
  </si>
  <si>
    <t>Strength/strand (lbs)</t>
  </si>
  <si>
    <t>BCY #62 0.018</t>
  </si>
  <si>
    <t>Serving</t>
  </si>
  <si>
    <t>Length Used</t>
  </si>
  <si>
    <t>* The end serving length is the approximate length of the bow string that will be wrapped at each end of the string.</t>
  </si>
  <si>
    <t>Mass (gr)</t>
  </si>
  <si>
    <t>Center Serving Length *:</t>
  </si>
  <si>
    <t>Center</t>
  </si>
  <si>
    <t>Creep (%)</t>
  </si>
  <si>
    <t>** For longbows, the old rule of thumb was that the bow string should be designed for 4x the peak draw weight. For a 50 lbs longbow,
that works out to a combined multi-strand breaking strength of 200 lbs. For added safety, we'll use a factor of 5x.
For recurve bows, string strength needs to be equal to or greater than the draw weight at 15" (for 28" draw) x10. A typical 50 lbs
recurve bow will pull 35 lbs at 15" requiring a string strength of 350 lbs. This equates to a minimum safety factor of 7x. For added
safety, we'll use a factor of 8x.
For horse bows, we will assume the same safety factor as for recurve bows.</t>
  </si>
  <si>
    <t>Price per 1/4# ($)</t>
  </si>
  <si>
    <t>Calculated Properties</t>
  </si>
  <si>
    <t>End Serving Material:</t>
  </si>
  <si>
    <t>BCY 400</t>
  </si>
  <si>
    <t>End **</t>
  </si>
  <si>
    <t>Mass/foot (gr)</t>
  </si>
  <si>
    <t>End Serving Length:</t>
  </si>
  <si>
    <t>Effective Dia (in)</t>
  </si>
  <si>
    <t>Ideal String Dia. To Fit Nock:</t>
  </si>
  <si>
    <t>Spool Length (ft)</t>
  </si>
  <si>
    <t>Outputs</t>
  </si>
  <si>
    <t>Strands:</t>
  </si>
  <si>
    <t>Price/ft ($)</t>
  </si>
  <si>
    <t>Bow String Material Used (in):</t>
  </si>
  <si>
    <t>1. B-50 and B-55 values are as-measured rather than official published values.</t>
  </si>
  <si>
    <t>2. Heavily waxed strings can easily add 10%-15% to the weight.</t>
  </si>
  <si>
    <r>
      <t xml:space="preserve">3. </t>
    </r>
    <r>
      <rPr>
        <b/>
        <sz val="10"/>
        <color rgb="FFEA4335"/>
        <rFont val="Arial"/>
      </rPr>
      <t>Red</t>
    </r>
    <r>
      <rPr>
        <sz val="10"/>
        <color rgb="FF000000"/>
        <rFont val="Arial"/>
      </rPr>
      <t xml:space="preserve">, </t>
    </r>
    <r>
      <rPr>
        <b/>
        <sz val="10"/>
        <color rgb="FFFBBC04"/>
        <rFont val="Arial"/>
      </rPr>
      <t>Yellow</t>
    </r>
    <r>
      <rPr>
        <sz val="10"/>
        <color rgb="FF000000"/>
        <rFont val="Arial"/>
      </rPr>
      <t xml:space="preserve">, and </t>
    </r>
    <r>
      <rPr>
        <b/>
        <sz val="10"/>
        <color rgb="FFFF00FF"/>
        <rFont val="Arial"/>
      </rPr>
      <t>Florescent</t>
    </r>
    <r>
      <rPr>
        <sz val="10"/>
        <color rgb="FF000000"/>
        <rFont val="Arial"/>
      </rPr>
      <t xml:space="preserve"> B-55 strings are thicker (~0.001) than colors like </t>
    </r>
    <r>
      <rPr>
        <b/>
        <sz val="10"/>
        <rFont val="Arial"/>
      </rPr>
      <t>Black</t>
    </r>
    <r>
      <rPr>
        <sz val="10"/>
        <color rgb="FF000000"/>
        <rFont val="Arial"/>
      </rPr>
      <t xml:space="preserve">, </t>
    </r>
    <r>
      <rPr>
        <b/>
        <sz val="10"/>
        <color rgb="FF783F04"/>
        <rFont val="Arial"/>
      </rPr>
      <t>Brown</t>
    </r>
    <r>
      <rPr>
        <sz val="10"/>
        <color rgb="FF000000"/>
        <rFont val="Arial"/>
      </rPr>
      <t xml:space="preserve">, </t>
    </r>
    <r>
      <rPr>
        <b/>
        <sz val="10"/>
        <color theme="7"/>
        <rFont val="Arial"/>
      </rPr>
      <t>Green</t>
    </r>
    <r>
      <rPr>
        <sz val="10"/>
        <color rgb="FF000000"/>
        <rFont val="Arial"/>
      </rPr>
      <t xml:space="preserve">, or </t>
    </r>
    <r>
      <rPr>
        <b/>
        <sz val="10"/>
        <color theme="4"/>
        <rFont val="Arial"/>
      </rPr>
      <t>Blue</t>
    </r>
    <r>
      <rPr>
        <sz val="10"/>
        <color rgb="FF000000"/>
        <rFont val="Arial"/>
      </rPr>
      <t>.</t>
    </r>
  </si>
  <si>
    <t>Bow String Mass (gr):</t>
  </si>
  <si>
    <t>Total String Mass (gr):</t>
  </si>
  <si>
    <t>Total Strength (lbs):</t>
  </si>
  <si>
    <t>Max Safe Draw Weight (lbs):</t>
  </si>
  <si>
    <t>Estimated Creep (in):</t>
  </si>
  <si>
    <t>Estimated Dia. w/o Serving (in):</t>
  </si>
  <si>
    <t>Estimated Serving Dia. Needed (in):</t>
  </si>
  <si>
    <t>Cost of Materials ($):</t>
  </si>
  <si>
    <t>* The center serving is generally be between 6 and 7 inches.</t>
  </si>
  <si>
    <t>** Flemish Twist strings do not need/use end serving.</t>
  </si>
  <si>
    <t>*** Every 20 grains in mass saved results in approximately 1fps faster arrow speed.</t>
  </si>
  <si>
    <t>Price/Spool ($)</t>
  </si>
  <si>
    <t>Spool Length (feet)</t>
  </si>
  <si>
    <t>Price/foot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</si>
</sst>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"/>
  </numFmts>
  <fonts count="17" x14ac:knownFonts="1">
    <font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2"/>
      <color rgb="FF000000"/>
      <name val="Arial"/>
    </font>
    <font>
      <b/>
      <sz val="12"/>
      <color rgb="FF0000FF"/>
      <name val="Arial"/>
    </font>
    <font>
      <b/>
      <u/>
      <sz val="12"/>
      <color rgb="FF0000FF"/>
      <name val="Arial"/>
    </font>
    <font>
      <b/>
      <sz val="12"/>
      <color rgb="FF0000FF"/>
      <name val="Arial"/>
    </font>
    <font>
      <b/>
      <sz val="12"/>
      <name val="Arial"/>
    </font>
    <font>
      <b/>
      <sz val="12"/>
      <color rgb="FF1155CC"/>
      <name val="Arial"/>
    </font>
    <font>
      <b/>
      <u/>
      <sz val="12"/>
      <color rgb="FF0000FF"/>
      <name val="Arial"/>
    </font>
    <font>
      <b/>
      <sz val="10"/>
      <color rgb="FFEA4335"/>
      <name val="Arial"/>
    </font>
    <font>
      <b/>
      <sz val="10"/>
      <color rgb="FFFBBC04"/>
      <name val="Arial"/>
    </font>
    <font>
      <b/>
      <sz val="10"/>
      <color rgb="FFFF00FF"/>
      <name val="Arial"/>
    </font>
    <font>
      <b/>
      <sz val="10"/>
      <name val="Arial"/>
    </font>
    <font>
      <b/>
      <sz val="10"/>
      <color rgb="FF783F04"/>
      <name val="Arial"/>
    </font>
    <font>
      <b/>
      <sz val="10"/>
      <color theme="7"/>
      <name val="Arial"/>
    </font>
    <font>
      <b/>
      <sz val="10"/>
      <color theme="4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2" borderId="2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5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3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3" xfId="0" applyFont="1" applyBorder="1"/>
    <xf numFmtId="0" fontId="2" fillId="2" borderId="4" xfId="0" applyFont="1" applyFill="1" applyBorder="1"/>
    <xf numFmtId="0" fontId="2" fillId="0" borderId="1" xfId="0" applyFont="1" applyBorder="1" applyAlignment="1"/>
    <xf numFmtId="0" fontId="2" fillId="2" borderId="5" xfId="0" applyFont="1" applyFill="1" applyBorder="1"/>
    <xf numFmtId="0" fontId="2" fillId="0" borderId="6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9" xfId="0" applyFont="1" applyBorder="1" applyAlignment="1"/>
    <xf numFmtId="1" fontId="2" fillId="0" borderId="1" xfId="0" applyNumberFormat="1" applyFont="1" applyBorder="1" applyAlignment="1">
      <alignment horizontal="center"/>
    </xf>
    <xf numFmtId="0" fontId="2" fillId="0" borderId="10" xfId="0" applyFont="1" applyBorder="1"/>
    <xf numFmtId="165" fontId="2" fillId="2" borderId="1" xfId="0" applyNumberFormat="1" applyFont="1" applyFill="1" applyBorder="1" applyAlignment="1">
      <alignment horizontal="center"/>
    </xf>
    <xf numFmtId="0" fontId="2" fillId="0" borderId="11" xfId="0" applyFont="1" applyBorder="1"/>
    <xf numFmtId="165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/>
    <xf numFmtId="0" fontId="2" fillId="0" borderId="9" xfId="0" applyFont="1" applyBorder="1" applyAlignment="1">
      <alignment horizontal="left"/>
    </xf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12" xfId="0" applyFont="1" applyBorder="1" applyAlignment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39.6640625" customWidth="1"/>
    <col min="2" max="2" width="23" customWidth="1"/>
    <col min="3" max="12" width="15.83203125" customWidth="1"/>
  </cols>
  <sheetData>
    <row r="1" spans="1:26" x14ac:dyDescent="0.2">
      <c r="A1" s="1" t="s">
        <v>0</v>
      </c>
      <c r="B1" s="1" t="s">
        <v>3</v>
      </c>
      <c r="C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6" t="s">
        <v>7</v>
      </c>
      <c r="B2" s="9" t="s">
        <v>9</v>
      </c>
      <c r="C2" s="1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6" t="s">
        <v>11</v>
      </c>
      <c r="B3" s="9" t="s">
        <v>12</v>
      </c>
      <c r="C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13" t="s">
        <v>14</v>
      </c>
      <c r="B4" s="15" t="s">
        <v>15</v>
      </c>
      <c r="C4" s="1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13" t="s">
        <v>17</v>
      </c>
      <c r="B5" s="9">
        <v>58</v>
      </c>
      <c r="C5" s="18" t="s">
        <v>18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13" t="s">
        <v>20</v>
      </c>
      <c r="B6" s="9" t="s">
        <v>22</v>
      </c>
      <c r="C6" s="10"/>
      <c r="E6" s="1" t="s">
        <v>23</v>
      </c>
      <c r="F6" s="1" t="s">
        <v>24</v>
      </c>
      <c r="G6" s="1" t="s">
        <v>26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13" t="s">
        <v>27</v>
      </c>
      <c r="B7" s="9">
        <v>6.5</v>
      </c>
      <c r="C7" s="18" t="s">
        <v>18</v>
      </c>
      <c r="E7" s="1" t="s">
        <v>28</v>
      </c>
      <c r="F7" s="23">
        <f>B7 * 12</f>
        <v>78</v>
      </c>
      <c r="G7" s="26">
        <f>F7 / 12 * HLOOKUP(B6, 'Center Serving Materials'!B1:Y8, 2, FALSE)</f>
        <v>7.15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13" t="s">
        <v>33</v>
      </c>
      <c r="B8" s="9" t="s">
        <v>34</v>
      </c>
      <c r="C8" s="10"/>
      <c r="E8" s="1" t="s">
        <v>35</v>
      </c>
      <c r="F8" s="23" cm="1">
        <f t="array" ref="F8">B9 * 12 * 2 * _xlfn.SWITCH(B3, "Flemish Twist", 0, "Endless Loop", 1)</f>
        <v>168</v>
      </c>
      <c r="G8" s="26">
        <f>F8 / 12 * HLOOKUP(B8, 'End Serving Materials'!B1:Y8, 2, FALSE)</f>
        <v>13.299999999999999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13" t="s">
        <v>37</v>
      </c>
      <c r="B9" s="9">
        <f>VLOOKUP(B2, 'Bow Types'!A2:B4, 2, FALSE)</f>
        <v>7</v>
      </c>
      <c r="C9" s="18" t="s">
        <v>18</v>
      </c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13" t="s">
        <v>39</v>
      </c>
      <c r="B10" s="9">
        <v>0.1</v>
      </c>
      <c r="C10" s="18" t="s">
        <v>18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1" t="s">
        <v>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32" t="s">
        <v>42</v>
      </c>
      <c r="B13" s="1">
        <v>8</v>
      </c>
      <c r="C13" s="1">
        <v>10</v>
      </c>
      <c r="D13" s="1">
        <v>12</v>
      </c>
      <c r="E13" s="1">
        <v>14</v>
      </c>
      <c r="F13" s="1">
        <v>16</v>
      </c>
      <c r="G13" s="1">
        <v>18</v>
      </c>
      <c r="H13" s="1">
        <v>20</v>
      </c>
      <c r="I13" s="1">
        <v>22</v>
      </c>
      <c r="J13" s="1">
        <v>24</v>
      </c>
      <c r="K13" s="1">
        <v>26</v>
      </c>
      <c r="L13" s="1">
        <v>28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32" t="s">
        <v>44</v>
      </c>
      <c r="B14" s="26" cm="1">
        <f t="array" ref="B14">(B5 + _xlfn.SWITCH(B3, "Flemish Twist", 15, "Endless Loop", 0)) * B13</f>
        <v>464</v>
      </c>
      <c r="C14" s="26" cm="1">
        <f t="array" ref="C14">(B5 + _xlfn.SWITCH(B3, "Flemish Twist", 15, "Endless Loop", 0)) * C13</f>
        <v>580</v>
      </c>
      <c r="D14" s="26" cm="1">
        <f t="array" ref="D14">(B5 + _xlfn.SWITCH(B3, "Flemish Twist", 15, "Endless Loop", 0)) * D13</f>
        <v>696</v>
      </c>
      <c r="E14" s="26" cm="1">
        <f t="array" ref="E14">(B5 + _xlfn.SWITCH(B3, "Flemish Twist", 15, "Endless Loop", 0)) * E13</f>
        <v>812</v>
      </c>
      <c r="F14" s="26" cm="1">
        <f t="array" ref="F14">(B5 + _xlfn.SWITCH(B3, "Flemish Twist", 15, "Endless Loop", 0)) * F13</f>
        <v>928</v>
      </c>
      <c r="G14" s="26" cm="1">
        <f t="array" ref="G14">(B5 + _xlfn.SWITCH(B3, "Flemish Twist", 15, "Endless Loop", 0)) * G13</f>
        <v>1044</v>
      </c>
      <c r="H14" s="26" cm="1">
        <f t="array" ref="H14">(B5 + _xlfn.SWITCH(B3, "Flemish Twist", 15, "Endless Loop", 0)) * H13</f>
        <v>1160</v>
      </c>
      <c r="I14" s="26" cm="1">
        <f t="array" ref="I14">(B5 + _xlfn.SWITCH(B3, "Flemish Twist", 15, "Endless Loop", 0)) * I13</f>
        <v>1276</v>
      </c>
      <c r="J14" s="26" cm="1">
        <f t="array" ref="J14">(B5 + _xlfn.SWITCH(B3, "Flemish Twist", 15, "Endless Loop", 0)) * J13</f>
        <v>1392</v>
      </c>
      <c r="K14" s="26" cm="1">
        <f t="array" ref="K14">(B5 + _xlfn.SWITCH(B3, "Flemish Twist", 15, "Endless Loop", 0)) * K13</f>
        <v>1508</v>
      </c>
      <c r="L14" s="26" cm="1">
        <f t="array" ref="L14">(B5 + _xlfn.SWITCH(B3, "Flemish Twist", 15, "Endless Loop", 0)) * L13</f>
        <v>1624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32" t="s">
        <v>48</v>
      </c>
      <c r="B15" s="38">
        <f>B14 / 12 * HLOOKUP(B4, 'Bow String Materials'!B1:Z11, 8, FALSE)</f>
        <v>33.008130081300813</v>
      </c>
      <c r="C15" s="38">
        <f>C14 / 12 * HLOOKUP(B4, 'Bow String Materials'!B1:Z11, 8, FALSE)</f>
        <v>41.260162601626014</v>
      </c>
      <c r="D15" s="38">
        <f>D14 / 12 * HLOOKUP(B4, 'Bow String Materials'!B1:Z11, 8, FALSE)</f>
        <v>49.512195121951216</v>
      </c>
      <c r="E15" s="38">
        <f>E14 / 12 * HLOOKUP(B4, 'Bow String Materials'!B1:Z11, 8, FALSE)</f>
        <v>57.764227642276424</v>
      </c>
      <c r="F15" s="38">
        <f>F14 / 12 * HLOOKUP(B4, 'Bow String Materials'!B1:Z11, 8, FALSE)</f>
        <v>66.016260162601625</v>
      </c>
      <c r="G15" s="38">
        <f>G14 / 12 * HLOOKUP(B4, 'Bow String Materials'!B1:Z11, 8, FALSE)</f>
        <v>74.268292682926827</v>
      </c>
      <c r="H15" s="38">
        <f>H14 / 12 * HLOOKUP(B4, 'Bow String Materials'!B1:Z11, 8, FALSE)</f>
        <v>82.520325203252028</v>
      </c>
      <c r="I15" s="38">
        <f>I14 / 12 * HLOOKUP(B4, 'Bow String Materials'!B1:Z11, 8, FALSE)</f>
        <v>90.77235772357723</v>
      </c>
      <c r="J15" s="38">
        <f>J14 / 12 * HLOOKUP(B4, 'Bow String Materials'!B1:Z11, 8, FALSE)</f>
        <v>99.024390243902431</v>
      </c>
      <c r="K15" s="38">
        <f>K14 / 12 * HLOOKUP(B4, 'Bow String Materials'!B1:Z11, 8, FALSE)</f>
        <v>107.27642276422765</v>
      </c>
      <c r="L15" s="38">
        <f>L14 / 12 * HLOOKUP(B4, 'Bow String Materials'!B1:Z11, 8, FALSE)</f>
        <v>115.52845528455285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32" t="s">
        <v>49</v>
      </c>
      <c r="B16" s="26">
        <f>(B14 / 12 * HLOOKUP(B4, 'Bow String Materials'!B1:Z11, 8, FALSE)) + G7 + G8</f>
        <v>53.458130081300808</v>
      </c>
      <c r="C16" s="26">
        <f>(C14 / 12 * HLOOKUP(B4, 'Bow String Materials'!B1:Z11, 8, FALSE)) + G7 + G8</f>
        <v>61.71016260162601</v>
      </c>
      <c r="D16" s="26">
        <f>(D14 / 12 * HLOOKUP(B4, 'Bow String Materials'!B1:Z11, 8, FALSE)) + G7 + G8</f>
        <v>69.962195121951211</v>
      </c>
      <c r="E16" s="26">
        <f>(E14 / 12 * HLOOKUP(B4, 'Bow String Materials'!B1:Z11, 8, FALSE)) + G7 + G8</f>
        <v>78.214227642276427</v>
      </c>
      <c r="F16" s="26">
        <f>(F14 / 12 * HLOOKUP(B4, 'Bow String Materials'!B1:Z11, 8, FALSE)) + G7 + G8</f>
        <v>86.466260162601628</v>
      </c>
      <c r="G16" s="26">
        <f>(G14 / 12 * HLOOKUP(B4, 'Bow String Materials'!B1:Z11, 8, FALSE)) + G7 + G8</f>
        <v>94.71829268292683</v>
      </c>
      <c r="H16" s="26">
        <f>(H14 / 12 * HLOOKUP(B4, 'Bow String Materials'!C1:Z11, 8, FALSE)) + G7 + G8</f>
        <v>102.97032520325203</v>
      </c>
      <c r="I16" s="26">
        <f>(I14 / 12 * HLOOKUP(B4, 'Bow String Materials'!B1:Z11, 8, FALSE)) + G7 + G8</f>
        <v>111.22235772357723</v>
      </c>
      <c r="J16" s="26">
        <f>(J14 / 12 * HLOOKUP(B4, 'Bow String Materials'!B1:Z11, 8, FALSE)) + G7 + G8</f>
        <v>119.47439024390243</v>
      </c>
      <c r="K16" s="26">
        <f>(K14 / 12 * HLOOKUP(B4, 'Bow String Materials'!B1:Z11, 8, FALSE)) + G7 + G8</f>
        <v>127.72642276422765</v>
      </c>
      <c r="L16" s="26">
        <f>(L14 / 12 * HLOOKUP(B4, 'Bow String Materials'!B1:Z11, 8, FALSE)) + G7 + G8</f>
        <v>135.97845528455287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32" t="s">
        <v>50</v>
      </c>
      <c r="B17" s="38">
        <f>HLOOKUP(B4, 'Bow String Materials'!B1:Z11, 4, FALSE) * B13</f>
        <v>760</v>
      </c>
      <c r="C17" s="38">
        <f>HLOOKUP(B4, 'Bow String Materials'!B1:Z11, 4, FALSE) * C13</f>
        <v>950</v>
      </c>
      <c r="D17" s="38">
        <f>HLOOKUP(B4, 'Bow String Materials'!B1:Z11, 4, FALSE) * D13</f>
        <v>1140</v>
      </c>
      <c r="E17" s="38">
        <f>HLOOKUP(B4, 'Bow String Materials'!B1:Z11, 4, FALSE) * E13</f>
        <v>1330</v>
      </c>
      <c r="F17" s="38">
        <f>HLOOKUP(B4, 'Bow String Materials'!B1:Z11, 4, FALSE) * F13</f>
        <v>1520</v>
      </c>
      <c r="G17" s="38">
        <f>HLOOKUP(B4, 'Bow String Materials'!B1:Z11, 4, FALSE) * G13</f>
        <v>1710</v>
      </c>
      <c r="H17" s="38">
        <f>HLOOKUP(B4, 'Bow String Materials'!B1:Z11, 4, FALSE) * H13</f>
        <v>1900</v>
      </c>
      <c r="I17" s="38">
        <f>HLOOKUP(B4, 'Bow String Materials'!B1:Z11, 4, FALSE) * I13</f>
        <v>2090</v>
      </c>
      <c r="J17" s="38">
        <f>HLOOKUP(B4, 'Bow String Materials'!B1:Z11, 4, FALSE) * J13</f>
        <v>2280</v>
      </c>
      <c r="K17" s="38">
        <f>HLOOKUP(B4, 'Bow String Materials'!B1:Z11, 4, FALSE) * K13</f>
        <v>2470</v>
      </c>
      <c r="L17" s="38">
        <f>HLOOKUP(B4, 'Bow String Materials'!B1:Z11, 4, FALSE) * L13</f>
        <v>2660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32" t="s">
        <v>51</v>
      </c>
      <c r="B18" s="26">
        <f>B17 / VLOOKUP(B2, 'Bow Types'!A2:C4, 3, FALSE)</f>
        <v>95</v>
      </c>
      <c r="C18" s="26">
        <f>C17 / VLOOKUP(B2, 'Bow Types'!A2:C4, 3, FALSE)</f>
        <v>118.75</v>
      </c>
      <c r="D18" s="26">
        <f>D17 / VLOOKUP(B2, 'Bow Types'!A2:C4, 3, FALSE)</f>
        <v>142.5</v>
      </c>
      <c r="E18" s="26">
        <f>E17 / VLOOKUP(B2, 'Bow Types'!A2:C4, 3, FALSE)</f>
        <v>166.25</v>
      </c>
      <c r="F18" s="26">
        <f>F17 / VLOOKUP(B2, 'Bow Types'!A2:C4, 3, FALSE)</f>
        <v>190</v>
      </c>
      <c r="G18" s="26">
        <f>G17 / VLOOKUP(B2, 'Bow Types'!A2:C4, 3, FALSE)</f>
        <v>213.75</v>
      </c>
      <c r="H18" s="26">
        <f>H17 / VLOOKUP(B2, 'Bow Types'!A2:C4, 3, FALSE)</f>
        <v>237.5</v>
      </c>
      <c r="I18" s="26">
        <f>I17 / VLOOKUP(B2, 'Bow Types'!A2:C4, 3, FALSE)</f>
        <v>261.25</v>
      </c>
      <c r="J18" s="26">
        <f>J17 / VLOOKUP(B2, 'Bow Types'!A2:C4, 3, FALSE)</f>
        <v>285</v>
      </c>
      <c r="K18" s="26">
        <f>K17 / VLOOKUP(B2, 'Bow Types'!A2:C4, 3, FALSE)</f>
        <v>308.75</v>
      </c>
      <c r="L18" s="26">
        <f>L17 / VLOOKUP(B2, 'Bow Types'!A2:C4, 3, FALSE)</f>
        <v>332.5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32" t="s">
        <v>52</v>
      </c>
      <c r="B19" s="39">
        <f>B5 * HLOOKUP(B4, 'Bow String Materials'!B1:Z11, 5, FALSE) / 100</f>
        <v>0.28999999999999998</v>
      </c>
      <c r="C19" s="39">
        <f>B5 * HLOOKUP(B4, 'Bow String Materials'!B1:Z11, 5, FALSE) / 100</f>
        <v>0.28999999999999998</v>
      </c>
      <c r="D19" s="39">
        <f>B5 * HLOOKUP(B4, 'Bow String Materials'!B1:Z11, 5, FALSE) / 100</f>
        <v>0.28999999999999998</v>
      </c>
      <c r="E19" s="39">
        <f>B5 * HLOOKUP(B4, 'Bow String Materials'!B1:Z11, 5, FALSE) / 100</f>
        <v>0.28999999999999998</v>
      </c>
      <c r="F19" s="39">
        <f>B5 * HLOOKUP(B4, 'Bow String Materials'!B1:Z11, 5, FALSE) / 100</f>
        <v>0.28999999999999998</v>
      </c>
      <c r="G19" s="39">
        <f>B5 * HLOOKUP(B4, 'Bow String Materials'!B1:Z11, 5, FALSE) / 100</f>
        <v>0.28999999999999998</v>
      </c>
      <c r="H19" s="39">
        <f>B5 * HLOOKUP(B4, 'Bow String Materials'!B1:Z11, 5, FALSE) / 100</f>
        <v>0.28999999999999998</v>
      </c>
      <c r="I19" s="39">
        <f>B5 * HLOOKUP(B4, 'Bow String Materials'!B1:Z11, 5, FALSE) / 100</f>
        <v>0.28999999999999998</v>
      </c>
      <c r="J19" s="39">
        <f>B5 * HLOOKUP(B4, 'Bow String Materials'!B1:Z11, 5, FALSE) / 100</f>
        <v>0.28999999999999998</v>
      </c>
      <c r="K19" s="39">
        <f>B5 * HLOOKUP(B4, 'Bow String Materials'!B1:Z11, 5, FALSE) / 100</f>
        <v>0.28999999999999998</v>
      </c>
      <c r="L19" s="39">
        <f>B5 * HLOOKUP(B4, 'Bow String Materials'!B1:Z11, 5, FALSE) / 100</f>
        <v>0.28999999999999998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32" t="s">
        <v>53</v>
      </c>
      <c r="B20" s="40">
        <f>(1.1 * 4 * (B13 * 3.14 / 4 * HLOOKUP(B4, 'Bow String Materials'!B1:Z11, 9, FALSE) * HLOOKUP(B4, 'Bow String Materials'!B1:Z11, 9, FALSE)) / 3.14)^0.5</f>
        <v>4.1530711527735714E-2</v>
      </c>
      <c r="C20" s="40">
        <f>(1.1 * 4 * (C13 * 3.14 / 4 * HLOOKUP(B4, 'Bow String Materials'!B1:Z11, 9, FALSE) * HLOOKUP(B4, 'Bow String Materials'!B1:Z11, 9, FALSE)) / 3.14)^0.5</f>
        <v>4.6432747064975605E-2</v>
      </c>
      <c r="D20" s="40">
        <f>(1.1 * 4 * (D13 * 3.14 / 4 * HLOOKUP(B4, 'Bow String Materials'!B1:Z11, 9, FALSE) * HLOOKUP(B4, 'Bow String Materials'!B1:Z11, 9, FALSE)) / 3.14)^0.5</f>
        <v>5.0864525948837863E-2</v>
      </c>
      <c r="E20" s="40">
        <f>(1.1 * 4 * (E13 * 3.14 / 4 * HLOOKUP(B4, 'Bow String Materials'!B1:Z11, 9, FALSE) * HLOOKUP(B4, 'Bow String Materials'!B1:Z11, 9, FALSE)) / 3.14)^0.5</f>
        <v>5.4939967236976035E-2</v>
      </c>
      <c r="F20" s="40">
        <f>(1.1 * 4 * (F13 * 3.14 / 4 * HLOOKUP(B4, 'Bow String Materials'!B1:Z11, 9, FALSE) * HLOOKUP(B4, 'Bow String Materials'!B1:Z11, 9, FALSE)) / 3.14)^0.5</f>
        <v>5.8733295497528488E-2</v>
      </c>
      <c r="G20" s="40">
        <f>(1.1 * 4 * (G13 * 3.14 / 4 * HLOOKUP(B4, 'Bow String Materials'!B1:Z11, 9, FALSE) * HLOOKUP(B4, 'Bow String Materials'!B1:Z11, 9, FALSE)) / 3.14)^0.5</f>
        <v>6.2296067291603571E-2</v>
      </c>
      <c r="H20" s="40">
        <f>(1.1 * 4 * (H13 * 3.14 / 4 * HLOOKUP(B4, 'Bow String Materials'!B1:Z11, 9, FALSE) * HLOOKUP(B4, 'Bow String Materials'!B1:Z11, 9, FALSE)) / 3.14)^0.5</f>
        <v>6.5665820637528016E-2</v>
      </c>
      <c r="I20" s="40">
        <f>(1.1 * 4 * (I13 * 3.14 / 4 * HLOOKUP(B4, 'Bow String Materials'!B1:Z11, 9, FALSE) * HLOOKUP(B4, 'Bow String Materials'!B1:Z11, 9, FALSE)) / 3.14)^0.5</f>
        <v>6.8870893706993522E-2</v>
      </c>
      <c r="J20" s="40">
        <f>(1.1 * 4 * (J13 * 3.14 / 4 * HLOOKUP(B4, 'Bow String Materials'!B1:Z11, 9, FALSE) * HLOOKUP(B4, 'Bow String Materials'!B1:Z11, 9, FALSE)) / 3.14)^0.5</f>
        <v>7.1933302440524732E-2</v>
      </c>
      <c r="K20" s="40">
        <f>(1.1 * 4 * (K13 * 3.14 / 4 * HLOOKUP(B4, 'Bow String Materials'!B1:Z11, 9, FALSE) * HLOOKUP(B4, 'Bow String Materials'!B1:Z11, 9, FALSE)) / 3.14)^0.5</f>
        <v>7.4870554959877253E-2</v>
      </c>
      <c r="L20" s="40">
        <f>(1.1 * 4 * (L13 * 3.14 / 4 * HLOOKUP(B4, 'Bow String Materials'!B1:Z11, 9, FALSE) * HLOOKUP(B4, 'Bow String Materials'!B1:Z11, 9, FALSE)) / 3.14)^0.5</f>
        <v>7.7696846782865009E-2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32" t="s">
        <v>54</v>
      </c>
      <c r="B21" s="41">
        <f>(B10-B20)/2</f>
        <v>2.9234644236132146E-2</v>
      </c>
      <c r="C21" s="41">
        <f>(B10-C20)/2</f>
        <v>2.67836264675122E-2</v>
      </c>
      <c r="D21" s="41">
        <f>(B10-D20)/2</f>
        <v>2.4567737025581071E-2</v>
      </c>
      <c r="E21" s="41">
        <f>(B10-E20)/2</f>
        <v>2.2530016381511985E-2</v>
      </c>
      <c r="F21" s="41">
        <f>(B10-F20)/2</f>
        <v>2.0633352251235759E-2</v>
      </c>
      <c r="G21" s="41">
        <f>(B10-G20)/2</f>
        <v>1.8851966354198217E-2</v>
      </c>
      <c r="H21" s="41">
        <f>(B10-H20)/2</f>
        <v>1.7167089681235995E-2</v>
      </c>
      <c r="I21" s="41">
        <f>(B10-I20)/2</f>
        <v>1.5564553146503242E-2</v>
      </c>
      <c r="J21" s="41">
        <f>(B10-J20)/2</f>
        <v>1.4033348779737637E-2</v>
      </c>
      <c r="K21" s="41">
        <f>(B10-K20)/2</f>
        <v>1.2564722520061376E-2</v>
      </c>
      <c r="L21" s="41">
        <f>(B10-L20)/2</f>
        <v>1.1151576608567498E-2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2" t="s">
        <v>55</v>
      </c>
      <c r="B22" s="33">
        <f>(B14 / 12 * HLOOKUP(B4, 'Bow String Materials'!B1:Z11, 11, FALSE)) + (F7 / 12 * HLOOKUP(B6, 'Center Serving Materials'!B1:Z6, 6, FALSE)) + (F8 / 12 * HLOOKUP(B8, 'End Serving Materials'!B1:Z6, 6, FALSE))</f>
        <v>1.030140317812269</v>
      </c>
      <c r="C22" s="33">
        <f>(C14 / 12 * HLOOKUP(B4, 'Bow String Materials'!B1:Z11, 11, FALSE)) + (F7 / 12 * HLOOKUP(B6, 'Center Serving Materials'!B1:Z6, 6, FALSE)) + (F8 / 12 * HLOOKUP(B8, 'End Serving Materials'!B1:Z6, 6, FALSE))</f>
        <v>1.1998492609017</v>
      </c>
      <c r="D22" s="33">
        <f>(D14 / 12 * HLOOKUP(B4, 'Bow String Materials'!B1:Z11, 11, FALSE)) + (F7 / 12 * HLOOKUP(B6, 'Center Serving Materials'!B1:Y6, 6, FALSE)) + (F8 / 12 * HLOOKUP(B8, 'End Serving Materials'!B1:Y6, 6, FALSE))</f>
        <v>1.3695582039911309</v>
      </c>
      <c r="E22" s="33">
        <f>(E14 / 12 * HLOOKUP(B4, 'Bow String Materials'!B1:Z11, 11, FALSE)) + (F7 / 12 * HLOOKUP(B6, 'Center Serving Materials'!B1:Y6, 6, FALSE)) + (F8 / 12 * HLOOKUP(B8, 'End Serving Materials'!B1:Y6, 6, FALSE))</f>
        <v>1.5392671470805619</v>
      </c>
      <c r="F22" s="33">
        <f>(F14 / 12 * HLOOKUP(B4, 'Bow String Materials'!B1:Z11, 11, FALSE)) + (F7 / 12 * HLOOKUP(B6, 'Center Serving Materials'!B1:Z6, 6, FALSE)) + (F8 / 12 * HLOOKUP(B8, 'End Serving Materials'!B1:Z6, 6, FALSE))</f>
        <v>1.7089760901699926</v>
      </c>
      <c r="G22" s="33">
        <f>(G14 / 12 * HLOOKUP(B4, 'Bow String Materials'!B1:Z11, 11, FALSE)) + (F7 / 12 * HLOOKUP(B6, 'Center Serving Materials'!B1:Z6, 6, FALSE)) + (F8 / 12 * HLOOKUP(B8, 'End Serving Materials'!B1:Z6, 6, FALSE))</f>
        <v>1.8786850332594236</v>
      </c>
      <c r="H22" s="33">
        <f>(H14 / 12 * HLOOKUP(B4, 'Bow String Materials'!B1:Z11, 11, FALSE)) + (F7 / 12 * HLOOKUP(B6, 'Center Serving Materials'!B1:Z6, 6, FALSE)) + (F8 / 12 * HLOOKUP(B8, 'End Serving Materials'!B1:Z6, 6, FALSE))</f>
        <v>2.0483939763488546</v>
      </c>
      <c r="I22" s="33">
        <f>(I14 / 12 * HLOOKUP(B4, 'Bow String Materials'!B1:Z11, 11, FALSE)) + (F7 / 12 * HLOOKUP(B6, 'Center Serving Materials'!B1:Z6, 6, FALSE)) + (F8 / 12 * HLOOKUP(B8, 'End Serving Materials'!B1:Z6, 6, FALSE))</f>
        <v>2.2181029194382851</v>
      </c>
      <c r="J22" s="33">
        <f>(J14 / 12 * HLOOKUP(B4, 'Bow String Materials'!B1:Z11, 11, FALSE)) + (F7 / 12 * HLOOKUP(B6, 'Center Serving Materials'!B1:Z6, 6, FALSE)) + (F8 / 12 * HLOOKUP(B8, 'End Serving Materials'!B1:Z6, 6, FALSE))</f>
        <v>2.387811862527716</v>
      </c>
      <c r="K22" s="33">
        <f>(K14 / 12 * HLOOKUP(B4, 'Bow String Materials'!B1:Z11, 11, FALSE)) + (F7 / 12 * HLOOKUP(B6, 'Center Serving Materials'!B1:Z6, 6, FALSE)) + (F8 / 12 * HLOOKUP(B8, 'End Serving Materials'!B1:Z6, 6, FALSE))</f>
        <v>2.557520805617147</v>
      </c>
      <c r="L22" s="33">
        <f>(L14 / 12 * HLOOKUP(B4, 'Bow String Materials'!B1:Z11, 11, FALSE)) + (F7 / 12 * HLOOKUP(B6, 'Center Serving Materials'!B1:Z6, 6, FALSE)) + (F8 / 12 * HLOOKUP(B8, 'End Serving Materials'!B1:Z6, 6, FALSE))</f>
        <v>2.727229748706578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3" t="s">
        <v>13</v>
      </c>
      <c r="B24" s="44"/>
      <c r="C24" s="44"/>
      <c r="D24" s="44"/>
      <c r="E24" s="44"/>
      <c r="F24" s="44"/>
      <c r="G24" s="4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20" t="s">
        <v>56</v>
      </c>
      <c r="B25" s="21"/>
      <c r="C25" s="21"/>
      <c r="D25" s="21"/>
      <c r="E25" s="21"/>
      <c r="F25" s="21"/>
      <c r="G25" s="22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6" t="s">
        <v>57</v>
      </c>
      <c r="B26" s="4"/>
      <c r="C26" s="4"/>
      <c r="D26" s="4"/>
      <c r="E26" s="4"/>
      <c r="F26" s="4"/>
      <c r="G26" s="3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25" t="s">
        <v>58</v>
      </c>
      <c r="B27" s="27"/>
      <c r="C27" s="27"/>
      <c r="D27" s="27"/>
      <c r="E27" s="27"/>
      <c r="F27" s="27"/>
      <c r="G27" s="2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dataValidations count="1">
    <dataValidation type="list" allowBlank="1" sqref="B3" xr:uid="{00000000-0002-0000-0000-000000000000}">
      <formula1>"Flemish Twist,Endless Loop"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1000000}">
          <x14:formula1>
            <xm:f>'End Serving Materials'!$B$1:$D$1</xm:f>
          </x14:formula1>
          <xm:sqref>B8</xm:sqref>
        </x14:dataValidation>
        <x14:dataValidation type="list" allowBlank="1" xr:uid="{00000000-0002-0000-0000-000002000000}">
          <x14:formula1>
            <xm:f>'Bow String Materials'!$B$1:$I$1</xm:f>
          </x14:formula1>
          <xm:sqref>B4</xm:sqref>
        </x14:dataValidation>
        <x14:dataValidation type="list" allowBlank="1" xr:uid="{00000000-0002-0000-0000-000003000000}">
          <x14:formula1>
            <xm:f>'Center Serving Materials'!$B$1:$I$1</xm:f>
          </x14:formula1>
          <xm:sqref>B6</xm:sqref>
        </x14:dataValidation>
        <x14:dataValidation type="list" allowBlank="1" xr:uid="{00000000-0002-0000-0000-000004000000}">
          <x14:formula1>
            <xm:f>'Bow Types'!$A$2:$A$4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baseColWidth="10" defaultColWidth="14.5" defaultRowHeight="15.75" customHeight="1" x14ac:dyDescent="0.15"/>
  <cols>
    <col min="1" max="3" width="28.6640625" customWidth="1"/>
  </cols>
  <sheetData>
    <row r="1" spans="1:26" x14ac:dyDescent="0.2">
      <c r="A1" s="1" t="s">
        <v>1</v>
      </c>
      <c r="B1" s="1" t="s">
        <v>4</v>
      </c>
      <c r="C1" s="3" t="s">
        <v>5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1" t="s">
        <v>8</v>
      </c>
      <c r="B2" s="8">
        <v>5</v>
      </c>
      <c r="C2" s="8">
        <v>5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1" t="s">
        <v>9</v>
      </c>
      <c r="B3" s="8">
        <v>7</v>
      </c>
      <c r="C3" s="8">
        <v>8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1" t="s">
        <v>10</v>
      </c>
      <c r="B4" s="8">
        <v>15</v>
      </c>
      <c r="C4" s="8">
        <v>8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12" t="s">
        <v>13</v>
      </c>
      <c r="B6" s="17"/>
      <c r="C6" s="17"/>
      <c r="D6" s="17"/>
      <c r="E6" s="17"/>
      <c r="F6" s="17"/>
      <c r="G6" s="1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">
      <c r="A7" s="20" t="s">
        <v>25</v>
      </c>
      <c r="B7" s="21"/>
      <c r="C7" s="21"/>
      <c r="D7" s="21"/>
      <c r="E7" s="21"/>
      <c r="F7" s="21"/>
      <c r="G7" s="2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25" t="s">
        <v>30</v>
      </c>
      <c r="B8" s="27"/>
      <c r="C8" s="27"/>
      <c r="D8" s="27"/>
      <c r="E8" s="27"/>
      <c r="F8" s="27"/>
      <c r="G8" s="2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001"/>
  <sheetViews>
    <sheetView workbookViewId="0"/>
  </sheetViews>
  <sheetFormatPr baseColWidth="10" defaultColWidth="14.5" defaultRowHeight="15.75" customHeight="1" x14ac:dyDescent="0.15"/>
  <cols>
    <col min="1" max="1" width="30.83203125" customWidth="1"/>
    <col min="2" max="9" width="18.6640625" customWidth="1"/>
  </cols>
  <sheetData>
    <row r="1" spans="1:20" x14ac:dyDescent="0.2">
      <c r="A1" s="2" t="s">
        <v>2</v>
      </c>
      <c r="B1" s="7" t="str">
        <f>HYPERLINK("https://bigjimsbowcompany.com/product/b-50-string/", "B-50")</f>
        <v>B-50</v>
      </c>
      <c r="C1" s="7" t="str">
        <f>HYPERLINK("https://www.lancasterarchery.com/bcy-b55-string-material-1-4.html", "BCY B-55")</f>
        <v>BCY B-55</v>
      </c>
      <c r="D1" s="7" t="str">
        <f>HYPERLINK("https://www.lancasterarchery.com/bcy-dynaflight-97-string-material-1-8-black-or-white.html", "BCY D-97")</f>
        <v>BCY D-97</v>
      </c>
      <c r="E1" s="7" t="str">
        <f>HYPERLINK("https://www.lancasterarchery.com/bcy-8125-string-material-2-color-1-8.html", "BCY 8125")</f>
        <v>BCY 8125</v>
      </c>
      <c r="F1" s="11" t="str">
        <f>HYPERLINK("https://www.lancasterarchery.com/bcy-652-spectra-bowstring-material-1-4-spool.html", "BCY 652 Spectra")</f>
        <v>BCY 652 Spectra</v>
      </c>
      <c r="G1" s="7" t="str">
        <f>HYPERLINK("https://www.lancasterarchery.com/bcy-452x-string-material-1-8-colors.html", "BCY 452X")</f>
        <v>BCY 452X</v>
      </c>
      <c r="H1" s="14" t="str">
        <f>HYPERLINK("https://www.lancasterarchery.com/bcy-x99-bowstring-material-1-8-lb.html", "BCY X-99")</f>
        <v>BCY X-99</v>
      </c>
      <c r="I1" s="14" t="str">
        <f>HYPERLINK("https://www.lancasterarchery.com/bcy-mercury-bowstring-material-1-8-lb.html", "BCY Mercury")</f>
        <v>BCY Mercury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">
      <c r="A2" s="9" t="s">
        <v>16</v>
      </c>
      <c r="B2" s="8">
        <v>12</v>
      </c>
      <c r="C2" s="8">
        <v>12</v>
      </c>
      <c r="D2" s="8">
        <v>14</v>
      </c>
      <c r="E2" s="8">
        <v>18</v>
      </c>
      <c r="F2" s="8">
        <v>18</v>
      </c>
      <c r="G2" s="8">
        <v>18</v>
      </c>
      <c r="H2" s="8">
        <v>22</v>
      </c>
      <c r="I2" s="8">
        <v>28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">
      <c r="A3" s="9" t="s">
        <v>19</v>
      </c>
      <c r="B3" s="8">
        <v>4400</v>
      </c>
      <c r="C3" s="8">
        <v>4300</v>
      </c>
      <c r="D3" s="8">
        <v>6700</v>
      </c>
      <c r="E3" s="8">
        <v>8200</v>
      </c>
      <c r="F3" s="8">
        <v>8200</v>
      </c>
      <c r="G3" s="8">
        <v>8800</v>
      </c>
      <c r="H3" s="8">
        <v>11000</v>
      </c>
      <c r="I3" s="8">
        <v>13000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">
      <c r="A4" s="9" t="s">
        <v>21</v>
      </c>
      <c r="B4" s="8">
        <v>35</v>
      </c>
      <c r="C4" s="8">
        <v>40</v>
      </c>
      <c r="D4" s="8">
        <v>125</v>
      </c>
      <c r="E4" s="8">
        <v>90</v>
      </c>
      <c r="F4" s="8">
        <v>95</v>
      </c>
      <c r="G4" s="8">
        <v>75</v>
      </c>
      <c r="H4" s="8">
        <v>110</v>
      </c>
      <c r="I4" s="8">
        <v>110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">
      <c r="A5" s="9" t="s">
        <v>29</v>
      </c>
      <c r="B5" s="8">
        <v>2</v>
      </c>
      <c r="C5" s="8">
        <v>1</v>
      </c>
      <c r="D5" s="8">
        <v>0.5</v>
      </c>
      <c r="E5" s="8">
        <v>0.5</v>
      </c>
      <c r="F5" s="8">
        <v>0.5</v>
      </c>
      <c r="G5" s="8">
        <v>0</v>
      </c>
      <c r="H5" s="8">
        <v>0</v>
      </c>
      <c r="I5" s="8">
        <v>0.5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">
      <c r="A6" s="9" t="s">
        <v>31</v>
      </c>
      <c r="B6" s="24">
        <v>8.99</v>
      </c>
      <c r="C6" s="24">
        <v>8.99</v>
      </c>
      <c r="D6" s="24">
        <v>41</v>
      </c>
      <c r="E6" s="24">
        <v>59.99</v>
      </c>
      <c r="F6" s="24">
        <v>35.99</v>
      </c>
      <c r="G6" s="24">
        <v>64.989999999999995</v>
      </c>
      <c r="H6" s="24">
        <v>59.99</v>
      </c>
      <c r="I6" s="24">
        <v>59.99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1" t="s">
        <v>32</v>
      </c>
      <c r="B7" s="28"/>
      <c r="C7" s="28"/>
      <c r="D7" s="28"/>
      <c r="E7" s="28"/>
      <c r="F7" s="28"/>
      <c r="G7" s="28"/>
      <c r="H7" s="28"/>
      <c r="I7" s="28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9" t="s">
        <v>36</v>
      </c>
      <c r="B8" s="30">
        <f t="shared" ref="B8:I8" si="0">7000 / B3</f>
        <v>1.5909090909090908</v>
      </c>
      <c r="C8" s="30">
        <f t="shared" si="0"/>
        <v>1.6279069767441861</v>
      </c>
      <c r="D8" s="30">
        <f t="shared" si="0"/>
        <v>1.044776119402985</v>
      </c>
      <c r="E8" s="30">
        <f t="shared" si="0"/>
        <v>0.85365853658536583</v>
      </c>
      <c r="F8" s="30">
        <f t="shared" si="0"/>
        <v>0.85365853658536583</v>
      </c>
      <c r="G8" s="30">
        <f t="shared" si="0"/>
        <v>0.79545454545454541</v>
      </c>
      <c r="H8" s="30">
        <f t="shared" si="0"/>
        <v>0.63636363636363635</v>
      </c>
      <c r="I8" s="30">
        <f t="shared" si="0"/>
        <v>0.53846153846153844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">
      <c r="A9" s="9" t="s">
        <v>38</v>
      </c>
      <c r="B9" s="8">
        <v>1.7999999999999999E-2</v>
      </c>
      <c r="C9" s="8">
        <v>1.7999999999999999E-2</v>
      </c>
      <c r="D9" s="8">
        <v>1.6E-2</v>
      </c>
      <c r="E9" s="8">
        <v>1.4E-2</v>
      </c>
      <c r="F9" s="8">
        <v>1.4E-2</v>
      </c>
      <c r="G9" s="8">
        <v>1.4E-2</v>
      </c>
      <c r="H9" s="8">
        <v>1.2E-2</v>
      </c>
      <c r="I9" s="8">
        <v>0.01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">
      <c r="A10" s="9" t="s">
        <v>40</v>
      </c>
      <c r="B10" s="31">
        <f t="shared" ref="B10:I10" si="1">B3/4</f>
        <v>1100</v>
      </c>
      <c r="C10" s="31">
        <f t="shared" si="1"/>
        <v>1075</v>
      </c>
      <c r="D10" s="31">
        <f t="shared" si="1"/>
        <v>1675</v>
      </c>
      <c r="E10" s="31">
        <f t="shared" si="1"/>
        <v>2050</v>
      </c>
      <c r="F10" s="31">
        <f t="shared" si="1"/>
        <v>2050</v>
      </c>
      <c r="G10" s="31">
        <f t="shared" si="1"/>
        <v>2200</v>
      </c>
      <c r="H10" s="31">
        <f t="shared" si="1"/>
        <v>2750</v>
      </c>
      <c r="I10" s="31">
        <f t="shared" si="1"/>
        <v>3250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">
      <c r="A11" s="9" t="s">
        <v>43</v>
      </c>
      <c r="B11" s="24">
        <f t="shared" ref="B11:I11" si="2">B6/B10</f>
        <v>8.1727272727272725E-3</v>
      </c>
      <c r="C11" s="24">
        <f t="shared" si="2"/>
        <v>8.3627906976744184E-3</v>
      </c>
      <c r="D11" s="24">
        <f t="shared" si="2"/>
        <v>2.4477611940298509E-2</v>
      </c>
      <c r="E11" s="24">
        <f t="shared" si="2"/>
        <v>2.9263414634146341E-2</v>
      </c>
      <c r="F11" s="33">
        <f t="shared" si="2"/>
        <v>1.7556097560975609E-2</v>
      </c>
      <c r="G11" s="24">
        <f t="shared" si="2"/>
        <v>2.954090909090909E-2</v>
      </c>
      <c r="H11" s="33">
        <f t="shared" si="2"/>
        <v>2.1814545454545455E-2</v>
      </c>
      <c r="I11" s="33">
        <f t="shared" si="2"/>
        <v>1.8458461538461538E-2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">
      <c r="A13" s="34" t="s">
        <v>13</v>
      </c>
      <c r="B13" s="17"/>
      <c r="C13" s="17"/>
      <c r="D13" s="17"/>
      <c r="E13" s="17"/>
      <c r="F13" s="17"/>
      <c r="G13" s="1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">
      <c r="A14" s="35" t="s">
        <v>45</v>
      </c>
      <c r="B14" s="4"/>
      <c r="C14" s="4"/>
      <c r="D14" s="4"/>
      <c r="E14" s="4"/>
      <c r="F14" s="4"/>
      <c r="G14" s="3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">
      <c r="A15" s="35" t="s">
        <v>46</v>
      </c>
      <c r="B15" s="4"/>
      <c r="C15" s="4"/>
      <c r="D15" s="4"/>
      <c r="E15" s="4"/>
      <c r="F15" s="4"/>
      <c r="G15" s="3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37" t="s">
        <v>47</v>
      </c>
      <c r="B16" s="27"/>
      <c r="C16" s="27"/>
      <c r="D16" s="27"/>
      <c r="E16" s="27"/>
      <c r="F16" s="27"/>
      <c r="G16" s="2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98"/>
  <sheetViews>
    <sheetView workbookViewId="0">
      <selection activeCell="E18" sqref="E18"/>
    </sheetView>
  </sheetViews>
  <sheetFormatPr baseColWidth="10" defaultColWidth="14.5" defaultRowHeight="15.75" customHeight="1" x14ac:dyDescent="0.15"/>
  <cols>
    <col min="1" max="1" width="21.83203125" customWidth="1"/>
    <col min="2" max="9" width="19" customWidth="1"/>
  </cols>
  <sheetData>
    <row r="1" spans="1:25" x14ac:dyDescent="0.2">
      <c r="A1" s="1" t="s">
        <v>2</v>
      </c>
      <c r="B1" s="47" t="str">
        <f>HYPERLINK("https://www.lancasterarchery.com/bcy-62-braided-serving-018.html", "BCY #62 0.018")</f>
        <v>BCY #62 0.018</v>
      </c>
      <c r="C1" s="47" t="str">
        <f>HYPERLINK("https://www.lancasterarchery.com/bcy-62-braided-serving-021.html", "BCY #62 0.021")</f>
        <v>BCY #62 0.021</v>
      </c>
      <c r="D1" s="47" t="str">
        <f>HYPERLINK("https://www.lancasterarchery.com/bcy-62-braided-serving-025.html", "BCY #62 0.025")</f>
        <v>BCY #62 0.025</v>
      </c>
      <c r="E1" s="48" t="str">
        <f>HYPERLINK("https://www.lancasterarchery.com/bcy-halo-014-serving-colors.html", "BCY Halo 0.014")</f>
        <v>BCY Halo 0.014</v>
      </c>
      <c r="F1" s="48" t="str">
        <f>HYPERLINK("https://www.lancasterarchery.com/bcy-halo-019-serving-colors.html", "BCY Halo 0.019")</f>
        <v>BCY Halo 0.019</v>
      </c>
      <c r="G1" s="48" t="str">
        <f>HYPERLINK("https://www.lancasterarchery.com/bcy-halo-021-serving.html", "BCY Halo 0.021")</f>
        <v>BCY Halo 0.021</v>
      </c>
      <c r="H1" s="48" t="str">
        <f>HYPERLINK("https://www.lancasterarchery.com/bcy-halo-024-serving-colors.html", "BCY Halo 0.024")</f>
        <v>BCY Halo 0.024</v>
      </c>
      <c r="I1" s="48" t="str">
        <f>HYPERLINK("https://www.lancasterarchery.com/bcy-halo-030-serving.html", "BCY Halo 0.030")</f>
        <v>BCY Halo 0.030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">
      <c r="A2" s="9" t="s">
        <v>36</v>
      </c>
      <c r="B2" s="8">
        <v>1.1000000000000001</v>
      </c>
      <c r="C2" s="8">
        <v>1.5</v>
      </c>
      <c r="D2" s="8">
        <v>2.1</v>
      </c>
      <c r="E2" s="8">
        <v>0.61</v>
      </c>
      <c r="F2" s="8">
        <v>1.22</v>
      </c>
      <c r="G2" s="8">
        <v>1.43</v>
      </c>
      <c r="H2" s="8">
        <v>1.87</v>
      </c>
      <c r="I2" s="8">
        <v>2.46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">
      <c r="A3" s="9" t="s">
        <v>38</v>
      </c>
      <c r="B3" s="8">
        <v>1.7999999999999999E-2</v>
      </c>
      <c r="C3" s="8">
        <v>2.1000000000000001E-2</v>
      </c>
      <c r="D3" s="8">
        <v>2.5000000000000001E-2</v>
      </c>
      <c r="E3" s="8">
        <v>1.4E-2</v>
      </c>
      <c r="F3" s="8">
        <v>1.9E-2</v>
      </c>
      <c r="G3" s="8">
        <v>2.1000000000000001E-2</v>
      </c>
      <c r="H3" s="8">
        <v>2.4E-2</v>
      </c>
      <c r="I3" s="8">
        <v>0.03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">
      <c r="A4" s="9" t="s">
        <v>59</v>
      </c>
      <c r="B4" s="24">
        <v>17.989999999999998</v>
      </c>
      <c r="C4" s="24">
        <v>17.989999999999998</v>
      </c>
      <c r="D4" s="24">
        <v>17.989999999999998</v>
      </c>
      <c r="E4" s="49">
        <v>33.99</v>
      </c>
      <c r="F4" s="49">
        <v>25.99</v>
      </c>
      <c r="G4" s="49">
        <v>25.5</v>
      </c>
      <c r="H4" s="49">
        <v>24.99</v>
      </c>
      <c r="I4" s="49">
        <v>23.99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">
      <c r="A5" s="9" t="s">
        <v>60</v>
      </c>
      <c r="B5" s="31">
        <v>1100</v>
      </c>
      <c r="C5" s="31">
        <v>1100</v>
      </c>
      <c r="D5" s="31">
        <v>1100</v>
      </c>
      <c r="E5" s="8">
        <v>360</v>
      </c>
      <c r="F5" s="8">
        <v>300</v>
      </c>
      <c r="G5" s="8">
        <v>225</v>
      </c>
      <c r="H5" s="8">
        <v>135</v>
      </c>
      <c r="I5" s="8">
        <v>120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">
      <c r="A6" s="9" t="s">
        <v>61</v>
      </c>
      <c r="B6" s="24">
        <f t="shared" ref="B6:I6" si="0">B4/B5</f>
        <v>1.6354545454545451E-2</v>
      </c>
      <c r="C6" s="24">
        <f t="shared" si="0"/>
        <v>1.6354545454545451E-2</v>
      </c>
      <c r="D6" s="24">
        <f t="shared" si="0"/>
        <v>1.6354545454545451E-2</v>
      </c>
      <c r="E6" s="50">
        <f t="shared" si="0"/>
        <v>9.4416666666666677E-2</v>
      </c>
      <c r="F6" s="50">
        <f t="shared" si="0"/>
        <v>8.6633333333333326E-2</v>
      </c>
      <c r="G6" s="50">
        <f t="shared" si="0"/>
        <v>0.11333333333333333</v>
      </c>
      <c r="H6" s="50">
        <f t="shared" si="0"/>
        <v>0.18511111111111109</v>
      </c>
      <c r="I6" s="50">
        <f t="shared" si="0"/>
        <v>0.19991666666666666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99"/>
  <sheetViews>
    <sheetView workbookViewId="0"/>
  </sheetViews>
  <sheetFormatPr baseColWidth="10" defaultColWidth="14.5" defaultRowHeight="15.75" customHeight="1" x14ac:dyDescent="0.15"/>
  <cols>
    <col min="1" max="1" width="22" customWidth="1"/>
    <col min="2" max="4" width="15.83203125" customWidth="1"/>
  </cols>
  <sheetData>
    <row r="1" spans="1:25" x14ac:dyDescent="0.2">
      <c r="A1" s="1" t="s">
        <v>2</v>
      </c>
      <c r="B1" s="51" t="str">
        <f>HYPERLINK("https://www.lancasterarchery.com/bcy-400-nylon-multifilament-serving.html","BCY 400")</f>
        <v>BCY 400</v>
      </c>
      <c r="C1" s="14" t="str">
        <f>HYPERLINK("https://www.lancasterarchery.com/bcy-2s-end-serving.html", "BCY 2S")</f>
        <v>BCY 2S</v>
      </c>
      <c r="D1" s="14" t="str">
        <f>HYPERLINK("https://www.lancasterarchery.com/bcy-3d-serving-016-colors.html", "BCY 3D")</f>
        <v>BCY 3D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">
      <c r="A2" s="9" t="s">
        <v>36</v>
      </c>
      <c r="B2" s="8">
        <v>0.95</v>
      </c>
      <c r="C2" s="8">
        <v>0.78</v>
      </c>
      <c r="D2" s="8">
        <v>0.74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">
      <c r="A3" s="9" t="s">
        <v>38</v>
      </c>
      <c r="B3" s="8">
        <v>1.7999999999999999E-2</v>
      </c>
      <c r="C3" s="8">
        <v>1.7999999999999999E-2</v>
      </c>
      <c r="D3" s="8">
        <v>1.6E-2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">
      <c r="A4" s="9" t="s">
        <v>59</v>
      </c>
      <c r="B4" s="24">
        <v>5.25</v>
      </c>
      <c r="C4" s="24">
        <v>14.99</v>
      </c>
      <c r="D4" s="24">
        <v>17.989999999999998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">
      <c r="A5" s="9" t="s">
        <v>60</v>
      </c>
      <c r="B5" s="31">
        <v>300</v>
      </c>
      <c r="C5" s="8">
        <v>300</v>
      </c>
      <c r="D5" s="8">
        <v>360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">
      <c r="A6" s="9" t="s">
        <v>61</v>
      </c>
      <c r="B6" s="24">
        <f t="shared" ref="B6:D6" si="0">B4/B5</f>
        <v>1.7500000000000002E-2</v>
      </c>
      <c r="C6" s="33">
        <f t="shared" si="0"/>
        <v>4.9966666666666666E-2</v>
      </c>
      <c r="D6" s="33">
        <f t="shared" si="0"/>
        <v>4.9972222222222216E-2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Bow Types</vt:lpstr>
      <vt:lpstr>Bow String Materials</vt:lpstr>
      <vt:lpstr>Center Serving Materials</vt:lpstr>
      <vt:lpstr>End Serving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Stedfast</cp:lastModifiedBy>
  <dcterms:modified xsi:type="dcterms:W3CDTF">2020-04-19T13:56:34Z</dcterms:modified>
</cp:coreProperties>
</file>